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0A837599-5951-4F08-B4DA-46F94E7FA605}" xr6:coauthVersionLast="47" xr6:coauthVersionMax="47" xr10:uidLastSave="{00000000-0000-0000-0000-000000000000}"/>
  <bookViews>
    <workbookView xWindow="28680" yWindow="-120" windowWidth="29040" windowHeight="15720" xr2:uid="{6865BCA6-DD74-4D10-9ED5-6122E8373A60}"/>
  </bookViews>
  <sheets>
    <sheet name="Tableau-MAGIQUE" sheetId="39" r:id="rId1"/>
    <sheet name="Magique.et.Allergènes" sheetId="40" r:id="rId2"/>
    <sheet name="Nettoyez.vos.textes" sheetId="12" r:id="rId3"/>
    <sheet name="Magique.200.lignes13.06.202" sheetId="35" r:id="rId4"/>
    <sheet name="PROMPTS_CFA" sheetId="4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2" i="41" l="1"/>
  <c r="F5" i="41" s="1"/>
  <c r="E43" i="41"/>
  <c r="E32" i="41"/>
  <c r="DP2470" i="40" l="1"/>
  <c r="AJ13" i="40" s="1"/>
  <c r="L203" i="40"/>
  <c r="J203" i="40"/>
  <c r="B203" i="40"/>
  <c r="D203" i="40" s="1"/>
  <c r="L202" i="40"/>
  <c r="J202" i="40"/>
  <c r="B202" i="40"/>
  <c r="D202" i="40" s="1"/>
  <c r="L201" i="40"/>
  <c r="J201" i="40"/>
  <c r="B201" i="40"/>
  <c r="C201" i="40" s="1"/>
  <c r="L200" i="40"/>
  <c r="J200" i="40"/>
  <c r="B200" i="40"/>
  <c r="D200" i="40" s="1"/>
  <c r="L199" i="40"/>
  <c r="J199" i="40"/>
  <c r="B199" i="40"/>
  <c r="C199" i="40" s="1"/>
  <c r="L198" i="40"/>
  <c r="J198" i="40"/>
  <c r="B198" i="40"/>
  <c r="D198" i="40" s="1"/>
  <c r="L197" i="40"/>
  <c r="J197" i="40"/>
  <c r="B197" i="40"/>
  <c r="C197" i="40" s="1"/>
  <c r="L196" i="40"/>
  <c r="J196" i="40"/>
  <c r="B196" i="40"/>
  <c r="D196" i="40" s="1"/>
  <c r="L195" i="40"/>
  <c r="J195" i="40"/>
  <c r="B195" i="40"/>
  <c r="L194" i="40"/>
  <c r="J194" i="40"/>
  <c r="B194" i="40"/>
  <c r="C194" i="40" s="1"/>
  <c r="L193" i="40"/>
  <c r="J193" i="40"/>
  <c r="B193" i="40"/>
  <c r="D193" i="40" s="1"/>
  <c r="L192" i="40"/>
  <c r="J192" i="40"/>
  <c r="B192" i="40"/>
  <c r="C192" i="40" s="1"/>
  <c r="L191" i="40"/>
  <c r="J191" i="40"/>
  <c r="B191" i="40"/>
  <c r="D191" i="40" s="1"/>
  <c r="L190" i="40"/>
  <c r="J190" i="40"/>
  <c r="B190" i="40"/>
  <c r="D190" i="40" s="1"/>
  <c r="L189" i="40"/>
  <c r="J189" i="40"/>
  <c r="B189" i="40"/>
  <c r="D189" i="40" s="1"/>
  <c r="L188" i="40"/>
  <c r="J188" i="40"/>
  <c r="B188" i="40"/>
  <c r="D188" i="40" s="1"/>
  <c r="L187" i="40"/>
  <c r="J187" i="40"/>
  <c r="B187" i="40"/>
  <c r="L186" i="40"/>
  <c r="J186" i="40"/>
  <c r="B186" i="40"/>
  <c r="D186" i="40" s="1"/>
  <c r="L185" i="40"/>
  <c r="J185" i="40"/>
  <c r="B185" i="40"/>
  <c r="C185" i="40" s="1"/>
  <c r="L184" i="40"/>
  <c r="J184" i="40"/>
  <c r="B184" i="40"/>
  <c r="D184" i="40" s="1"/>
  <c r="L183" i="40"/>
  <c r="J183" i="40"/>
  <c r="B183" i="40"/>
  <c r="D183" i="40" s="1"/>
  <c r="L182" i="40"/>
  <c r="J182" i="40"/>
  <c r="B182" i="40"/>
  <c r="C182" i="40" s="1"/>
  <c r="L181" i="40"/>
  <c r="J181" i="40"/>
  <c r="B181" i="40"/>
  <c r="L180" i="40"/>
  <c r="J180" i="40"/>
  <c r="B180" i="40"/>
  <c r="D180" i="40" s="1"/>
  <c r="L179" i="40"/>
  <c r="J179" i="40"/>
  <c r="B179" i="40"/>
  <c r="D179" i="40" s="1"/>
  <c r="L178" i="40"/>
  <c r="J178" i="40"/>
  <c r="B178" i="40"/>
  <c r="D178" i="40" s="1"/>
  <c r="L177" i="40"/>
  <c r="J177" i="40"/>
  <c r="B177" i="40"/>
  <c r="D177" i="40" s="1"/>
  <c r="L176" i="40"/>
  <c r="J176" i="40"/>
  <c r="B176" i="40"/>
  <c r="D176" i="40" s="1"/>
  <c r="L175" i="40"/>
  <c r="J175" i="40"/>
  <c r="B175" i="40"/>
  <c r="D175" i="40" s="1"/>
  <c r="L174" i="40"/>
  <c r="J174" i="40"/>
  <c r="B174" i="40"/>
  <c r="C174" i="40" s="1"/>
  <c r="L173" i="40"/>
  <c r="J173" i="40"/>
  <c r="B173" i="40"/>
  <c r="L172" i="40"/>
  <c r="J172" i="40"/>
  <c r="B172" i="40"/>
  <c r="D172" i="40" s="1"/>
  <c r="L171" i="40"/>
  <c r="J171" i="40"/>
  <c r="B171" i="40"/>
  <c r="D171" i="40" s="1"/>
  <c r="L170" i="40"/>
  <c r="J170" i="40"/>
  <c r="B170" i="40"/>
  <c r="C170" i="40" s="1"/>
  <c r="L169" i="40"/>
  <c r="J169" i="40"/>
  <c r="B169" i="40"/>
  <c r="C169" i="40" s="1"/>
  <c r="L168" i="40"/>
  <c r="J168" i="40"/>
  <c r="B168" i="40"/>
  <c r="L167" i="40"/>
  <c r="J167" i="40"/>
  <c r="B167" i="40"/>
  <c r="D167" i="40" s="1"/>
  <c r="L166" i="40"/>
  <c r="J166" i="40"/>
  <c r="B166" i="40"/>
  <c r="C166" i="40" s="1"/>
  <c r="L165" i="40"/>
  <c r="J165" i="40"/>
  <c r="B165" i="40"/>
  <c r="C165" i="40" s="1"/>
  <c r="L164" i="40"/>
  <c r="J164" i="40"/>
  <c r="B164" i="40"/>
  <c r="L163" i="40"/>
  <c r="J163" i="40"/>
  <c r="B163" i="40"/>
  <c r="D163" i="40" s="1"/>
  <c r="L162" i="40"/>
  <c r="J162" i="40"/>
  <c r="B162" i="40"/>
  <c r="D162" i="40" s="1"/>
  <c r="L161" i="40"/>
  <c r="J161" i="40"/>
  <c r="B161" i="40"/>
  <c r="L160" i="40"/>
  <c r="J160" i="40"/>
  <c r="B160" i="40"/>
  <c r="D160" i="40" s="1"/>
  <c r="L159" i="40"/>
  <c r="J159" i="40"/>
  <c r="B159" i="40"/>
  <c r="L158" i="40"/>
  <c r="J158" i="40"/>
  <c r="B158" i="40"/>
  <c r="C158" i="40" s="1"/>
  <c r="L157" i="40"/>
  <c r="J157" i="40"/>
  <c r="B157" i="40"/>
  <c r="C157" i="40" s="1"/>
  <c r="L156" i="40"/>
  <c r="J156" i="40"/>
  <c r="B156" i="40"/>
  <c r="D156" i="40" s="1"/>
  <c r="L155" i="40"/>
  <c r="J155" i="40"/>
  <c r="B155" i="40"/>
  <c r="L154" i="40"/>
  <c r="J154" i="40"/>
  <c r="B154" i="40"/>
  <c r="C154" i="40" s="1"/>
  <c r="L153" i="40"/>
  <c r="J153" i="40"/>
  <c r="B153" i="40"/>
  <c r="C153" i="40" s="1"/>
  <c r="L152" i="40"/>
  <c r="J152" i="40"/>
  <c r="B152" i="40"/>
  <c r="D152" i="40" s="1"/>
  <c r="L151" i="40"/>
  <c r="J151" i="40"/>
  <c r="B151" i="40"/>
  <c r="D151" i="40" s="1"/>
  <c r="L150" i="40"/>
  <c r="J150" i="40"/>
  <c r="B150" i="40"/>
  <c r="D150" i="40" s="1"/>
  <c r="L149" i="40"/>
  <c r="J149" i="40"/>
  <c r="B149" i="40"/>
  <c r="C149" i="40" s="1"/>
  <c r="L148" i="40"/>
  <c r="J148" i="40"/>
  <c r="B148" i="40"/>
  <c r="D148" i="40" s="1"/>
  <c r="L147" i="40"/>
  <c r="J147" i="40"/>
  <c r="B147" i="40"/>
  <c r="D147" i="40" s="1"/>
  <c r="L146" i="40"/>
  <c r="J146" i="40"/>
  <c r="B146" i="40"/>
  <c r="C146" i="40" s="1"/>
  <c r="L145" i="40"/>
  <c r="J145" i="40"/>
  <c r="B145" i="40"/>
  <c r="D145" i="40" s="1"/>
  <c r="L144" i="40"/>
  <c r="J144" i="40"/>
  <c r="B144" i="40"/>
  <c r="C144" i="40" s="1"/>
  <c r="L143" i="40"/>
  <c r="J143" i="40"/>
  <c r="B143" i="40"/>
  <c r="D143" i="40" s="1"/>
  <c r="L142" i="40"/>
  <c r="J142" i="40"/>
  <c r="B142" i="40"/>
  <c r="C142" i="40" s="1"/>
  <c r="L141" i="40"/>
  <c r="J141" i="40"/>
  <c r="B141" i="40"/>
  <c r="C141" i="40" s="1"/>
  <c r="L140" i="40"/>
  <c r="J140" i="40"/>
  <c r="B140" i="40"/>
  <c r="D140" i="40" s="1"/>
  <c r="L139" i="40"/>
  <c r="J139" i="40"/>
  <c r="B139" i="40"/>
  <c r="C139" i="40" s="1"/>
  <c r="L138" i="40"/>
  <c r="J138" i="40"/>
  <c r="B138" i="40"/>
  <c r="D138" i="40" s="1"/>
  <c r="L137" i="40"/>
  <c r="J137" i="40"/>
  <c r="B137" i="40"/>
  <c r="C137" i="40" s="1"/>
  <c r="L136" i="40"/>
  <c r="J136" i="40"/>
  <c r="B136" i="40"/>
  <c r="L135" i="40"/>
  <c r="J135" i="40"/>
  <c r="B135" i="40"/>
  <c r="D135" i="40" s="1"/>
  <c r="L134" i="40"/>
  <c r="J134" i="40"/>
  <c r="B134" i="40"/>
  <c r="C134" i="40" s="1"/>
  <c r="L133" i="40"/>
  <c r="J133" i="40"/>
  <c r="B133" i="40"/>
  <c r="C133" i="40" s="1"/>
  <c r="L132" i="40"/>
  <c r="J132" i="40"/>
  <c r="B132" i="40"/>
  <c r="D132" i="40" s="1"/>
  <c r="L131" i="40"/>
  <c r="J131" i="40"/>
  <c r="B131" i="40"/>
  <c r="L130" i="40"/>
  <c r="J130" i="40"/>
  <c r="B130" i="40"/>
  <c r="C130" i="40" s="1"/>
  <c r="L129" i="40"/>
  <c r="J129" i="40"/>
  <c r="B129" i="40"/>
  <c r="D129" i="40" s="1"/>
  <c r="L128" i="40"/>
  <c r="J128" i="40"/>
  <c r="B128" i="40"/>
  <c r="C128" i="40" s="1"/>
  <c r="L127" i="40"/>
  <c r="J127" i="40"/>
  <c r="B127" i="40"/>
  <c r="D127" i="40" s="1"/>
  <c r="L126" i="40"/>
  <c r="J126" i="40"/>
  <c r="B126" i="40"/>
  <c r="C126" i="40" s="1"/>
  <c r="L125" i="40"/>
  <c r="J125" i="40"/>
  <c r="B125" i="40"/>
  <c r="D125" i="40" s="1"/>
  <c r="L124" i="40"/>
  <c r="J124" i="40"/>
  <c r="B124" i="40"/>
  <c r="D124" i="40" s="1"/>
  <c r="L123" i="40"/>
  <c r="J123" i="40"/>
  <c r="B123" i="40"/>
  <c r="D123" i="40" s="1"/>
  <c r="L122" i="40"/>
  <c r="J122" i="40"/>
  <c r="B122" i="40"/>
  <c r="C122" i="40" s="1"/>
  <c r="L121" i="40"/>
  <c r="J121" i="40"/>
  <c r="B121" i="40"/>
  <c r="C121" i="40" s="1"/>
  <c r="L120" i="40"/>
  <c r="J120" i="40"/>
  <c r="B120" i="40"/>
  <c r="D120" i="40" s="1"/>
  <c r="L119" i="40"/>
  <c r="J119" i="40"/>
  <c r="B119" i="40"/>
  <c r="D119" i="40" s="1"/>
  <c r="L118" i="40"/>
  <c r="J118" i="40"/>
  <c r="B118" i="40"/>
  <c r="C118" i="40" s="1"/>
  <c r="L117" i="40"/>
  <c r="J117" i="40"/>
  <c r="B117" i="40"/>
  <c r="C117" i="40" s="1"/>
  <c r="L116" i="40"/>
  <c r="J116" i="40"/>
  <c r="B116" i="40"/>
  <c r="D116" i="40" s="1"/>
  <c r="L115" i="40"/>
  <c r="J115" i="40"/>
  <c r="B115" i="40"/>
  <c r="L114" i="40"/>
  <c r="J114" i="40"/>
  <c r="B114" i="40"/>
  <c r="L113" i="40"/>
  <c r="J113" i="40"/>
  <c r="B113" i="40"/>
  <c r="C113" i="40" s="1"/>
  <c r="L112" i="40"/>
  <c r="J112" i="40"/>
  <c r="B112" i="40"/>
  <c r="L111" i="40"/>
  <c r="J111" i="40"/>
  <c r="B111" i="40"/>
  <c r="D111" i="40" s="1"/>
  <c r="L110" i="40"/>
  <c r="J110" i="40"/>
  <c r="B110" i="40"/>
  <c r="C110" i="40" s="1"/>
  <c r="L109" i="40"/>
  <c r="J109" i="40"/>
  <c r="B109" i="40"/>
  <c r="D109" i="40" s="1"/>
  <c r="L108" i="40"/>
  <c r="J108" i="40"/>
  <c r="B108" i="40"/>
  <c r="D108" i="40" s="1"/>
  <c r="L107" i="40"/>
  <c r="J107" i="40"/>
  <c r="B107" i="40"/>
  <c r="L106" i="40"/>
  <c r="J106" i="40"/>
  <c r="B106" i="40"/>
  <c r="D106" i="40" s="1"/>
  <c r="L105" i="40"/>
  <c r="J105" i="40"/>
  <c r="B105" i="40"/>
  <c r="C105" i="40" s="1"/>
  <c r="L104" i="40"/>
  <c r="J104" i="40"/>
  <c r="B104" i="40"/>
  <c r="D104" i="40" s="1"/>
  <c r="L103" i="40"/>
  <c r="J103" i="40"/>
  <c r="B103" i="40"/>
  <c r="D103" i="40" s="1"/>
  <c r="L102" i="40"/>
  <c r="J102" i="40"/>
  <c r="B102" i="40"/>
  <c r="D102" i="40" s="1"/>
  <c r="L101" i="40"/>
  <c r="J101" i="40"/>
  <c r="B101" i="40"/>
  <c r="C101" i="40" s="1"/>
  <c r="L100" i="40"/>
  <c r="J100" i="40"/>
  <c r="B100" i="40"/>
  <c r="D100" i="40" s="1"/>
  <c r="L99" i="40"/>
  <c r="J99" i="40"/>
  <c r="B99" i="40"/>
  <c r="D99" i="40" s="1"/>
  <c r="L98" i="40"/>
  <c r="J98" i="40"/>
  <c r="B98" i="40"/>
  <c r="D98" i="40" s="1"/>
  <c r="L97" i="40"/>
  <c r="J97" i="40"/>
  <c r="B97" i="40"/>
  <c r="D97" i="40" s="1"/>
  <c r="L96" i="40"/>
  <c r="J96" i="40"/>
  <c r="B96" i="40"/>
  <c r="D96" i="40" s="1"/>
  <c r="L95" i="40"/>
  <c r="J95" i="40"/>
  <c r="B95" i="40"/>
  <c r="D95" i="40" s="1"/>
  <c r="L94" i="40"/>
  <c r="J94" i="40"/>
  <c r="B94" i="40"/>
  <c r="C94" i="40" s="1"/>
  <c r="L93" i="40"/>
  <c r="J93" i="40"/>
  <c r="B93" i="40"/>
  <c r="D93" i="40" s="1"/>
  <c r="L92" i="40"/>
  <c r="J92" i="40"/>
  <c r="B92" i="40"/>
  <c r="L91" i="40"/>
  <c r="J91" i="40"/>
  <c r="B91" i="40"/>
  <c r="C91" i="40" s="1"/>
  <c r="L90" i="40"/>
  <c r="J90" i="40"/>
  <c r="B90" i="40"/>
  <c r="C90" i="40" s="1"/>
  <c r="L89" i="40"/>
  <c r="J89" i="40"/>
  <c r="B89" i="40"/>
  <c r="L88" i="40"/>
  <c r="J88" i="40"/>
  <c r="B88" i="40"/>
  <c r="D88" i="40" s="1"/>
  <c r="L87" i="40"/>
  <c r="J87" i="40"/>
  <c r="B87" i="40"/>
  <c r="D87" i="40" s="1"/>
  <c r="L86" i="40"/>
  <c r="J86" i="40"/>
  <c r="B86" i="40"/>
  <c r="D86" i="40" s="1"/>
  <c r="L85" i="40"/>
  <c r="J85" i="40"/>
  <c r="B85" i="40"/>
  <c r="C85" i="40" s="1"/>
  <c r="L84" i="40"/>
  <c r="J84" i="40"/>
  <c r="B84" i="40"/>
  <c r="L83" i="40"/>
  <c r="J83" i="40"/>
  <c r="B83" i="40"/>
  <c r="D83" i="40" s="1"/>
  <c r="L82" i="40"/>
  <c r="J82" i="40"/>
  <c r="B82" i="40"/>
  <c r="C82" i="40" s="1"/>
  <c r="L81" i="40"/>
  <c r="J81" i="40"/>
  <c r="B81" i="40"/>
  <c r="C81" i="40" s="1"/>
  <c r="L80" i="40"/>
  <c r="J80" i="40"/>
  <c r="B80" i="40"/>
  <c r="D80" i="40" s="1"/>
  <c r="L79" i="40"/>
  <c r="J79" i="40"/>
  <c r="B79" i="40"/>
  <c r="D79" i="40" s="1"/>
  <c r="L78" i="40"/>
  <c r="J78" i="40"/>
  <c r="B78" i="40"/>
  <c r="L77" i="40"/>
  <c r="J77" i="40"/>
  <c r="B77" i="40"/>
  <c r="C77" i="40" s="1"/>
  <c r="L76" i="40"/>
  <c r="J76" i="40"/>
  <c r="B76" i="40"/>
  <c r="C76" i="40" s="1"/>
  <c r="L75" i="40"/>
  <c r="J75" i="40"/>
  <c r="B75" i="40"/>
  <c r="D75" i="40" s="1"/>
  <c r="L74" i="40"/>
  <c r="J74" i="40"/>
  <c r="B74" i="40"/>
  <c r="C74" i="40" s="1"/>
  <c r="L73" i="40"/>
  <c r="J73" i="40"/>
  <c r="B73" i="40"/>
  <c r="D73" i="40" s="1"/>
  <c r="L72" i="40"/>
  <c r="J72" i="40"/>
  <c r="B72" i="40"/>
  <c r="L71" i="40"/>
  <c r="J71" i="40"/>
  <c r="B71" i="40"/>
  <c r="L70" i="40"/>
  <c r="J70" i="40"/>
  <c r="B70" i="40"/>
  <c r="C70" i="40" s="1"/>
  <c r="L69" i="40"/>
  <c r="J69" i="40"/>
  <c r="B69" i="40"/>
  <c r="D69" i="40" s="1"/>
  <c r="L68" i="40"/>
  <c r="J68" i="40"/>
  <c r="B68" i="40"/>
  <c r="C68" i="40" s="1"/>
  <c r="L67" i="40"/>
  <c r="J67" i="40"/>
  <c r="B67" i="40"/>
  <c r="D67" i="40" s="1"/>
  <c r="L66" i="40"/>
  <c r="J66" i="40"/>
  <c r="B66" i="40"/>
  <c r="C66" i="40" s="1"/>
  <c r="L65" i="40"/>
  <c r="J65" i="40"/>
  <c r="B65" i="40"/>
  <c r="D65" i="40" s="1"/>
  <c r="L64" i="40"/>
  <c r="J64" i="40"/>
  <c r="B64" i="40"/>
  <c r="L63" i="40"/>
  <c r="J63" i="40"/>
  <c r="B63" i="40"/>
  <c r="L62" i="40"/>
  <c r="J62" i="40"/>
  <c r="B62" i="40"/>
  <c r="D62" i="40" s="1"/>
  <c r="L61" i="40"/>
  <c r="J61" i="40"/>
  <c r="B61" i="40"/>
  <c r="C61" i="40" s="1"/>
  <c r="L60" i="40"/>
  <c r="J60" i="40"/>
  <c r="B60" i="40"/>
  <c r="D60" i="40" s="1"/>
  <c r="L59" i="40"/>
  <c r="J59" i="40"/>
  <c r="B59" i="40"/>
  <c r="L58" i="40"/>
  <c r="J58" i="40"/>
  <c r="B58" i="40"/>
  <c r="C58" i="40" s="1"/>
  <c r="L57" i="40"/>
  <c r="J57" i="40"/>
  <c r="B57" i="40"/>
  <c r="D57" i="40" s="1"/>
  <c r="L56" i="40"/>
  <c r="J56" i="40"/>
  <c r="B56" i="40"/>
  <c r="D56" i="40" s="1"/>
  <c r="L55" i="40"/>
  <c r="J55" i="40"/>
  <c r="B55" i="40"/>
  <c r="C55" i="40" s="1"/>
  <c r="L54" i="40"/>
  <c r="J54" i="40"/>
  <c r="B54" i="40"/>
  <c r="C54" i="40" s="1"/>
  <c r="L53" i="40"/>
  <c r="J53" i="40"/>
  <c r="B53" i="40"/>
  <c r="L52" i="40"/>
  <c r="J52" i="40"/>
  <c r="B52" i="40"/>
  <c r="D52" i="40" s="1"/>
  <c r="L51" i="40"/>
  <c r="J51" i="40"/>
  <c r="B51" i="40"/>
  <c r="C51" i="40" s="1"/>
  <c r="L50" i="40"/>
  <c r="J50" i="40"/>
  <c r="B50" i="40"/>
  <c r="D50" i="40" s="1"/>
  <c r="L49" i="40"/>
  <c r="J49" i="40"/>
  <c r="B49" i="40"/>
  <c r="L48" i="40"/>
  <c r="J48" i="40"/>
  <c r="B48" i="40"/>
  <c r="L47" i="40"/>
  <c r="J47" i="40"/>
  <c r="B47" i="40"/>
  <c r="L46" i="40"/>
  <c r="J46" i="40"/>
  <c r="B46" i="40"/>
  <c r="L45" i="40"/>
  <c r="J45" i="40"/>
  <c r="B45" i="40"/>
  <c r="C45" i="40" s="1"/>
  <c r="L44" i="40"/>
  <c r="J44" i="40"/>
  <c r="B44" i="40"/>
  <c r="L43" i="40"/>
  <c r="J43" i="40"/>
  <c r="B43" i="40"/>
  <c r="D43" i="40" s="1"/>
  <c r="L42" i="40"/>
  <c r="J42" i="40"/>
  <c r="B42" i="40"/>
  <c r="D42" i="40" s="1"/>
  <c r="L41" i="40"/>
  <c r="J41" i="40"/>
  <c r="B41" i="40"/>
  <c r="L40" i="40"/>
  <c r="J40" i="40"/>
  <c r="B40" i="40"/>
  <c r="L39" i="40"/>
  <c r="J39" i="40"/>
  <c r="B39" i="40"/>
  <c r="C39" i="40" s="1"/>
  <c r="L38" i="40"/>
  <c r="J38" i="40"/>
  <c r="B38" i="40"/>
  <c r="C38" i="40" s="1"/>
  <c r="L37" i="40"/>
  <c r="J37" i="40"/>
  <c r="B37" i="40"/>
  <c r="D37" i="40" s="1"/>
  <c r="L36" i="40"/>
  <c r="J36" i="40"/>
  <c r="B36" i="40"/>
  <c r="D36" i="40" s="1"/>
  <c r="L35" i="40"/>
  <c r="J35" i="40"/>
  <c r="B35" i="40"/>
  <c r="D35" i="40" s="1"/>
  <c r="L34" i="40"/>
  <c r="J34" i="40"/>
  <c r="B34" i="40"/>
  <c r="L33" i="40"/>
  <c r="J33" i="40"/>
  <c r="B33" i="40"/>
  <c r="D33" i="40" s="1"/>
  <c r="L32" i="40"/>
  <c r="J32" i="40"/>
  <c r="B32" i="40"/>
  <c r="C32" i="40" s="1"/>
  <c r="L31" i="40"/>
  <c r="J31" i="40"/>
  <c r="B31" i="40"/>
  <c r="C31" i="40" s="1"/>
  <c r="L30" i="40"/>
  <c r="J30" i="40"/>
  <c r="B30" i="40"/>
  <c r="C30" i="40" s="1"/>
  <c r="L29" i="40"/>
  <c r="J29" i="40"/>
  <c r="B29" i="40"/>
  <c r="L28" i="40"/>
  <c r="J28" i="40"/>
  <c r="B28" i="40"/>
  <c r="L27" i="40"/>
  <c r="J27" i="40"/>
  <c r="B27" i="40"/>
  <c r="D27" i="40" s="1"/>
  <c r="L26" i="40"/>
  <c r="J26" i="40"/>
  <c r="B26" i="40"/>
  <c r="D26" i="40" s="1"/>
  <c r="L25" i="40"/>
  <c r="J25" i="40"/>
  <c r="B25" i="40"/>
  <c r="D25" i="40" s="1"/>
  <c r="L24" i="40"/>
  <c r="J24" i="40"/>
  <c r="B24" i="40"/>
  <c r="D24" i="40" s="1"/>
  <c r="L23" i="40"/>
  <c r="J23" i="40"/>
  <c r="B23" i="40"/>
  <c r="C23" i="40" s="1"/>
  <c r="L22" i="40"/>
  <c r="J22" i="40"/>
  <c r="B22" i="40"/>
  <c r="C22" i="40" s="1"/>
  <c r="L21" i="40"/>
  <c r="J21" i="40"/>
  <c r="B21" i="40"/>
  <c r="L20" i="40"/>
  <c r="J20" i="40"/>
  <c r="B20" i="40"/>
  <c r="D20" i="40" s="1"/>
  <c r="L19" i="40"/>
  <c r="J19" i="40"/>
  <c r="B19" i="40"/>
  <c r="D19" i="40" s="1"/>
  <c r="L18" i="40"/>
  <c r="J18" i="40"/>
  <c r="E18" i="40" a="1"/>
  <c r="E18" i="40" s="1"/>
  <c r="B18" i="40"/>
  <c r="C18" i="40" s="1"/>
  <c r="O15" i="40"/>
  <c r="T16" i="40" s="1"/>
  <c r="K15" i="40"/>
  <c r="M11" i="40"/>
  <c r="M10" i="40"/>
  <c r="J10" i="40" a="1"/>
  <c r="J10" i="40" s="1"/>
  <c r="M9" i="40"/>
  <c r="J8" i="40"/>
  <c r="K6" i="40"/>
  <c r="Q5" i="40"/>
  <c r="P5" i="40"/>
  <c r="O5" i="40"/>
  <c r="O6" i="40" s="1"/>
  <c r="N5" i="40"/>
  <c r="L5" i="40"/>
  <c r="K5" i="40"/>
  <c r="J5" i="40"/>
  <c r="A1" i="40"/>
  <c r="S1019" i="39"/>
  <c r="Q3" i="39" s="1"/>
  <c r="L203" i="39"/>
  <c r="J203" i="39"/>
  <c r="B203" i="39"/>
  <c r="L202" i="39"/>
  <c r="J202" i="39"/>
  <c r="B202" i="39"/>
  <c r="L201" i="39"/>
  <c r="J201" i="39"/>
  <c r="B201" i="39"/>
  <c r="L200" i="39"/>
  <c r="J200" i="39"/>
  <c r="B200" i="39"/>
  <c r="L199" i="39"/>
  <c r="J199" i="39"/>
  <c r="B199" i="39"/>
  <c r="L198" i="39"/>
  <c r="J198" i="39"/>
  <c r="B198" i="39"/>
  <c r="L197" i="39"/>
  <c r="J197" i="39"/>
  <c r="B197" i="39"/>
  <c r="L196" i="39"/>
  <c r="J196" i="39"/>
  <c r="B196" i="39"/>
  <c r="L195" i="39"/>
  <c r="J195" i="39"/>
  <c r="B195" i="39"/>
  <c r="L194" i="39"/>
  <c r="J194" i="39"/>
  <c r="B194" i="39"/>
  <c r="L193" i="39"/>
  <c r="J193" i="39"/>
  <c r="B193" i="39"/>
  <c r="L192" i="39"/>
  <c r="J192" i="39"/>
  <c r="B192" i="39"/>
  <c r="L191" i="39"/>
  <c r="J191" i="39"/>
  <c r="B191" i="39"/>
  <c r="L190" i="39"/>
  <c r="J190" i="39"/>
  <c r="B190" i="39"/>
  <c r="L189" i="39"/>
  <c r="J189" i="39"/>
  <c r="B189" i="39"/>
  <c r="L188" i="39"/>
  <c r="J188" i="39"/>
  <c r="B188" i="39"/>
  <c r="L187" i="39"/>
  <c r="J187" i="39"/>
  <c r="B187" i="39"/>
  <c r="L186" i="39"/>
  <c r="J186" i="39"/>
  <c r="B186" i="39"/>
  <c r="L185" i="39"/>
  <c r="J185" i="39"/>
  <c r="B185" i="39"/>
  <c r="L184" i="39"/>
  <c r="J184" i="39"/>
  <c r="B184" i="39"/>
  <c r="L183" i="39"/>
  <c r="J183" i="39"/>
  <c r="B183" i="39"/>
  <c r="L182" i="39"/>
  <c r="J182" i="39"/>
  <c r="B182" i="39"/>
  <c r="L181" i="39"/>
  <c r="J181" i="39"/>
  <c r="B181" i="39"/>
  <c r="L180" i="39"/>
  <c r="J180" i="39"/>
  <c r="B180" i="39"/>
  <c r="L179" i="39"/>
  <c r="J179" i="39"/>
  <c r="B179" i="39"/>
  <c r="L178" i="39"/>
  <c r="J178" i="39"/>
  <c r="B178" i="39"/>
  <c r="L177" i="39"/>
  <c r="J177" i="39"/>
  <c r="B177" i="39"/>
  <c r="L176" i="39"/>
  <c r="J176" i="39"/>
  <c r="B176" i="39"/>
  <c r="L175" i="39"/>
  <c r="J175" i="39"/>
  <c r="B175" i="39"/>
  <c r="L174" i="39"/>
  <c r="J174" i="39"/>
  <c r="B174" i="39"/>
  <c r="L173" i="39"/>
  <c r="J173" i="39"/>
  <c r="B173" i="39"/>
  <c r="L172" i="39"/>
  <c r="J172" i="39"/>
  <c r="B172" i="39"/>
  <c r="L171" i="39"/>
  <c r="J171" i="39"/>
  <c r="B171" i="39"/>
  <c r="L170" i="39"/>
  <c r="J170" i="39"/>
  <c r="B170" i="39"/>
  <c r="L169" i="39"/>
  <c r="J169" i="39"/>
  <c r="B169" i="39"/>
  <c r="C169" i="39" s="1"/>
  <c r="L168" i="39"/>
  <c r="J168" i="39"/>
  <c r="B168" i="39"/>
  <c r="C168" i="39" s="1"/>
  <c r="L167" i="39"/>
  <c r="J167" i="39"/>
  <c r="B167" i="39"/>
  <c r="L166" i="39"/>
  <c r="J166" i="39"/>
  <c r="B166" i="39"/>
  <c r="D166" i="39" s="1"/>
  <c r="L165" i="39"/>
  <c r="J165" i="39"/>
  <c r="B165" i="39"/>
  <c r="D165" i="39" s="1"/>
  <c r="L164" i="39"/>
  <c r="J164" i="39"/>
  <c r="B164" i="39"/>
  <c r="L163" i="39"/>
  <c r="J163" i="39"/>
  <c r="B163" i="39"/>
  <c r="D163" i="39" s="1"/>
  <c r="L162" i="39"/>
  <c r="J162" i="39"/>
  <c r="B162" i="39"/>
  <c r="C162" i="39" s="1"/>
  <c r="L161" i="39"/>
  <c r="J161" i="39"/>
  <c r="B161" i="39"/>
  <c r="C161" i="39" s="1"/>
  <c r="L160" i="39"/>
  <c r="J160" i="39"/>
  <c r="B160" i="39"/>
  <c r="L159" i="39"/>
  <c r="J159" i="39"/>
  <c r="B159" i="39"/>
  <c r="L158" i="39"/>
  <c r="J158" i="39"/>
  <c r="B158" i="39"/>
  <c r="D158" i="39" s="1"/>
  <c r="L157" i="39"/>
  <c r="J157" i="39"/>
  <c r="B157" i="39"/>
  <c r="L156" i="39"/>
  <c r="J156" i="39"/>
  <c r="B156" i="39"/>
  <c r="L155" i="39"/>
  <c r="J155" i="39"/>
  <c r="B155" i="39"/>
  <c r="D155" i="39" s="1"/>
  <c r="L154" i="39"/>
  <c r="J154" i="39"/>
  <c r="B154" i="39"/>
  <c r="L153" i="39"/>
  <c r="J153" i="39"/>
  <c r="B153" i="39"/>
  <c r="C153" i="39" s="1"/>
  <c r="L152" i="39"/>
  <c r="J152" i="39"/>
  <c r="B152" i="39"/>
  <c r="C152" i="39" s="1"/>
  <c r="L151" i="39"/>
  <c r="J151" i="39"/>
  <c r="B151" i="39"/>
  <c r="D151" i="39" s="1"/>
  <c r="L150" i="39"/>
  <c r="J150" i="39"/>
  <c r="B150" i="39"/>
  <c r="D150" i="39" s="1"/>
  <c r="L149" i="39"/>
  <c r="J149" i="39"/>
  <c r="B149" i="39"/>
  <c r="C149" i="39" s="1"/>
  <c r="L148" i="39"/>
  <c r="J148" i="39"/>
  <c r="B148" i="39"/>
  <c r="C148" i="39" s="1"/>
  <c r="L147" i="39"/>
  <c r="J147" i="39"/>
  <c r="B147" i="39"/>
  <c r="C147" i="39" s="1"/>
  <c r="L146" i="39"/>
  <c r="J146" i="39"/>
  <c r="B146" i="39"/>
  <c r="C146" i="39" s="1"/>
  <c r="L145" i="39"/>
  <c r="J145" i="39"/>
  <c r="B145" i="39"/>
  <c r="C145" i="39" s="1"/>
  <c r="L144" i="39"/>
  <c r="J144" i="39"/>
  <c r="B144" i="39"/>
  <c r="C144" i="39" s="1"/>
  <c r="L143" i="39"/>
  <c r="J143" i="39"/>
  <c r="B143" i="39"/>
  <c r="D143" i="39" s="1"/>
  <c r="L142" i="39"/>
  <c r="J142" i="39"/>
  <c r="B142" i="39"/>
  <c r="D142" i="39" s="1"/>
  <c r="L141" i="39"/>
  <c r="J141" i="39"/>
  <c r="B141" i="39"/>
  <c r="C141" i="39" s="1"/>
  <c r="L140" i="39"/>
  <c r="J140" i="39"/>
  <c r="B140" i="39"/>
  <c r="D140" i="39" s="1"/>
  <c r="L139" i="39"/>
  <c r="J139" i="39"/>
  <c r="B139" i="39"/>
  <c r="D139" i="39" s="1"/>
  <c r="L138" i="39"/>
  <c r="J138" i="39"/>
  <c r="B138" i="39"/>
  <c r="D138" i="39" s="1"/>
  <c r="L137" i="39"/>
  <c r="J137" i="39"/>
  <c r="B137" i="39"/>
  <c r="C137" i="39" s="1"/>
  <c r="L136" i="39"/>
  <c r="J136" i="39"/>
  <c r="B136" i="39"/>
  <c r="D136" i="39" s="1"/>
  <c r="L135" i="39"/>
  <c r="J135" i="39"/>
  <c r="B135" i="39"/>
  <c r="D135" i="39" s="1"/>
  <c r="L134" i="39"/>
  <c r="J134" i="39"/>
  <c r="B134" i="39"/>
  <c r="D134" i="39" s="1"/>
  <c r="L133" i="39"/>
  <c r="J133" i="39"/>
  <c r="B133" i="39"/>
  <c r="C133" i="39" s="1"/>
  <c r="L132" i="39"/>
  <c r="J132" i="39"/>
  <c r="B132" i="39"/>
  <c r="C132" i="39" s="1"/>
  <c r="L131" i="39"/>
  <c r="J131" i="39"/>
  <c r="B131" i="39"/>
  <c r="D131" i="39" s="1"/>
  <c r="L130" i="39"/>
  <c r="J130" i="39"/>
  <c r="B130" i="39"/>
  <c r="D130" i="39" s="1"/>
  <c r="L129" i="39"/>
  <c r="J129" i="39"/>
  <c r="B129" i="39"/>
  <c r="C129" i="39" s="1"/>
  <c r="L128" i="39"/>
  <c r="J128" i="39"/>
  <c r="B128" i="39"/>
  <c r="C128" i="39" s="1"/>
  <c r="L127" i="39"/>
  <c r="J127" i="39"/>
  <c r="B127" i="39"/>
  <c r="C127" i="39" s="1"/>
  <c r="L126" i="39"/>
  <c r="J126" i="39"/>
  <c r="B126" i="39"/>
  <c r="D126" i="39" s="1"/>
  <c r="L125" i="39"/>
  <c r="J125" i="39"/>
  <c r="B125" i="39"/>
  <c r="C125" i="39" s="1"/>
  <c r="L124" i="39"/>
  <c r="J124" i="39"/>
  <c r="B124" i="39"/>
  <c r="C124" i="39" s="1"/>
  <c r="L123" i="39"/>
  <c r="J123" i="39"/>
  <c r="B123" i="39"/>
  <c r="D123" i="39" s="1"/>
  <c r="L122" i="39"/>
  <c r="J122" i="39"/>
  <c r="B122" i="39"/>
  <c r="L121" i="39"/>
  <c r="J121" i="39"/>
  <c r="B121" i="39"/>
  <c r="C121" i="39" s="1"/>
  <c r="L120" i="39"/>
  <c r="J120" i="39"/>
  <c r="B120" i="39"/>
  <c r="D120" i="39" s="1"/>
  <c r="L119" i="39"/>
  <c r="J119" i="39"/>
  <c r="B119" i="39"/>
  <c r="D119" i="39" s="1"/>
  <c r="L118" i="39"/>
  <c r="J118" i="39"/>
  <c r="B118" i="39"/>
  <c r="D118" i="39" s="1"/>
  <c r="L117" i="39"/>
  <c r="J117" i="39"/>
  <c r="B117" i="39"/>
  <c r="C117" i="39" s="1"/>
  <c r="L116" i="39"/>
  <c r="J116" i="39"/>
  <c r="B116" i="39"/>
  <c r="D116" i="39" s="1"/>
  <c r="L115" i="39"/>
  <c r="J115" i="39"/>
  <c r="B115" i="39"/>
  <c r="L114" i="39"/>
  <c r="J114" i="39"/>
  <c r="B114" i="39"/>
  <c r="C114" i="39" s="1"/>
  <c r="L113" i="39"/>
  <c r="J113" i="39"/>
  <c r="B113" i="39"/>
  <c r="C113" i="39" s="1"/>
  <c r="L112" i="39"/>
  <c r="J112" i="39"/>
  <c r="B112" i="39"/>
  <c r="D112" i="39" s="1"/>
  <c r="L111" i="39"/>
  <c r="J111" i="39"/>
  <c r="B111" i="39"/>
  <c r="D111" i="39" s="1"/>
  <c r="L110" i="39"/>
  <c r="J110" i="39"/>
  <c r="B110" i="39"/>
  <c r="D110" i="39" s="1"/>
  <c r="L109" i="39"/>
  <c r="J109" i="39"/>
  <c r="B109" i="39"/>
  <c r="C109" i="39" s="1"/>
  <c r="L108" i="39"/>
  <c r="J108" i="39"/>
  <c r="B108" i="39"/>
  <c r="D108" i="39" s="1"/>
  <c r="L107" i="39"/>
  <c r="J107" i="39"/>
  <c r="B107" i="39"/>
  <c r="D107" i="39" s="1"/>
  <c r="L106" i="39"/>
  <c r="J106" i="39"/>
  <c r="B106" i="39"/>
  <c r="C106" i="39" s="1"/>
  <c r="L105" i="39"/>
  <c r="J105" i="39"/>
  <c r="B105" i="39"/>
  <c r="C105" i="39" s="1"/>
  <c r="L104" i="39"/>
  <c r="J104" i="39"/>
  <c r="B104" i="39"/>
  <c r="C104" i="39" s="1"/>
  <c r="L103" i="39"/>
  <c r="J103" i="39"/>
  <c r="B103" i="39"/>
  <c r="D103" i="39" s="1"/>
  <c r="L102" i="39"/>
  <c r="J102" i="39"/>
  <c r="B102" i="39"/>
  <c r="D102" i="39" s="1"/>
  <c r="L101" i="39"/>
  <c r="J101" i="39"/>
  <c r="B101" i="39"/>
  <c r="C101" i="39" s="1"/>
  <c r="L100" i="39"/>
  <c r="J100" i="39"/>
  <c r="B100" i="39"/>
  <c r="D100" i="39" s="1"/>
  <c r="L99" i="39"/>
  <c r="J99" i="39"/>
  <c r="B99" i="39"/>
  <c r="L98" i="39"/>
  <c r="J98" i="39"/>
  <c r="B98" i="39"/>
  <c r="D98" i="39" s="1"/>
  <c r="L97" i="39"/>
  <c r="J97" i="39"/>
  <c r="B97" i="39"/>
  <c r="C97" i="39" s="1"/>
  <c r="L96" i="39"/>
  <c r="J96" i="39"/>
  <c r="B96" i="39"/>
  <c r="D96" i="39" s="1"/>
  <c r="L95" i="39"/>
  <c r="J95" i="39"/>
  <c r="B95" i="39"/>
  <c r="D95" i="39" s="1"/>
  <c r="L94" i="39"/>
  <c r="J94" i="39"/>
  <c r="B94" i="39"/>
  <c r="D94" i="39" s="1"/>
  <c r="L93" i="39"/>
  <c r="J93" i="39"/>
  <c r="B93" i="39"/>
  <c r="C93" i="39" s="1"/>
  <c r="L92" i="39"/>
  <c r="J92" i="39"/>
  <c r="B92" i="39"/>
  <c r="D92" i="39" s="1"/>
  <c r="L91" i="39"/>
  <c r="J91" i="39"/>
  <c r="B91" i="39"/>
  <c r="D91" i="39" s="1"/>
  <c r="L90" i="39"/>
  <c r="J90" i="39"/>
  <c r="B90" i="39"/>
  <c r="C90" i="39" s="1"/>
  <c r="L89" i="39"/>
  <c r="J89" i="39"/>
  <c r="B89" i="39"/>
  <c r="C89" i="39" s="1"/>
  <c r="L88" i="39"/>
  <c r="J88" i="39"/>
  <c r="B88" i="39"/>
  <c r="D88" i="39" s="1"/>
  <c r="L87" i="39"/>
  <c r="J87" i="39"/>
  <c r="B87" i="39"/>
  <c r="D87" i="39" s="1"/>
  <c r="L86" i="39"/>
  <c r="J86" i="39"/>
  <c r="B86" i="39"/>
  <c r="D86" i="39" s="1"/>
  <c r="L85" i="39"/>
  <c r="J85" i="39"/>
  <c r="B85" i="39"/>
  <c r="C85" i="39" s="1"/>
  <c r="L84" i="39"/>
  <c r="J84" i="39"/>
  <c r="B84" i="39"/>
  <c r="D84" i="39" s="1"/>
  <c r="L83" i="39"/>
  <c r="J83" i="39"/>
  <c r="B83" i="39"/>
  <c r="C83" i="39" s="1"/>
  <c r="L82" i="39"/>
  <c r="J82" i="39"/>
  <c r="B82" i="39"/>
  <c r="C82" i="39" s="1"/>
  <c r="L81" i="39"/>
  <c r="J81" i="39"/>
  <c r="B81" i="39"/>
  <c r="C81" i="39" s="1"/>
  <c r="L80" i="39"/>
  <c r="J80" i="39"/>
  <c r="B80" i="39"/>
  <c r="C80" i="39" s="1"/>
  <c r="L79" i="39"/>
  <c r="J79" i="39"/>
  <c r="B79" i="39"/>
  <c r="D79" i="39" s="1"/>
  <c r="L78" i="39"/>
  <c r="J78" i="39"/>
  <c r="B78" i="39"/>
  <c r="D78" i="39" s="1"/>
  <c r="L77" i="39"/>
  <c r="J77" i="39"/>
  <c r="B77" i="39"/>
  <c r="C77" i="39" s="1"/>
  <c r="L76" i="39"/>
  <c r="J76" i="39"/>
  <c r="B76" i="39"/>
  <c r="L75" i="39"/>
  <c r="J75" i="39"/>
  <c r="B75" i="39"/>
  <c r="D75" i="39" s="1"/>
  <c r="L74" i="39"/>
  <c r="J74" i="39"/>
  <c r="B74" i="39"/>
  <c r="D74" i="39" s="1"/>
  <c r="L73" i="39"/>
  <c r="J73" i="39"/>
  <c r="B73" i="39"/>
  <c r="C73" i="39" s="1"/>
  <c r="L72" i="39"/>
  <c r="J72" i="39"/>
  <c r="B72" i="39"/>
  <c r="D72" i="39" s="1"/>
  <c r="L71" i="39"/>
  <c r="J71" i="39"/>
  <c r="B71" i="39"/>
  <c r="D71" i="39" s="1"/>
  <c r="L70" i="39"/>
  <c r="J70" i="39"/>
  <c r="B70" i="39"/>
  <c r="D70" i="39" s="1"/>
  <c r="L69" i="39"/>
  <c r="J69" i="39"/>
  <c r="B69" i="39"/>
  <c r="C69" i="39" s="1"/>
  <c r="L68" i="39"/>
  <c r="J68" i="39"/>
  <c r="B68" i="39"/>
  <c r="D68" i="39" s="1"/>
  <c r="L67" i="39"/>
  <c r="J67" i="39"/>
  <c r="B67" i="39"/>
  <c r="D67" i="39" s="1"/>
  <c r="L66" i="39"/>
  <c r="J66" i="39"/>
  <c r="B66" i="39"/>
  <c r="D66" i="39" s="1"/>
  <c r="L65" i="39"/>
  <c r="J65" i="39"/>
  <c r="B65" i="39"/>
  <c r="C65" i="39" s="1"/>
  <c r="L64" i="39"/>
  <c r="J64" i="39"/>
  <c r="B64" i="39"/>
  <c r="C64" i="39" s="1"/>
  <c r="L63" i="39"/>
  <c r="J63" i="39"/>
  <c r="B63" i="39"/>
  <c r="D63" i="39" s="1"/>
  <c r="L62" i="39"/>
  <c r="J62" i="39"/>
  <c r="B62" i="39"/>
  <c r="D62" i="39" s="1"/>
  <c r="L61" i="39"/>
  <c r="J61" i="39"/>
  <c r="B61" i="39"/>
  <c r="C61" i="39" s="1"/>
  <c r="L60" i="39"/>
  <c r="J60" i="39"/>
  <c r="B60" i="39"/>
  <c r="C60" i="39" s="1"/>
  <c r="L59" i="39"/>
  <c r="J59" i="39"/>
  <c r="B59" i="39"/>
  <c r="D59" i="39" s="1"/>
  <c r="L58" i="39"/>
  <c r="J58" i="39"/>
  <c r="B58" i="39"/>
  <c r="L57" i="39"/>
  <c r="J57" i="39"/>
  <c r="B57" i="39"/>
  <c r="C57" i="39" s="1"/>
  <c r="L56" i="39"/>
  <c r="J56" i="39"/>
  <c r="B56" i="39"/>
  <c r="C56" i="39" s="1"/>
  <c r="L55" i="39"/>
  <c r="J55" i="39"/>
  <c r="B55" i="39"/>
  <c r="D55" i="39" s="1"/>
  <c r="L54" i="39"/>
  <c r="J54" i="39"/>
  <c r="B54" i="39"/>
  <c r="C54" i="39" s="1"/>
  <c r="L53" i="39"/>
  <c r="J53" i="39"/>
  <c r="B53" i="39"/>
  <c r="C53" i="39" s="1"/>
  <c r="L52" i="39"/>
  <c r="J52" i="39"/>
  <c r="B52" i="39"/>
  <c r="D52" i="39" s="1"/>
  <c r="L51" i="39"/>
  <c r="J51" i="39"/>
  <c r="B51" i="39"/>
  <c r="D51" i="39" s="1"/>
  <c r="L50" i="39"/>
  <c r="J50" i="39"/>
  <c r="B50" i="39"/>
  <c r="D50" i="39" s="1"/>
  <c r="L49" i="39"/>
  <c r="J49" i="39"/>
  <c r="B49" i="39"/>
  <c r="C49" i="39" s="1"/>
  <c r="L48" i="39"/>
  <c r="J48" i="39"/>
  <c r="B48" i="39"/>
  <c r="D48" i="39" s="1"/>
  <c r="L47" i="39"/>
  <c r="J47" i="39"/>
  <c r="B47" i="39"/>
  <c r="D47" i="39" s="1"/>
  <c r="L46" i="39"/>
  <c r="J46" i="39"/>
  <c r="B46" i="39"/>
  <c r="D46" i="39" s="1"/>
  <c r="L45" i="39"/>
  <c r="J45" i="39"/>
  <c r="B45" i="39"/>
  <c r="C45" i="39" s="1"/>
  <c r="L44" i="39"/>
  <c r="J44" i="39"/>
  <c r="B44" i="39"/>
  <c r="C44" i="39" s="1"/>
  <c r="L43" i="39"/>
  <c r="J43" i="39"/>
  <c r="B43" i="39"/>
  <c r="D43" i="39" s="1"/>
  <c r="L42" i="39"/>
  <c r="J42" i="39"/>
  <c r="B42" i="39"/>
  <c r="C42" i="39" s="1"/>
  <c r="L41" i="39"/>
  <c r="J41" i="39"/>
  <c r="B41" i="39"/>
  <c r="C41" i="39" s="1"/>
  <c r="L40" i="39"/>
  <c r="J40" i="39"/>
  <c r="B40" i="39"/>
  <c r="C40" i="39" s="1"/>
  <c r="L39" i="39"/>
  <c r="J39" i="39"/>
  <c r="B39" i="39"/>
  <c r="C39" i="39" s="1"/>
  <c r="L38" i="39"/>
  <c r="J38" i="39"/>
  <c r="B38" i="39"/>
  <c r="D38" i="39" s="1"/>
  <c r="L37" i="39"/>
  <c r="J37" i="39"/>
  <c r="B37" i="39"/>
  <c r="C37" i="39" s="1"/>
  <c r="L36" i="39"/>
  <c r="J36" i="39"/>
  <c r="B36" i="39"/>
  <c r="C36" i="39" s="1"/>
  <c r="L35" i="39"/>
  <c r="J35" i="39"/>
  <c r="B35" i="39"/>
  <c r="L34" i="39"/>
  <c r="J34" i="39"/>
  <c r="B34" i="39"/>
  <c r="D34" i="39" s="1"/>
  <c r="L33" i="39"/>
  <c r="J33" i="39"/>
  <c r="B33" i="39"/>
  <c r="C33" i="39" s="1"/>
  <c r="L32" i="39"/>
  <c r="J32" i="39"/>
  <c r="B32" i="39"/>
  <c r="D32" i="39" s="1"/>
  <c r="L31" i="39"/>
  <c r="J31" i="39"/>
  <c r="B31" i="39"/>
  <c r="C31" i="39" s="1"/>
  <c r="L30" i="39"/>
  <c r="J30" i="39"/>
  <c r="B30" i="39"/>
  <c r="D30" i="39" s="1"/>
  <c r="L29" i="39"/>
  <c r="J29" i="39"/>
  <c r="B29" i="39"/>
  <c r="C29" i="39" s="1"/>
  <c r="L28" i="39"/>
  <c r="J28" i="39"/>
  <c r="B28" i="39"/>
  <c r="D28" i="39" s="1"/>
  <c r="L27" i="39"/>
  <c r="J27" i="39"/>
  <c r="B27" i="39"/>
  <c r="D27" i="39" s="1"/>
  <c r="L26" i="39"/>
  <c r="J26" i="39"/>
  <c r="B26" i="39"/>
  <c r="C26" i="39" s="1"/>
  <c r="L25" i="39"/>
  <c r="J25" i="39"/>
  <c r="B25" i="39"/>
  <c r="C25" i="39" s="1"/>
  <c r="L24" i="39"/>
  <c r="J24" i="39"/>
  <c r="B24" i="39"/>
  <c r="C24" i="39" s="1"/>
  <c r="L23" i="39"/>
  <c r="J23" i="39"/>
  <c r="B23" i="39"/>
  <c r="D23" i="39" s="1"/>
  <c r="L22" i="39"/>
  <c r="J22" i="39"/>
  <c r="B22" i="39"/>
  <c r="D22" i="39" s="1"/>
  <c r="L21" i="39"/>
  <c r="J21" i="39"/>
  <c r="B21" i="39"/>
  <c r="D21" i="39" s="1"/>
  <c r="L20" i="39"/>
  <c r="J20" i="39"/>
  <c r="B20" i="39"/>
  <c r="D20" i="39" s="1"/>
  <c r="L19" i="39"/>
  <c r="J19" i="39"/>
  <c r="B19" i="39"/>
  <c r="L18" i="39"/>
  <c r="J18" i="39"/>
  <c r="E18" i="39" a="1"/>
  <c r="E18" i="39" s="1"/>
  <c r="B18" i="39"/>
  <c r="D18" i="39" s="1"/>
  <c r="O15" i="39"/>
  <c r="K15" i="39"/>
  <c r="J4" i="39" s="1"/>
  <c r="M11" i="39"/>
  <c r="M10" i="39"/>
  <c r="J10" i="39" a="1"/>
  <c r="J10" i="39" s="1"/>
  <c r="M9" i="39"/>
  <c r="J8" i="39"/>
  <c r="K6" i="39"/>
  <c r="Q5" i="39"/>
  <c r="P5" i="39"/>
  <c r="O5" i="39"/>
  <c r="O6" i="39" s="1"/>
  <c r="N5" i="39"/>
  <c r="L5" i="39"/>
  <c r="K5" i="39"/>
  <c r="J5" i="39"/>
  <c r="A1" i="39"/>
  <c r="J203" i="35"/>
  <c r="J202" i="35"/>
  <c r="J201" i="35"/>
  <c r="J200" i="35"/>
  <c r="J199" i="35"/>
  <c r="J198" i="35"/>
  <c r="J197" i="35"/>
  <c r="J196" i="35"/>
  <c r="J195" i="35"/>
  <c r="J194" i="35"/>
  <c r="J193" i="35"/>
  <c r="J192" i="35"/>
  <c r="J191" i="35"/>
  <c r="J190" i="35"/>
  <c r="J189" i="35"/>
  <c r="J188" i="35"/>
  <c r="J187" i="35"/>
  <c r="J186" i="35"/>
  <c r="J185" i="35"/>
  <c r="J184" i="35"/>
  <c r="J183" i="35"/>
  <c r="J182" i="35"/>
  <c r="J181" i="35"/>
  <c r="J180" i="35"/>
  <c r="J179" i="35"/>
  <c r="J178" i="35"/>
  <c r="J177" i="35"/>
  <c r="J176" i="35"/>
  <c r="J175" i="35"/>
  <c r="J174" i="35"/>
  <c r="J173" i="35"/>
  <c r="J172" i="35"/>
  <c r="J171" i="35"/>
  <c r="J170" i="35"/>
  <c r="J169" i="35"/>
  <c r="J168" i="35"/>
  <c r="J167" i="35"/>
  <c r="J166" i="35"/>
  <c r="J165" i="35"/>
  <c r="J164" i="35"/>
  <c r="J163" i="35"/>
  <c r="J162" i="35"/>
  <c r="J161" i="35"/>
  <c r="J160" i="35"/>
  <c r="J159" i="35"/>
  <c r="J158" i="35"/>
  <c r="J157" i="35"/>
  <c r="J156" i="35"/>
  <c r="J155" i="35"/>
  <c r="J154" i="35"/>
  <c r="J153" i="35"/>
  <c r="J152" i="35"/>
  <c r="J151" i="35"/>
  <c r="J150" i="35"/>
  <c r="J149" i="35"/>
  <c r="J148" i="35"/>
  <c r="J147" i="35"/>
  <c r="J146" i="35"/>
  <c r="J145" i="35"/>
  <c r="J144" i="35"/>
  <c r="J143" i="35"/>
  <c r="J142" i="35"/>
  <c r="J141" i="35"/>
  <c r="J140" i="35"/>
  <c r="J139" i="35"/>
  <c r="J138" i="35"/>
  <c r="J137" i="35"/>
  <c r="J136" i="35"/>
  <c r="J135" i="35"/>
  <c r="J134" i="35"/>
  <c r="J133" i="35"/>
  <c r="J132" i="35"/>
  <c r="J131" i="35"/>
  <c r="J130" i="35"/>
  <c r="J129" i="35"/>
  <c r="J128" i="35"/>
  <c r="J127" i="35"/>
  <c r="J126" i="35"/>
  <c r="J125" i="35"/>
  <c r="J124" i="35"/>
  <c r="J123" i="35"/>
  <c r="J122" i="35"/>
  <c r="J121" i="35"/>
  <c r="J120" i="35"/>
  <c r="J119" i="35"/>
  <c r="J118" i="35"/>
  <c r="J117" i="35"/>
  <c r="J116" i="35"/>
  <c r="J115" i="35"/>
  <c r="J114" i="35"/>
  <c r="J113" i="35"/>
  <c r="J112" i="35"/>
  <c r="J111" i="35"/>
  <c r="J110" i="35"/>
  <c r="J109" i="35"/>
  <c r="J108" i="35"/>
  <c r="J107" i="35"/>
  <c r="J106" i="35"/>
  <c r="J105" i="35"/>
  <c r="J104" i="35"/>
  <c r="J103" i="35"/>
  <c r="J102" i="35"/>
  <c r="J101" i="35"/>
  <c r="J100" i="35"/>
  <c r="J99" i="35"/>
  <c r="J98" i="35"/>
  <c r="J97" i="35"/>
  <c r="J96" i="35"/>
  <c r="J95" i="35"/>
  <c r="J94" i="35"/>
  <c r="J93" i="35"/>
  <c r="J92" i="35"/>
  <c r="J91" i="35"/>
  <c r="J90" i="35"/>
  <c r="J89" i="35"/>
  <c r="J88" i="35"/>
  <c r="J87" i="35"/>
  <c r="J86" i="35"/>
  <c r="J85" i="35"/>
  <c r="J84" i="35"/>
  <c r="J83" i="35"/>
  <c r="J82" i="35"/>
  <c r="J81" i="35"/>
  <c r="J80" i="35"/>
  <c r="J79" i="35"/>
  <c r="J78" i="35"/>
  <c r="J77" i="35"/>
  <c r="J76" i="35"/>
  <c r="J75" i="35"/>
  <c r="J74" i="35"/>
  <c r="J73" i="35"/>
  <c r="J72" i="35"/>
  <c r="J71" i="35"/>
  <c r="J70" i="35"/>
  <c r="J69" i="35"/>
  <c r="J68" i="35"/>
  <c r="J67" i="35"/>
  <c r="J66" i="35"/>
  <c r="J65" i="35"/>
  <c r="J64" i="35"/>
  <c r="J63" i="35"/>
  <c r="J62" i="35"/>
  <c r="J61" i="35"/>
  <c r="J60" i="35"/>
  <c r="J59" i="35"/>
  <c r="J58" i="35"/>
  <c r="J57" i="35"/>
  <c r="J56" i="35"/>
  <c r="J55" i="35"/>
  <c r="J54" i="35"/>
  <c r="J53" i="35"/>
  <c r="J52" i="35"/>
  <c r="J51" i="35"/>
  <c r="J50" i="35"/>
  <c r="J49" i="35"/>
  <c r="J48" i="35"/>
  <c r="J47" i="35"/>
  <c r="J46" i="35"/>
  <c r="J45" i="35"/>
  <c r="J44" i="35"/>
  <c r="J43" i="35"/>
  <c r="J42" i="35"/>
  <c r="J41" i="35"/>
  <c r="J40" i="35"/>
  <c r="J39" i="35"/>
  <c r="J38" i="35"/>
  <c r="J37" i="35"/>
  <c r="J36" i="35"/>
  <c r="J35" i="35"/>
  <c r="J34" i="35"/>
  <c r="J33" i="35"/>
  <c r="J32" i="35"/>
  <c r="J31" i="35"/>
  <c r="J30" i="35"/>
  <c r="J29" i="35"/>
  <c r="J28" i="35"/>
  <c r="J27" i="35"/>
  <c r="J26" i="35"/>
  <c r="J25" i="35"/>
  <c r="J24" i="35"/>
  <c r="J23" i="35"/>
  <c r="J22" i="35"/>
  <c r="J21" i="35"/>
  <c r="J20" i="35"/>
  <c r="J19" i="35"/>
  <c r="J18" i="35"/>
  <c r="E18" i="35" a="1"/>
  <c r="E18" i="35" s="1"/>
  <c r="J10" i="35" a="1"/>
  <c r="J10" i="35" s="1"/>
  <c r="J8" i="35"/>
  <c r="L203" i="35"/>
  <c r="B203" i="35"/>
  <c r="D203" i="35" s="1"/>
  <c r="L202" i="35"/>
  <c r="B202" i="35"/>
  <c r="D202" i="35" s="1"/>
  <c r="L201" i="35"/>
  <c r="B201" i="35"/>
  <c r="D201" i="35" s="1"/>
  <c r="L200" i="35"/>
  <c r="B200" i="35"/>
  <c r="C200" i="35" s="1"/>
  <c r="L199" i="35"/>
  <c r="B199" i="35"/>
  <c r="C199" i="35" s="1"/>
  <c r="L198" i="35"/>
  <c r="B198" i="35"/>
  <c r="D198" i="35" s="1"/>
  <c r="L197" i="35"/>
  <c r="B197" i="35"/>
  <c r="D197" i="35" s="1"/>
  <c r="L196" i="35"/>
  <c r="B196" i="35"/>
  <c r="D196" i="35" s="1"/>
  <c r="L195" i="35"/>
  <c r="B195" i="35"/>
  <c r="D195" i="35" s="1"/>
  <c r="L194" i="35"/>
  <c r="B194" i="35"/>
  <c r="D194" i="35" s="1"/>
  <c r="L193" i="35"/>
  <c r="B193" i="35"/>
  <c r="D193" i="35" s="1"/>
  <c r="L192" i="35"/>
  <c r="B192" i="35"/>
  <c r="C192" i="35" s="1"/>
  <c r="L191" i="35"/>
  <c r="B191" i="35"/>
  <c r="D191" i="35" s="1"/>
  <c r="L190" i="35"/>
  <c r="B190" i="35"/>
  <c r="D190" i="35" s="1"/>
  <c r="L189" i="35"/>
  <c r="B189" i="35"/>
  <c r="D189" i="35" s="1"/>
  <c r="L188" i="35"/>
  <c r="B188" i="35"/>
  <c r="D188" i="35" s="1"/>
  <c r="L187" i="35"/>
  <c r="B187" i="35"/>
  <c r="D187" i="35" s="1"/>
  <c r="L186" i="35"/>
  <c r="B186" i="35"/>
  <c r="D186" i="35" s="1"/>
  <c r="L185" i="35"/>
  <c r="B185" i="35"/>
  <c r="D185" i="35" s="1"/>
  <c r="L184" i="35"/>
  <c r="B184" i="35"/>
  <c r="C184" i="35" s="1"/>
  <c r="L183" i="35"/>
  <c r="B183" i="35"/>
  <c r="D183" i="35" s="1"/>
  <c r="L182" i="35"/>
  <c r="B182" i="35"/>
  <c r="D182" i="35" s="1"/>
  <c r="L181" i="35"/>
  <c r="B181" i="35"/>
  <c r="D181" i="35" s="1"/>
  <c r="L180" i="35"/>
  <c r="B180" i="35"/>
  <c r="D180" i="35" s="1"/>
  <c r="L179" i="35"/>
  <c r="B179" i="35"/>
  <c r="C179" i="35" s="1"/>
  <c r="L178" i="35"/>
  <c r="B178" i="35"/>
  <c r="D178" i="35" s="1"/>
  <c r="L177" i="35"/>
  <c r="B177" i="35"/>
  <c r="C177" i="35" s="1"/>
  <c r="L176" i="35"/>
  <c r="B176" i="35"/>
  <c r="C176" i="35" s="1"/>
  <c r="L175" i="35"/>
  <c r="B175" i="35"/>
  <c r="D175" i="35" s="1"/>
  <c r="L174" i="35"/>
  <c r="B174" i="35"/>
  <c r="D174" i="35" s="1"/>
  <c r="L173" i="35"/>
  <c r="B173" i="35"/>
  <c r="D173" i="35" s="1"/>
  <c r="L172" i="35"/>
  <c r="B172" i="35"/>
  <c r="L171" i="35"/>
  <c r="B171" i="35"/>
  <c r="D171" i="35" s="1"/>
  <c r="L170" i="35"/>
  <c r="B170" i="35"/>
  <c r="D170" i="35" s="1"/>
  <c r="L169" i="35"/>
  <c r="B169" i="35"/>
  <c r="D169" i="35" s="1"/>
  <c r="L168" i="35"/>
  <c r="B168" i="35"/>
  <c r="C168" i="35" s="1"/>
  <c r="L167" i="35"/>
  <c r="B167" i="35"/>
  <c r="L166" i="35"/>
  <c r="B166" i="35"/>
  <c r="D166" i="35" s="1"/>
  <c r="L165" i="35"/>
  <c r="B165" i="35"/>
  <c r="C165" i="35" s="1"/>
  <c r="L164" i="35"/>
  <c r="B164" i="35"/>
  <c r="D164" i="35" s="1"/>
  <c r="L163" i="35"/>
  <c r="B163" i="35"/>
  <c r="D163" i="35" s="1"/>
  <c r="L162" i="35"/>
  <c r="B162" i="35"/>
  <c r="L161" i="35"/>
  <c r="B161" i="35"/>
  <c r="C161" i="35" s="1"/>
  <c r="L160" i="35"/>
  <c r="B160" i="35"/>
  <c r="D160" i="35" s="1"/>
  <c r="L159" i="35"/>
  <c r="B159" i="35"/>
  <c r="D159" i="35" s="1"/>
  <c r="L158" i="35"/>
  <c r="B158" i="35"/>
  <c r="D158" i="35" s="1"/>
  <c r="L157" i="35"/>
  <c r="B157" i="35"/>
  <c r="D157" i="35" s="1"/>
  <c r="L156" i="35"/>
  <c r="B156" i="35"/>
  <c r="L155" i="35"/>
  <c r="B155" i="35"/>
  <c r="D155" i="35" s="1"/>
  <c r="L154" i="35"/>
  <c r="B154" i="35"/>
  <c r="D154" i="35" s="1"/>
  <c r="L153" i="35"/>
  <c r="B153" i="35"/>
  <c r="D153" i="35" s="1"/>
  <c r="L152" i="35"/>
  <c r="B152" i="35"/>
  <c r="C152" i="35" s="1"/>
  <c r="L151" i="35"/>
  <c r="B151" i="35"/>
  <c r="D151" i="35" s="1"/>
  <c r="L150" i="35"/>
  <c r="B150" i="35"/>
  <c r="D150" i="35" s="1"/>
  <c r="L149" i="35"/>
  <c r="B149" i="35"/>
  <c r="D149" i="35" s="1"/>
  <c r="L148" i="35"/>
  <c r="B148" i="35"/>
  <c r="D148" i="35" s="1"/>
  <c r="L147" i="35"/>
  <c r="B147" i="35"/>
  <c r="D147" i="35" s="1"/>
  <c r="L146" i="35"/>
  <c r="B146" i="35"/>
  <c r="D146" i="35" s="1"/>
  <c r="L145" i="35"/>
  <c r="B145" i="35"/>
  <c r="C145" i="35" s="1"/>
  <c r="L144" i="35"/>
  <c r="B144" i="35"/>
  <c r="C144" i="35" s="1"/>
  <c r="L143" i="35"/>
  <c r="B143" i="35"/>
  <c r="D143" i="35" s="1"/>
  <c r="L142" i="35"/>
  <c r="B142" i="35"/>
  <c r="D142" i="35" s="1"/>
  <c r="L141" i="35"/>
  <c r="B141" i="35"/>
  <c r="D141" i="35" s="1"/>
  <c r="L140" i="35"/>
  <c r="B140" i="35"/>
  <c r="L139" i="35"/>
  <c r="B139" i="35"/>
  <c r="D139" i="35" s="1"/>
  <c r="L138" i="35"/>
  <c r="B138" i="35"/>
  <c r="D138" i="35" s="1"/>
  <c r="L137" i="35"/>
  <c r="B137" i="35"/>
  <c r="D137" i="35" s="1"/>
  <c r="L136" i="35"/>
  <c r="B136" i="35"/>
  <c r="C136" i="35" s="1"/>
  <c r="L135" i="35"/>
  <c r="B135" i="35"/>
  <c r="L134" i="35"/>
  <c r="B134" i="35"/>
  <c r="D134" i="35" s="1"/>
  <c r="L133" i="35"/>
  <c r="B133" i="35"/>
  <c r="D133" i="35" s="1"/>
  <c r="L132" i="35"/>
  <c r="B132" i="35"/>
  <c r="D132" i="35" s="1"/>
  <c r="L131" i="35"/>
  <c r="B131" i="35"/>
  <c r="D131" i="35" s="1"/>
  <c r="L130" i="35"/>
  <c r="B130" i="35"/>
  <c r="D130" i="35" s="1"/>
  <c r="L129" i="35"/>
  <c r="B129" i="35"/>
  <c r="D129" i="35" s="1"/>
  <c r="L128" i="35"/>
  <c r="B128" i="35"/>
  <c r="D128" i="35" s="1"/>
  <c r="L127" i="35"/>
  <c r="B127" i="35"/>
  <c r="D127" i="35" s="1"/>
  <c r="L126" i="35"/>
  <c r="B126" i="35"/>
  <c r="D126" i="35" s="1"/>
  <c r="L125" i="35"/>
  <c r="B125" i="35"/>
  <c r="D125" i="35" s="1"/>
  <c r="L124" i="35"/>
  <c r="B124" i="35"/>
  <c r="L123" i="35"/>
  <c r="B123" i="35"/>
  <c r="L122" i="35"/>
  <c r="B122" i="35"/>
  <c r="D122" i="35" s="1"/>
  <c r="L121" i="35"/>
  <c r="B121" i="35"/>
  <c r="D121" i="35" s="1"/>
  <c r="L120" i="35"/>
  <c r="B120" i="35"/>
  <c r="C120" i="35" s="1"/>
  <c r="L119" i="35"/>
  <c r="B119" i="35"/>
  <c r="C119" i="35" s="1"/>
  <c r="L118" i="35"/>
  <c r="B118" i="35"/>
  <c r="D118" i="35" s="1"/>
  <c r="L117" i="35"/>
  <c r="B117" i="35"/>
  <c r="D117" i="35" s="1"/>
  <c r="L116" i="35"/>
  <c r="B116" i="35"/>
  <c r="D116" i="35" s="1"/>
  <c r="L115" i="35"/>
  <c r="B115" i="35"/>
  <c r="D115" i="35" s="1"/>
  <c r="L114" i="35"/>
  <c r="B114" i="35"/>
  <c r="D114" i="35" s="1"/>
  <c r="L113" i="35"/>
  <c r="B113" i="35"/>
  <c r="D113" i="35" s="1"/>
  <c r="L112" i="35"/>
  <c r="B112" i="35"/>
  <c r="D112" i="35" s="1"/>
  <c r="L111" i="35"/>
  <c r="B111" i="35"/>
  <c r="L110" i="35"/>
  <c r="B110" i="35"/>
  <c r="L109" i="35"/>
  <c r="B109" i="35"/>
  <c r="D109" i="35" s="1"/>
  <c r="L108" i="35"/>
  <c r="B108" i="35"/>
  <c r="L107" i="35"/>
  <c r="B107" i="35"/>
  <c r="D107" i="35" s="1"/>
  <c r="L106" i="35"/>
  <c r="B106" i="35"/>
  <c r="D106" i="35" s="1"/>
  <c r="L105" i="35"/>
  <c r="B105" i="35"/>
  <c r="D105" i="35" s="1"/>
  <c r="L104" i="35"/>
  <c r="B104" i="35"/>
  <c r="C104" i="35" s="1"/>
  <c r="L103" i="35"/>
  <c r="B103" i="35"/>
  <c r="D103" i="35" s="1"/>
  <c r="L102" i="35"/>
  <c r="B102" i="35"/>
  <c r="L101" i="35"/>
  <c r="B101" i="35"/>
  <c r="D101" i="35" s="1"/>
  <c r="L100" i="35"/>
  <c r="B100" i="35"/>
  <c r="L99" i="35"/>
  <c r="B99" i="35"/>
  <c r="D99" i="35" s="1"/>
  <c r="L98" i="35"/>
  <c r="B98" i="35"/>
  <c r="D98" i="35" s="1"/>
  <c r="L97" i="35"/>
  <c r="B97" i="35"/>
  <c r="D97" i="35" s="1"/>
  <c r="L96" i="35"/>
  <c r="B96" i="35"/>
  <c r="D96" i="35" s="1"/>
  <c r="L95" i="35"/>
  <c r="B95" i="35"/>
  <c r="D95" i="35" s="1"/>
  <c r="L94" i="35"/>
  <c r="B94" i="35"/>
  <c r="D94" i="35" s="1"/>
  <c r="L93" i="35"/>
  <c r="B93" i="35"/>
  <c r="D93" i="35" s="1"/>
  <c r="L92" i="35"/>
  <c r="B92" i="35"/>
  <c r="D92" i="35" s="1"/>
  <c r="L91" i="35"/>
  <c r="B91" i="35"/>
  <c r="D91" i="35" s="1"/>
  <c r="L90" i="35"/>
  <c r="B90" i="35"/>
  <c r="D90" i="35" s="1"/>
  <c r="L89" i="35"/>
  <c r="B89" i="35"/>
  <c r="D89" i="35" s="1"/>
  <c r="L88" i="35"/>
  <c r="B88" i="35"/>
  <c r="C88" i="35" s="1"/>
  <c r="L87" i="35"/>
  <c r="B87" i="35"/>
  <c r="D87" i="35" s="1"/>
  <c r="L86" i="35"/>
  <c r="B86" i="35"/>
  <c r="D86" i="35" s="1"/>
  <c r="L85" i="35"/>
  <c r="B85" i="35"/>
  <c r="D85" i="35" s="1"/>
  <c r="L84" i="35"/>
  <c r="B84" i="35"/>
  <c r="D84" i="35" s="1"/>
  <c r="L83" i="35"/>
  <c r="B83" i="35"/>
  <c r="C83" i="35" s="1"/>
  <c r="L82" i="35"/>
  <c r="B82" i="35"/>
  <c r="L81" i="35"/>
  <c r="B81" i="35"/>
  <c r="D81" i="35" s="1"/>
  <c r="L80" i="35"/>
  <c r="B80" i="35"/>
  <c r="D80" i="35" s="1"/>
  <c r="L79" i="35"/>
  <c r="B79" i="35"/>
  <c r="D79" i="35" s="1"/>
  <c r="L78" i="35"/>
  <c r="B78" i="35"/>
  <c r="C78" i="35" s="1"/>
  <c r="L77" i="35"/>
  <c r="B77" i="35"/>
  <c r="D77" i="35" s="1"/>
  <c r="L76" i="35"/>
  <c r="B76" i="35"/>
  <c r="D76" i="35" s="1"/>
  <c r="L75" i="35"/>
  <c r="B75" i="35"/>
  <c r="D75" i="35" s="1"/>
  <c r="L74" i="35"/>
  <c r="B74" i="35"/>
  <c r="D74" i="35" s="1"/>
  <c r="L73" i="35"/>
  <c r="B73" i="35"/>
  <c r="D73" i="35" s="1"/>
  <c r="L72" i="35"/>
  <c r="B72" i="35"/>
  <c r="C72" i="35" s="1"/>
  <c r="L71" i="35"/>
  <c r="B71" i="35"/>
  <c r="D71" i="35" s="1"/>
  <c r="L70" i="35"/>
  <c r="B70" i="35"/>
  <c r="D70" i="35" s="1"/>
  <c r="L69" i="35"/>
  <c r="B69" i="35"/>
  <c r="D69" i="35" s="1"/>
  <c r="L68" i="35"/>
  <c r="B68" i="35"/>
  <c r="D68" i="35" s="1"/>
  <c r="L67" i="35"/>
  <c r="B67" i="35"/>
  <c r="D67" i="35" s="1"/>
  <c r="L66" i="35"/>
  <c r="B66" i="35"/>
  <c r="D66" i="35" s="1"/>
  <c r="L65" i="35"/>
  <c r="B65" i="35"/>
  <c r="D65" i="35" s="1"/>
  <c r="L64" i="35"/>
  <c r="B64" i="35"/>
  <c r="D64" i="35" s="1"/>
  <c r="L63" i="35"/>
  <c r="B63" i="35"/>
  <c r="L62" i="35"/>
  <c r="B62" i="35"/>
  <c r="L61" i="35"/>
  <c r="B61" i="35"/>
  <c r="D61" i="35" s="1"/>
  <c r="L60" i="35"/>
  <c r="B60" i="35"/>
  <c r="L59" i="35"/>
  <c r="B59" i="35"/>
  <c r="D59" i="35" s="1"/>
  <c r="L58" i="35"/>
  <c r="B58" i="35"/>
  <c r="D58" i="35" s="1"/>
  <c r="L57" i="35"/>
  <c r="B57" i="35"/>
  <c r="D57" i="35" s="1"/>
  <c r="L56" i="35"/>
  <c r="B56" i="35"/>
  <c r="C56" i="35" s="1"/>
  <c r="L55" i="35"/>
  <c r="B55" i="35"/>
  <c r="D55" i="35" s="1"/>
  <c r="L54" i="35"/>
  <c r="B54" i="35"/>
  <c r="D54" i="35" s="1"/>
  <c r="L53" i="35"/>
  <c r="B53" i="35"/>
  <c r="C53" i="35" s="1"/>
  <c r="L52" i="35"/>
  <c r="B52" i="35"/>
  <c r="D52" i="35" s="1"/>
  <c r="L51" i="35"/>
  <c r="B51" i="35"/>
  <c r="C51" i="35" s="1"/>
  <c r="L50" i="35"/>
  <c r="B50" i="35"/>
  <c r="D50" i="35" s="1"/>
  <c r="L49" i="35"/>
  <c r="B49" i="35"/>
  <c r="C49" i="35" s="1"/>
  <c r="L48" i="35"/>
  <c r="B48" i="35"/>
  <c r="C48" i="35" s="1"/>
  <c r="L47" i="35"/>
  <c r="B47" i="35"/>
  <c r="D47" i="35" s="1"/>
  <c r="L46" i="35"/>
  <c r="B46" i="35"/>
  <c r="D46" i="35" s="1"/>
  <c r="L45" i="35"/>
  <c r="B45" i="35"/>
  <c r="C45" i="35" s="1"/>
  <c r="L44" i="35"/>
  <c r="B44" i="35"/>
  <c r="L43" i="35"/>
  <c r="B43" i="35"/>
  <c r="C43" i="35" s="1"/>
  <c r="L42" i="35"/>
  <c r="B42" i="35"/>
  <c r="D42" i="35" s="1"/>
  <c r="L41" i="35"/>
  <c r="B41" i="35"/>
  <c r="D41" i="35" s="1"/>
  <c r="L40" i="35"/>
  <c r="B40" i="35"/>
  <c r="D40" i="35" s="1"/>
  <c r="L39" i="35"/>
  <c r="B39" i="35"/>
  <c r="D39" i="35" s="1"/>
  <c r="L38" i="35"/>
  <c r="B38" i="35"/>
  <c r="D38" i="35" s="1"/>
  <c r="L37" i="35"/>
  <c r="B37" i="35"/>
  <c r="C37" i="35" s="1"/>
  <c r="L36" i="35"/>
  <c r="B36" i="35"/>
  <c r="D36" i="35" s="1"/>
  <c r="L35" i="35"/>
  <c r="B35" i="35"/>
  <c r="D35" i="35" s="1"/>
  <c r="L34" i="35"/>
  <c r="B34" i="35"/>
  <c r="D34" i="35" s="1"/>
  <c r="L33" i="35"/>
  <c r="B33" i="35"/>
  <c r="C33" i="35" s="1"/>
  <c r="L32" i="35"/>
  <c r="B32" i="35"/>
  <c r="C32" i="35" s="1"/>
  <c r="L31" i="35"/>
  <c r="B31" i="35"/>
  <c r="D31" i="35" s="1"/>
  <c r="L30" i="35"/>
  <c r="B30" i="35"/>
  <c r="D30" i="35" s="1"/>
  <c r="L29" i="35"/>
  <c r="B29" i="35"/>
  <c r="C29" i="35" s="1"/>
  <c r="L28" i="35"/>
  <c r="B28" i="35"/>
  <c r="L27" i="35"/>
  <c r="B27" i="35"/>
  <c r="C27" i="35" s="1"/>
  <c r="L26" i="35"/>
  <c r="B26" i="35"/>
  <c r="D26" i="35" s="1"/>
  <c r="L25" i="35"/>
  <c r="B25" i="35"/>
  <c r="D25" i="35" s="1"/>
  <c r="L24" i="35"/>
  <c r="B24" i="35"/>
  <c r="D24" i="35" s="1"/>
  <c r="L23" i="35"/>
  <c r="B23" i="35"/>
  <c r="C23" i="35" s="1"/>
  <c r="L22" i="35"/>
  <c r="B22" i="35"/>
  <c r="D22" i="35" s="1"/>
  <c r="L21" i="35"/>
  <c r="B21" i="35"/>
  <c r="C21" i="35" s="1"/>
  <c r="L20" i="35"/>
  <c r="B20" i="35"/>
  <c r="D20" i="35" s="1"/>
  <c r="L19" i="35"/>
  <c r="B19" i="35"/>
  <c r="D19" i="35" s="1"/>
  <c r="L18" i="35"/>
  <c r="B18" i="35"/>
  <c r="D18" i="35" s="1"/>
  <c r="O16" i="35"/>
  <c r="O15" i="35"/>
  <c r="K15" i="35"/>
  <c r="J4" i="35" s="1"/>
  <c r="M11" i="35"/>
  <c r="M10" i="35"/>
  <c r="M9" i="35"/>
  <c r="K6" i="35"/>
  <c r="Q5" i="35"/>
  <c r="P5" i="35"/>
  <c r="O5" i="35"/>
  <c r="O6" i="35" s="1"/>
  <c r="N5" i="35"/>
  <c r="L5" i="35"/>
  <c r="K5" i="35"/>
  <c r="J5" i="35"/>
  <c r="A1" i="35"/>
  <c r="D199" i="40" l="1"/>
  <c r="D128" i="40"/>
  <c r="C132" i="40"/>
  <c r="C172" i="40"/>
  <c r="D81" i="40"/>
  <c r="C96" i="40"/>
  <c r="D82" i="40"/>
  <c r="C145" i="40"/>
  <c r="D192" i="40"/>
  <c r="D122" i="40"/>
  <c r="D113" i="40"/>
  <c r="C186" i="40"/>
  <c r="D31" i="40"/>
  <c r="C196" i="40"/>
  <c r="D174" i="40"/>
  <c r="D68" i="40"/>
  <c r="C183" i="40"/>
  <c r="D118" i="40"/>
  <c r="D158" i="40"/>
  <c r="D154" i="40"/>
  <c r="D32" i="40"/>
  <c r="D58" i="40"/>
  <c r="C150" i="40"/>
  <c r="C179" i="40"/>
  <c r="C79" i="40"/>
  <c r="D94" i="40"/>
  <c r="C127" i="40"/>
  <c r="D146" i="40"/>
  <c r="C198" i="40"/>
  <c r="C123" i="40"/>
  <c r="C175" i="40"/>
  <c r="D157" i="40"/>
  <c r="D182" i="40"/>
  <c r="D126" i="40"/>
  <c r="D30" i="40"/>
  <c r="D39" i="40"/>
  <c r="C95" i="40"/>
  <c r="C147" i="40"/>
  <c r="C124" i="40"/>
  <c r="C19" i="40"/>
  <c r="D45" i="40"/>
  <c r="C50" i="40"/>
  <c r="C108" i="40"/>
  <c r="D144" i="40"/>
  <c r="C156" i="40"/>
  <c r="C177" i="40"/>
  <c r="C193" i="40"/>
  <c r="C33" i="40"/>
  <c r="C42" i="40"/>
  <c r="C69" i="40"/>
  <c r="C97" i="40"/>
  <c r="C129" i="40"/>
  <c r="D165" i="40"/>
  <c r="D61" i="40"/>
  <c r="D85" i="40"/>
  <c r="D101" i="40"/>
  <c r="D105" i="40"/>
  <c r="C190" i="40"/>
  <c r="D66" i="40"/>
  <c r="C43" i="40"/>
  <c r="C62" i="40"/>
  <c r="C86" i="40"/>
  <c r="C98" i="40"/>
  <c r="C102" i="40"/>
  <c r="C106" i="40"/>
  <c r="D110" i="40"/>
  <c r="D166" i="40"/>
  <c r="C191" i="40"/>
  <c r="C140" i="40"/>
  <c r="C200" i="40"/>
  <c r="C73" i="40"/>
  <c r="D121" i="40"/>
  <c r="D185" i="40"/>
  <c r="C162" i="40"/>
  <c r="D74" i="40"/>
  <c r="D134" i="40"/>
  <c r="D194" i="40"/>
  <c r="C27" i="40"/>
  <c r="C35" i="40"/>
  <c r="C80" i="40"/>
  <c r="D76" i="40"/>
  <c r="C104" i="40"/>
  <c r="C37" i="40"/>
  <c r="D133" i="40"/>
  <c r="C148" i="40"/>
  <c r="C202" i="40"/>
  <c r="D90" i="40"/>
  <c r="C75" i="40"/>
  <c r="D91" i="40"/>
  <c r="C135" i="40"/>
  <c r="D139" i="40"/>
  <c r="C143" i="40"/>
  <c r="C163" i="40"/>
  <c r="C152" i="40"/>
  <c r="D169" i="40"/>
  <c r="C138" i="40"/>
  <c r="D142" i="40"/>
  <c r="D170" i="40"/>
  <c r="C99" i="40"/>
  <c r="C111" i="40"/>
  <c r="D149" i="40"/>
  <c r="C83" i="40"/>
  <c r="C120" i="40"/>
  <c r="C184" i="40"/>
  <c r="C188" i="40"/>
  <c r="C60" i="40"/>
  <c r="D54" i="40"/>
  <c r="D55" i="40"/>
  <c r="D159" i="40"/>
  <c r="C159" i="40"/>
  <c r="C46" i="40"/>
  <c r="D46" i="40"/>
  <c r="C93" i="40"/>
  <c r="O8" i="40"/>
  <c r="J4" i="40"/>
  <c r="C65" i="40"/>
  <c r="C176" i="40"/>
  <c r="D107" i="40"/>
  <c r="C107" i="40"/>
  <c r="C67" i="40"/>
  <c r="D187" i="40"/>
  <c r="C187" i="40"/>
  <c r="D38" i="40"/>
  <c r="J9" i="40"/>
  <c r="C56" i="40"/>
  <c r="C181" i="40"/>
  <c r="D181" i="40"/>
  <c r="C34" i="40"/>
  <c r="D34" i="40"/>
  <c r="D141" i="40"/>
  <c r="D168" i="40"/>
  <c r="C168" i="40"/>
  <c r="D78" i="40"/>
  <c r="C78" i="40"/>
  <c r="C28" i="40"/>
  <c r="D28" i="40"/>
  <c r="D84" i="40"/>
  <c r="C84" i="40"/>
  <c r="C20" i="40"/>
  <c r="D29" i="40"/>
  <c r="C29" i="40"/>
  <c r="C53" i="40"/>
  <c r="D53" i="40"/>
  <c r="C87" i="40"/>
  <c r="D92" i="40"/>
  <c r="C92" i="40"/>
  <c r="D40" i="40"/>
  <c r="C40" i="40"/>
  <c r="D115" i="40"/>
  <c r="C115" i="40"/>
  <c r="D164" i="40"/>
  <c r="C164" i="40"/>
  <c r="D21" i="40"/>
  <c r="C21" i="40"/>
  <c r="D47" i="40"/>
  <c r="C47" i="40"/>
  <c r="D48" i="40"/>
  <c r="C48" i="40"/>
  <c r="D63" i="40"/>
  <c r="C63" i="40"/>
  <c r="C26" i="40"/>
  <c r="D136" i="40"/>
  <c r="C136" i="40"/>
  <c r="D161" i="40"/>
  <c r="C161" i="40"/>
  <c r="D41" i="40"/>
  <c r="C41" i="40"/>
  <c r="C59" i="40"/>
  <c r="D59" i="40"/>
  <c r="C89" i="40"/>
  <c r="D89" i="40"/>
  <c r="D44" i="40"/>
  <c r="C44" i="40"/>
  <c r="D130" i="40"/>
  <c r="D173" i="40"/>
  <c r="C173" i="40"/>
  <c r="D112" i="40"/>
  <c r="C112" i="40"/>
  <c r="D71" i="40"/>
  <c r="C71" i="40"/>
  <c r="D64" i="40"/>
  <c r="C64" i="40"/>
  <c r="C24" i="40"/>
  <c r="C36" i="40"/>
  <c r="C52" i="40"/>
  <c r="D70" i="40"/>
  <c r="C88" i="40"/>
  <c r="C160" i="40"/>
  <c r="D197" i="40"/>
  <c r="D18" i="40"/>
  <c r="F18" i="40" s="1" a="1"/>
  <c r="F18" i="40" s="1"/>
  <c r="D49" i="40"/>
  <c r="C49" i="40"/>
  <c r="C180" i="40"/>
  <c r="C203" i="40"/>
  <c r="C25" i="40"/>
  <c r="C116" i="40"/>
  <c r="C119" i="40"/>
  <c r="C178" i="40"/>
  <c r="D22" i="40"/>
  <c r="D51" i="40"/>
  <c r="C109" i="40"/>
  <c r="D117" i="40"/>
  <c r="C125" i="40"/>
  <c r="D153" i="40"/>
  <c r="C189" i="40"/>
  <c r="C72" i="40"/>
  <c r="D72" i="40"/>
  <c r="D77" i="40"/>
  <c r="C100" i="40"/>
  <c r="D23" i="40"/>
  <c r="D114" i="40"/>
  <c r="C114" i="40"/>
  <c r="D131" i="40"/>
  <c r="C131" i="40"/>
  <c r="D137" i="40"/>
  <c r="C155" i="40"/>
  <c r="D155" i="40"/>
  <c r="C57" i="40"/>
  <c r="C103" i="40"/>
  <c r="C167" i="40"/>
  <c r="C171" i="40"/>
  <c r="D195" i="40"/>
  <c r="C195" i="40"/>
  <c r="C151" i="40"/>
  <c r="D201" i="40"/>
  <c r="D162" i="39"/>
  <c r="D141" i="39"/>
  <c r="C166" i="39"/>
  <c r="O8" i="39"/>
  <c r="D31" i="39"/>
  <c r="D129" i="39"/>
  <c r="C134" i="39"/>
  <c r="D29" i="39"/>
  <c r="D33" i="39"/>
  <c r="D81" i="39"/>
  <c r="C72" i="39"/>
  <c r="D113" i="39"/>
  <c r="D153" i="39"/>
  <c r="C158" i="39"/>
  <c r="D149" i="39"/>
  <c r="D125" i="39"/>
  <c r="D24" i="39"/>
  <c r="D65" i="39"/>
  <c r="C70" i="39"/>
  <c r="D145" i="39"/>
  <c r="D106" i="39"/>
  <c r="C111" i="39"/>
  <c r="D56" i="39"/>
  <c r="D97" i="39"/>
  <c r="D117" i="39"/>
  <c r="D36" i="39"/>
  <c r="D77" i="39"/>
  <c r="C100" i="39"/>
  <c r="D37" i="39"/>
  <c r="C46" i="39"/>
  <c r="D83" i="39"/>
  <c r="C92" i="39"/>
  <c r="C151" i="39"/>
  <c r="D42" i="39"/>
  <c r="D60" i="39"/>
  <c r="C88" i="39"/>
  <c r="D101" i="39"/>
  <c r="D41" i="39"/>
  <c r="D146" i="39"/>
  <c r="D25" i="39"/>
  <c r="D89" i="39"/>
  <c r="D152" i="39"/>
  <c r="D161" i="39"/>
  <c r="D49" i="39"/>
  <c r="J9" i="39"/>
  <c r="D73" i="39"/>
  <c r="D57" i="39"/>
  <c r="D85" i="39"/>
  <c r="C126" i="39"/>
  <c r="D45" i="39"/>
  <c r="D105" i="39"/>
  <c r="D137" i="39"/>
  <c r="D133" i="39"/>
  <c r="C20" i="39"/>
  <c r="D93" i="39"/>
  <c r="D121" i="39"/>
  <c r="D144" i="39"/>
  <c r="D44" i="39"/>
  <c r="D69" i="39"/>
  <c r="D124" i="39"/>
  <c r="C47" i="39"/>
  <c r="D61" i="39"/>
  <c r="D148" i="39"/>
  <c r="D53" i="39"/>
  <c r="D109" i="39"/>
  <c r="C58" i="39"/>
  <c r="D58" i="39"/>
  <c r="C123" i="39"/>
  <c r="D80" i="39"/>
  <c r="D122" i="39"/>
  <c r="C122" i="39"/>
  <c r="C143" i="39"/>
  <c r="D182" i="39"/>
  <c r="C182" i="39"/>
  <c r="C130" i="39"/>
  <c r="D54" i="39"/>
  <c r="C67" i="39"/>
  <c r="D169" i="39"/>
  <c r="D76" i="39"/>
  <c r="C76" i="39"/>
  <c r="C74" i="39"/>
  <c r="C48" i="39"/>
  <c r="C115" i="39"/>
  <c r="D115" i="39"/>
  <c r="C163" i="39"/>
  <c r="C22" i="39"/>
  <c r="C84" i="39"/>
  <c r="C131" i="39"/>
  <c r="D192" i="39"/>
  <c r="C192" i="39"/>
  <c r="D178" i="39"/>
  <c r="C178" i="39"/>
  <c r="C136" i="39"/>
  <c r="D35" i="39"/>
  <c r="C35" i="39"/>
  <c r="C71" i="39"/>
  <c r="D193" i="39"/>
  <c r="C193" i="39"/>
  <c r="C110" i="39"/>
  <c r="C165" i="39"/>
  <c r="C79" i="39"/>
  <c r="D157" i="39"/>
  <c r="C157" i="39"/>
  <c r="D175" i="39"/>
  <c r="C175" i="39"/>
  <c r="C87" i="39"/>
  <c r="C118" i="39"/>
  <c r="C98" i="39"/>
  <c r="C62" i="39"/>
  <c r="C66" i="39"/>
  <c r="C135" i="39"/>
  <c r="C18" i="39"/>
  <c r="C21" i="39"/>
  <c r="C75" i="39"/>
  <c r="D164" i="39"/>
  <c r="C164" i="39"/>
  <c r="F18" i="39" a="1"/>
  <c r="F18" i="39" s="1"/>
  <c r="C150" i="39"/>
  <c r="C28" i="39"/>
  <c r="C19" i="39"/>
  <c r="D19" i="39"/>
  <c r="C59" i="39"/>
  <c r="D168" i="39"/>
  <c r="D198" i="39"/>
  <c r="C198" i="39"/>
  <c r="C34" i="39"/>
  <c r="C102" i="39"/>
  <c r="C138" i="39"/>
  <c r="D200" i="39"/>
  <c r="C200" i="39"/>
  <c r="C51" i="39"/>
  <c r="C103" i="39"/>
  <c r="D128" i="39"/>
  <c r="D185" i="39"/>
  <c r="C185" i="39"/>
  <c r="C38" i="39"/>
  <c r="D90" i="39"/>
  <c r="C107" i="39"/>
  <c r="D64" i="39"/>
  <c r="C108" i="39"/>
  <c r="C120" i="39"/>
  <c r="C139" i="39"/>
  <c r="C142" i="39"/>
  <c r="D177" i="39"/>
  <c r="C177" i="39"/>
  <c r="D26" i="39"/>
  <c r="D39" i="39"/>
  <c r="C43" i="39"/>
  <c r="C52" i="39"/>
  <c r="D82" i="39"/>
  <c r="C95" i="39"/>
  <c r="D99" i="39"/>
  <c r="C99" i="39"/>
  <c r="C159" i="39"/>
  <c r="D159" i="39"/>
  <c r="D180" i="39"/>
  <c r="C180" i="39"/>
  <c r="C160" i="39"/>
  <c r="D160" i="39"/>
  <c r="D201" i="39"/>
  <c r="C201" i="39"/>
  <c r="C116" i="39"/>
  <c r="C155" i="39"/>
  <c r="C94" i="39"/>
  <c r="C30" i="39"/>
  <c r="C112" i="39"/>
  <c r="D154" i="39"/>
  <c r="C154" i="39"/>
  <c r="D191" i="39"/>
  <c r="C191" i="39"/>
  <c r="D196" i="39"/>
  <c r="C196" i="39"/>
  <c r="D183" i="39"/>
  <c r="C183" i="39"/>
  <c r="D195" i="39"/>
  <c r="C195" i="39"/>
  <c r="C23" i="39"/>
  <c r="C86" i="39"/>
  <c r="C140" i="39"/>
  <c r="D181" i="39"/>
  <c r="C181" i="39"/>
  <c r="D190" i="39"/>
  <c r="C190" i="39"/>
  <c r="C27" i="39"/>
  <c r="D40" i="39"/>
  <c r="C50" i="39"/>
  <c r="C68" i="39"/>
  <c r="C91" i="39"/>
  <c r="D104" i="39"/>
  <c r="D127" i="39"/>
  <c r="C32" i="39"/>
  <c r="C55" i="39"/>
  <c r="C78" i="39"/>
  <c r="C96" i="39"/>
  <c r="D114" i="39"/>
  <c r="C119" i="39"/>
  <c r="D132" i="39"/>
  <c r="D147" i="39"/>
  <c r="D176" i="39"/>
  <c r="C176" i="39"/>
  <c r="D199" i="39"/>
  <c r="C199" i="39"/>
  <c r="D156" i="39"/>
  <c r="C156" i="39"/>
  <c r="C63" i="39"/>
  <c r="D194" i="39"/>
  <c r="C194" i="39"/>
  <c r="D197" i="39"/>
  <c r="C197" i="39"/>
  <c r="D186" i="39"/>
  <c r="C186" i="39"/>
  <c r="D170" i="39"/>
  <c r="C170" i="39"/>
  <c r="D203" i="39"/>
  <c r="C203" i="39"/>
  <c r="D188" i="39"/>
  <c r="C188" i="39"/>
  <c r="C167" i="39"/>
  <c r="D167" i="39"/>
  <c r="D171" i="39"/>
  <c r="C171" i="39"/>
  <c r="D172" i="39"/>
  <c r="C172" i="39"/>
  <c r="D173" i="39"/>
  <c r="C173" i="39"/>
  <c r="D187" i="39"/>
  <c r="C187" i="39"/>
  <c r="D174" i="39"/>
  <c r="C174" i="39"/>
  <c r="D184" i="39"/>
  <c r="C184" i="39"/>
  <c r="D179" i="39"/>
  <c r="C179" i="39"/>
  <c r="D189" i="39"/>
  <c r="C189" i="39"/>
  <c r="D202" i="39"/>
  <c r="C202" i="39"/>
  <c r="D21" i="35"/>
  <c r="D78" i="35"/>
  <c r="D32" i="35"/>
  <c r="D145" i="35"/>
  <c r="D33" i="35"/>
  <c r="D120" i="35"/>
  <c r="D179" i="35"/>
  <c r="D88" i="35"/>
  <c r="D168" i="35"/>
  <c r="D53" i="35"/>
  <c r="D104" i="35"/>
  <c r="D161" i="35"/>
  <c r="D48" i="35"/>
  <c r="D184" i="35"/>
  <c r="D37" i="35"/>
  <c r="D83" i="35"/>
  <c r="D56" i="35"/>
  <c r="D27" i="35"/>
  <c r="D49" i="35"/>
  <c r="D152" i="35"/>
  <c r="D192" i="35"/>
  <c r="D176" i="35"/>
  <c r="D23" i="35"/>
  <c r="F18" i="35" a="1"/>
  <c r="F18" i="35" s="1"/>
  <c r="M18" i="35" s="1"/>
  <c r="I18" i="35" s="1"/>
  <c r="D165" i="35"/>
  <c r="D199" i="35"/>
  <c r="D51" i="35"/>
  <c r="D177" i="35"/>
  <c r="C28" i="35"/>
  <c r="D28" i="35"/>
  <c r="C44" i="35"/>
  <c r="D44" i="35"/>
  <c r="C60" i="35"/>
  <c r="D60" i="35"/>
  <c r="C100" i="35"/>
  <c r="D100" i="35"/>
  <c r="C108" i="35"/>
  <c r="D108" i="35"/>
  <c r="C124" i="35"/>
  <c r="D124" i="35"/>
  <c r="C140" i="35"/>
  <c r="D140" i="35"/>
  <c r="C156" i="35"/>
  <c r="D156" i="35"/>
  <c r="C172" i="35"/>
  <c r="D172" i="35"/>
  <c r="D119" i="35"/>
  <c r="C111" i="35"/>
  <c r="D111" i="35"/>
  <c r="C63" i="35"/>
  <c r="D63" i="35"/>
  <c r="C135" i="35"/>
  <c r="D135" i="35"/>
  <c r="C167" i="35"/>
  <c r="D167" i="35"/>
  <c r="C62" i="35"/>
  <c r="D62" i="35"/>
  <c r="C102" i="35"/>
  <c r="D102" i="35"/>
  <c r="C110" i="35"/>
  <c r="D110" i="35"/>
  <c r="J9" i="35"/>
  <c r="D43" i="35"/>
  <c r="C82" i="35"/>
  <c r="D82" i="35"/>
  <c r="C162" i="35"/>
  <c r="D162" i="35"/>
  <c r="C123" i="35"/>
  <c r="D123" i="35"/>
  <c r="D72" i="35"/>
  <c r="D136" i="35"/>
  <c r="D200" i="35"/>
  <c r="D144" i="35"/>
  <c r="D29" i="35"/>
  <c r="D45" i="35"/>
  <c r="C85" i="35"/>
  <c r="C95" i="35"/>
  <c r="C129" i="35"/>
  <c r="C134" i="35"/>
  <c r="C50" i="35"/>
  <c r="C70" i="35"/>
  <c r="C126" i="35"/>
  <c r="C191" i="35"/>
  <c r="C42" i="35"/>
  <c r="C147" i="35"/>
  <c r="C67" i="35"/>
  <c r="C182" i="35"/>
  <c r="C187" i="35"/>
  <c r="C118" i="35"/>
  <c r="C197" i="35"/>
  <c r="C183" i="35"/>
  <c r="C155" i="35"/>
  <c r="C180" i="35"/>
  <c r="C25" i="35"/>
  <c r="C71" i="35"/>
  <c r="C109" i="35"/>
  <c r="C130" i="35"/>
  <c r="C30" i="35"/>
  <c r="C38" i="35"/>
  <c r="C55" i="35"/>
  <c r="C59" i="35"/>
  <c r="C76" i="35"/>
  <c r="C93" i="35"/>
  <c r="C114" i="35"/>
  <c r="C139" i="35"/>
  <c r="C151" i="35"/>
  <c r="C159" i="35"/>
  <c r="C171" i="35"/>
  <c r="J1" i="35"/>
  <c r="C97" i="35"/>
  <c r="C115" i="35"/>
  <c r="C86" i="35"/>
  <c r="C149" i="35"/>
  <c r="C198" i="35"/>
  <c r="C94" i="35"/>
  <c r="C36" i="35"/>
  <c r="C103" i="35"/>
  <c r="C98" i="35"/>
  <c r="C74" i="35"/>
  <c r="C141" i="35"/>
  <c r="C164" i="35"/>
  <c r="C31" i="35"/>
  <c r="C69" i="35"/>
  <c r="O8" i="35"/>
  <c r="C58" i="35"/>
  <c r="C87" i="35"/>
  <c r="C113" i="35"/>
  <c r="C125" i="35"/>
  <c r="C146" i="35"/>
  <c r="C158" i="35"/>
  <c r="C186" i="35"/>
  <c r="C127" i="35"/>
  <c r="C131" i="35"/>
  <c r="C77" i="35"/>
  <c r="C20" i="35"/>
  <c r="C150" i="35"/>
  <c r="C175" i="35"/>
  <c r="C26" i="35"/>
  <c r="C117" i="35"/>
  <c r="C132" i="35"/>
  <c r="C195" i="35"/>
  <c r="C46" i="35"/>
  <c r="C99" i="35"/>
  <c r="C142" i="35"/>
  <c r="C40" i="35"/>
  <c r="C201" i="35"/>
  <c r="C112" i="35"/>
  <c r="C143" i="35"/>
  <c r="C153" i="35"/>
  <c r="C41" i="35"/>
  <c r="C96" i="35"/>
  <c r="C66" i="35"/>
  <c r="C80" i="35"/>
  <c r="C106" i="35"/>
  <c r="C52" i="35"/>
  <c r="C89" i="35"/>
  <c r="C57" i="35"/>
  <c r="C185" i="35"/>
  <c r="C24" i="35"/>
  <c r="C75" i="35"/>
  <c r="C84" i="35"/>
  <c r="C105" i="35"/>
  <c r="C133" i="35"/>
  <c r="C138" i="35"/>
  <c r="C166" i="35"/>
  <c r="C73" i="35"/>
  <c r="C39" i="35"/>
  <c r="C92" i="35"/>
  <c r="C173" i="35"/>
  <c r="C178" i="35"/>
  <c r="C54" i="35"/>
  <c r="C81" i="35"/>
  <c r="C202" i="35"/>
  <c r="C19" i="35"/>
  <c r="C47" i="35"/>
  <c r="C91" i="35"/>
  <c r="C163" i="35"/>
  <c r="C189" i="35"/>
  <c r="C65" i="35"/>
  <c r="C154" i="35"/>
  <c r="C116" i="35"/>
  <c r="C170" i="35"/>
  <c r="C22" i="35"/>
  <c r="C35" i="35"/>
  <c r="C101" i="35"/>
  <c r="C122" i="35"/>
  <c r="C174" i="35"/>
  <c r="C61" i="35"/>
  <c r="C160" i="35"/>
  <c r="C190" i="35"/>
  <c r="C196" i="35"/>
  <c r="C64" i="35"/>
  <c r="C79" i="35"/>
  <c r="C90" i="35"/>
  <c r="C107" i="35"/>
  <c r="C128" i="35"/>
  <c r="C137" i="35"/>
  <c r="C148" i="35"/>
  <c r="C157" i="35"/>
  <c r="C181" i="35"/>
  <c r="C121" i="35"/>
  <c r="C18" i="35"/>
  <c r="C34" i="35"/>
  <c r="C68" i="35"/>
  <c r="C194" i="35"/>
  <c r="C169" i="35"/>
  <c r="C188" i="35"/>
  <c r="C203" i="35"/>
  <c r="C193" i="35"/>
  <c r="M18" i="40" l="1"/>
  <c r="I18" i="40" s="1"/>
  <c r="M18" i="39"/>
  <c r="H18" i="39" s="1"/>
  <c r="E19" i="39" s="1" a="1"/>
  <c r="E19" i="39" s="1"/>
  <c r="F19" i="39" s="1" a="1"/>
  <c r="F19" i="39" s="1"/>
  <c r="H18" i="35"/>
  <c r="E19" i="35" s="1" a="1"/>
  <c r="E19" i="35" s="1"/>
  <c r="F19" i="35" s="1" a="1"/>
  <c r="F19" i="35" s="1"/>
  <c r="G18" i="40" l="1"/>
  <c r="O18" i="40" s="1"/>
  <c r="P18" i="40" s="1"/>
  <c r="H18" i="40"/>
  <c r="E19" i="40" s="1" a="1"/>
  <c r="E19" i="40" s="1"/>
  <c r="F19" i="40" s="1" a="1"/>
  <c r="F19" i="40" s="1"/>
  <c r="M19" i="40" s="1"/>
  <c r="H19" i="40" s="1"/>
  <c r="E20" i="40" s="1" a="1"/>
  <c r="E20" i="40" s="1"/>
  <c r="F20" i="40" s="1" a="1"/>
  <c r="F20" i="40" s="1"/>
  <c r="M19" i="39"/>
  <c r="G19" i="39" s="1"/>
  <c r="O19" i="39" s="1"/>
  <c r="G18" i="39"/>
  <c r="O18" i="39" s="1"/>
  <c r="I18" i="39"/>
  <c r="M19" i="35"/>
  <c r="I19" i="35" s="1"/>
  <c r="G18" i="35"/>
  <c r="O18" i="35" s="1"/>
  <c r="N18" i="40" l="1"/>
  <c r="Q18" i="40"/>
  <c r="T18" i="40"/>
  <c r="AM18" i="40" s="1"/>
  <c r="M20" i="40"/>
  <c r="G20" i="40" s="1"/>
  <c r="O20" i="40" s="1"/>
  <c r="I19" i="40"/>
  <c r="G19" i="40"/>
  <c r="O19" i="40" s="1"/>
  <c r="H19" i="39"/>
  <c r="E20" i="39" s="1" a="1"/>
  <c r="E20" i="39" s="1"/>
  <c r="F20" i="39" s="1" a="1"/>
  <c r="F20" i="39" s="1"/>
  <c r="M20" i="39" s="1"/>
  <c r="G20" i="39" s="1"/>
  <c r="O20" i="39" s="1"/>
  <c r="I19" i="39"/>
  <c r="Q18" i="39"/>
  <c r="N18" i="39"/>
  <c r="P18" i="39"/>
  <c r="Q19" i="39"/>
  <c r="N19" i="39"/>
  <c r="P19" i="39"/>
  <c r="Q18" i="35"/>
  <c r="G19" i="35"/>
  <c r="O19" i="35" s="1"/>
  <c r="Q19" i="35" s="1"/>
  <c r="H19" i="35"/>
  <c r="E20" i="35" s="1" a="1"/>
  <c r="E20" i="35" s="1"/>
  <c r="F20" i="35" s="1" a="1"/>
  <c r="F20" i="35" s="1"/>
  <c r="P18" i="35"/>
  <c r="N18" i="35"/>
  <c r="P20" i="40" l="1"/>
  <c r="N20" i="40"/>
  <c r="T20" i="40"/>
  <c r="Q20" i="40"/>
  <c r="AN18" i="40"/>
  <c r="AO18" i="40" s="1"/>
  <c r="AP18" i="40" s="1"/>
  <c r="AQ18" i="40" s="1"/>
  <c r="AR18" i="40" s="1"/>
  <c r="AS18" i="40" s="1"/>
  <c r="DB18" i="40" s="1"/>
  <c r="Q19" i="40"/>
  <c r="N19" i="40"/>
  <c r="P19" i="40"/>
  <c r="T19" i="40"/>
  <c r="H20" i="40"/>
  <c r="E21" i="40" s="1" a="1"/>
  <c r="E21" i="40" s="1"/>
  <c r="F21" i="40" s="1" a="1"/>
  <c r="F21" i="40" s="1"/>
  <c r="I20" i="40"/>
  <c r="H20" i="39"/>
  <c r="E21" i="39" s="1" a="1"/>
  <c r="E21" i="39" s="1"/>
  <c r="F21" i="39" s="1" a="1"/>
  <c r="F21" i="39" s="1"/>
  <c r="M21" i="39" s="1"/>
  <c r="I20" i="39"/>
  <c r="Q20" i="39"/>
  <c r="P20" i="39"/>
  <c r="N20" i="39"/>
  <c r="P19" i="35"/>
  <c r="M20" i="35"/>
  <c r="I20" i="35" s="1"/>
  <c r="N19" i="35"/>
  <c r="DC18" i="40" l="1" a="1"/>
  <c r="DC18" i="40" s="1"/>
  <c r="DA18" i="40" a="1"/>
  <c r="DA18" i="40" s="1"/>
  <c r="CZ18" i="40" a="1"/>
  <c r="CZ18" i="40" s="1"/>
  <c r="CY18" i="40" a="1"/>
  <c r="CY18" i="40" s="1"/>
  <c r="CT18" i="40" a="1"/>
  <c r="CT18" i="40" s="1"/>
  <c r="CM18" i="40" a="1"/>
  <c r="CM18" i="40" s="1"/>
  <c r="CV18" i="40" a="1"/>
  <c r="CV18" i="40" s="1"/>
  <c r="CN18" i="40" a="1"/>
  <c r="CN18" i="40" s="1"/>
  <c r="AY18" i="40" a="1"/>
  <c r="AY18" i="40" s="1"/>
  <c r="CQ18" i="40" a="1"/>
  <c r="CQ18" i="40" s="1"/>
  <c r="BS18" i="40" a="1"/>
  <c r="BS18" i="40" s="1"/>
  <c r="BT18" i="40" s="1"/>
  <c r="AA18" i="40" s="1"/>
  <c r="BV18" i="40"/>
  <c r="AZ18" i="40" a="1"/>
  <c r="AZ18" i="40" s="1"/>
  <c r="BP18" i="40"/>
  <c r="BO18" i="40" s="1" a="1"/>
  <c r="BO18" i="40" s="1"/>
  <c r="CS18" i="40" a="1"/>
  <c r="CS18" i="40" s="1"/>
  <c r="BB18" i="40" a="1"/>
  <c r="BB18" i="40" s="1"/>
  <c r="CJ18" i="40" a="1"/>
  <c r="CJ18" i="40" s="1"/>
  <c r="BD18" i="40"/>
  <c r="BC18" i="40" s="1" a="1"/>
  <c r="BC18" i="40" s="1"/>
  <c r="AV18" i="40"/>
  <c r="AU18" i="40" s="1" a="1"/>
  <c r="AU18" i="40" s="1"/>
  <c r="CG18" i="40"/>
  <c r="CF18" i="40" s="1" a="1"/>
  <c r="CF18" i="40" s="1"/>
  <c r="CI18" i="40" s="1"/>
  <c r="AD18" i="40" s="1"/>
  <c r="CP18" i="40" a="1"/>
  <c r="CP18" i="40" s="1"/>
  <c r="AM19" i="40"/>
  <c r="M21" i="40"/>
  <c r="G21" i="40" s="1"/>
  <c r="O21" i="40" s="1"/>
  <c r="AM20" i="40"/>
  <c r="CB18" i="40"/>
  <c r="CW18" i="40" a="1"/>
  <c r="CW18" i="40" s="1"/>
  <c r="CK18" i="40" a="1"/>
  <c r="CK18" i="40" s="1"/>
  <c r="G21" i="39"/>
  <c r="O21" i="39" s="1"/>
  <c r="N21" i="39" s="1"/>
  <c r="I21" i="39"/>
  <c r="H21" i="39"/>
  <c r="E22" i="39" s="1" a="1"/>
  <c r="E22" i="39" s="1"/>
  <c r="F22" i="39" s="1" a="1"/>
  <c r="F22" i="39" s="1"/>
  <c r="M22" i="39" s="1"/>
  <c r="H22" i="39" s="1"/>
  <c r="E23" i="39" s="1" a="1"/>
  <c r="E23" i="39" s="1"/>
  <c r="F23" i="39" s="1" a="1"/>
  <c r="F23" i="39" s="1"/>
  <c r="G20" i="35"/>
  <c r="O20" i="35" s="1"/>
  <c r="P20" i="35" s="1"/>
  <c r="H20" i="35"/>
  <c r="CL18" i="40" l="1"/>
  <c r="AE18" i="40" s="1"/>
  <c r="BE18" i="40"/>
  <c r="Y18" i="40" s="1"/>
  <c r="CX18" i="40"/>
  <c r="AI18" i="40" s="1"/>
  <c r="BA18" i="40"/>
  <c r="X18" i="40" s="1"/>
  <c r="AW18" i="40" a="1"/>
  <c r="AW18" i="40" s="1"/>
  <c r="CH18" i="40" a="1"/>
  <c r="CH18" i="40" s="1"/>
  <c r="BL18" i="40" a="1"/>
  <c r="BL18" i="40" s="1"/>
  <c r="BJ18" i="40" a="1"/>
  <c r="BJ18" i="40" s="1"/>
  <c r="CR18" i="40"/>
  <c r="AG18" i="40" s="1"/>
  <c r="CU18" i="40"/>
  <c r="AH18" i="40" s="1"/>
  <c r="BK18" i="40" a="1"/>
  <c r="BK18" i="40" s="1"/>
  <c r="BM18" i="40" a="1"/>
  <c r="BM18" i="40" s="1"/>
  <c r="AT18" i="40" a="1"/>
  <c r="AT18" i="40" s="1"/>
  <c r="BG18" i="40" a="1"/>
  <c r="BG18" i="40" s="1"/>
  <c r="BW18" i="40" a="1"/>
  <c r="BW18" i="40" s="1"/>
  <c r="BU18" i="40" a="1"/>
  <c r="BU18" i="40" s="1"/>
  <c r="BI18" i="40" a="1"/>
  <c r="BI18" i="40" s="1"/>
  <c r="BN18" i="40" a="1"/>
  <c r="BN18" i="40" s="1"/>
  <c r="BH18" i="40" a="1"/>
  <c r="BH18" i="40" s="1"/>
  <c r="CO18" i="40"/>
  <c r="AF18" i="40" s="1"/>
  <c r="DD18" i="40"/>
  <c r="AJ18" i="40" s="1"/>
  <c r="BF18" i="40" a="1"/>
  <c r="BF18" i="40" s="1"/>
  <c r="BQ18" i="40" a="1"/>
  <c r="BQ18" i="40" s="1"/>
  <c r="I21" i="40"/>
  <c r="Q21" i="40"/>
  <c r="P21" i="40"/>
  <c r="T21" i="40"/>
  <c r="N21" i="40"/>
  <c r="AN19" i="40"/>
  <c r="AO19" i="40" s="1"/>
  <c r="AP19" i="40" s="1"/>
  <c r="AQ19" i="40" s="1"/>
  <c r="AR19" i="40" s="1"/>
  <c r="AS19" i="40" s="1"/>
  <c r="CJ19" i="40" s="1" a="1"/>
  <c r="CJ19" i="40" s="1"/>
  <c r="AN20" i="40"/>
  <c r="AO20" i="40" s="1"/>
  <c r="AP20" i="40" s="1"/>
  <c r="AQ20" i="40" s="1"/>
  <c r="AR20" i="40" s="1"/>
  <c r="AS20" i="40" s="1"/>
  <c r="AZ20" i="40" s="1" a="1"/>
  <c r="AZ20" i="40" s="1"/>
  <c r="H21" i="40"/>
  <c r="E22" i="40" s="1" a="1"/>
  <c r="E22" i="40" s="1"/>
  <c r="F22" i="40" s="1" a="1"/>
  <c r="F22" i="40" s="1"/>
  <c r="BY18" i="40" a="1"/>
  <c r="BY18" i="40" s="1"/>
  <c r="CD18" i="40"/>
  <c r="CC18" i="40" s="1" a="1"/>
  <c r="CC18" i="40" s="1"/>
  <c r="CA18" i="40" a="1"/>
  <c r="CA18" i="40" s="1"/>
  <c r="BZ18" i="40" a="1"/>
  <c r="BZ18" i="40" s="1"/>
  <c r="P21" i="39"/>
  <c r="Q21" i="39"/>
  <c r="M23" i="39"/>
  <c r="G23" i="39" s="1"/>
  <c r="O23" i="39" s="1"/>
  <c r="G22" i="39"/>
  <c r="O22" i="39" s="1"/>
  <c r="I22" i="39"/>
  <c r="N20" i="35"/>
  <c r="Q20" i="35"/>
  <c r="E21" i="35" a="1"/>
  <c r="E21" i="35" s="1"/>
  <c r="F21" i="35" s="1" a="1"/>
  <c r="F21" i="35" s="1"/>
  <c r="CS20" i="40" l="1" a="1"/>
  <c r="CS20" i="40" s="1"/>
  <c r="AX18" i="40" a="1"/>
  <c r="AX18" i="40" s="1"/>
  <c r="W18" i="40" s="1"/>
  <c r="BR18" i="40" a="1"/>
  <c r="BR18" i="40" s="1"/>
  <c r="Z18" i="40" s="1"/>
  <c r="BV20" i="40"/>
  <c r="BU20" i="40" s="1" a="1"/>
  <c r="BU20" i="40" s="1"/>
  <c r="AY20" i="40" a="1"/>
  <c r="AY20" i="40" s="1"/>
  <c r="BA20" i="40" s="1"/>
  <c r="X20" i="40" s="1"/>
  <c r="BS20" i="40" a="1"/>
  <c r="BS20" i="40" s="1"/>
  <c r="BT20" i="40" s="1"/>
  <c r="AA20" i="40" s="1"/>
  <c r="BB20" i="40" a="1"/>
  <c r="BB20" i="40" s="1"/>
  <c r="CT20" i="40" a="1"/>
  <c r="CT20" i="40" s="1"/>
  <c r="CJ20" i="40" a="1"/>
  <c r="CJ20" i="40" s="1"/>
  <c r="CM20" i="40" a="1"/>
  <c r="CM20" i="40" s="1"/>
  <c r="CK20" i="40" a="1"/>
  <c r="CK20" i="40" s="1"/>
  <c r="CB20" i="40"/>
  <c r="BZ20" i="40" s="1" a="1"/>
  <c r="BZ20" i="40" s="1"/>
  <c r="BX18" i="40"/>
  <c r="AB18" i="40" s="1"/>
  <c r="CW20" i="40" a="1"/>
  <c r="CW20" i="40" s="1"/>
  <c r="CK19" i="40" a="1"/>
  <c r="CK19" i="40" s="1"/>
  <c r="CL19" i="40" s="1"/>
  <c r="AE19" i="40" s="1"/>
  <c r="BD19" i="40"/>
  <c r="BC19" i="40" s="1" a="1"/>
  <c r="BC19" i="40" s="1"/>
  <c r="CE18" i="40" a="1"/>
  <c r="CE18" i="40" s="1"/>
  <c r="AC18" i="40" s="1"/>
  <c r="CN19" i="40" a="1"/>
  <c r="CN19" i="40" s="1"/>
  <c r="BB19" i="40" a="1"/>
  <c r="BB19" i="40" s="1"/>
  <c r="AY19" i="40" a="1"/>
  <c r="AY19" i="40" s="1"/>
  <c r="BV19" i="40"/>
  <c r="M22" i="40"/>
  <c r="H22" i="40" s="1"/>
  <c r="E23" i="40" s="1" a="1"/>
  <c r="E23" i="40" s="1"/>
  <c r="F23" i="40" s="1" a="1"/>
  <c r="F23" i="40" s="1"/>
  <c r="CB19" i="40"/>
  <c r="CM19" i="40" a="1"/>
  <c r="CM19" i="40" s="1"/>
  <c r="CV20" i="40" a="1"/>
  <c r="CV20" i="40" s="1"/>
  <c r="BS19" i="40" a="1"/>
  <c r="BS19" i="40" s="1"/>
  <c r="BT19" i="40" s="1"/>
  <c r="AA19" i="40" s="1"/>
  <c r="CP19" i="40" a="1"/>
  <c r="CP19" i="40" s="1"/>
  <c r="DB20" i="40"/>
  <c r="AV20" i="40"/>
  <c r="CQ19" i="40" a="1"/>
  <c r="CQ19" i="40" s="1"/>
  <c r="DB19" i="40"/>
  <c r="CS19" i="40" a="1"/>
  <c r="CS19" i="40" s="1"/>
  <c r="CV19" i="40" a="1"/>
  <c r="CV19" i="40" s="1"/>
  <c r="BP20" i="40"/>
  <c r="CT19" i="40" a="1"/>
  <c r="CT19" i="40" s="1"/>
  <c r="BP19" i="40"/>
  <c r="CG20" i="40"/>
  <c r="CN20" i="40" a="1"/>
  <c r="CN20" i="40" s="1"/>
  <c r="CQ20" i="40" a="1"/>
  <c r="CQ20" i="40" s="1"/>
  <c r="CG19" i="40"/>
  <c r="AM21" i="40"/>
  <c r="CP20" i="40" a="1"/>
  <c r="CP20" i="40" s="1"/>
  <c r="BD20" i="40"/>
  <c r="BC20" i="40" s="1" a="1"/>
  <c r="BC20" i="40" s="1"/>
  <c r="AZ19" i="40" a="1"/>
  <c r="AZ19" i="40" s="1"/>
  <c r="CW19" i="40" a="1"/>
  <c r="CW19" i="40" s="1"/>
  <c r="AV19" i="40"/>
  <c r="I23" i="39"/>
  <c r="H23" i="39"/>
  <c r="E24" i="39" s="1" a="1"/>
  <c r="E24" i="39" s="1"/>
  <c r="F24" i="39" s="1" a="1"/>
  <c r="F24" i="39" s="1"/>
  <c r="M24" i="39" s="1"/>
  <c r="Q23" i="39"/>
  <c r="P23" i="39"/>
  <c r="N23" i="39"/>
  <c r="N22" i="39"/>
  <c r="Q22" i="39"/>
  <c r="P22" i="39"/>
  <c r="M21" i="35"/>
  <c r="H21" i="35" s="1"/>
  <c r="BW20" i="40" l="1" a="1"/>
  <c r="BW20" i="40" s="1"/>
  <c r="BX20" i="40" s="1"/>
  <c r="AB20" i="40" s="1"/>
  <c r="CU20" i="40"/>
  <c r="AH20" i="40" s="1"/>
  <c r="U18" i="40"/>
  <c r="BE20" i="40"/>
  <c r="Y20" i="40" s="1"/>
  <c r="CL20" i="40"/>
  <c r="AE20" i="40" s="1"/>
  <c r="CR20" i="40"/>
  <c r="AG20" i="40" s="1"/>
  <c r="V18" i="40"/>
  <c r="CO20" i="40"/>
  <c r="AF20" i="40" s="1"/>
  <c r="BA19" i="40"/>
  <c r="X19" i="40" s="1"/>
  <c r="AK18" i="40"/>
  <c r="CX20" i="40"/>
  <c r="AI20" i="40" s="1"/>
  <c r="I22" i="40"/>
  <c r="CA20" i="40" a="1"/>
  <c r="CA20" i="40" s="1"/>
  <c r="CD20" i="40"/>
  <c r="CC20" i="40" s="1" a="1"/>
  <c r="CC20" i="40" s="1"/>
  <c r="BY20" i="40" a="1"/>
  <c r="BY20" i="40" s="1"/>
  <c r="M23" i="40"/>
  <c r="H23" i="40" s="1"/>
  <c r="E24" i="40" s="1" a="1"/>
  <c r="E24" i="40" s="1"/>
  <c r="F24" i="40" s="1" a="1"/>
  <c r="F24" i="40" s="1"/>
  <c r="AU20" i="40" a="1"/>
  <c r="AU20" i="40" s="1"/>
  <c r="AT20" i="40" a="1"/>
  <c r="AT20" i="40" s="1"/>
  <c r="AW20" i="40" a="1"/>
  <c r="AW20" i="40" s="1"/>
  <c r="CH20" i="40" a="1"/>
  <c r="CH20" i="40" s="1"/>
  <c r="CF20" i="40" a="1"/>
  <c r="CF20" i="40" s="1"/>
  <c r="CI20" i="40" s="1"/>
  <c r="AD20" i="40" s="1"/>
  <c r="BG19" i="40" a="1"/>
  <c r="BG19" i="40" s="1"/>
  <c r="BL19" i="40" a="1"/>
  <c r="BL19" i="40" s="1"/>
  <c r="BF19" i="40" a="1"/>
  <c r="BF19" i="40" s="1"/>
  <c r="BJ19" i="40" a="1"/>
  <c r="BJ19" i="40" s="1"/>
  <c r="BQ19" i="40" a="1"/>
  <c r="BQ19" i="40" s="1"/>
  <c r="BI19" i="40" a="1"/>
  <c r="BI19" i="40" s="1"/>
  <c r="BM19" i="40" a="1"/>
  <c r="BM19" i="40" s="1"/>
  <c r="BN19" i="40" a="1"/>
  <c r="BN19" i="40" s="1"/>
  <c r="BK19" i="40" a="1"/>
  <c r="BK19" i="40" s="1"/>
  <c r="BO19" i="40" a="1"/>
  <c r="BO19" i="40" s="1"/>
  <c r="BH19" i="40" a="1"/>
  <c r="BH19" i="40" s="1"/>
  <c r="CU19" i="40"/>
  <c r="AH19" i="40" s="1"/>
  <c r="CA19" i="40" a="1"/>
  <c r="CA19" i="40" s="1"/>
  <c r="BZ19" i="40" a="1"/>
  <c r="BZ19" i="40" s="1"/>
  <c r="CD19" i="40"/>
  <c r="CC19" i="40" s="1" a="1"/>
  <c r="CC19" i="40" s="1"/>
  <c r="BY19" i="40" a="1"/>
  <c r="BY19" i="40" s="1"/>
  <c r="AT19" i="40" a="1"/>
  <c r="AT19" i="40" s="1"/>
  <c r="AU19" i="40" a="1"/>
  <c r="AU19" i="40" s="1"/>
  <c r="AW19" i="40" a="1"/>
  <c r="AW19" i="40" s="1"/>
  <c r="G22" i="40"/>
  <c r="O22" i="40" s="1"/>
  <c r="BE19" i="40"/>
  <c r="Y19" i="40" s="1"/>
  <c r="AN21" i="40"/>
  <c r="AO21" i="40" s="1"/>
  <c r="AP21" i="40" s="1"/>
  <c r="AQ21" i="40" s="1"/>
  <c r="AR21" i="40" s="1"/>
  <c r="AS21" i="40" s="1"/>
  <c r="AZ21" i="40" s="1" a="1"/>
  <c r="AZ21" i="40" s="1"/>
  <c r="CH19" i="40" a="1"/>
  <c r="CH19" i="40" s="1"/>
  <c r="CF19" i="40" a="1"/>
  <c r="CF19" i="40" s="1"/>
  <c r="DA20" i="40" a="1"/>
  <c r="DA20" i="40" s="1"/>
  <c r="CZ20" i="40" a="1"/>
  <c r="CZ20" i="40" s="1"/>
  <c r="DC20" i="40" a="1"/>
  <c r="DC20" i="40" s="1"/>
  <c r="CY20" i="40" a="1"/>
  <c r="CY20" i="40" s="1"/>
  <c r="CR19" i="40"/>
  <c r="AG19" i="40" s="1"/>
  <c r="DC19" i="40" a="1"/>
  <c r="DC19" i="40" s="1"/>
  <c r="CZ19" i="40" a="1"/>
  <c r="CZ19" i="40" s="1"/>
  <c r="CY19" i="40" a="1"/>
  <c r="CY19" i="40" s="1"/>
  <c r="DA19" i="40" a="1"/>
  <c r="DA19" i="40" s="1"/>
  <c r="BU19" i="40" a="1"/>
  <c r="BU19" i="40" s="1"/>
  <c r="BW19" i="40" a="1"/>
  <c r="BW19" i="40" s="1"/>
  <c r="BN20" i="40" a="1"/>
  <c r="BN20" i="40" s="1"/>
  <c r="BO20" i="40" a="1"/>
  <c r="BO20" i="40" s="1"/>
  <c r="BF20" i="40" a="1"/>
  <c r="BF20" i="40" s="1"/>
  <c r="BG20" i="40" a="1"/>
  <c r="BG20" i="40" s="1"/>
  <c r="BI20" i="40" a="1"/>
  <c r="BI20" i="40" s="1"/>
  <c r="BH20" i="40" a="1"/>
  <c r="BH20" i="40" s="1"/>
  <c r="BQ20" i="40" a="1"/>
  <c r="BQ20" i="40" s="1"/>
  <c r="BM20" i="40" a="1"/>
  <c r="BM20" i="40" s="1"/>
  <c r="BK20" i="40" a="1"/>
  <c r="BK20" i="40" s="1"/>
  <c r="BL20" i="40" a="1"/>
  <c r="BL20" i="40" s="1"/>
  <c r="BJ20" i="40" a="1"/>
  <c r="BJ20" i="40" s="1"/>
  <c r="CX19" i="40"/>
  <c r="AI19" i="40" s="1"/>
  <c r="CO19" i="40"/>
  <c r="AF19" i="40" s="1"/>
  <c r="H24" i="39"/>
  <c r="E25" i="39" s="1" a="1"/>
  <c r="E25" i="39" s="1"/>
  <c r="F25" i="39" s="1" a="1"/>
  <c r="F25" i="39" s="1"/>
  <c r="M25" i="39" s="1"/>
  <c r="G25" i="39" s="1"/>
  <c r="O25" i="39" s="1"/>
  <c r="I24" i="39"/>
  <c r="G24" i="39"/>
  <c r="O24" i="39" s="1"/>
  <c r="N24" i="39" s="1"/>
  <c r="G21" i="35"/>
  <c r="O21" i="35" s="1"/>
  <c r="I21" i="35"/>
  <c r="E22" i="35" a="1"/>
  <c r="E22" i="35" s="1"/>
  <c r="F22" i="35" s="1" a="1"/>
  <c r="F22" i="35" s="1"/>
  <c r="CE20" i="40" l="1" a="1"/>
  <c r="CE20" i="40" s="1"/>
  <c r="AC20" i="40" s="1"/>
  <c r="CE19" i="40" a="1"/>
  <c r="CE19" i="40" s="1"/>
  <c r="AC19" i="40" s="1"/>
  <c r="CI19" i="40"/>
  <c r="AD19" i="40" s="1"/>
  <c r="AV21" i="40"/>
  <c r="AU21" i="40" s="1" a="1"/>
  <c r="AU21" i="40" s="1"/>
  <c r="CP21" i="40" a="1"/>
  <c r="CP21" i="40" s="1"/>
  <c r="CT21" i="40" a="1"/>
  <c r="CT21" i="40" s="1"/>
  <c r="BB21" i="40" a="1"/>
  <c r="BB21" i="40" s="1"/>
  <c r="CS21" i="40" a="1"/>
  <c r="CS21" i="40" s="1"/>
  <c r="G23" i="40"/>
  <c r="O23" i="40" s="1"/>
  <c r="N23" i="40" s="1"/>
  <c r="CN21" i="40" a="1"/>
  <c r="CN21" i="40" s="1"/>
  <c r="I23" i="40"/>
  <c r="CB21" i="40"/>
  <c r="BY21" i="40" s="1" a="1"/>
  <c r="BY21" i="40" s="1"/>
  <c r="BS21" i="40" a="1"/>
  <c r="BS21" i="40" s="1"/>
  <c r="BT21" i="40" s="1"/>
  <c r="AA21" i="40" s="1"/>
  <c r="BP21" i="40"/>
  <c r="BL21" i="40" s="1" a="1"/>
  <c r="BL21" i="40" s="1"/>
  <c r="AY21" i="40" a="1"/>
  <c r="AY21" i="40" s="1"/>
  <c r="BA21" i="40" s="1"/>
  <c r="X21" i="40" s="1"/>
  <c r="DD19" i="40"/>
  <c r="AJ19" i="40" s="1"/>
  <c r="DB21" i="40"/>
  <c r="CY21" i="40" s="1" a="1"/>
  <c r="CY21" i="40" s="1"/>
  <c r="CJ21" i="40" a="1"/>
  <c r="CJ21" i="40" s="1"/>
  <c r="CQ21" i="40" a="1"/>
  <c r="CQ21" i="40" s="1"/>
  <c r="M24" i="40"/>
  <c r="G24" i="40" s="1"/>
  <c r="O24" i="40" s="1"/>
  <c r="BR19" i="40" a="1"/>
  <c r="BR19" i="40" s="1"/>
  <c r="Z19" i="40" s="1"/>
  <c r="BX19" i="40"/>
  <c r="AB19" i="40" s="1"/>
  <c r="BD21" i="40"/>
  <c r="BC21" i="40" s="1" a="1"/>
  <c r="BC21" i="40" s="1"/>
  <c r="N22" i="40"/>
  <c r="T22" i="40"/>
  <c r="Q22" i="40"/>
  <c r="P22" i="40"/>
  <c r="CW21" i="40" a="1"/>
  <c r="CW21" i="40" s="1"/>
  <c r="CK21" i="40" a="1"/>
  <c r="CK21" i="40" s="1"/>
  <c r="CM21" i="40" a="1"/>
  <c r="CM21" i="40" s="1"/>
  <c r="AX19" i="40" a="1"/>
  <c r="AX19" i="40" s="1"/>
  <c r="W19" i="40" s="1"/>
  <c r="AX20" i="40" a="1"/>
  <c r="AX20" i="40" s="1"/>
  <c r="W20" i="40" s="1"/>
  <c r="DD20" i="40"/>
  <c r="AJ20" i="40" s="1"/>
  <c r="CV21" i="40" a="1"/>
  <c r="CV21" i="40" s="1"/>
  <c r="BR20" i="40" a="1"/>
  <c r="BR20" i="40" s="1"/>
  <c r="Z20" i="40" s="1"/>
  <c r="BV21" i="40"/>
  <c r="CG21" i="40"/>
  <c r="P24" i="39"/>
  <c r="Q24" i="39"/>
  <c r="N25" i="39"/>
  <c r="Q25" i="39"/>
  <c r="P25" i="39"/>
  <c r="H25" i="39"/>
  <c r="E26" i="39" s="1" a="1"/>
  <c r="E26" i="39" s="1"/>
  <c r="F26" i="39" s="1" a="1"/>
  <c r="F26" i="39" s="1"/>
  <c r="I25" i="39"/>
  <c r="M22" i="35"/>
  <c r="I22" i="35" s="1"/>
  <c r="P21" i="35"/>
  <c r="Q21" i="35"/>
  <c r="N21" i="35"/>
  <c r="CO21" i="40" l="1"/>
  <c r="AF21" i="40" s="1"/>
  <c r="AT21" i="40" a="1"/>
  <c r="AT21" i="40" s="1"/>
  <c r="I24" i="40"/>
  <c r="CR21" i="40"/>
  <c r="AG21" i="40" s="1"/>
  <c r="T23" i="40"/>
  <c r="AM23" i="40" s="1"/>
  <c r="P23" i="40"/>
  <c r="Q23" i="40"/>
  <c r="AW21" i="40" a="1"/>
  <c r="AW21" i="40" s="1"/>
  <c r="CA21" i="40" a="1"/>
  <c r="CA21" i="40" s="1"/>
  <c r="BZ21" i="40" a="1"/>
  <c r="BZ21" i="40" s="1"/>
  <c r="CX21" i="40"/>
  <c r="AI21" i="40" s="1"/>
  <c r="BE21" i="40"/>
  <c r="Y21" i="40" s="1"/>
  <c r="BO21" i="40" a="1"/>
  <c r="BO21" i="40" s="1"/>
  <c r="CD21" i="40"/>
  <c r="CC21" i="40" s="1" a="1"/>
  <c r="CC21" i="40" s="1"/>
  <c r="H24" i="40"/>
  <c r="E25" i="40" s="1" a="1"/>
  <c r="E25" i="40" s="1"/>
  <c r="F25" i="40" s="1" a="1"/>
  <c r="F25" i="40" s="1"/>
  <c r="M25" i="40" s="1"/>
  <c r="CU21" i="40"/>
  <c r="AH21" i="40" s="1"/>
  <c r="DC21" i="40" a="1"/>
  <c r="DC21" i="40" s="1"/>
  <c r="CZ21" i="40" a="1"/>
  <c r="CZ21" i="40" s="1"/>
  <c r="DA21" i="40" a="1"/>
  <c r="DA21" i="40" s="1"/>
  <c r="BK21" i="40" a="1"/>
  <c r="BK21" i="40" s="1"/>
  <c r="BN21" i="40" a="1"/>
  <c r="BN21" i="40" s="1"/>
  <c r="BI21" i="40" a="1"/>
  <c r="BI21" i="40" s="1"/>
  <c r="BH21" i="40" a="1"/>
  <c r="BH21" i="40" s="1"/>
  <c r="BM21" i="40" a="1"/>
  <c r="BM21" i="40" s="1"/>
  <c r="BF21" i="40" a="1"/>
  <c r="BF21" i="40" s="1"/>
  <c r="BJ21" i="40" a="1"/>
  <c r="BJ21" i="40" s="1"/>
  <c r="BG21" i="40" a="1"/>
  <c r="BG21" i="40" s="1"/>
  <c r="BQ21" i="40" a="1"/>
  <c r="BQ21" i="40" s="1"/>
  <c r="CL21" i="40"/>
  <c r="AE21" i="40" s="1"/>
  <c r="CF21" i="40" a="1"/>
  <c r="CF21" i="40" s="1"/>
  <c r="CH21" i="40" a="1"/>
  <c r="CH21" i="40" s="1"/>
  <c r="V19" i="40"/>
  <c r="U19" i="40"/>
  <c r="AK19" i="40"/>
  <c r="BU21" i="40" a="1"/>
  <c r="BU21" i="40" s="1"/>
  <c r="BW21" i="40" a="1"/>
  <c r="BW21" i="40" s="1"/>
  <c r="Q24" i="40"/>
  <c r="T24" i="40"/>
  <c r="P24" i="40"/>
  <c r="N24" i="40"/>
  <c r="AK20" i="40"/>
  <c r="V20" i="40"/>
  <c r="U20" i="40"/>
  <c r="AM22" i="40"/>
  <c r="M26" i="39"/>
  <c r="I26" i="39" s="1"/>
  <c r="H22" i="35"/>
  <c r="E23" i="35" s="1" a="1"/>
  <c r="E23" i="35" s="1"/>
  <c r="F23" i="35" s="1" a="1"/>
  <c r="F23" i="35" s="1"/>
  <c r="G22" i="35"/>
  <c r="O22" i="35" s="1"/>
  <c r="AX21" i="40" l="1" a="1"/>
  <c r="AX21" i="40" s="1"/>
  <c r="W21" i="40" s="1"/>
  <c r="DD21" i="40"/>
  <c r="AJ21" i="40" s="1"/>
  <c r="CI21" i="40"/>
  <c r="AD21" i="40" s="1"/>
  <c r="CE21" i="40" a="1"/>
  <c r="CE21" i="40" s="1"/>
  <c r="AC21" i="40" s="1"/>
  <c r="I25" i="40"/>
  <c r="G25" i="40"/>
  <c r="O25" i="40" s="1"/>
  <c r="N25" i="40" s="1"/>
  <c r="H25" i="40"/>
  <c r="E26" i="40" s="1" a="1"/>
  <c r="E26" i="40" s="1"/>
  <c r="F26" i="40" s="1" a="1"/>
  <c r="F26" i="40" s="1"/>
  <c r="M26" i="40" s="1"/>
  <c r="BR21" i="40" a="1"/>
  <c r="BR21" i="40" s="1"/>
  <c r="Z21" i="40" s="1"/>
  <c r="BX21" i="40"/>
  <c r="AB21" i="40" s="1"/>
  <c r="AN22" i="40"/>
  <c r="AO22" i="40" s="1"/>
  <c r="AP22" i="40" s="1"/>
  <c r="AQ22" i="40" s="1"/>
  <c r="AR22" i="40" s="1"/>
  <c r="AS22" i="40" s="1"/>
  <c r="AV22" i="40" s="1"/>
  <c r="AU22" i="40" s="1" a="1"/>
  <c r="AU22" i="40" s="1"/>
  <c r="AN23" i="40"/>
  <c r="AO23" i="40" s="1"/>
  <c r="AP23" i="40" s="1"/>
  <c r="AQ23" i="40" s="1"/>
  <c r="AR23" i="40" s="1"/>
  <c r="AS23" i="40" s="1"/>
  <c r="BV23" i="40" s="1"/>
  <c r="AM24" i="40"/>
  <c r="H26" i="39"/>
  <c r="E27" i="39" s="1" a="1"/>
  <c r="E27" i="39" s="1"/>
  <c r="F27" i="39" s="1" a="1"/>
  <c r="F27" i="39" s="1"/>
  <c r="M27" i="39" s="1"/>
  <c r="G26" i="39"/>
  <c r="O26" i="39" s="1"/>
  <c r="N26" i="39" s="1"/>
  <c r="P22" i="35"/>
  <c r="N22" i="35"/>
  <c r="Q22" i="35"/>
  <c r="M23" i="35"/>
  <c r="I23" i="35" s="1"/>
  <c r="P25" i="40" l="1"/>
  <c r="Q25" i="40"/>
  <c r="T25" i="40"/>
  <c r="AM25" i="40" s="1"/>
  <c r="I26" i="40"/>
  <c r="G26" i="40"/>
  <c r="O26" i="40" s="1"/>
  <c r="N26" i="40" s="1"/>
  <c r="U21" i="40"/>
  <c r="BS22" i="40" a="1"/>
  <c r="BS22" i="40" s="1"/>
  <c r="BT22" i="40" s="1"/>
  <c r="AA22" i="40" s="1"/>
  <c r="BB22" i="40" a="1"/>
  <c r="BB22" i="40" s="1"/>
  <c r="CB22" i="40"/>
  <c r="BZ22" i="40" s="1" a="1"/>
  <c r="BZ22" i="40" s="1"/>
  <c r="CS22" i="40" a="1"/>
  <c r="CS22" i="40" s="1"/>
  <c r="BB23" i="40" a="1"/>
  <c r="BB23" i="40" s="1"/>
  <c r="V21" i="40"/>
  <c r="AY22" i="40" a="1"/>
  <c r="AY22" i="40" s="1"/>
  <c r="H26" i="40"/>
  <c r="E27" i="40" s="1" a="1"/>
  <c r="E27" i="40" s="1"/>
  <c r="F27" i="40" s="1" a="1"/>
  <c r="F27" i="40" s="1"/>
  <c r="M27" i="40" s="1"/>
  <c r="G27" i="40" s="1"/>
  <c r="O27" i="40" s="1"/>
  <c r="CJ22" i="40" a="1"/>
  <c r="CJ22" i="40" s="1"/>
  <c r="BP22" i="40"/>
  <c r="BO22" i="40" s="1" a="1"/>
  <c r="BO22" i="40" s="1"/>
  <c r="CT22" i="40" a="1"/>
  <c r="CT22" i="40" s="1"/>
  <c r="CV22" i="40" a="1"/>
  <c r="CV22" i="40" s="1"/>
  <c r="AK21" i="40"/>
  <c r="CM22" i="40" a="1"/>
  <c r="CM22" i="40" s="1"/>
  <c r="BV22" i="40"/>
  <c r="BD22" i="40"/>
  <c r="BC22" i="40" s="1" a="1"/>
  <c r="BC22" i="40" s="1"/>
  <c r="CP22" i="40" a="1"/>
  <c r="CP22" i="40" s="1"/>
  <c r="CK22" i="40" a="1"/>
  <c r="CK22" i="40" s="1"/>
  <c r="CQ22" i="40" a="1"/>
  <c r="CQ22" i="40" s="1"/>
  <c r="CT23" i="40" a="1"/>
  <c r="CT23" i="40" s="1"/>
  <c r="DB22" i="40"/>
  <c r="DA22" i="40" s="1" a="1"/>
  <c r="DA22" i="40" s="1"/>
  <c r="CN22" i="40" a="1"/>
  <c r="CN22" i="40" s="1"/>
  <c r="CW22" i="40" a="1"/>
  <c r="CW22" i="40" s="1"/>
  <c r="BW23" i="40" a="1"/>
  <c r="BW23" i="40" s="1"/>
  <c r="BU23" i="40" a="1"/>
  <c r="BU23" i="40" s="1"/>
  <c r="CK23" i="40" a="1"/>
  <c r="CK23" i="40" s="1"/>
  <c r="CV23" i="40" a="1"/>
  <c r="CV23" i="40" s="1"/>
  <c r="DB23" i="40"/>
  <c r="AT22" i="40" a="1"/>
  <c r="AT22" i="40" s="1"/>
  <c r="AZ23" i="40" a="1"/>
  <c r="AZ23" i="40" s="1"/>
  <c r="CM23" i="40" a="1"/>
  <c r="CM23" i="40" s="1"/>
  <c r="BP23" i="40"/>
  <c r="CS23" i="40" a="1"/>
  <c r="CS23" i="40" s="1"/>
  <c r="CN23" i="40" a="1"/>
  <c r="CN23" i="40" s="1"/>
  <c r="CB23" i="40"/>
  <c r="AY23" i="40" a="1"/>
  <c r="AY23" i="40" s="1"/>
  <c r="BD23" i="40"/>
  <c r="BC23" i="40" s="1" a="1"/>
  <c r="BC23" i="40" s="1"/>
  <c r="CJ23" i="40" a="1"/>
  <c r="CJ23" i="40" s="1"/>
  <c r="AW22" i="40" a="1"/>
  <c r="AW22" i="40" s="1"/>
  <c r="CW23" i="40" a="1"/>
  <c r="CW23" i="40" s="1"/>
  <c r="AV23" i="40"/>
  <c r="CQ23" i="40" a="1"/>
  <c r="CQ23" i="40" s="1"/>
  <c r="AN24" i="40"/>
  <c r="AO24" i="40" s="1"/>
  <c r="AP24" i="40" s="1"/>
  <c r="AQ24" i="40" s="1"/>
  <c r="AR24" i="40" s="1"/>
  <c r="AS24" i="40" s="1"/>
  <c r="BP24" i="40" s="1"/>
  <c r="BS23" i="40" a="1"/>
  <c r="BS23" i="40" s="1"/>
  <c r="BT23" i="40" s="1"/>
  <c r="AA23" i="40" s="1"/>
  <c r="CG23" i="40"/>
  <c r="CP23" i="40" a="1"/>
  <c r="CP23" i="40" s="1"/>
  <c r="AZ22" i="40" a="1"/>
  <c r="AZ22" i="40" s="1"/>
  <c r="CG22" i="40"/>
  <c r="G27" i="39"/>
  <c r="O27" i="39" s="1"/>
  <c r="N27" i="39" s="1"/>
  <c r="H27" i="39"/>
  <c r="E28" i="39" s="1" a="1"/>
  <c r="E28" i="39" s="1"/>
  <c r="F28" i="39" s="1" a="1"/>
  <c r="F28" i="39" s="1"/>
  <c r="M28" i="39" s="1"/>
  <c r="I28" i="39" s="1"/>
  <c r="Q26" i="39"/>
  <c r="P26" i="39"/>
  <c r="I27" i="39"/>
  <c r="G23" i="35"/>
  <c r="O23" i="35" s="1"/>
  <c r="Q23" i="35" s="1"/>
  <c r="H23" i="35"/>
  <c r="E24" i="35" s="1" a="1"/>
  <c r="E24" i="35" s="1"/>
  <c r="F24" i="35" s="1" a="1"/>
  <c r="F24" i="35" s="1"/>
  <c r="M24" i="35" s="1"/>
  <c r="G24" i="35" s="1"/>
  <c r="O24" i="35" s="1"/>
  <c r="P26" i="40" l="1"/>
  <c r="Q26" i="40"/>
  <c r="T26" i="40"/>
  <c r="BF22" i="40" a="1"/>
  <c r="BF22" i="40" s="1"/>
  <c r="CL23" i="40"/>
  <c r="AE23" i="40" s="1"/>
  <c r="CU23" i="40"/>
  <c r="AH23" i="40" s="1"/>
  <c r="BL22" i="40" a="1"/>
  <c r="BL22" i="40" s="1"/>
  <c r="BN22" i="40" a="1"/>
  <c r="BN22" i="40" s="1"/>
  <c r="BK22" i="40" a="1"/>
  <c r="BK22" i="40" s="1"/>
  <c r="CX23" i="40"/>
  <c r="AI23" i="40" s="1"/>
  <c r="CX22" i="40"/>
  <c r="AI22" i="40" s="1"/>
  <c r="BB24" i="40" a="1"/>
  <c r="BB24" i="40" s="1"/>
  <c r="CW24" i="40" a="1"/>
  <c r="CW24" i="40" s="1"/>
  <c r="BY22" i="40" a="1"/>
  <c r="BY22" i="40" s="1"/>
  <c r="DC22" i="40" a="1"/>
  <c r="DC22" i="40" s="1"/>
  <c r="BA22" i="40"/>
  <c r="X22" i="40" s="1"/>
  <c r="CR22" i="40"/>
  <c r="AG22" i="40" s="1"/>
  <c r="BE23" i="40"/>
  <c r="Y23" i="40" s="1"/>
  <c r="BE22" i="40"/>
  <c r="Y22" i="40" s="1"/>
  <c r="AX22" i="40" a="1"/>
  <c r="AX22" i="40" s="1"/>
  <c r="W22" i="40" s="1"/>
  <c r="BG22" i="40" a="1"/>
  <c r="BG22" i="40" s="1"/>
  <c r="CZ22" i="40" a="1"/>
  <c r="CZ22" i="40" s="1"/>
  <c r="CY22" i="40" a="1"/>
  <c r="CY22" i="40" s="1"/>
  <c r="CO22" i="40"/>
  <c r="AF22" i="40" s="1"/>
  <c r="BO24" i="40" a="1"/>
  <c r="BO24" i="40" s="1"/>
  <c r="BF24" i="40" a="1"/>
  <c r="BF24" i="40" s="1"/>
  <c r="BS24" i="40" a="1"/>
  <c r="BS24" i="40" s="1"/>
  <c r="BT24" i="40" s="1"/>
  <c r="AA24" i="40" s="1"/>
  <c r="BX23" i="40"/>
  <c r="AB23" i="40" s="1"/>
  <c r="BI22" i="40" a="1"/>
  <c r="BI22" i="40" s="1"/>
  <c r="BH22" i="40" a="1"/>
  <c r="BH22" i="40" s="1"/>
  <c r="BQ22" i="40" a="1"/>
  <c r="BQ22" i="40" s="1"/>
  <c r="BJ22" i="40" a="1"/>
  <c r="BJ22" i="40" s="1"/>
  <c r="BM22" i="40" a="1"/>
  <c r="BM22" i="40" s="1"/>
  <c r="CL22" i="40"/>
  <c r="AE22" i="40" s="1"/>
  <c r="BD24" i="40"/>
  <c r="BC24" i="40" s="1" a="1"/>
  <c r="BC24" i="40" s="1"/>
  <c r="BU22" i="40" a="1"/>
  <c r="BU22" i="40" s="1"/>
  <c r="BW22" i="40" a="1"/>
  <c r="BW22" i="40" s="1"/>
  <c r="CN24" i="40" a="1"/>
  <c r="CN24" i="40" s="1"/>
  <c r="BA23" i="40"/>
  <c r="X23" i="40" s="1"/>
  <c r="CU22" i="40"/>
  <c r="AH22" i="40" s="1"/>
  <c r="CD22" i="40"/>
  <c r="CC22" i="40" s="1" a="1"/>
  <c r="CC22" i="40" s="1"/>
  <c r="CA22" i="40" a="1"/>
  <c r="CA22" i="40" s="1"/>
  <c r="P27" i="40"/>
  <c r="N27" i="40"/>
  <c r="T27" i="40"/>
  <c r="Q27" i="40"/>
  <c r="CM24" i="40" a="1"/>
  <c r="CM24" i="40" s="1"/>
  <c r="I27" i="40"/>
  <c r="AV24" i="40"/>
  <c r="BQ24" i="40" a="1"/>
  <c r="BQ24" i="40" s="1"/>
  <c r="CD23" i="40"/>
  <c r="CC23" i="40" s="1" a="1"/>
  <c r="CC23" i="40" s="1"/>
  <c r="BZ23" i="40" a="1"/>
  <c r="BZ23" i="40" s="1"/>
  <c r="BY23" i="40" a="1"/>
  <c r="BY23" i="40" s="1"/>
  <c r="CA23" i="40" a="1"/>
  <c r="CA23" i="40" s="1"/>
  <c r="H27" i="40"/>
  <c r="E28" i="40" s="1" a="1"/>
  <c r="E28" i="40" s="1"/>
  <c r="F28" i="40" s="1" a="1"/>
  <c r="F28" i="40" s="1"/>
  <c r="CB24" i="40"/>
  <c r="CT24" i="40" a="1"/>
  <c r="CT24" i="40" s="1"/>
  <c r="BG24" i="40" a="1"/>
  <c r="BG24" i="40" s="1"/>
  <c r="DB24" i="40"/>
  <c r="BL24" i="40" a="1"/>
  <c r="BL24" i="40" s="1"/>
  <c r="CF22" i="40" a="1"/>
  <c r="CF22" i="40" s="1"/>
  <c r="CH22" i="40" a="1"/>
  <c r="CH22" i="40" s="1"/>
  <c r="AN25" i="40"/>
  <c r="AO25" i="40" s="1"/>
  <c r="AP25" i="40" s="1"/>
  <c r="AQ25" i="40" s="1"/>
  <c r="AR25" i="40" s="1"/>
  <c r="AS25" i="40" s="1"/>
  <c r="CQ25" i="40" s="1" a="1"/>
  <c r="CQ25" i="40" s="1"/>
  <c r="CJ24" i="40" a="1"/>
  <c r="CJ24" i="40" s="1"/>
  <c r="BN24" i="40" a="1"/>
  <c r="BN24" i="40" s="1"/>
  <c r="BJ24" i="40" a="1"/>
  <c r="BJ24" i="40" s="1"/>
  <c r="CQ24" i="40" a="1"/>
  <c r="CQ24" i="40" s="1"/>
  <c r="BG23" i="40" a="1"/>
  <c r="BG23" i="40" s="1"/>
  <c r="BO23" i="40" a="1"/>
  <c r="BO23" i="40" s="1"/>
  <c r="BM23" i="40" a="1"/>
  <c r="BM23" i="40" s="1"/>
  <c r="BL23" i="40" a="1"/>
  <c r="BL23" i="40" s="1"/>
  <c r="BK23" i="40" a="1"/>
  <c r="BK23" i="40" s="1"/>
  <c r="BQ23" i="40" a="1"/>
  <c r="BQ23" i="40" s="1"/>
  <c r="BN23" i="40" a="1"/>
  <c r="BN23" i="40" s="1"/>
  <c r="BI23" i="40" a="1"/>
  <c r="BI23" i="40" s="1"/>
  <c r="BH23" i="40" a="1"/>
  <c r="BH23" i="40" s="1"/>
  <c r="BF23" i="40" a="1"/>
  <c r="BF23" i="40" s="1"/>
  <c r="BJ23" i="40" a="1"/>
  <c r="BJ23" i="40" s="1"/>
  <c r="BM24" i="40" a="1"/>
  <c r="BM24" i="40" s="1"/>
  <c r="AZ24" i="40" a="1"/>
  <c r="AZ24" i="40" s="1"/>
  <c r="AU23" i="40" a="1"/>
  <c r="AU23" i="40" s="1"/>
  <c r="AW23" i="40" a="1"/>
  <c r="AW23" i="40" s="1"/>
  <c r="AT23" i="40" a="1"/>
  <c r="AT23" i="40" s="1"/>
  <c r="AM26" i="40"/>
  <c r="CS24" i="40" a="1"/>
  <c r="CS24" i="40" s="1"/>
  <c r="BK24" i="40" a="1"/>
  <c r="BK24" i="40" s="1"/>
  <c r="CR23" i="40"/>
  <c r="AG23" i="40" s="1"/>
  <c r="BI24" i="40" a="1"/>
  <c r="BI24" i="40" s="1"/>
  <c r="BH24" i="40" a="1"/>
  <c r="BH24" i="40" s="1"/>
  <c r="CO23" i="40"/>
  <c r="AF23" i="40" s="1"/>
  <c r="BV24" i="40"/>
  <c r="AY24" i="40" a="1"/>
  <c r="AY24" i="40" s="1"/>
  <c r="CP24" i="40" a="1"/>
  <c r="CP24" i="40" s="1"/>
  <c r="CZ23" i="40" a="1"/>
  <c r="CZ23" i="40" s="1"/>
  <c r="DC23" i="40" a="1"/>
  <c r="DC23" i="40" s="1"/>
  <c r="CY23" i="40" a="1"/>
  <c r="CY23" i="40" s="1"/>
  <c r="DA23" i="40" a="1"/>
  <c r="DA23" i="40" s="1"/>
  <c r="CV24" i="40" a="1"/>
  <c r="CV24" i="40" s="1"/>
  <c r="CK24" i="40" a="1"/>
  <c r="CK24" i="40" s="1"/>
  <c r="CF23" i="40" a="1"/>
  <c r="CF23" i="40" s="1"/>
  <c r="CH23" i="40" a="1"/>
  <c r="CH23" i="40" s="1"/>
  <c r="CG24" i="40"/>
  <c r="P27" i="39"/>
  <c r="Q27" i="39"/>
  <c r="G28" i="39"/>
  <c r="O28" i="39" s="1"/>
  <c r="N28" i="39" s="1"/>
  <c r="H28" i="39"/>
  <c r="E29" i="39" s="1" a="1"/>
  <c r="E29" i="39" s="1"/>
  <c r="F29" i="39" s="1" a="1"/>
  <c r="F29" i="39" s="1"/>
  <c r="M29" i="39" s="1"/>
  <c r="P23" i="35"/>
  <c r="N23" i="35"/>
  <c r="I24" i="35"/>
  <c r="H24" i="35"/>
  <c r="E25" i="35" s="1" a="1"/>
  <c r="E25" i="35" s="1"/>
  <c r="F25" i="35" s="1" a="1"/>
  <c r="F25" i="35" s="1"/>
  <c r="M25" i="35" s="1"/>
  <c r="I25" i="35" s="1"/>
  <c r="Q24" i="35"/>
  <c r="P24" i="35"/>
  <c r="N24" i="35"/>
  <c r="CX24" i="40" l="1"/>
  <c r="AI24" i="40" s="1"/>
  <c r="CS25" i="40" a="1"/>
  <c r="CS25" i="40" s="1"/>
  <c r="AX23" i="40" a="1"/>
  <c r="AX23" i="40" s="1"/>
  <c r="W23" i="40" s="1"/>
  <c r="CE22" i="40" a="1"/>
  <c r="CE22" i="40" s="1"/>
  <c r="AC22" i="40" s="1"/>
  <c r="DD22" i="40"/>
  <c r="AJ22" i="40" s="1"/>
  <c r="BE24" i="40"/>
  <c r="Y24" i="40" s="1"/>
  <c r="BR22" i="40" a="1"/>
  <c r="BR22" i="40" s="1"/>
  <c r="Z22" i="40" s="1"/>
  <c r="CR24" i="40"/>
  <c r="AG24" i="40" s="1"/>
  <c r="CO24" i="40"/>
  <c r="AF24" i="40" s="1"/>
  <c r="BX22" i="40"/>
  <c r="AB22" i="40" s="1"/>
  <c r="CL24" i="40"/>
  <c r="AE24" i="40" s="1"/>
  <c r="BR24" i="40" a="1"/>
  <c r="BR24" i="40" s="1"/>
  <c r="Z24" i="40" s="1"/>
  <c r="CP25" i="40" a="1"/>
  <c r="CP25" i="40" s="1"/>
  <c r="CR25" i="40" s="1"/>
  <c r="AG25" i="40" s="1"/>
  <c r="AV25" i="40"/>
  <c r="DB25" i="40"/>
  <c r="CN25" i="40" a="1"/>
  <c r="CN25" i="40" s="1"/>
  <c r="DD23" i="40"/>
  <c r="AJ23" i="40" s="1"/>
  <c r="CW25" i="40" a="1"/>
  <c r="CW25" i="40" s="1"/>
  <c r="AW24" i="40" a="1"/>
  <c r="AW24" i="40" s="1"/>
  <c r="AU24" i="40" a="1"/>
  <c r="AU24" i="40" s="1"/>
  <c r="AT24" i="40" a="1"/>
  <c r="AT24" i="40" s="1"/>
  <c r="AY25" i="40" a="1"/>
  <c r="AY25" i="40" s="1"/>
  <c r="CG25" i="40"/>
  <c r="BV25" i="40"/>
  <c r="BS25" i="40" a="1"/>
  <c r="BS25" i="40" s="1"/>
  <c r="BT25" i="40" s="1"/>
  <c r="AA25" i="40" s="1"/>
  <c r="CI22" i="40"/>
  <c r="AD22" i="40" s="1"/>
  <c r="BA24" i="40"/>
  <c r="X24" i="40" s="1"/>
  <c r="AN26" i="40"/>
  <c r="AO26" i="40" s="1"/>
  <c r="AP26" i="40" s="1"/>
  <c r="AQ26" i="40" s="1"/>
  <c r="AR26" i="40" s="1"/>
  <c r="AS26" i="40" s="1"/>
  <c r="CP26" i="40" s="1" a="1"/>
  <c r="CP26" i="40" s="1"/>
  <c r="BR23" i="40" a="1"/>
  <c r="BR23" i="40" s="1"/>
  <c r="Z23" i="40" s="1"/>
  <c r="BU24" i="40" a="1"/>
  <c r="BU24" i="40" s="1"/>
  <c r="BW24" i="40" a="1"/>
  <c r="BW24" i="40" s="1"/>
  <c r="DA24" i="40" a="1"/>
  <c r="DA24" i="40" s="1"/>
  <c r="DC24" i="40" a="1"/>
  <c r="DC24" i="40" s="1"/>
  <c r="CZ24" i="40" a="1"/>
  <c r="CZ24" i="40" s="1"/>
  <c r="CY24" i="40" a="1"/>
  <c r="CY24" i="40" s="1"/>
  <c r="CM25" i="40" a="1"/>
  <c r="CM25" i="40" s="1"/>
  <c r="CH24" i="40" a="1"/>
  <c r="CH24" i="40" s="1"/>
  <c r="CF24" i="40" a="1"/>
  <c r="CF24" i="40" s="1"/>
  <c r="CT25" i="40" a="1"/>
  <c r="CT25" i="40" s="1"/>
  <c r="CK25" i="40" a="1"/>
  <c r="CK25" i="40" s="1"/>
  <c r="BB25" i="40" a="1"/>
  <c r="BB25" i="40" s="1"/>
  <c r="CA24" i="40" a="1"/>
  <c r="CA24" i="40" s="1"/>
  <c r="BY24" i="40" a="1"/>
  <c r="BY24" i="40" s="1"/>
  <c r="BZ24" i="40" a="1"/>
  <c r="BZ24" i="40" s="1"/>
  <c r="CD24" i="40"/>
  <c r="CC24" i="40" s="1" a="1"/>
  <c r="CC24" i="40" s="1"/>
  <c r="BP25" i="40"/>
  <c r="M28" i="40"/>
  <c r="H28" i="40" s="1"/>
  <c r="E29" i="40" s="1" a="1"/>
  <c r="E29" i="40" s="1"/>
  <c r="F29" i="40" s="1" a="1"/>
  <c r="F29" i="40" s="1"/>
  <c r="CI23" i="40"/>
  <c r="AD23" i="40" s="1"/>
  <c r="CV25" i="40" a="1"/>
  <c r="CV25" i="40" s="1"/>
  <c r="CB25" i="40"/>
  <c r="AM27" i="40"/>
  <c r="CU24" i="40"/>
  <c r="AH24" i="40" s="1"/>
  <c r="BD25" i="40"/>
  <c r="BC25" i="40" s="1" a="1"/>
  <c r="BC25" i="40" s="1"/>
  <c r="CJ25" i="40" a="1"/>
  <c r="CJ25" i="40" s="1"/>
  <c r="CE23" i="40" a="1"/>
  <c r="CE23" i="40" s="1"/>
  <c r="AC23" i="40" s="1"/>
  <c r="AZ25" i="40" a="1"/>
  <c r="AZ25" i="40" s="1"/>
  <c r="Q28" i="39"/>
  <c r="P28" i="39"/>
  <c r="G29" i="39"/>
  <c r="O29" i="39" s="1"/>
  <c r="P29" i="39" s="1"/>
  <c r="H29" i="39"/>
  <c r="E30" i="39" s="1" a="1"/>
  <c r="E30" i="39" s="1"/>
  <c r="F30" i="39" s="1" a="1"/>
  <c r="F30" i="39" s="1"/>
  <c r="M30" i="39" s="1"/>
  <c r="G30" i="39" s="1"/>
  <c r="O30" i="39" s="1"/>
  <c r="I29" i="39"/>
  <c r="H25" i="35"/>
  <c r="E26" i="35" s="1" a="1"/>
  <c r="E26" i="35" s="1"/>
  <c r="F26" i="35" s="1" a="1"/>
  <c r="F26" i="35" s="1"/>
  <c r="M26" i="35" s="1"/>
  <c r="G26" i="35" s="1"/>
  <c r="O26" i="35" s="1"/>
  <c r="G25" i="35"/>
  <c r="O25" i="35" s="1"/>
  <c r="N25" i="35" s="1"/>
  <c r="CU25" i="40" l="1"/>
  <c r="AH25" i="40" s="1"/>
  <c r="I28" i="40"/>
  <c r="AK22" i="40"/>
  <c r="CS26" i="40" a="1"/>
  <c r="CS26" i="40" s="1"/>
  <c r="CO25" i="40"/>
  <c r="AF25" i="40" s="1"/>
  <c r="BA25" i="40"/>
  <c r="X25" i="40" s="1"/>
  <c r="DD24" i="40"/>
  <c r="AJ24" i="40" s="1"/>
  <c r="AX24" i="40" a="1"/>
  <c r="AX24" i="40" s="1"/>
  <c r="W24" i="40" s="1"/>
  <c r="CJ26" i="40" a="1"/>
  <c r="CJ26" i="40" s="1"/>
  <c r="CV26" i="40" a="1"/>
  <c r="CV26" i="40" s="1"/>
  <c r="CQ26" i="40" a="1"/>
  <c r="CQ26" i="40" s="1"/>
  <c r="CR26" i="40" s="1"/>
  <c r="AG26" i="40" s="1"/>
  <c r="AZ26" i="40" a="1"/>
  <c r="AZ26" i="40" s="1"/>
  <c r="CW26" i="40" a="1"/>
  <c r="CW26" i="40" s="1"/>
  <c r="BP26" i="40"/>
  <c r="BL26" i="40" s="1" a="1"/>
  <c r="BL26" i="40" s="1"/>
  <c r="DB26" i="40"/>
  <c r="CY26" i="40" s="1" a="1"/>
  <c r="CY26" i="40" s="1"/>
  <c r="AY26" i="40" a="1"/>
  <c r="AY26" i="40" s="1"/>
  <c r="CB26" i="40"/>
  <c r="BZ26" i="40" s="1" a="1"/>
  <c r="BZ26" i="40" s="1"/>
  <c r="BD26" i="40"/>
  <c r="BC26" i="40" s="1" a="1"/>
  <c r="BC26" i="40" s="1"/>
  <c r="CE24" i="40" a="1"/>
  <c r="CE24" i="40" s="1"/>
  <c r="AC24" i="40" s="1"/>
  <c r="CG26" i="40"/>
  <c r="CH26" i="40" s="1" a="1"/>
  <c r="CH26" i="40" s="1"/>
  <c r="AV26" i="40"/>
  <c r="AU26" i="40" s="1" a="1"/>
  <c r="AU26" i="40" s="1"/>
  <c r="CL25" i="40"/>
  <c r="AE25" i="40" s="1"/>
  <c r="CT26" i="40" a="1"/>
  <c r="CT26" i="40" s="1"/>
  <c r="BV26" i="40"/>
  <c r="BU26" i="40" s="1" a="1"/>
  <c r="BU26" i="40" s="1"/>
  <c r="BS26" i="40" a="1"/>
  <c r="BS26" i="40" s="1"/>
  <c r="BT26" i="40" s="1"/>
  <c r="AA26" i="40" s="1"/>
  <c r="CK26" i="40" a="1"/>
  <c r="CK26" i="40" s="1"/>
  <c r="CX25" i="40"/>
  <c r="AI25" i="40" s="1"/>
  <c r="CN26" i="40" a="1"/>
  <c r="CN26" i="40" s="1"/>
  <c r="Q29" i="39"/>
  <c r="BB26" i="40" a="1"/>
  <c r="BB26" i="40" s="1"/>
  <c r="BE26" i="40" s="1"/>
  <c r="Y26" i="40" s="1"/>
  <c r="CM26" i="40" a="1"/>
  <c r="CM26" i="40" s="1"/>
  <c r="AK23" i="40"/>
  <c r="M29" i="40"/>
  <c r="I29" i="40" s="1"/>
  <c r="BZ25" i="40" a="1"/>
  <c r="BZ25" i="40" s="1"/>
  <c r="BY25" i="40" a="1"/>
  <c r="BY25" i="40" s="1"/>
  <c r="CD25" i="40"/>
  <c r="CC25" i="40" s="1" a="1"/>
  <c r="CC25" i="40" s="1"/>
  <c r="CA25" i="40" a="1"/>
  <c r="CA25" i="40" s="1"/>
  <c r="BU25" i="40" a="1"/>
  <c r="BU25" i="40" s="1"/>
  <c r="BW25" i="40" a="1"/>
  <c r="BW25" i="40" s="1"/>
  <c r="CH25" i="40" a="1"/>
  <c r="CH25" i="40" s="1"/>
  <c r="CF25" i="40" a="1"/>
  <c r="CF25" i="40" s="1"/>
  <c r="G28" i="40"/>
  <c r="O28" i="40" s="1"/>
  <c r="AN27" i="40"/>
  <c r="AO27" i="40" s="1"/>
  <c r="AP27" i="40" s="1"/>
  <c r="AQ27" i="40" s="1"/>
  <c r="AR27" i="40" s="1"/>
  <c r="AS27" i="40" s="1"/>
  <c r="CV27" i="40" s="1" a="1"/>
  <c r="CV27" i="40" s="1"/>
  <c r="BM25" i="40" a="1"/>
  <c r="BM25" i="40" s="1"/>
  <c r="BO25" i="40" a="1"/>
  <c r="BO25" i="40" s="1"/>
  <c r="BH25" i="40" a="1"/>
  <c r="BH25" i="40" s="1"/>
  <c r="BL25" i="40" a="1"/>
  <c r="BL25" i="40" s="1"/>
  <c r="BQ25" i="40" a="1"/>
  <c r="BQ25" i="40" s="1"/>
  <c r="BG25" i="40" a="1"/>
  <c r="BG25" i="40" s="1"/>
  <c r="BK25" i="40" a="1"/>
  <c r="BK25" i="40" s="1"/>
  <c r="BJ25" i="40" a="1"/>
  <c r="BJ25" i="40" s="1"/>
  <c r="BI25" i="40" a="1"/>
  <c r="BI25" i="40" s="1"/>
  <c r="BN25" i="40" a="1"/>
  <c r="BN25" i="40" s="1"/>
  <c r="BF25" i="40" a="1"/>
  <c r="BF25" i="40" s="1"/>
  <c r="BX24" i="40"/>
  <c r="AB24" i="40" s="1"/>
  <c r="DC25" i="40" a="1"/>
  <c r="DC25" i="40" s="1"/>
  <c r="CY25" i="40" a="1"/>
  <c r="CY25" i="40" s="1"/>
  <c r="CZ25" i="40" a="1"/>
  <c r="CZ25" i="40" s="1"/>
  <c r="DA25" i="40" a="1"/>
  <c r="DA25" i="40" s="1"/>
  <c r="U23" i="40"/>
  <c r="V23" i="40"/>
  <c r="BE25" i="40"/>
  <c r="Y25" i="40" s="1"/>
  <c r="V22" i="40"/>
  <c r="U22" i="40"/>
  <c r="AW25" i="40" a="1"/>
  <c r="AW25" i="40" s="1"/>
  <c r="AT25" i="40" a="1"/>
  <c r="AT25" i="40" s="1"/>
  <c r="AU25" i="40" a="1"/>
  <c r="AU25" i="40" s="1"/>
  <c r="CI24" i="40"/>
  <c r="AD24" i="40" s="1"/>
  <c r="N29" i="39"/>
  <c r="H30" i="39"/>
  <c r="E31" i="39" s="1" a="1"/>
  <c r="E31" i="39" s="1"/>
  <c r="F31" i="39" s="1" a="1"/>
  <c r="F31" i="39" s="1"/>
  <c r="M31" i="39" s="1"/>
  <c r="I31" i="39" s="1"/>
  <c r="I30" i="39"/>
  <c r="N30" i="39"/>
  <c r="P30" i="39"/>
  <c r="Q30" i="39"/>
  <c r="H26" i="35"/>
  <c r="E27" i="35" s="1" a="1"/>
  <c r="E27" i="35" s="1"/>
  <c r="F27" i="35" s="1" a="1"/>
  <c r="F27" i="35" s="1"/>
  <c r="M27" i="35" s="1"/>
  <c r="I27" i="35" s="1"/>
  <c r="P25" i="35"/>
  <c r="Q25" i="35"/>
  <c r="I26" i="35"/>
  <c r="N26" i="35"/>
  <c r="Q26" i="35"/>
  <c r="P26" i="35"/>
  <c r="AT26" i="40" l="1" a="1"/>
  <c r="AT26" i="40" s="1"/>
  <c r="BA26" i="40"/>
  <c r="X26" i="40" s="1"/>
  <c r="BN26" i="40" a="1"/>
  <c r="BN26" i="40" s="1"/>
  <c r="CF26" i="40" a="1"/>
  <c r="CF26" i="40" s="1"/>
  <c r="CI26" i="40" s="1"/>
  <c r="AD26" i="40" s="1"/>
  <c r="BW26" i="40" a="1"/>
  <c r="BW26" i="40" s="1"/>
  <c r="BX26" i="40" s="1"/>
  <c r="AB26" i="40" s="1"/>
  <c r="CL26" i="40"/>
  <c r="AE26" i="40" s="1"/>
  <c r="CU26" i="40"/>
  <c r="AH26" i="40" s="1"/>
  <c r="BK26" i="40" a="1"/>
  <c r="BK26" i="40" s="1"/>
  <c r="BM26" i="40" a="1"/>
  <c r="BM26" i="40" s="1"/>
  <c r="CX26" i="40"/>
  <c r="AI26" i="40" s="1"/>
  <c r="BF26" i="40" a="1"/>
  <c r="BF26" i="40" s="1"/>
  <c r="BI26" i="40" a="1"/>
  <c r="BI26" i="40" s="1"/>
  <c r="CZ26" i="40" a="1"/>
  <c r="CZ26" i="40" s="1"/>
  <c r="BQ26" i="40" a="1"/>
  <c r="BQ26" i="40" s="1"/>
  <c r="DA26" i="40" a="1"/>
  <c r="DA26" i="40" s="1"/>
  <c r="BG26" i="40" a="1"/>
  <c r="BG26" i="40" s="1"/>
  <c r="CA26" i="40" a="1"/>
  <c r="CA26" i="40" s="1"/>
  <c r="BH26" i="40" a="1"/>
  <c r="BH26" i="40" s="1"/>
  <c r="BJ26" i="40" a="1"/>
  <c r="BJ26" i="40" s="1"/>
  <c r="CQ27" i="40" a="1"/>
  <c r="CQ27" i="40" s="1"/>
  <c r="AV27" i="40"/>
  <c r="AW27" i="40" s="1" a="1"/>
  <c r="AW27" i="40" s="1"/>
  <c r="BO26" i="40" a="1"/>
  <c r="BO26" i="40" s="1"/>
  <c r="AW26" i="40" a="1"/>
  <c r="AW26" i="40" s="1"/>
  <c r="CP27" i="40" a="1"/>
  <c r="CP27" i="40" s="1"/>
  <c r="DC26" i="40" a="1"/>
  <c r="DC26" i="40" s="1"/>
  <c r="CD26" i="40"/>
  <c r="CC26" i="40" s="1" a="1"/>
  <c r="CC26" i="40" s="1"/>
  <c r="BY26" i="40" a="1"/>
  <c r="BY26" i="40" s="1"/>
  <c r="CM27" i="40" a="1"/>
  <c r="CM27" i="40" s="1"/>
  <c r="CB27" i="40"/>
  <c r="BY27" i="40" s="1" a="1"/>
  <c r="BY27" i="40" s="1"/>
  <c r="CN27" i="40" a="1"/>
  <c r="CN27" i="40" s="1"/>
  <c r="CG27" i="40"/>
  <c r="CF27" i="40" s="1" a="1"/>
  <c r="CF27" i="40" s="1"/>
  <c r="CI27" i="40" s="1"/>
  <c r="AD27" i="40" s="1"/>
  <c r="CI25" i="40"/>
  <c r="AD25" i="40" s="1"/>
  <c r="CO26" i="40"/>
  <c r="AF26" i="40" s="1"/>
  <c r="CT27" i="40" a="1"/>
  <c r="CT27" i="40" s="1"/>
  <c r="BB27" i="40" a="1"/>
  <c r="BB27" i="40" s="1"/>
  <c r="CW27" i="40" a="1"/>
  <c r="CW27" i="40" s="1"/>
  <c r="CX27" i="40" s="1"/>
  <c r="AI27" i="40" s="1"/>
  <c r="BR25" i="40" a="1"/>
  <c r="BR25" i="40" s="1"/>
  <c r="Z25" i="40" s="1"/>
  <c r="U24" i="40"/>
  <c r="DB27" i="40"/>
  <c r="AZ27" i="40" a="1"/>
  <c r="AZ27" i="40" s="1"/>
  <c r="BX25" i="40"/>
  <c r="AB25" i="40" s="1"/>
  <c r="BV27" i="40"/>
  <c r="G29" i="40"/>
  <c r="O29" i="40" s="1"/>
  <c r="AK24" i="40"/>
  <c r="BP27" i="40"/>
  <c r="H29" i="40"/>
  <c r="E30" i="40" s="1" a="1"/>
  <c r="E30" i="40" s="1"/>
  <c r="F30" i="40" s="1" a="1"/>
  <c r="F30" i="40" s="1"/>
  <c r="DD25" i="40"/>
  <c r="AJ25" i="40" s="1"/>
  <c r="AX25" i="40" a="1"/>
  <c r="AX25" i="40" s="1"/>
  <c r="W25" i="40" s="1"/>
  <c r="BD27" i="40"/>
  <c r="BC27" i="40" s="1" a="1"/>
  <c r="BC27" i="40" s="1"/>
  <c r="CS27" i="40" a="1"/>
  <c r="CS27" i="40" s="1"/>
  <c r="AY27" i="40" a="1"/>
  <c r="AY27" i="40" s="1"/>
  <c r="P28" i="40"/>
  <c r="N28" i="40"/>
  <c r="T28" i="40"/>
  <c r="Q28" i="40"/>
  <c r="CE25" i="40" a="1"/>
  <c r="CE25" i="40" s="1"/>
  <c r="AC25" i="40" s="1"/>
  <c r="V24" i="40"/>
  <c r="CK27" i="40" a="1"/>
  <c r="CK27" i="40" s="1"/>
  <c r="BS27" i="40" a="1"/>
  <c r="BS27" i="40" s="1"/>
  <c r="BT27" i="40" s="1"/>
  <c r="AA27" i="40" s="1"/>
  <c r="CJ27" i="40" a="1"/>
  <c r="CJ27" i="40" s="1"/>
  <c r="G31" i="39"/>
  <c r="O31" i="39" s="1"/>
  <c r="H31" i="39"/>
  <c r="E32" i="39" s="1" a="1"/>
  <c r="E32" i="39" s="1"/>
  <c r="F32" i="39" s="1" a="1"/>
  <c r="F32" i="39" s="1"/>
  <c r="H27" i="35"/>
  <c r="E28" i="35" s="1" a="1"/>
  <c r="E28" i="35" s="1"/>
  <c r="F28" i="35" s="1" a="1"/>
  <c r="F28" i="35" s="1"/>
  <c r="G27" i="35"/>
  <c r="O27" i="35" s="1"/>
  <c r="AX26" i="40" l="1" a="1"/>
  <c r="AX26" i="40" s="1"/>
  <c r="W26" i="40" s="1"/>
  <c r="BR26" i="40" a="1"/>
  <c r="BR26" i="40" s="1"/>
  <c r="Z26" i="40" s="1"/>
  <c r="CA27" i="40" a="1"/>
  <c r="CA27" i="40" s="1"/>
  <c r="CH27" i="40" a="1"/>
  <c r="CH27" i="40" s="1"/>
  <c r="DD26" i="40"/>
  <c r="AJ26" i="40" s="1"/>
  <c r="CR27" i="40"/>
  <c r="AG27" i="40" s="1"/>
  <c r="BA27" i="40"/>
  <c r="X27" i="40" s="1"/>
  <c r="CE26" i="40" a="1"/>
  <c r="CE26" i="40" s="1"/>
  <c r="AC26" i="40" s="1"/>
  <c r="BE27" i="40"/>
  <c r="Y27" i="40" s="1"/>
  <c r="BZ27" i="40" a="1"/>
  <c r="BZ27" i="40" s="1"/>
  <c r="AT27" i="40" a="1"/>
  <c r="AT27" i="40" s="1"/>
  <c r="CO27" i="40"/>
  <c r="AF27" i="40" s="1"/>
  <c r="AU27" i="40" a="1"/>
  <c r="AU27" i="40" s="1"/>
  <c r="CD27" i="40"/>
  <c r="CC27" i="40" s="1" a="1"/>
  <c r="CC27" i="40" s="1"/>
  <c r="CU27" i="40"/>
  <c r="AH27" i="40" s="1"/>
  <c r="CY27" i="40" a="1"/>
  <c r="CY27" i="40" s="1"/>
  <c r="DA27" i="40" a="1"/>
  <c r="DA27" i="40" s="1"/>
  <c r="DC27" i="40" a="1"/>
  <c r="DC27" i="40" s="1"/>
  <c r="CZ27" i="40" a="1"/>
  <c r="CZ27" i="40" s="1"/>
  <c r="M30" i="40"/>
  <c r="G30" i="40" s="1"/>
  <c r="O30" i="40" s="1"/>
  <c r="BM27" i="40" a="1"/>
  <c r="BM27" i="40" s="1"/>
  <c r="BG27" i="40" a="1"/>
  <c r="BG27" i="40" s="1"/>
  <c r="BL27" i="40" a="1"/>
  <c r="BL27" i="40" s="1"/>
  <c r="BQ27" i="40" a="1"/>
  <c r="BQ27" i="40" s="1"/>
  <c r="BK27" i="40" a="1"/>
  <c r="BK27" i="40" s="1"/>
  <c r="BH27" i="40" a="1"/>
  <c r="BH27" i="40" s="1"/>
  <c r="BO27" i="40" a="1"/>
  <c r="BO27" i="40" s="1"/>
  <c r="BI27" i="40" a="1"/>
  <c r="BI27" i="40" s="1"/>
  <c r="BJ27" i="40" a="1"/>
  <c r="BJ27" i="40" s="1"/>
  <c r="BF27" i="40" a="1"/>
  <c r="BF27" i="40" s="1"/>
  <c r="BN27" i="40" a="1"/>
  <c r="BN27" i="40" s="1"/>
  <c r="Q29" i="40"/>
  <c r="T29" i="40"/>
  <c r="P29" i="40"/>
  <c r="N29" i="40"/>
  <c r="BW27" i="40" a="1"/>
  <c r="BW27" i="40" s="1"/>
  <c r="BU27" i="40" a="1"/>
  <c r="BU27" i="40" s="1"/>
  <c r="AM28" i="40"/>
  <c r="CL27" i="40"/>
  <c r="AE27" i="40" s="1"/>
  <c r="U25" i="40"/>
  <c r="V25" i="40"/>
  <c r="AK25" i="40"/>
  <c r="M32" i="39"/>
  <c r="H32" i="39" s="1"/>
  <c r="E33" i="39" s="1" a="1"/>
  <c r="E33" i="39" s="1"/>
  <c r="F33" i="39" s="1" a="1"/>
  <c r="F33" i="39" s="1"/>
  <c r="N31" i="39"/>
  <c r="Q31" i="39"/>
  <c r="P31" i="39"/>
  <c r="P27" i="35"/>
  <c r="Q27" i="35"/>
  <c r="N27" i="35"/>
  <c r="M28" i="35"/>
  <c r="G28" i="35" s="1"/>
  <c r="O28" i="35" s="1"/>
  <c r="V26" i="40" l="1"/>
  <c r="U26" i="40"/>
  <c r="AK26" i="40"/>
  <c r="CE27" i="40" a="1"/>
  <c r="CE27" i="40" s="1"/>
  <c r="AC27" i="40" s="1"/>
  <c r="BX27" i="40"/>
  <c r="AB27" i="40" s="1"/>
  <c r="I30" i="40"/>
  <c r="AX27" i="40" a="1"/>
  <c r="AX27" i="40" s="1"/>
  <c r="W27" i="40" s="1"/>
  <c r="H30" i="40"/>
  <c r="E31" i="40" s="1" a="1"/>
  <c r="E31" i="40" s="1"/>
  <c r="F31" i="40" s="1" a="1"/>
  <c r="F31" i="40" s="1"/>
  <c r="M31" i="40" s="1"/>
  <c r="I31" i="40" s="1"/>
  <c r="N30" i="40"/>
  <c r="T30" i="40"/>
  <c r="Q30" i="40"/>
  <c r="P30" i="40"/>
  <c r="AM29" i="40"/>
  <c r="AN28" i="40"/>
  <c r="AO28" i="40" s="1"/>
  <c r="AP28" i="40" s="1"/>
  <c r="AQ28" i="40" s="1"/>
  <c r="AR28" i="40" s="1"/>
  <c r="AS28" i="40" s="1"/>
  <c r="CS28" i="40" s="1" a="1"/>
  <c r="CS28" i="40" s="1"/>
  <c r="BR27" i="40" a="1"/>
  <c r="BR27" i="40" s="1"/>
  <c r="Z27" i="40" s="1"/>
  <c r="DD27" i="40"/>
  <c r="AJ27" i="40" s="1"/>
  <c r="G32" i="39"/>
  <c r="O32" i="39" s="1"/>
  <c r="N32" i="39" s="1"/>
  <c r="M33" i="39"/>
  <c r="I33" i="39" s="1"/>
  <c r="I32" i="39"/>
  <c r="I28" i="35"/>
  <c r="H28" i="35"/>
  <c r="E29" i="35" s="1" a="1"/>
  <c r="E29" i="35" s="1"/>
  <c r="F29" i="35" s="1" a="1"/>
  <c r="F29" i="35" s="1"/>
  <c r="M29" i="35" s="1"/>
  <c r="G29" i="35" s="1"/>
  <c r="O29" i="35" s="1"/>
  <c r="N28" i="35"/>
  <c r="Q28" i="35"/>
  <c r="P28" i="35"/>
  <c r="CJ28" i="40" l="1" a="1"/>
  <c r="CJ28" i="40" s="1"/>
  <c r="AZ28" i="40" a="1"/>
  <c r="AZ28" i="40" s="1"/>
  <c r="BD28" i="40"/>
  <c r="BC28" i="40" s="1" a="1"/>
  <c r="BC28" i="40" s="1"/>
  <c r="BS28" i="40" a="1"/>
  <c r="BS28" i="40" s="1"/>
  <c r="BT28" i="40" s="1"/>
  <c r="AA28" i="40" s="1"/>
  <c r="CW28" i="40" a="1"/>
  <c r="CW28" i="40" s="1"/>
  <c r="BP28" i="40"/>
  <c r="BQ28" i="40" s="1" a="1"/>
  <c r="BQ28" i="40" s="1"/>
  <c r="CT28" i="40" a="1"/>
  <c r="CT28" i="40" s="1"/>
  <c r="CU28" i="40" s="1"/>
  <c r="AH28" i="40" s="1"/>
  <c r="CQ28" i="40" a="1"/>
  <c r="CQ28" i="40" s="1"/>
  <c r="CB28" i="40"/>
  <c r="BZ28" i="40" s="1" a="1"/>
  <c r="BZ28" i="40" s="1"/>
  <c r="CM28" i="40" a="1"/>
  <c r="CM28" i="40" s="1"/>
  <c r="AK27" i="40"/>
  <c r="U27" i="40"/>
  <c r="V27" i="40"/>
  <c r="CK28" i="40" a="1"/>
  <c r="CK28" i="40" s="1"/>
  <c r="CN28" i="40" a="1"/>
  <c r="CN28" i="40" s="1"/>
  <c r="CV28" i="40" a="1"/>
  <c r="CV28" i="40" s="1"/>
  <c r="G31" i="40"/>
  <c r="O31" i="40" s="1"/>
  <c r="BB28" i="40" a="1"/>
  <c r="BB28" i="40" s="1"/>
  <c r="H31" i="40"/>
  <c r="E32" i="40" s="1" a="1"/>
  <c r="E32" i="40" s="1"/>
  <c r="F32" i="40" s="1" a="1"/>
  <c r="F32" i="40" s="1"/>
  <c r="DB28" i="40"/>
  <c r="BV28" i="40"/>
  <c r="AN29" i="40"/>
  <c r="AO29" i="40" s="1"/>
  <c r="AP29" i="40" s="1"/>
  <c r="AQ29" i="40" s="1"/>
  <c r="AR29" i="40" s="1"/>
  <c r="AS29" i="40" s="1"/>
  <c r="BP29" i="40" s="1"/>
  <c r="CP28" i="40" a="1"/>
  <c r="CP28" i="40" s="1"/>
  <c r="AV28" i="40"/>
  <c r="CG28" i="40"/>
  <c r="AM30" i="40"/>
  <c r="AY28" i="40" a="1"/>
  <c r="AY28" i="40" s="1"/>
  <c r="BA28" i="40" s="1"/>
  <c r="X28" i="40" s="1"/>
  <c r="P32" i="39"/>
  <c r="Q32" i="39"/>
  <c r="H33" i="39"/>
  <c r="E34" i="39" s="1" a="1"/>
  <c r="E34" i="39" s="1"/>
  <c r="F34" i="39" s="1" a="1"/>
  <c r="F34" i="39" s="1"/>
  <c r="M34" i="39" s="1"/>
  <c r="G34" i="39" s="1"/>
  <c r="O34" i="39" s="1"/>
  <c r="G33" i="39"/>
  <c r="O33" i="39" s="1"/>
  <c r="N33" i="39" s="1"/>
  <c r="I29" i="35"/>
  <c r="P29" i="35"/>
  <c r="Q29" i="35"/>
  <c r="N29" i="35"/>
  <c r="H29" i="35"/>
  <c r="E30" i="35" s="1" a="1"/>
  <c r="E30" i="35" s="1"/>
  <c r="F30" i="35" s="1" a="1"/>
  <c r="F30" i="35" s="1"/>
  <c r="CN29" i="40" l="1" a="1"/>
  <c r="CN29" i="40" s="1"/>
  <c r="CL28" i="40"/>
  <c r="AE28" i="40" s="1"/>
  <c r="CR28" i="40"/>
  <c r="AG28" i="40" s="1"/>
  <c r="CB29" i="40"/>
  <c r="BZ29" i="40" s="1" a="1"/>
  <c r="BZ29" i="40" s="1"/>
  <c r="BI28" i="40" a="1"/>
  <c r="BI28" i="40" s="1"/>
  <c r="BK28" i="40" a="1"/>
  <c r="BK28" i="40" s="1"/>
  <c r="BM28" i="40" a="1"/>
  <c r="BM28" i="40" s="1"/>
  <c r="BF28" i="40" a="1"/>
  <c r="BF28" i="40" s="1"/>
  <c r="BH28" i="40" a="1"/>
  <c r="BH28" i="40" s="1"/>
  <c r="BL28" i="40" a="1"/>
  <c r="BL28" i="40" s="1"/>
  <c r="BN28" i="40" a="1"/>
  <c r="BN28" i="40" s="1"/>
  <c r="CX28" i="40"/>
  <c r="AI28" i="40" s="1"/>
  <c r="BE28" i="40"/>
  <c r="Y28" i="40" s="1"/>
  <c r="CK29" i="40" a="1"/>
  <c r="CK29" i="40" s="1"/>
  <c r="CM29" i="40" a="1"/>
  <c r="CM29" i="40" s="1"/>
  <c r="BV29" i="40"/>
  <c r="BW29" i="40" s="1" a="1"/>
  <c r="BW29" i="40" s="1"/>
  <c r="CD28" i="40"/>
  <c r="CC28" i="40" s="1" a="1"/>
  <c r="CC28" i="40" s="1"/>
  <c r="BO28" i="40" a="1"/>
  <c r="BO28" i="40" s="1"/>
  <c r="BG28" i="40" a="1"/>
  <c r="BG28" i="40" s="1"/>
  <c r="BJ28" i="40" a="1"/>
  <c r="BJ28" i="40" s="1"/>
  <c r="CJ29" i="40" a="1"/>
  <c r="CJ29" i="40" s="1"/>
  <c r="CA28" i="40" a="1"/>
  <c r="CA28" i="40" s="1"/>
  <c r="CO28" i="40"/>
  <c r="AF28" i="40" s="1"/>
  <c r="CT29" i="40" a="1"/>
  <c r="CT29" i="40" s="1"/>
  <c r="CV29" i="40" a="1"/>
  <c r="CV29" i="40" s="1"/>
  <c r="BY28" i="40" a="1"/>
  <c r="BY28" i="40" s="1"/>
  <c r="AZ29" i="40" a="1"/>
  <c r="AZ29" i="40" s="1"/>
  <c r="CW29" i="40" a="1"/>
  <c r="CW29" i="40" s="1"/>
  <c r="BS29" i="40" a="1"/>
  <c r="BS29" i="40" s="1"/>
  <c r="BT29" i="40" s="1"/>
  <c r="AA29" i="40" s="1"/>
  <c r="CP29" i="40" a="1"/>
  <c r="CP29" i="40" s="1"/>
  <c r="BB29" i="40" a="1"/>
  <c r="BB29" i="40" s="1"/>
  <c r="CQ29" i="40" a="1"/>
  <c r="CQ29" i="40" s="1"/>
  <c r="AV29" i="40"/>
  <c r="AW29" i="40" s="1" a="1"/>
  <c r="AW29" i="40" s="1"/>
  <c r="DB29" i="40"/>
  <c r="DA29" i="40" s="1" a="1"/>
  <c r="DA29" i="40" s="1"/>
  <c r="CG29" i="40"/>
  <c r="CF29" i="40" s="1" a="1"/>
  <c r="CF29" i="40" s="1"/>
  <c r="CA29" i="40" a="1"/>
  <c r="CA29" i="40" s="1"/>
  <c r="AY29" i="40" a="1"/>
  <c r="AY29" i="40" s="1"/>
  <c r="BG29" i="40" a="1"/>
  <c r="BG29" i="40" s="1"/>
  <c r="BO29" i="40" a="1"/>
  <c r="BO29" i="40" s="1"/>
  <c r="BN29" i="40" a="1"/>
  <c r="BN29" i="40" s="1"/>
  <c r="BF29" i="40" a="1"/>
  <c r="BF29" i="40" s="1"/>
  <c r="BQ29" i="40" a="1"/>
  <c r="BQ29" i="40" s="1"/>
  <c r="BH29" i="40" a="1"/>
  <c r="BH29" i="40" s="1"/>
  <c r="BL29" i="40" a="1"/>
  <c r="BL29" i="40" s="1"/>
  <c r="BI29" i="40" a="1"/>
  <c r="BI29" i="40" s="1"/>
  <c r="BM29" i="40" a="1"/>
  <c r="BM29" i="40" s="1"/>
  <c r="BK29" i="40" a="1"/>
  <c r="BK29" i="40" s="1"/>
  <c r="BJ29" i="40" a="1"/>
  <c r="BJ29" i="40" s="1"/>
  <c r="M32" i="40"/>
  <c r="H32" i="40" s="1"/>
  <c r="E33" i="40" s="1" a="1"/>
  <c r="E33" i="40" s="1"/>
  <c r="F33" i="40" s="1" a="1"/>
  <c r="F33" i="40" s="1"/>
  <c r="AN30" i="40"/>
  <c r="AO30" i="40" s="1"/>
  <c r="AP30" i="40" s="1"/>
  <c r="AQ30" i="40" s="1"/>
  <c r="AR30" i="40" s="1"/>
  <c r="AS30" i="40" s="1"/>
  <c r="DB30" i="40" s="1"/>
  <c r="CF28" i="40" a="1"/>
  <c r="CF28" i="40" s="1"/>
  <c r="CI28" i="40" s="1"/>
  <c r="AD28" i="40" s="1"/>
  <c r="CH28" i="40" a="1"/>
  <c r="CH28" i="40" s="1"/>
  <c r="AU28" i="40" a="1"/>
  <c r="AU28" i="40" s="1"/>
  <c r="AT28" i="40" a="1"/>
  <c r="AT28" i="40" s="1"/>
  <c r="AW28" i="40" a="1"/>
  <c r="AW28" i="40" s="1"/>
  <c r="Q31" i="40"/>
  <c r="N31" i="40"/>
  <c r="T31" i="40"/>
  <c r="P31" i="40"/>
  <c r="BD29" i="40"/>
  <c r="BC29" i="40" s="1" a="1"/>
  <c r="BC29" i="40" s="1"/>
  <c r="CS29" i="40" a="1"/>
  <c r="CS29" i="40" s="1"/>
  <c r="BW28" i="40" a="1"/>
  <c r="BW28" i="40" s="1"/>
  <c r="BU28" i="40" a="1"/>
  <c r="BU28" i="40" s="1"/>
  <c r="CY28" i="40" a="1"/>
  <c r="CY28" i="40" s="1"/>
  <c r="DA28" i="40" a="1"/>
  <c r="DA28" i="40" s="1"/>
  <c r="CZ28" i="40" a="1"/>
  <c r="CZ28" i="40" s="1"/>
  <c r="DC28" i="40" a="1"/>
  <c r="DC28" i="40" s="1"/>
  <c r="Q33" i="39"/>
  <c r="P33" i="39"/>
  <c r="H34" i="39"/>
  <c r="E35" i="39" s="1" a="1"/>
  <c r="E35" i="39" s="1"/>
  <c r="F35" i="39" s="1" a="1"/>
  <c r="F35" i="39" s="1"/>
  <c r="M35" i="39" s="1"/>
  <c r="I35" i="39" s="1"/>
  <c r="I34" i="39"/>
  <c r="N34" i="39"/>
  <c r="P34" i="39"/>
  <c r="Q34" i="39"/>
  <c r="M30" i="35"/>
  <c r="I30" i="35" s="1"/>
  <c r="CO29" i="40" l="1"/>
  <c r="AF29" i="40" s="1"/>
  <c r="CD29" i="40"/>
  <c r="CC29" i="40" s="1" a="1"/>
  <c r="CC29" i="40" s="1"/>
  <c r="BY29" i="40" a="1"/>
  <c r="BY29" i="40" s="1"/>
  <c r="BE29" i="40"/>
  <c r="Y29" i="40" s="1"/>
  <c r="I32" i="40"/>
  <c r="CL29" i="40"/>
  <c r="AE29" i="40" s="1"/>
  <c r="BU29" i="40" a="1"/>
  <c r="BU29" i="40" s="1"/>
  <c r="BX29" i="40" s="1"/>
  <c r="AB29" i="40" s="1"/>
  <c r="CR29" i="40"/>
  <c r="AG29" i="40" s="1"/>
  <c r="AU29" i="40" a="1"/>
  <c r="AU29" i="40" s="1"/>
  <c r="CE28" i="40" a="1"/>
  <c r="CE28" i="40" s="1"/>
  <c r="AC28" i="40" s="1"/>
  <c r="BR28" i="40" a="1"/>
  <c r="BR28" i="40" s="1"/>
  <c r="Z28" i="40" s="1"/>
  <c r="AT29" i="40" a="1"/>
  <c r="AT29" i="40" s="1"/>
  <c r="CH29" i="40" a="1"/>
  <c r="CH29" i="40" s="1"/>
  <c r="CI29" i="40" s="1"/>
  <c r="AD29" i="40" s="1"/>
  <c r="BX28" i="40"/>
  <c r="AB28" i="40" s="1"/>
  <c r="CX29" i="40"/>
  <c r="AI29" i="40" s="1"/>
  <c r="BA29" i="40"/>
  <c r="X29" i="40" s="1"/>
  <c r="CU29" i="40"/>
  <c r="AH29" i="40" s="1"/>
  <c r="AX28" i="40" a="1"/>
  <c r="AX28" i="40" s="1"/>
  <c r="W28" i="40" s="1"/>
  <c r="CY29" i="40" a="1"/>
  <c r="CY29" i="40" s="1"/>
  <c r="CZ29" i="40" a="1"/>
  <c r="CZ29" i="40" s="1"/>
  <c r="DC29" i="40" a="1"/>
  <c r="DC29" i="40" s="1"/>
  <c r="M33" i="40"/>
  <c r="I33" i="40" s="1"/>
  <c r="DC30" i="40" a="1"/>
  <c r="DC30" i="40" s="1"/>
  <c r="CY30" i="40" a="1"/>
  <c r="CY30" i="40" s="1"/>
  <c r="CZ30" i="40" a="1"/>
  <c r="CZ30" i="40" s="1"/>
  <c r="DA30" i="40" a="1"/>
  <c r="DA30" i="40" s="1"/>
  <c r="CP30" i="40" a="1"/>
  <c r="CP30" i="40" s="1"/>
  <c r="CN30" i="40" a="1"/>
  <c r="CN30" i="40" s="1"/>
  <c r="AZ30" i="40" a="1"/>
  <c r="AZ30" i="40" s="1"/>
  <c r="BR29" i="40" a="1"/>
  <c r="BR29" i="40" s="1"/>
  <c r="Z29" i="40" s="1"/>
  <c r="AY30" i="40" a="1"/>
  <c r="AY30" i="40" s="1"/>
  <c r="BS30" i="40" a="1"/>
  <c r="BS30" i="40" s="1"/>
  <c r="BT30" i="40" s="1"/>
  <c r="AA30" i="40" s="1"/>
  <c r="CB30" i="40"/>
  <c r="CS30" i="40" a="1"/>
  <c r="CS30" i="40" s="1"/>
  <c r="DD28" i="40"/>
  <c r="AJ28" i="40" s="1"/>
  <c r="BV30" i="40"/>
  <c r="AV30" i="40"/>
  <c r="CW30" i="40" a="1"/>
  <c r="CW30" i="40" s="1"/>
  <c r="BP30" i="40"/>
  <c r="CJ30" i="40" a="1"/>
  <c r="CJ30" i="40" s="1"/>
  <c r="AM31" i="40"/>
  <c r="CK30" i="40" a="1"/>
  <c r="CK30" i="40" s="1"/>
  <c r="CQ30" i="40" a="1"/>
  <c r="CQ30" i="40" s="1"/>
  <c r="CM30" i="40" a="1"/>
  <c r="CM30" i="40" s="1"/>
  <c r="CT30" i="40" a="1"/>
  <c r="CT30" i="40" s="1"/>
  <c r="BD30" i="40"/>
  <c r="BC30" i="40" s="1" a="1"/>
  <c r="BC30" i="40" s="1"/>
  <c r="CV30" i="40" a="1"/>
  <c r="CV30" i="40" s="1"/>
  <c r="BB30" i="40" a="1"/>
  <c r="BB30" i="40" s="1"/>
  <c r="CG30" i="40"/>
  <c r="G32" i="40"/>
  <c r="O32" i="40" s="1"/>
  <c r="G35" i="39"/>
  <c r="O35" i="39" s="1"/>
  <c r="H35" i="39"/>
  <c r="E36" i="39" s="1" a="1"/>
  <c r="E36" i="39" s="1"/>
  <c r="F36" i="39" s="1" a="1"/>
  <c r="F36" i="39" s="1"/>
  <c r="CE29" i="40" l="1" a="1"/>
  <c r="CE29" i="40" s="1"/>
  <c r="AC29" i="40" s="1"/>
  <c r="AX29" i="40" a="1"/>
  <c r="AX29" i="40" s="1"/>
  <c r="W29" i="40" s="1"/>
  <c r="BA30" i="40"/>
  <c r="X30" i="40" s="1"/>
  <c r="CO30" i="40"/>
  <c r="AF30" i="40" s="1"/>
  <c r="V28" i="40"/>
  <c r="U28" i="40"/>
  <c r="AK28" i="40"/>
  <c r="H33" i="40"/>
  <c r="E34" i="40" s="1" a="1"/>
  <c r="E34" i="40" s="1"/>
  <c r="F34" i="40" s="1" a="1"/>
  <c r="F34" i="40" s="1"/>
  <c r="M34" i="40" s="1"/>
  <c r="H34" i="40" s="1"/>
  <c r="E35" i="40" s="1" a="1"/>
  <c r="E35" i="40" s="1"/>
  <c r="F35" i="40" s="1" a="1"/>
  <c r="F35" i="40" s="1"/>
  <c r="G33" i="40"/>
  <c r="O33" i="40" s="1"/>
  <c r="T33" i="40" s="1"/>
  <c r="DD29" i="40"/>
  <c r="AJ29" i="40" s="1"/>
  <c r="CR30" i="40"/>
  <c r="AG30" i="40" s="1"/>
  <c r="CL30" i="40"/>
  <c r="AE30" i="40" s="1"/>
  <c r="AN31" i="40"/>
  <c r="AO31" i="40" s="1"/>
  <c r="AP31" i="40" s="1"/>
  <c r="AQ31" i="40" s="1"/>
  <c r="AR31" i="40" s="1"/>
  <c r="AS31" i="40" s="1"/>
  <c r="CT31" i="40" s="1" a="1"/>
  <c r="CT31" i="40" s="1"/>
  <c r="DD30" i="40"/>
  <c r="AJ30" i="40" s="1"/>
  <c r="BW30" i="40" a="1"/>
  <c r="BW30" i="40" s="1"/>
  <c r="BU30" i="40" a="1"/>
  <c r="BU30" i="40" s="1"/>
  <c r="BE30" i="40"/>
  <c r="Y30" i="40" s="1"/>
  <c r="AW30" i="40" a="1"/>
  <c r="AW30" i="40" s="1"/>
  <c r="AU30" i="40" a="1"/>
  <c r="AU30" i="40" s="1"/>
  <c r="AT30" i="40" a="1"/>
  <c r="AT30" i="40" s="1"/>
  <c r="P32" i="40"/>
  <c r="N32" i="40"/>
  <c r="T32" i="40"/>
  <c r="Q32" i="40"/>
  <c r="BJ30" i="40" a="1"/>
  <c r="BJ30" i="40" s="1"/>
  <c r="BG30" i="40" a="1"/>
  <c r="BG30" i="40" s="1"/>
  <c r="BO30" i="40" a="1"/>
  <c r="BO30" i="40" s="1"/>
  <c r="BL30" i="40" a="1"/>
  <c r="BL30" i="40" s="1"/>
  <c r="BK30" i="40" a="1"/>
  <c r="BK30" i="40" s="1"/>
  <c r="BQ30" i="40" a="1"/>
  <c r="BQ30" i="40" s="1"/>
  <c r="BI30" i="40" a="1"/>
  <c r="BI30" i="40" s="1"/>
  <c r="BH30" i="40" a="1"/>
  <c r="BH30" i="40" s="1"/>
  <c r="BF30" i="40" a="1"/>
  <c r="BF30" i="40" s="1"/>
  <c r="BM30" i="40" a="1"/>
  <c r="BM30" i="40" s="1"/>
  <c r="BN30" i="40" a="1"/>
  <c r="BN30" i="40" s="1"/>
  <c r="CH30" i="40" a="1"/>
  <c r="CH30" i="40" s="1"/>
  <c r="CF30" i="40" a="1"/>
  <c r="CF30" i="40" s="1"/>
  <c r="CU30" i="40"/>
  <c r="AH30" i="40" s="1"/>
  <c r="CX30" i="40"/>
  <c r="AI30" i="40" s="1"/>
  <c r="BZ30" i="40" a="1"/>
  <c r="BZ30" i="40" s="1"/>
  <c r="CD30" i="40"/>
  <c r="CC30" i="40" s="1" a="1"/>
  <c r="CC30" i="40" s="1"/>
  <c r="BY30" i="40" a="1"/>
  <c r="BY30" i="40" s="1"/>
  <c r="CA30" i="40" a="1"/>
  <c r="CA30" i="40" s="1"/>
  <c r="M36" i="39"/>
  <c r="I36" i="39" s="1"/>
  <c r="N35" i="39"/>
  <c r="Q35" i="39"/>
  <c r="P35" i="39"/>
  <c r="G30" i="35"/>
  <c r="O30" i="35" s="1"/>
  <c r="H30" i="35"/>
  <c r="E31" i="35" s="1" a="1"/>
  <c r="E31" i="35" s="1"/>
  <c r="F31" i="35" s="1" a="1"/>
  <c r="F31" i="35" s="1"/>
  <c r="N33" i="40" l="1"/>
  <c r="P33" i="40"/>
  <c r="U29" i="40"/>
  <c r="Q33" i="40"/>
  <c r="AK29" i="40"/>
  <c r="V29" i="40"/>
  <c r="AX30" i="40" a="1"/>
  <c r="AX30" i="40" s="1"/>
  <c r="W30" i="40" s="1"/>
  <c r="BV31" i="40"/>
  <c r="BW31" i="40" s="1" a="1"/>
  <c r="BW31" i="40" s="1"/>
  <c r="CS31" i="40" a="1"/>
  <c r="CS31" i="40" s="1"/>
  <c r="CU31" i="40" s="1"/>
  <c r="AH31" i="40" s="1"/>
  <c r="CI30" i="40"/>
  <c r="AD30" i="40" s="1"/>
  <c r="CQ31" i="40" a="1"/>
  <c r="CQ31" i="40" s="1"/>
  <c r="BP31" i="40"/>
  <c r="BK31" i="40" s="1" a="1"/>
  <c r="BK31" i="40" s="1"/>
  <c r="AV31" i="40"/>
  <c r="AU31" i="40" s="1" a="1"/>
  <c r="AU31" i="40" s="1"/>
  <c r="BX30" i="40"/>
  <c r="AB30" i="40" s="1"/>
  <c r="G34" i="40"/>
  <c r="O34" i="40" s="1"/>
  <c r="N34" i="40" s="1"/>
  <c r="BB31" i="40" a="1"/>
  <c r="BB31" i="40" s="1"/>
  <c r="CM31" i="40" a="1"/>
  <c r="CM31" i="40" s="1"/>
  <c r="I34" i="40"/>
  <c r="CG31" i="40"/>
  <c r="CF31" i="40" s="1" a="1"/>
  <c r="CF31" i="40" s="1"/>
  <c r="M35" i="40"/>
  <c r="G35" i="40" s="1"/>
  <c r="O35" i="40" s="1"/>
  <c r="AM33" i="40"/>
  <c r="BR30" i="40" a="1"/>
  <c r="BR30" i="40" s="1"/>
  <c r="Z30" i="40" s="1"/>
  <c r="CK31" i="40" a="1"/>
  <c r="CK31" i="40" s="1"/>
  <c r="AY31" i="40" a="1"/>
  <c r="AY31" i="40" s="1"/>
  <c r="BD31" i="40"/>
  <c r="BC31" i="40" s="1" a="1"/>
  <c r="BC31" i="40" s="1"/>
  <c r="DB31" i="40"/>
  <c r="CN31" i="40" a="1"/>
  <c r="CN31" i="40" s="1"/>
  <c r="CB31" i="40"/>
  <c r="AM32" i="40"/>
  <c r="CJ31" i="40" a="1"/>
  <c r="CJ31" i="40" s="1"/>
  <c r="CV31" i="40" a="1"/>
  <c r="CV31" i="40" s="1"/>
  <c r="CE30" i="40" a="1"/>
  <c r="CE30" i="40" s="1"/>
  <c r="AC30" i="40" s="1"/>
  <c r="AZ31" i="40" a="1"/>
  <c r="AZ31" i="40" s="1"/>
  <c r="CP31" i="40" a="1"/>
  <c r="CP31" i="40" s="1"/>
  <c r="CW31" i="40" a="1"/>
  <c r="CW31" i="40" s="1"/>
  <c r="BS31" i="40" a="1"/>
  <c r="BS31" i="40" s="1"/>
  <c r="BT31" i="40" s="1"/>
  <c r="AA31" i="40" s="1"/>
  <c r="G36" i="39"/>
  <c r="O36" i="39" s="1"/>
  <c r="N36" i="39" s="1"/>
  <c r="H36" i="39"/>
  <c r="E37" i="39" s="1" a="1"/>
  <c r="E37" i="39" s="1"/>
  <c r="F37" i="39" s="1" a="1"/>
  <c r="F37" i="39" s="1"/>
  <c r="M31" i="35"/>
  <c r="I31" i="35" s="1"/>
  <c r="N30" i="35"/>
  <c r="P30" i="35"/>
  <c r="Q30" i="35"/>
  <c r="BA31" i="40" l="1"/>
  <c r="X31" i="40" s="1"/>
  <c r="BU31" i="40" a="1"/>
  <c r="BU31" i="40" s="1"/>
  <c r="BX31" i="40" s="1"/>
  <c r="AB31" i="40" s="1"/>
  <c r="P34" i="40"/>
  <c r="Q34" i="40"/>
  <c r="BM31" i="40" a="1"/>
  <c r="BM31" i="40" s="1"/>
  <c r="BN31" i="40" a="1"/>
  <c r="BN31" i="40" s="1"/>
  <c r="T34" i="40"/>
  <c r="AM34" i="40" s="1"/>
  <c r="CO31" i="40"/>
  <c r="AF31" i="40" s="1"/>
  <c r="CR31" i="40"/>
  <c r="AG31" i="40" s="1"/>
  <c r="BL31" i="40" a="1"/>
  <c r="BL31" i="40" s="1"/>
  <c r="BH31" i="40" a="1"/>
  <c r="BH31" i="40" s="1"/>
  <c r="BG31" i="40" a="1"/>
  <c r="BG31" i="40" s="1"/>
  <c r="AT31" i="40" a="1"/>
  <c r="AT31" i="40" s="1"/>
  <c r="U30" i="40"/>
  <c r="BJ31" i="40" a="1"/>
  <c r="BJ31" i="40" s="1"/>
  <c r="BQ31" i="40" a="1"/>
  <c r="BQ31" i="40" s="1"/>
  <c r="AK30" i="40"/>
  <c r="BI31" i="40" a="1"/>
  <c r="BI31" i="40" s="1"/>
  <c r="AW31" i="40" a="1"/>
  <c r="AW31" i="40" s="1"/>
  <c r="BO31" i="40" a="1"/>
  <c r="BO31" i="40" s="1"/>
  <c r="BF31" i="40" a="1"/>
  <c r="BF31" i="40" s="1"/>
  <c r="BE31" i="40"/>
  <c r="Y31" i="40" s="1"/>
  <c r="H35" i="40"/>
  <c r="E36" i="40" s="1" a="1"/>
  <c r="E36" i="40" s="1"/>
  <c r="F36" i="40" s="1" a="1"/>
  <c r="F36" i="40" s="1"/>
  <c r="M36" i="40" s="1"/>
  <c r="I35" i="40"/>
  <c r="CH31" i="40" a="1"/>
  <c r="CH31" i="40" s="1"/>
  <c r="CI31" i="40" s="1"/>
  <c r="AD31" i="40" s="1"/>
  <c r="V30" i="40"/>
  <c r="CX31" i="40"/>
  <c r="AI31" i="40" s="1"/>
  <c r="CL31" i="40"/>
  <c r="AE31" i="40" s="1"/>
  <c r="AN33" i="40"/>
  <c r="AO33" i="40" s="1"/>
  <c r="AP33" i="40" s="1"/>
  <c r="AQ33" i="40" s="1"/>
  <c r="AR33" i="40" s="1"/>
  <c r="AS33" i="40" s="1"/>
  <c r="CV33" i="40" s="1" a="1"/>
  <c r="CV33" i="40" s="1"/>
  <c r="Q35" i="40"/>
  <c r="N35" i="40"/>
  <c r="P35" i="40"/>
  <c r="T35" i="40"/>
  <c r="CD31" i="40"/>
  <c r="CC31" i="40" s="1" a="1"/>
  <c r="CC31" i="40" s="1"/>
  <c r="BY31" i="40" a="1"/>
  <c r="BY31" i="40" s="1"/>
  <c r="BZ31" i="40" a="1"/>
  <c r="BZ31" i="40" s="1"/>
  <c r="CA31" i="40" a="1"/>
  <c r="CA31" i="40" s="1"/>
  <c r="AN32" i="40"/>
  <c r="AO32" i="40" s="1"/>
  <c r="AP32" i="40" s="1"/>
  <c r="AQ32" i="40" s="1"/>
  <c r="AR32" i="40" s="1"/>
  <c r="AS32" i="40" s="1"/>
  <c r="BB32" i="40" s="1" a="1"/>
  <c r="BB32" i="40" s="1"/>
  <c r="DC31" i="40" a="1"/>
  <c r="DC31" i="40" s="1"/>
  <c r="DA31" i="40" a="1"/>
  <c r="DA31" i="40" s="1"/>
  <c r="CY31" i="40" a="1"/>
  <c r="CY31" i="40" s="1"/>
  <c r="CZ31" i="40" a="1"/>
  <c r="CZ31" i="40" s="1"/>
  <c r="Q36" i="39"/>
  <c r="P36" i="39"/>
  <c r="M37" i="39"/>
  <c r="H37" i="39" s="1"/>
  <c r="E38" i="39" s="1" a="1"/>
  <c r="E38" i="39" s="1"/>
  <c r="F38" i="39" s="1" a="1"/>
  <c r="F38" i="39" s="1"/>
  <c r="G31" i="35"/>
  <c r="O31" i="35" s="1"/>
  <c r="H31" i="35"/>
  <c r="E32" i="35" s="1" a="1"/>
  <c r="E32" i="35" s="1"/>
  <c r="F32" i="35" s="1" a="1"/>
  <c r="F32" i="35" s="1"/>
  <c r="BR31" i="40" l="1" a="1"/>
  <c r="BR31" i="40" s="1"/>
  <c r="Z31" i="40" s="1"/>
  <c r="AX31" i="40" a="1"/>
  <c r="AX31" i="40" s="1"/>
  <c r="W31" i="40" s="1"/>
  <c r="G36" i="40"/>
  <c r="O36" i="40" s="1"/>
  <c r="Q36" i="40" s="1"/>
  <c r="I36" i="40"/>
  <c r="H36" i="40"/>
  <c r="E37" i="40" s="1" a="1"/>
  <c r="E37" i="40" s="1"/>
  <c r="F37" i="40" s="1" a="1"/>
  <c r="F37" i="40" s="1"/>
  <c r="M37" i="40" s="1"/>
  <c r="G37" i="40" s="1"/>
  <c r="O37" i="40" s="1"/>
  <c r="BS32" i="40" a="1"/>
  <c r="BS32" i="40" s="1"/>
  <c r="BT32" i="40" s="1"/>
  <c r="AA32" i="40" s="1"/>
  <c r="DB32" i="40"/>
  <c r="CZ32" i="40" s="1" a="1"/>
  <c r="CZ32" i="40" s="1"/>
  <c r="CP32" i="40" a="1"/>
  <c r="CP32" i="40" s="1"/>
  <c r="BP32" i="40"/>
  <c r="BK32" i="40" s="1" a="1"/>
  <c r="BK32" i="40" s="1"/>
  <c r="AV33" i="40"/>
  <c r="AW33" i="40" s="1" a="1"/>
  <c r="AW33" i="40" s="1"/>
  <c r="AV32" i="40"/>
  <c r="AU32" i="40" s="1" a="1"/>
  <c r="AU32" i="40" s="1"/>
  <c r="CS32" i="40" a="1"/>
  <c r="CS32" i="40" s="1"/>
  <c r="CM32" i="40" a="1"/>
  <c r="CM32" i="40" s="1"/>
  <c r="CN33" i="40" a="1"/>
  <c r="CN33" i="40" s="1"/>
  <c r="CT32" i="40" a="1"/>
  <c r="CT32" i="40" s="1"/>
  <c r="BD32" i="40"/>
  <c r="BC32" i="40" s="1" a="1"/>
  <c r="BC32" i="40" s="1"/>
  <c r="BE32" i="40" s="1"/>
  <c r="Y32" i="40" s="1"/>
  <c r="BP33" i="40"/>
  <c r="BK33" i="40" s="1" a="1"/>
  <c r="BK33" i="40" s="1"/>
  <c r="BS33" i="40" a="1"/>
  <c r="BS33" i="40" s="1"/>
  <c r="BT33" i="40" s="1"/>
  <c r="AA33" i="40" s="1"/>
  <c r="CM33" i="40" a="1"/>
  <c r="CM33" i="40" s="1"/>
  <c r="CN32" i="40" a="1"/>
  <c r="CN32" i="40" s="1"/>
  <c r="CB32" i="40"/>
  <c r="CA32" i="40" s="1" a="1"/>
  <c r="CA32" i="40" s="1"/>
  <c r="CG32" i="40"/>
  <c r="CF32" i="40" s="1" a="1"/>
  <c r="CF32" i="40" s="1"/>
  <c r="AY32" i="40" a="1"/>
  <c r="AY32" i="40" s="1"/>
  <c r="CQ32" i="40" a="1"/>
  <c r="CQ32" i="40" s="1"/>
  <c r="BV32" i="40"/>
  <c r="BW32" i="40" s="1" a="1"/>
  <c r="BW32" i="40" s="1"/>
  <c r="CV32" i="40" a="1"/>
  <c r="CV32" i="40" s="1"/>
  <c r="AZ32" i="40" a="1"/>
  <c r="AZ32" i="40" s="1"/>
  <c r="CT33" i="40" a="1"/>
  <c r="CT33" i="40" s="1"/>
  <c r="AN34" i="40"/>
  <c r="AO34" i="40" s="1"/>
  <c r="AP34" i="40" s="1"/>
  <c r="AQ34" i="40" s="1"/>
  <c r="AR34" i="40" s="1"/>
  <c r="AS34" i="40" s="1"/>
  <c r="AZ34" i="40" s="1" a="1"/>
  <c r="AZ34" i="40" s="1"/>
  <c r="CJ33" i="40" a="1"/>
  <c r="CJ33" i="40" s="1"/>
  <c r="CB33" i="40"/>
  <c r="DD31" i="40"/>
  <c r="AJ31" i="40" s="1"/>
  <c r="CJ32" i="40" a="1"/>
  <c r="CJ32" i="40" s="1"/>
  <c r="AM35" i="40"/>
  <c r="AZ33" i="40" a="1"/>
  <c r="AZ33" i="40" s="1"/>
  <c r="BB33" i="40" a="1"/>
  <c r="BB33" i="40" s="1"/>
  <c r="AY33" i="40" a="1"/>
  <c r="AY33" i="40" s="1"/>
  <c r="CG33" i="40"/>
  <c r="CK33" i="40" a="1"/>
  <c r="CK33" i="40" s="1"/>
  <c r="CK32" i="40" a="1"/>
  <c r="CK32" i="40" s="1"/>
  <c r="BD33" i="40"/>
  <c r="BC33" i="40" s="1" a="1"/>
  <c r="BC33" i="40" s="1"/>
  <c r="CP33" i="40" a="1"/>
  <c r="CP33" i="40" s="1"/>
  <c r="DB33" i="40"/>
  <c r="CW33" i="40" a="1"/>
  <c r="CW33" i="40" s="1"/>
  <c r="CX33" i="40" s="1"/>
  <c r="AI33" i="40" s="1"/>
  <c r="BV33" i="40"/>
  <c r="CW32" i="40" a="1"/>
  <c r="CW32" i="40" s="1"/>
  <c r="CQ33" i="40" a="1"/>
  <c r="CQ33" i="40" s="1"/>
  <c r="CE31" i="40" a="1"/>
  <c r="CE31" i="40" s="1"/>
  <c r="AC31" i="40" s="1"/>
  <c r="CS33" i="40" a="1"/>
  <c r="CS33" i="40" s="1"/>
  <c r="G37" i="39"/>
  <c r="O37" i="39" s="1"/>
  <c r="N37" i="39" s="1"/>
  <c r="I37" i="39"/>
  <c r="M38" i="39"/>
  <c r="H38" i="39" s="1"/>
  <c r="E39" i="39" s="1" a="1"/>
  <c r="E39" i="39" s="1"/>
  <c r="F39" i="39" s="1" a="1"/>
  <c r="F39" i="39" s="1"/>
  <c r="M32" i="35"/>
  <c r="I32" i="35" s="1"/>
  <c r="P31" i="35"/>
  <c r="N31" i="35"/>
  <c r="Q31" i="35"/>
  <c r="T36" i="40" l="1"/>
  <c r="N36" i="40"/>
  <c r="P36" i="40"/>
  <c r="CR32" i="40"/>
  <c r="AG32" i="40" s="1"/>
  <c r="CY32" i="40" a="1"/>
  <c r="CY32" i="40" s="1"/>
  <c r="BM32" i="40" a="1"/>
  <c r="BM32" i="40" s="1"/>
  <c r="BH32" i="40" a="1"/>
  <c r="BH32" i="40" s="1"/>
  <c r="CD32" i="40"/>
  <c r="CC32" i="40" s="1" a="1"/>
  <c r="CC32" i="40" s="1"/>
  <c r="AW32" i="40" a="1"/>
  <c r="AW32" i="40" s="1"/>
  <c r="BY32" i="40" a="1"/>
  <c r="BY32" i="40" s="1"/>
  <c r="BO32" i="40" a="1"/>
  <c r="BO32" i="40" s="1"/>
  <c r="DA32" i="40" a="1"/>
  <c r="DA32" i="40" s="1"/>
  <c r="DC32" i="40" a="1"/>
  <c r="DC32" i="40" s="1"/>
  <c r="CH32" i="40" a="1"/>
  <c r="CH32" i="40" s="1"/>
  <c r="CI32" i="40" s="1"/>
  <c r="AD32" i="40" s="1"/>
  <c r="BZ32" i="40" a="1"/>
  <c r="BZ32" i="40" s="1"/>
  <c r="BQ32" i="40" a="1"/>
  <c r="BQ32" i="40" s="1"/>
  <c r="BF32" i="40" a="1"/>
  <c r="BF32" i="40" s="1"/>
  <c r="BI32" i="40" a="1"/>
  <c r="BI32" i="40" s="1"/>
  <c r="BG32" i="40" a="1"/>
  <c r="BG32" i="40" s="1"/>
  <c r="BL32" i="40" a="1"/>
  <c r="BL32" i="40" s="1"/>
  <c r="H37" i="40"/>
  <c r="E38" i="40" s="1" a="1"/>
  <c r="E38" i="40" s="1"/>
  <c r="F38" i="40" s="1" a="1"/>
  <c r="F38" i="40" s="1"/>
  <c r="M38" i="40" s="1"/>
  <c r="H38" i="40" s="1"/>
  <c r="E39" i="40" s="1" a="1"/>
  <c r="E39" i="40" s="1"/>
  <c r="F39" i="40" s="1" a="1"/>
  <c r="F39" i="40" s="1"/>
  <c r="I37" i="40"/>
  <c r="AT32" i="40" a="1"/>
  <c r="AT32" i="40" s="1"/>
  <c r="CX32" i="40"/>
  <c r="AI32" i="40" s="1"/>
  <c r="CR33" i="40"/>
  <c r="AG33" i="40" s="1"/>
  <c r="CL33" i="40"/>
  <c r="AE33" i="40" s="1"/>
  <c r="CV34" i="40" a="1"/>
  <c r="CV34" i="40" s="1"/>
  <c r="CJ34" i="40" a="1"/>
  <c r="CJ34" i="40" s="1"/>
  <c r="CM34" i="40" a="1"/>
  <c r="CM34" i="40" s="1"/>
  <c r="BQ33" i="40" a="1"/>
  <c r="BQ33" i="40" s="1"/>
  <c r="CU33" i="40"/>
  <c r="AH33" i="40" s="1"/>
  <c r="CK34" i="40" a="1"/>
  <c r="CK34" i="40" s="1"/>
  <c r="BD34" i="40"/>
  <c r="BC34" i="40" s="1" a="1"/>
  <c r="BC34" i="40" s="1"/>
  <c r="AV34" i="40"/>
  <c r="AW34" i="40" s="1" a="1"/>
  <c r="AW34" i="40" s="1"/>
  <c r="BJ32" i="40" a="1"/>
  <c r="BJ32" i="40" s="1"/>
  <c r="BN32" i="40" a="1"/>
  <c r="BN32" i="40" s="1"/>
  <c r="CB34" i="40"/>
  <c r="CD34" i="40" s="1"/>
  <c r="CC34" i="40" s="1" a="1"/>
  <c r="CC34" i="40" s="1"/>
  <c r="AY34" i="40" a="1"/>
  <c r="AY34" i="40" s="1"/>
  <c r="BA34" i="40" s="1"/>
  <c r="X34" i="40" s="1"/>
  <c r="BU32" i="40" a="1"/>
  <c r="BU32" i="40" s="1"/>
  <c r="BX32" i="40" s="1"/>
  <c r="AB32" i="40" s="1"/>
  <c r="CG34" i="40"/>
  <c r="CH34" i="40" s="1" a="1"/>
  <c r="CH34" i="40" s="1"/>
  <c r="BI33" i="40" a="1"/>
  <c r="BI33" i="40" s="1"/>
  <c r="CQ34" i="40" a="1"/>
  <c r="CQ34" i="40" s="1"/>
  <c r="CS34" i="40" a="1"/>
  <c r="CS34" i="40" s="1"/>
  <c r="CP34" i="40" a="1"/>
  <c r="CP34" i="40" s="1"/>
  <c r="CW34" i="40" a="1"/>
  <c r="CW34" i="40" s="1"/>
  <c r="DB34" i="40"/>
  <c r="DC34" i="40" s="1" a="1"/>
  <c r="DC34" i="40" s="1"/>
  <c r="CO33" i="40"/>
  <c r="AF33" i="40" s="1"/>
  <c r="BB34" i="40" a="1"/>
  <c r="BB34" i="40" s="1"/>
  <c r="BH33" i="40" a="1"/>
  <c r="BH33" i="40" s="1"/>
  <c r="BJ33" i="40" a="1"/>
  <c r="BJ33" i="40" s="1"/>
  <c r="BV34" i="40"/>
  <c r="BW34" i="40" s="1" a="1"/>
  <c r="BW34" i="40" s="1"/>
  <c r="BF33" i="40" a="1"/>
  <c r="BF33" i="40" s="1"/>
  <c r="BL33" i="40" a="1"/>
  <c r="BL33" i="40" s="1"/>
  <c r="CO32" i="40"/>
  <c r="AF32" i="40" s="1"/>
  <c r="CU32" i="40"/>
  <c r="AH32" i="40" s="1"/>
  <c r="BN33" i="40" a="1"/>
  <c r="BN33" i="40" s="1"/>
  <c r="BM33" i="40" a="1"/>
  <c r="BM33" i="40" s="1"/>
  <c r="BG33" i="40" a="1"/>
  <c r="BG33" i="40" s="1"/>
  <c r="BO33" i="40" a="1"/>
  <c r="BO33" i="40" s="1"/>
  <c r="CT34" i="40" a="1"/>
  <c r="CT34" i="40" s="1"/>
  <c r="BA32" i="40"/>
  <c r="X32" i="40" s="1"/>
  <c r="AU33" i="40" a="1"/>
  <c r="AU33" i="40" s="1"/>
  <c r="AT33" i="40" a="1"/>
  <c r="AT33" i="40" s="1"/>
  <c r="N37" i="40"/>
  <c r="T37" i="40"/>
  <c r="Q37" i="40"/>
  <c r="P37" i="40"/>
  <c r="V31" i="40"/>
  <c r="AK31" i="40"/>
  <c r="U31" i="40"/>
  <c r="AN35" i="40"/>
  <c r="AO35" i="40" s="1"/>
  <c r="AP35" i="40" s="1"/>
  <c r="AQ35" i="40" s="1"/>
  <c r="AR35" i="40" s="1"/>
  <c r="AS35" i="40" s="1"/>
  <c r="CQ35" i="40" s="1" a="1"/>
  <c r="CQ35" i="40" s="1"/>
  <c r="BA33" i="40"/>
  <c r="X33" i="40" s="1"/>
  <c r="CN34" i="40" a="1"/>
  <c r="CN34" i="40" s="1"/>
  <c r="BZ33" i="40" a="1"/>
  <c r="BZ33" i="40" s="1"/>
  <c r="CD33" i="40"/>
  <c r="CC33" i="40" s="1" a="1"/>
  <c r="CC33" i="40" s="1"/>
  <c r="BY33" i="40" a="1"/>
  <c r="BY33" i="40" s="1"/>
  <c r="CA33" i="40" a="1"/>
  <c r="CA33" i="40" s="1"/>
  <c r="CF33" i="40" a="1"/>
  <c r="CF33" i="40" s="1"/>
  <c r="CH33" i="40" a="1"/>
  <c r="CH33" i="40" s="1"/>
  <c r="BE33" i="40"/>
  <c r="Y33" i="40" s="1"/>
  <c r="CL32" i="40"/>
  <c r="AE32" i="40" s="1"/>
  <c r="BU33" i="40" a="1"/>
  <c r="BU33" i="40" s="1"/>
  <c r="BW33" i="40" a="1"/>
  <c r="BW33" i="40" s="1"/>
  <c r="BP34" i="40"/>
  <c r="BS34" i="40" a="1"/>
  <c r="BS34" i="40" s="1"/>
  <c r="BT34" i="40" s="1"/>
  <c r="AA34" i="40" s="1"/>
  <c r="CZ33" i="40" a="1"/>
  <c r="CZ33" i="40" s="1"/>
  <c r="CY33" i="40" a="1"/>
  <c r="CY33" i="40" s="1"/>
  <c r="DA33" i="40" a="1"/>
  <c r="DA33" i="40" s="1"/>
  <c r="DC33" i="40" a="1"/>
  <c r="DC33" i="40" s="1"/>
  <c r="AM36" i="40"/>
  <c r="P37" i="39"/>
  <c r="Q37" i="39"/>
  <c r="I38" i="39"/>
  <c r="G38" i="39"/>
  <c r="O38" i="39" s="1"/>
  <c r="N38" i="39" s="1"/>
  <c r="M39" i="39"/>
  <c r="I39" i="39" s="1"/>
  <c r="AX32" i="40" l="1" a="1"/>
  <c r="AX32" i="40" s="1"/>
  <c r="W32" i="40" s="1"/>
  <c r="DD32" i="40"/>
  <c r="AJ32" i="40" s="1"/>
  <c r="CG35" i="40"/>
  <c r="CH35" i="40" s="1" a="1"/>
  <c r="CH35" i="40" s="1"/>
  <c r="CE32" i="40" a="1"/>
  <c r="CE32" i="40" s="1"/>
  <c r="AC32" i="40" s="1"/>
  <c r="CX34" i="40"/>
  <c r="AI34" i="40" s="1"/>
  <c r="CK35" i="40" a="1"/>
  <c r="CK35" i="40" s="1"/>
  <c r="AV35" i="40"/>
  <c r="AW35" i="40" s="1" a="1"/>
  <c r="AW35" i="40" s="1"/>
  <c r="CV35" i="40" a="1"/>
  <c r="CV35" i="40" s="1"/>
  <c r="BR32" i="40" a="1"/>
  <c r="BR32" i="40" s="1"/>
  <c r="Z32" i="40" s="1"/>
  <c r="AX33" i="40" a="1"/>
  <c r="AX33" i="40" s="1"/>
  <c r="W33" i="40" s="1"/>
  <c r="BX33" i="40"/>
  <c r="AB33" i="40" s="1"/>
  <c r="CO34" i="40"/>
  <c r="AF34" i="40" s="1"/>
  <c r="CZ34" i="40" a="1"/>
  <c r="CZ34" i="40" s="1"/>
  <c r="DA34" i="40" a="1"/>
  <c r="DA34" i="40" s="1"/>
  <c r="CY34" i="40" a="1"/>
  <c r="CY34" i="40" s="1"/>
  <c r="BE34" i="40"/>
  <c r="Y34" i="40" s="1"/>
  <c r="CN35" i="40" a="1"/>
  <c r="CN35" i="40" s="1"/>
  <c r="BP35" i="40"/>
  <c r="BK35" i="40" s="1" a="1"/>
  <c r="BK35" i="40" s="1"/>
  <c r="CB35" i="40"/>
  <c r="CA35" i="40" s="1" a="1"/>
  <c r="CA35" i="40" s="1"/>
  <c r="CU34" i="40"/>
  <c r="AH34" i="40" s="1"/>
  <c r="AT34" i="40" a="1"/>
  <c r="AT34" i="40" s="1"/>
  <c r="AU34" i="40" a="1"/>
  <c r="AU34" i="40" s="1"/>
  <c r="CI33" i="40"/>
  <c r="AD33" i="40" s="1"/>
  <c r="CF34" i="40" a="1"/>
  <c r="CF34" i="40" s="1"/>
  <c r="CI34" i="40" s="1"/>
  <c r="AD34" i="40" s="1"/>
  <c r="DB35" i="40"/>
  <c r="DC35" i="40" s="1" a="1"/>
  <c r="DC35" i="40" s="1"/>
  <c r="BU34" i="40" a="1"/>
  <c r="BU34" i="40" s="1"/>
  <c r="BX34" i="40" s="1"/>
  <c r="AB34" i="40" s="1"/>
  <c r="BY34" i="40" a="1"/>
  <c r="BY34" i="40" s="1"/>
  <c r="BZ34" i="40" a="1"/>
  <c r="BZ34" i="40" s="1"/>
  <c r="CA34" i="40" a="1"/>
  <c r="CA34" i="40" s="1"/>
  <c r="AY35" i="40" a="1"/>
  <c r="AY35" i="40" s="1"/>
  <c r="I38" i="40"/>
  <c r="CR34" i="40"/>
  <c r="AG34" i="40" s="1"/>
  <c r="CL34" i="40"/>
  <c r="AE34" i="40" s="1"/>
  <c r="BB35" i="40" a="1"/>
  <c r="BB35" i="40" s="1"/>
  <c r="BR33" i="40" a="1"/>
  <c r="BR33" i="40" s="1"/>
  <c r="Z33" i="40" s="1"/>
  <c r="CW35" i="40" a="1"/>
  <c r="CW35" i="40" s="1"/>
  <c r="BV35" i="40"/>
  <c r="CM35" i="40" a="1"/>
  <c r="CM35" i="40" s="1"/>
  <c r="CP35" i="40" a="1"/>
  <c r="CP35" i="40" s="1"/>
  <c r="CR35" i="40" s="1"/>
  <c r="AG35" i="40" s="1"/>
  <c r="DD33" i="40"/>
  <c r="AJ33" i="40" s="1"/>
  <c r="CJ35" i="40" a="1"/>
  <c r="CJ35" i="40" s="1"/>
  <c r="CS35" i="40" a="1"/>
  <c r="CS35" i="40" s="1"/>
  <c r="M39" i="40"/>
  <c r="H39" i="40" s="1"/>
  <c r="E40" i="40" s="1" a="1"/>
  <c r="E40" i="40" s="1"/>
  <c r="F40" i="40" s="1" a="1"/>
  <c r="F40" i="40" s="1"/>
  <c r="BJ34" i="40" a="1"/>
  <c r="BJ34" i="40" s="1"/>
  <c r="BM34" i="40" a="1"/>
  <c r="BM34" i="40" s="1"/>
  <c r="BL34" i="40" a="1"/>
  <c r="BL34" i="40" s="1"/>
  <c r="BQ34" i="40" a="1"/>
  <c r="BQ34" i="40" s="1"/>
  <c r="BH34" i="40" a="1"/>
  <c r="BH34" i="40" s="1"/>
  <c r="BG34" i="40" a="1"/>
  <c r="BG34" i="40" s="1"/>
  <c r="BF34" i="40" a="1"/>
  <c r="BF34" i="40" s="1"/>
  <c r="BK34" i="40" a="1"/>
  <c r="BK34" i="40" s="1"/>
  <c r="BO34" i="40" a="1"/>
  <c r="BO34" i="40" s="1"/>
  <c r="BI34" i="40" a="1"/>
  <c r="BI34" i="40" s="1"/>
  <c r="BN34" i="40" a="1"/>
  <c r="BN34" i="40" s="1"/>
  <c r="BS35" i="40" a="1"/>
  <c r="BS35" i="40" s="1"/>
  <c r="BT35" i="40" s="1"/>
  <c r="AA35" i="40" s="1"/>
  <c r="BD35" i="40"/>
  <c r="BC35" i="40" s="1" a="1"/>
  <c r="BC35" i="40" s="1"/>
  <c r="CE33" i="40" a="1"/>
  <c r="CE33" i="40" s="1"/>
  <c r="AC33" i="40" s="1"/>
  <c r="AN36" i="40"/>
  <c r="AO36" i="40" s="1"/>
  <c r="AP36" i="40" s="1"/>
  <c r="AQ36" i="40" s="1"/>
  <c r="AR36" i="40" s="1"/>
  <c r="AS36" i="40" s="1"/>
  <c r="BD36" i="40" s="1"/>
  <c r="BC36" i="40" s="1" a="1"/>
  <c r="BC36" i="40" s="1"/>
  <c r="CT35" i="40" a="1"/>
  <c r="CT35" i="40" s="1"/>
  <c r="G38" i="40"/>
  <c r="O38" i="40" s="1"/>
  <c r="AT35" i="40" a="1"/>
  <c r="AT35" i="40" s="1"/>
  <c r="AM37" i="40"/>
  <c r="AZ35" i="40" a="1"/>
  <c r="AZ35" i="40" s="1"/>
  <c r="Q38" i="39"/>
  <c r="P38" i="39"/>
  <c r="G39" i="39"/>
  <c r="O39" i="39" s="1"/>
  <c r="N39" i="39" s="1"/>
  <c r="H39" i="39"/>
  <c r="E40" i="39" s="1" a="1"/>
  <c r="E40" i="39" s="1"/>
  <c r="F40" i="39" s="1" a="1"/>
  <c r="F40" i="39" s="1"/>
  <c r="M40" i="39" s="1"/>
  <c r="I40" i="39" s="1"/>
  <c r="H32" i="35"/>
  <c r="E33" i="35" s="1" a="1"/>
  <c r="E33" i="35" s="1"/>
  <c r="F33" i="35" s="1" a="1"/>
  <c r="F33" i="35" s="1"/>
  <c r="G32" i="35"/>
  <c r="O32" i="35" s="1"/>
  <c r="CF35" i="40" l="1" a="1"/>
  <c r="CF35" i="40" s="1"/>
  <c r="CI35" i="40" s="1"/>
  <c r="AD35" i="40" s="1"/>
  <c r="AU35" i="40" a="1"/>
  <c r="AU35" i="40" s="1"/>
  <c r="AX35" i="40" s="1" a="1"/>
  <c r="AX35" i="40" s="1"/>
  <c r="W35" i="40" s="1"/>
  <c r="CL35" i="40"/>
  <c r="AE35" i="40" s="1"/>
  <c r="U32" i="40"/>
  <c r="CX35" i="40"/>
  <c r="AI35" i="40" s="1"/>
  <c r="V32" i="40"/>
  <c r="AK32" i="40"/>
  <c r="BG35" i="40" a="1"/>
  <c r="BG35" i="40" s="1"/>
  <c r="BO35" i="40" a="1"/>
  <c r="BO35" i="40" s="1"/>
  <c r="BF35" i="40" a="1"/>
  <c r="BF35" i="40" s="1"/>
  <c r="BJ35" i="40" a="1"/>
  <c r="BJ35" i="40" s="1"/>
  <c r="CD35" i="40"/>
  <c r="CC35" i="40" s="1" a="1"/>
  <c r="CC35" i="40" s="1"/>
  <c r="BQ35" i="40" a="1"/>
  <c r="BQ35" i="40" s="1"/>
  <c r="BH35" i="40" a="1"/>
  <c r="BH35" i="40" s="1"/>
  <c r="DD34" i="40"/>
  <c r="AJ34" i="40" s="1"/>
  <c r="CO35" i="40"/>
  <c r="AF35" i="40" s="1"/>
  <c r="BI35" i="40" a="1"/>
  <c r="BI35" i="40" s="1"/>
  <c r="BY35" i="40" a="1"/>
  <c r="BY35" i="40" s="1"/>
  <c r="CQ36" i="40" a="1"/>
  <c r="CQ36" i="40" s="1"/>
  <c r="BM35" i="40" a="1"/>
  <c r="BM35" i="40" s="1"/>
  <c r="CV36" i="40" a="1"/>
  <c r="CV36" i="40" s="1"/>
  <c r="BZ35" i="40" a="1"/>
  <c r="BZ35" i="40" s="1"/>
  <c r="CW36" i="40" a="1"/>
  <c r="CW36" i="40" s="1"/>
  <c r="BN35" i="40" a="1"/>
  <c r="BN35" i="40" s="1"/>
  <c r="CG36" i="40"/>
  <c r="CF36" i="40" s="1" a="1"/>
  <c r="CF36" i="40" s="1"/>
  <c r="BL35" i="40" a="1"/>
  <c r="BL35" i="40" s="1"/>
  <c r="AX34" i="40" a="1"/>
  <c r="AX34" i="40" s="1"/>
  <c r="W34" i="40" s="1"/>
  <c r="DB36" i="40"/>
  <c r="CY36" i="40" s="1" a="1"/>
  <c r="CY36" i="40" s="1"/>
  <c r="CN36" i="40" a="1"/>
  <c r="CN36" i="40" s="1"/>
  <c r="CE34" i="40" a="1"/>
  <c r="CE34" i="40" s="1"/>
  <c r="AC34" i="40" s="1"/>
  <c r="CK36" i="40" a="1"/>
  <c r="CK36" i="40" s="1"/>
  <c r="BP36" i="40"/>
  <c r="BO36" i="40" s="1" a="1"/>
  <c r="BO36" i="40" s="1"/>
  <c r="BE35" i="40"/>
  <c r="Y35" i="40" s="1"/>
  <c r="BB36" i="40" a="1"/>
  <c r="BB36" i="40" s="1"/>
  <c r="BE36" i="40" s="1"/>
  <c r="Y36" i="40" s="1"/>
  <c r="CP36" i="40" a="1"/>
  <c r="CP36" i="40" s="1"/>
  <c r="BV36" i="40"/>
  <c r="BW36" i="40" s="1" a="1"/>
  <c r="BW36" i="40" s="1"/>
  <c r="AV36" i="40"/>
  <c r="AT36" i="40" s="1" a="1"/>
  <c r="AT36" i="40" s="1"/>
  <c r="BA35" i="40"/>
  <c r="X35" i="40" s="1"/>
  <c r="CT36" i="40" a="1"/>
  <c r="CT36" i="40" s="1"/>
  <c r="BS36" i="40" a="1"/>
  <c r="BS36" i="40" s="1"/>
  <c r="BT36" i="40" s="1"/>
  <c r="AA36" i="40" s="1"/>
  <c r="AZ36" i="40" a="1"/>
  <c r="AZ36" i="40" s="1"/>
  <c r="CM36" i="40" a="1"/>
  <c r="CM36" i="40" s="1"/>
  <c r="CZ35" i="40" a="1"/>
  <c r="CZ35" i="40" s="1"/>
  <c r="DA35" i="40" a="1"/>
  <c r="DA35" i="40" s="1"/>
  <c r="CY35" i="40" a="1"/>
  <c r="CY35" i="40" s="1"/>
  <c r="CB36" i="40"/>
  <c r="BY36" i="40" s="1" a="1"/>
  <c r="BY36" i="40" s="1"/>
  <c r="BU35" i="40" a="1"/>
  <c r="BU35" i="40" s="1"/>
  <c r="BW35" i="40" a="1"/>
  <c r="BW35" i="40" s="1"/>
  <c r="V33" i="40"/>
  <c r="AY36" i="40" a="1"/>
  <c r="AY36" i="40" s="1"/>
  <c r="I39" i="40"/>
  <c r="G39" i="40"/>
  <c r="O39" i="40" s="1"/>
  <c r="T39" i="40" s="1"/>
  <c r="CJ36" i="40" a="1"/>
  <c r="CJ36" i="40" s="1"/>
  <c r="CU35" i="40"/>
  <c r="AH35" i="40" s="1"/>
  <c r="CS36" i="40" a="1"/>
  <c r="CS36" i="40" s="1"/>
  <c r="M40" i="40"/>
  <c r="I40" i="40" s="1"/>
  <c r="N38" i="40"/>
  <c r="T38" i="40"/>
  <c r="P38" i="40"/>
  <c r="Q38" i="40"/>
  <c r="U33" i="40"/>
  <c r="AK33" i="40"/>
  <c r="BR34" i="40" a="1"/>
  <c r="BR34" i="40" s="1"/>
  <c r="Z34" i="40" s="1"/>
  <c r="AN37" i="40"/>
  <c r="AO37" i="40" s="1"/>
  <c r="AP37" i="40" s="1"/>
  <c r="AQ37" i="40" s="1"/>
  <c r="AR37" i="40" s="1"/>
  <c r="AS37" i="40" s="1"/>
  <c r="CP37" i="40" s="1" a="1"/>
  <c r="CP37" i="40" s="1"/>
  <c r="P39" i="39"/>
  <c r="Q39" i="39"/>
  <c r="G40" i="39"/>
  <c r="O40" i="39" s="1"/>
  <c r="Q40" i="39" s="1"/>
  <c r="H40" i="39"/>
  <c r="E41" i="39" s="1" a="1"/>
  <c r="E41" i="39" s="1"/>
  <c r="F41" i="39" s="1" a="1"/>
  <c r="F41" i="39" s="1"/>
  <c r="M33" i="35"/>
  <c r="I33" i="35" s="1"/>
  <c r="Q32" i="35"/>
  <c r="P32" i="35"/>
  <c r="N32" i="35"/>
  <c r="CZ36" i="40" l="1" a="1"/>
  <c r="CZ36" i="40" s="1"/>
  <c r="CE35" i="40" a="1"/>
  <c r="CE35" i="40" s="1"/>
  <c r="AC35" i="40" s="1"/>
  <c r="CR36" i="40"/>
  <c r="AG36" i="40" s="1"/>
  <c r="BR35" i="40" a="1"/>
  <c r="BR35" i="40" s="1"/>
  <c r="Z35" i="40" s="1"/>
  <c r="CX36" i="40"/>
  <c r="AI36" i="40" s="1"/>
  <c r="CH36" i="40" a="1"/>
  <c r="CH36" i="40" s="1"/>
  <c r="CI36" i="40" s="1"/>
  <c r="AD36" i="40" s="1"/>
  <c r="BA36" i="40"/>
  <c r="X36" i="40" s="1"/>
  <c r="BL36" i="40" a="1"/>
  <c r="BL36" i="40" s="1"/>
  <c r="DA36" i="40" a="1"/>
  <c r="DA36" i="40" s="1"/>
  <c r="CL36" i="40"/>
  <c r="AE36" i="40" s="1"/>
  <c r="BM36" i="40" a="1"/>
  <c r="BM36" i="40" s="1"/>
  <c r="BN36" i="40" a="1"/>
  <c r="BN36" i="40" s="1"/>
  <c r="CO36" i="40"/>
  <c r="AF36" i="40" s="1"/>
  <c r="DC36" i="40" a="1"/>
  <c r="DC36" i="40" s="1"/>
  <c r="BX35" i="40"/>
  <c r="AB35" i="40" s="1"/>
  <c r="BH36" i="40" a="1"/>
  <c r="BH36" i="40" s="1"/>
  <c r="BQ36" i="40" a="1"/>
  <c r="BQ36" i="40" s="1"/>
  <c r="BU36" i="40" a="1"/>
  <c r="BU36" i="40" s="1"/>
  <c r="BX36" i="40" s="1"/>
  <c r="AB36" i="40" s="1"/>
  <c r="BJ36" i="40" a="1"/>
  <c r="BJ36" i="40" s="1"/>
  <c r="BG36" i="40" a="1"/>
  <c r="BG36" i="40" s="1"/>
  <c r="BI36" i="40" a="1"/>
  <c r="BI36" i="40" s="1"/>
  <c r="BK36" i="40" a="1"/>
  <c r="BK36" i="40" s="1"/>
  <c r="BF36" i="40" a="1"/>
  <c r="BF36" i="40" s="1"/>
  <c r="DD35" i="40"/>
  <c r="AJ35" i="40" s="1"/>
  <c r="CD36" i="40"/>
  <c r="CC36" i="40" s="1" a="1"/>
  <c r="CC36" i="40" s="1"/>
  <c r="AU36" i="40" a="1"/>
  <c r="AU36" i="40" s="1"/>
  <c r="AW36" i="40" a="1"/>
  <c r="AW36" i="40" s="1"/>
  <c r="CA36" i="40" a="1"/>
  <c r="CA36" i="40" s="1"/>
  <c r="CU36" i="40"/>
  <c r="AH36" i="40" s="1"/>
  <c r="BZ36" i="40" a="1"/>
  <c r="BZ36" i="40" s="1"/>
  <c r="P39" i="40"/>
  <c r="Q39" i="40"/>
  <c r="N39" i="40"/>
  <c r="P40" i="39"/>
  <c r="N40" i="39"/>
  <c r="G40" i="40"/>
  <c r="O40" i="40" s="1"/>
  <c r="CT37" i="40" a="1"/>
  <c r="CT37" i="40" s="1"/>
  <c r="DB37" i="40"/>
  <c r="AY37" i="40" a="1"/>
  <c r="AY37" i="40" s="1"/>
  <c r="BA37" i="40" s="1"/>
  <c r="X37" i="40" s="1"/>
  <c r="CK37" i="40" a="1"/>
  <c r="CK37" i="40" s="1"/>
  <c r="CS37" i="40" a="1"/>
  <c r="CS37" i="40" s="1"/>
  <c r="CW37" i="40" a="1"/>
  <c r="CW37" i="40" s="1"/>
  <c r="CB37" i="40"/>
  <c r="H40" i="40"/>
  <c r="E41" i="40" s="1" a="1"/>
  <c r="E41" i="40" s="1"/>
  <c r="F41" i="40" s="1" a="1"/>
  <c r="F41" i="40" s="1"/>
  <c r="BB37" i="40" a="1"/>
  <c r="BB37" i="40" s="1"/>
  <c r="AM39" i="40"/>
  <c r="V34" i="40"/>
  <c r="U34" i="40"/>
  <c r="AK34" i="40"/>
  <c r="AZ37" i="40" a="1"/>
  <c r="AZ37" i="40" s="1"/>
  <c r="CV37" i="40" a="1"/>
  <c r="CV37" i="40" s="1"/>
  <c r="CJ37" i="40" a="1"/>
  <c r="CJ37" i="40" s="1"/>
  <c r="AV37" i="40"/>
  <c r="BD37" i="40"/>
  <c r="BC37" i="40" s="1" a="1"/>
  <c r="BC37" i="40" s="1"/>
  <c r="CM37" i="40" a="1"/>
  <c r="CM37" i="40" s="1"/>
  <c r="CG37" i="40"/>
  <c r="CN37" i="40" a="1"/>
  <c r="CN37" i="40" s="1"/>
  <c r="AM38" i="40"/>
  <c r="BS37" i="40" a="1"/>
  <c r="BS37" i="40" s="1"/>
  <c r="BT37" i="40" s="1"/>
  <c r="AA37" i="40" s="1"/>
  <c r="BV37" i="40"/>
  <c r="CQ37" i="40" a="1"/>
  <c r="CQ37" i="40" s="1"/>
  <c r="CR37" i="40" s="1"/>
  <c r="AG37" i="40" s="1"/>
  <c r="BP37" i="40"/>
  <c r="M41" i="39"/>
  <c r="I41" i="39" s="1"/>
  <c r="H33" i="35"/>
  <c r="E34" i="35" s="1" a="1"/>
  <c r="E34" i="35" s="1"/>
  <c r="F34" i="35" s="1" a="1"/>
  <c r="F34" i="35" s="1"/>
  <c r="M34" i="35" s="1"/>
  <c r="I34" i="35" s="1"/>
  <c r="G33" i="35"/>
  <c r="O33" i="35" s="1"/>
  <c r="N33" i="35" s="1"/>
  <c r="V35" i="40" l="1"/>
  <c r="DD36" i="40"/>
  <c r="AJ36" i="40" s="1"/>
  <c r="AK35" i="40"/>
  <c r="AX36" i="40" a="1"/>
  <c r="AX36" i="40" s="1"/>
  <c r="W36" i="40" s="1"/>
  <c r="U35" i="40"/>
  <c r="BR36" i="40" a="1"/>
  <c r="BR36" i="40" s="1"/>
  <c r="Z36" i="40" s="1"/>
  <c r="CE36" i="40" a="1"/>
  <c r="CE36" i="40" s="1"/>
  <c r="AC36" i="40" s="1"/>
  <c r="CL37" i="40"/>
  <c r="AE37" i="40" s="1"/>
  <c r="CU37" i="40"/>
  <c r="AH37" i="40" s="1"/>
  <c r="BE37" i="40"/>
  <c r="Y37" i="40" s="1"/>
  <c r="AN39" i="40"/>
  <c r="AO39" i="40" s="1"/>
  <c r="AP39" i="40" s="1"/>
  <c r="AQ39" i="40" s="1"/>
  <c r="AR39" i="40" s="1"/>
  <c r="AS39" i="40" s="1"/>
  <c r="DB39" i="40" s="1"/>
  <c r="CH37" i="40" a="1"/>
  <c r="CH37" i="40" s="1"/>
  <c r="CF37" i="40" a="1"/>
  <c r="CF37" i="40" s="1"/>
  <c r="CO37" i="40"/>
  <c r="AF37" i="40" s="1"/>
  <c r="M41" i="40"/>
  <c r="H41" i="40" s="1"/>
  <c r="E42" i="40" s="1" a="1"/>
  <c r="E42" i="40" s="1"/>
  <c r="F42" i="40" s="1" a="1"/>
  <c r="F42" i="40" s="1"/>
  <c r="T40" i="40"/>
  <c r="P40" i="40"/>
  <c r="N40" i="40"/>
  <c r="Q40" i="40"/>
  <c r="BY37" i="40" a="1"/>
  <c r="BY37" i="40" s="1"/>
  <c r="BZ37" i="40" a="1"/>
  <c r="BZ37" i="40" s="1"/>
  <c r="CD37" i="40"/>
  <c r="CC37" i="40" s="1" a="1"/>
  <c r="CC37" i="40" s="1"/>
  <c r="CA37" i="40" a="1"/>
  <c r="CA37" i="40" s="1"/>
  <c r="AW37" i="40" a="1"/>
  <c r="AW37" i="40" s="1"/>
  <c r="AU37" i="40" a="1"/>
  <c r="AU37" i="40" s="1"/>
  <c r="AT37" i="40" a="1"/>
  <c r="AT37" i="40" s="1"/>
  <c r="BU37" i="40" a="1"/>
  <c r="BU37" i="40" s="1"/>
  <c r="BW37" i="40" a="1"/>
  <c r="BW37" i="40" s="1"/>
  <c r="CZ37" i="40" a="1"/>
  <c r="CZ37" i="40" s="1"/>
  <c r="DA37" i="40" a="1"/>
  <c r="DA37" i="40" s="1"/>
  <c r="DC37" i="40" a="1"/>
  <c r="DC37" i="40" s="1"/>
  <c r="CY37" i="40" a="1"/>
  <c r="CY37" i="40" s="1"/>
  <c r="BK37" i="40" a="1"/>
  <c r="BK37" i="40" s="1"/>
  <c r="BQ37" i="40" a="1"/>
  <c r="BQ37" i="40" s="1"/>
  <c r="BN37" i="40" a="1"/>
  <c r="BN37" i="40" s="1"/>
  <c r="BH37" i="40" a="1"/>
  <c r="BH37" i="40" s="1"/>
  <c r="BL37" i="40" a="1"/>
  <c r="BL37" i="40" s="1"/>
  <c r="BI37" i="40" a="1"/>
  <c r="BI37" i="40" s="1"/>
  <c r="BF37" i="40" a="1"/>
  <c r="BF37" i="40" s="1"/>
  <c r="BM37" i="40" a="1"/>
  <c r="BM37" i="40" s="1"/>
  <c r="BJ37" i="40" a="1"/>
  <c r="BJ37" i="40" s="1"/>
  <c r="BG37" i="40" a="1"/>
  <c r="BG37" i="40" s="1"/>
  <c r="BO37" i="40" a="1"/>
  <c r="BO37" i="40" s="1"/>
  <c r="AN38" i="40"/>
  <c r="AO38" i="40" s="1"/>
  <c r="AP38" i="40" s="1"/>
  <c r="AQ38" i="40" s="1"/>
  <c r="AR38" i="40" s="1"/>
  <c r="AS38" i="40" s="1"/>
  <c r="DB38" i="40" s="1"/>
  <c r="CX37" i="40"/>
  <c r="AI37" i="40" s="1"/>
  <c r="G41" i="39"/>
  <c r="O41" i="39" s="1"/>
  <c r="N41" i="39" s="1"/>
  <c r="H41" i="39"/>
  <c r="E42" i="39" s="1" a="1"/>
  <c r="E42" i="39" s="1"/>
  <c r="F42" i="39" s="1" a="1"/>
  <c r="F42" i="39" s="1"/>
  <c r="Q33" i="35"/>
  <c r="P33" i="35"/>
  <c r="G34" i="35"/>
  <c r="O34" i="35" s="1"/>
  <c r="H34" i="35"/>
  <c r="E35" i="35" s="1" a="1"/>
  <c r="E35" i="35" s="1"/>
  <c r="F35" i="35" s="1" a="1"/>
  <c r="F35" i="35" s="1"/>
  <c r="AX37" i="40" l="1" a="1"/>
  <c r="AX37" i="40" s="1"/>
  <c r="W37" i="40" s="1"/>
  <c r="BV38" i="40"/>
  <c r="BW38" i="40" s="1" a="1"/>
  <c r="BW38" i="40" s="1"/>
  <c r="AZ38" i="40" a="1"/>
  <c r="AZ38" i="40" s="1"/>
  <c r="V36" i="40"/>
  <c r="CW38" i="40" a="1"/>
  <c r="CW38" i="40" s="1"/>
  <c r="CJ38" i="40" a="1"/>
  <c r="CJ38" i="40" s="1"/>
  <c r="U36" i="40"/>
  <c r="AZ39" i="40" a="1"/>
  <c r="AZ39" i="40" s="1"/>
  <c r="CB39" i="40"/>
  <c r="BZ39" i="40" s="1" a="1"/>
  <c r="BZ39" i="40" s="1"/>
  <c r="AK36" i="40"/>
  <c r="CN39" i="40" a="1"/>
  <c r="CN39" i="40" s="1"/>
  <c r="BS39" i="40" a="1"/>
  <c r="BS39" i="40" s="1"/>
  <c r="BT39" i="40" s="1"/>
  <c r="AA39" i="40" s="1"/>
  <c r="CV39" i="40" a="1"/>
  <c r="CV39" i="40" s="1"/>
  <c r="CT39" i="40" a="1"/>
  <c r="CT39" i="40" s="1"/>
  <c r="AV38" i="40"/>
  <c r="AU38" i="40" s="1" a="1"/>
  <c r="AU38" i="40" s="1"/>
  <c r="CM39" i="40" a="1"/>
  <c r="CM39" i="40" s="1"/>
  <c r="CV38" i="40" a="1"/>
  <c r="CV38" i="40" s="1"/>
  <c r="CN38" i="40" a="1"/>
  <c r="CN38" i="40" s="1"/>
  <c r="BD38" i="40"/>
  <c r="BC38" i="40" s="1" a="1"/>
  <c r="BC38" i="40" s="1"/>
  <c r="CB38" i="40"/>
  <c r="BZ38" i="40" s="1" a="1"/>
  <c r="BZ38" i="40" s="1"/>
  <c r="CP38" i="40" a="1"/>
  <c r="CP38" i="40" s="1"/>
  <c r="CK39" i="40" a="1"/>
  <c r="CK39" i="40" s="1"/>
  <c r="CI37" i="40"/>
  <c r="AD37" i="40" s="1"/>
  <c r="BB38" i="40" a="1"/>
  <c r="BB38" i="40" s="1"/>
  <c r="CG39" i="40"/>
  <c r="CF39" i="40" s="1" a="1"/>
  <c r="CF39" i="40" s="1"/>
  <c r="AV39" i="40"/>
  <c r="AT39" i="40" s="1" a="1"/>
  <c r="AT39" i="40" s="1"/>
  <c r="BP38" i="40"/>
  <c r="BH38" i="40" s="1" a="1"/>
  <c r="BH38" i="40" s="1"/>
  <c r="I41" i="40"/>
  <c r="CS39" i="40" a="1"/>
  <c r="CS39" i="40" s="1"/>
  <c r="BV39" i="40"/>
  <c r="BX37" i="40"/>
  <c r="AB37" i="40" s="1"/>
  <c r="DA39" i="40" a="1"/>
  <c r="DA39" i="40" s="1"/>
  <c r="CZ39" i="40" a="1"/>
  <c r="CZ39" i="40" s="1"/>
  <c r="CY39" i="40" a="1"/>
  <c r="CY39" i="40" s="1"/>
  <c r="DC39" i="40" a="1"/>
  <c r="DC39" i="40" s="1"/>
  <c r="DA38" i="40" a="1"/>
  <c r="DA38" i="40" s="1"/>
  <c r="CZ38" i="40" a="1"/>
  <c r="CZ38" i="40" s="1"/>
  <c r="CY38" i="40" a="1"/>
  <c r="CY38" i="40" s="1"/>
  <c r="DC38" i="40" a="1"/>
  <c r="DC38" i="40" s="1"/>
  <c r="M42" i="40"/>
  <c r="H42" i="40" s="1"/>
  <c r="E43" i="40" s="1" a="1"/>
  <c r="E43" i="40" s="1"/>
  <c r="F43" i="40" s="1" a="1"/>
  <c r="F43" i="40" s="1"/>
  <c r="BR37" i="40" a="1"/>
  <c r="BR37" i="40" s="1"/>
  <c r="Z37" i="40" s="1"/>
  <c r="BS38" i="40" a="1"/>
  <c r="BS38" i="40" s="1"/>
  <c r="BT38" i="40" s="1"/>
  <c r="AA38" i="40" s="1"/>
  <c r="CQ38" i="40" a="1"/>
  <c r="CQ38" i="40" s="1"/>
  <c r="CS38" i="40" a="1"/>
  <c r="CS38" i="40" s="1"/>
  <c r="DD37" i="40"/>
  <c r="AJ37" i="40" s="1"/>
  <c r="AM40" i="40"/>
  <c r="BD39" i="40"/>
  <c r="BC39" i="40" s="1" a="1"/>
  <c r="BC39" i="40" s="1"/>
  <c r="G41" i="40"/>
  <c r="O41" i="40" s="1"/>
  <c r="CE37" i="40" a="1"/>
  <c r="CE37" i="40" s="1"/>
  <c r="AC37" i="40" s="1"/>
  <c r="CT38" i="40" a="1"/>
  <c r="CT38" i="40" s="1"/>
  <c r="CM38" i="40" a="1"/>
  <c r="CM38" i="40" s="1"/>
  <c r="CG38" i="40"/>
  <c r="BP39" i="40"/>
  <c r="CP39" i="40" a="1"/>
  <c r="CP39" i="40" s="1"/>
  <c r="CK38" i="40" a="1"/>
  <c r="CK38" i="40" s="1"/>
  <c r="AY38" i="40" a="1"/>
  <c r="AY38" i="40" s="1"/>
  <c r="CQ39" i="40" a="1"/>
  <c r="CQ39" i="40" s="1"/>
  <c r="BB39" i="40" a="1"/>
  <c r="BB39" i="40" s="1"/>
  <c r="AY39" i="40" a="1"/>
  <c r="AY39" i="40" s="1"/>
  <c r="BA39" i="40" s="1"/>
  <c r="X39" i="40" s="1"/>
  <c r="CJ39" i="40" a="1"/>
  <c r="CJ39" i="40" s="1"/>
  <c r="CW39" i="40" a="1"/>
  <c r="CW39" i="40" s="1"/>
  <c r="Q41" i="39"/>
  <c r="P41" i="39"/>
  <c r="M42" i="39"/>
  <c r="G42" i="39" s="1"/>
  <c r="O42" i="39" s="1"/>
  <c r="M35" i="35"/>
  <c r="I35" i="35" s="1"/>
  <c r="Q34" i="35"/>
  <c r="N34" i="35"/>
  <c r="P34" i="35"/>
  <c r="CL38" i="40" l="1"/>
  <c r="AE38" i="40" s="1"/>
  <c r="BU38" i="40" a="1"/>
  <c r="BU38" i="40" s="1"/>
  <c r="BX38" i="40" s="1"/>
  <c r="AB38" i="40" s="1"/>
  <c r="BA38" i="40"/>
  <c r="X38" i="40" s="1"/>
  <c r="CO39" i="40"/>
  <c r="AF39" i="40" s="1"/>
  <c r="BJ38" i="40" a="1"/>
  <c r="BJ38" i="40" s="1"/>
  <c r="CX38" i="40"/>
  <c r="AI38" i="40" s="1"/>
  <c r="BF38" i="40" a="1"/>
  <c r="BF38" i="40" s="1"/>
  <c r="BQ38" i="40" a="1"/>
  <c r="BQ38" i="40" s="1"/>
  <c r="BO38" i="40" a="1"/>
  <c r="BO38" i="40" s="1"/>
  <c r="BK38" i="40" a="1"/>
  <c r="BK38" i="40" s="1"/>
  <c r="CX39" i="40"/>
  <c r="AI39" i="40" s="1"/>
  <c r="AT38" i="40" a="1"/>
  <c r="AT38" i="40" s="1"/>
  <c r="BE39" i="40"/>
  <c r="Y39" i="40" s="1"/>
  <c r="CD39" i="40"/>
  <c r="CC39" i="40" s="1" a="1"/>
  <c r="CC39" i="40" s="1"/>
  <c r="BY39" i="40" a="1"/>
  <c r="BY39" i="40" s="1"/>
  <c r="CA39" i="40" a="1"/>
  <c r="CA39" i="40" s="1"/>
  <c r="BI38" i="40" a="1"/>
  <c r="BI38" i="40" s="1"/>
  <c r="CO38" i="40"/>
  <c r="AF38" i="40" s="1"/>
  <c r="BG38" i="40" a="1"/>
  <c r="BG38" i="40" s="1"/>
  <c r="CD38" i="40"/>
  <c r="CC38" i="40" s="1" a="1"/>
  <c r="CC38" i="40" s="1"/>
  <c r="AW38" i="40" a="1"/>
  <c r="AW38" i="40" s="1"/>
  <c r="AK37" i="40"/>
  <c r="V37" i="40"/>
  <c r="CR38" i="40"/>
  <c r="AG38" i="40" s="1"/>
  <c r="U37" i="40"/>
  <c r="G42" i="40"/>
  <c r="O42" i="40" s="1"/>
  <c r="Q42" i="40" s="1"/>
  <c r="BE38" i="40"/>
  <c r="Y38" i="40" s="1"/>
  <c r="CL39" i="40"/>
  <c r="AE39" i="40" s="1"/>
  <c r="CA38" i="40" a="1"/>
  <c r="CA38" i="40" s="1"/>
  <c r="BY38" i="40" a="1"/>
  <c r="BY38" i="40" s="1"/>
  <c r="AU39" i="40" a="1"/>
  <c r="AU39" i="40" s="1"/>
  <c r="CH39" i="40" a="1"/>
  <c r="CH39" i="40" s="1"/>
  <c r="CI39" i="40" s="1"/>
  <c r="AD39" i="40" s="1"/>
  <c r="CU39" i="40"/>
  <c r="AH39" i="40" s="1"/>
  <c r="BW39" i="40" a="1"/>
  <c r="BW39" i="40" s="1"/>
  <c r="BU39" i="40" a="1"/>
  <c r="BU39" i="40" s="1"/>
  <c r="I42" i="40"/>
  <c r="AW39" i="40" a="1"/>
  <c r="AW39" i="40" s="1"/>
  <c r="BN38" i="40" a="1"/>
  <c r="BN38" i="40" s="1"/>
  <c r="BM38" i="40" a="1"/>
  <c r="BM38" i="40" s="1"/>
  <c r="BL38" i="40" a="1"/>
  <c r="BL38" i="40" s="1"/>
  <c r="M43" i="40"/>
  <c r="G43" i="40" s="1"/>
  <c r="O43" i="40" s="1"/>
  <c r="CU38" i="40"/>
  <c r="AH38" i="40" s="1"/>
  <c r="DD38" i="40"/>
  <c r="AJ38" i="40" s="1"/>
  <c r="CH38" i="40" a="1"/>
  <c r="CH38" i="40" s="1"/>
  <c r="CF38" i="40" a="1"/>
  <c r="CF38" i="40" s="1"/>
  <c r="DD39" i="40"/>
  <c r="AJ39" i="40" s="1"/>
  <c r="AN40" i="40"/>
  <c r="AO40" i="40" s="1"/>
  <c r="AP40" i="40" s="1"/>
  <c r="AQ40" i="40" s="1"/>
  <c r="AR40" i="40" s="1"/>
  <c r="AS40" i="40" s="1"/>
  <c r="BS40" i="40" s="1" a="1"/>
  <c r="BS40" i="40" s="1"/>
  <c r="BT40" i="40" s="1"/>
  <c r="AA40" i="40" s="1"/>
  <c r="CR39" i="40"/>
  <c r="AG39" i="40" s="1"/>
  <c r="N41" i="40"/>
  <c r="T41" i="40"/>
  <c r="Q41" i="40"/>
  <c r="P41" i="40"/>
  <c r="BK39" i="40" a="1"/>
  <c r="BK39" i="40" s="1"/>
  <c r="BQ39" i="40" a="1"/>
  <c r="BQ39" i="40" s="1"/>
  <c r="BO39" i="40" a="1"/>
  <c r="BO39" i="40" s="1"/>
  <c r="BL39" i="40" a="1"/>
  <c r="BL39" i="40" s="1"/>
  <c r="BF39" i="40" a="1"/>
  <c r="BF39" i="40" s="1"/>
  <c r="BN39" i="40" a="1"/>
  <c r="BN39" i="40" s="1"/>
  <c r="BH39" i="40" a="1"/>
  <c r="BH39" i="40" s="1"/>
  <c r="BM39" i="40" a="1"/>
  <c r="BM39" i="40" s="1"/>
  <c r="BI39" i="40" a="1"/>
  <c r="BI39" i="40" s="1"/>
  <c r="BJ39" i="40" a="1"/>
  <c r="BJ39" i="40" s="1"/>
  <c r="BG39" i="40" a="1"/>
  <c r="BG39" i="40" s="1"/>
  <c r="H42" i="39"/>
  <c r="E43" i="39" s="1" a="1"/>
  <c r="E43" i="39" s="1"/>
  <c r="F43" i="39" s="1" a="1"/>
  <c r="F43" i="39" s="1"/>
  <c r="M43" i="39" s="1"/>
  <c r="I43" i="39" s="1"/>
  <c r="N42" i="39"/>
  <c r="P42" i="39"/>
  <c r="Q42" i="39"/>
  <c r="I42" i="39"/>
  <c r="H35" i="35"/>
  <c r="E36" i="35" s="1" a="1"/>
  <c r="E36" i="35" s="1"/>
  <c r="F36" i="35" s="1" a="1"/>
  <c r="F36" i="35" s="1"/>
  <c r="M36" i="35" s="1"/>
  <c r="I36" i="35" s="1"/>
  <c r="G35" i="35"/>
  <c r="O35" i="35" s="1"/>
  <c r="CE38" i="40" l="1" a="1"/>
  <c r="CE38" i="40" s="1"/>
  <c r="AC38" i="40" s="1"/>
  <c r="CE39" i="40" a="1"/>
  <c r="CE39" i="40" s="1"/>
  <c r="AC39" i="40" s="1"/>
  <c r="N42" i="40"/>
  <c r="AX38" i="40" a="1"/>
  <c r="AX38" i="40" s="1"/>
  <c r="W38" i="40" s="1"/>
  <c r="P42" i="40"/>
  <c r="T42" i="40"/>
  <c r="AM42" i="40" s="1"/>
  <c r="AX39" i="40" a="1"/>
  <c r="AX39" i="40" s="1"/>
  <c r="W39" i="40" s="1"/>
  <c r="BX39" i="40"/>
  <c r="AB39" i="40" s="1"/>
  <c r="BR38" i="40" a="1"/>
  <c r="BR38" i="40" s="1"/>
  <c r="Z38" i="40" s="1"/>
  <c r="CS40" i="40" a="1"/>
  <c r="CS40" i="40" s="1"/>
  <c r="CG40" i="40"/>
  <c r="CH40" i="40" s="1" a="1"/>
  <c r="CH40" i="40" s="1"/>
  <c r="H43" i="40"/>
  <c r="E44" i="40" s="1" a="1"/>
  <c r="E44" i="40" s="1"/>
  <c r="F44" i="40" s="1" a="1"/>
  <c r="F44" i="40" s="1"/>
  <c r="M44" i="40" s="1"/>
  <c r="I43" i="40"/>
  <c r="CP40" i="40" a="1"/>
  <c r="CP40" i="40" s="1"/>
  <c r="BD40" i="40"/>
  <c r="BC40" i="40" s="1" a="1"/>
  <c r="BC40" i="40" s="1"/>
  <c r="CI38" i="40"/>
  <c r="AD38" i="40" s="1"/>
  <c r="T43" i="40"/>
  <c r="Q43" i="40"/>
  <c r="P43" i="40"/>
  <c r="N43" i="40"/>
  <c r="AZ40" i="40" a="1"/>
  <c r="AZ40" i="40" s="1"/>
  <c r="CJ40" i="40" a="1"/>
  <c r="CJ40" i="40" s="1"/>
  <c r="BR39" i="40" a="1"/>
  <c r="BR39" i="40" s="1"/>
  <c r="Z39" i="40" s="1"/>
  <c r="CB40" i="40"/>
  <c r="CT40" i="40" a="1"/>
  <c r="CT40" i="40" s="1"/>
  <c r="DB40" i="40"/>
  <c r="CV40" i="40" a="1"/>
  <c r="CV40" i="40" s="1"/>
  <c r="CM40" i="40" a="1"/>
  <c r="CM40" i="40" s="1"/>
  <c r="BP40" i="40"/>
  <c r="AM41" i="40"/>
  <c r="CW40" i="40" a="1"/>
  <c r="CW40" i="40" s="1"/>
  <c r="AY40" i="40" a="1"/>
  <c r="AY40" i="40" s="1"/>
  <c r="BA40" i="40" s="1"/>
  <c r="X40" i="40" s="1"/>
  <c r="CQ40" i="40" a="1"/>
  <c r="CQ40" i="40" s="1"/>
  <c r="CK40" i="40" a="1"/>
  <c r="CK40" i="40" s="1"/>
  <c r="AV40" i="40"/>
  <c r="CN40" i="40" a="1"/>
  <c r="CN40" i="40" s="1"/>
  <c r="BV40" i="40"/>
  <c r="BB40" i="40" a="1"/>
  <c r="BB40" i="40" s="1"/>
  <c r="G43" i="39"/>
  <c r="O43" i="39" s="1"/>
  <c r="H43" i="39"/>
  <c r="E44" i="39" s="1" a="1"/>
  <c r="E44" i="39" s="1"/>
  <c r="F44" i="39" s="1" a="1"/>
  <c r="F44" i="39" s="1"/>
  <c r="Q35" i="35"/>
  <c r="N35" i="35"/>
  <c r="P35" i="35"/>
  <c r="H36" i="35"/>
  <c r="E37" i="35" s="1" a="1"/>
  <c r="E37" i="35" s="1"/>
  <c r="F37" i="35" s="1" a="1"/>
  <c r="F37" i="35" s="1"/>
  <c r="G36" i="35"/>
  <c r="O36" i="35" s="1"/>
  <c r="U38" i="40" l="1"/>
  <c r="AK38" i="40"/>
  <c r="CU40" i="40"/>
  <c r="AH40" i="40" s="1"/>
  <c r="V38" i="40"/>
  <c r="CF40" i="40" a="1"/>
  <c r="CF40" i="40" s="1"/>
  <c r="CI40" i="40" s="1"/>
  <c r="AD40" i="40" s="1"/>
  <c r="CR40" i="40"/>
  <c r="AG40" i="40" s="1"/>
  <c r="H44" i="40"/>
  <c r="E45" i="40" s="1" a="1"/>
  <c r="E45" i="40" s="1"/>
  <c r="F45" i="40" s="1" a="1"/>
  <c r="F45" i="40" s="1"/>
  <c r="M45" i="40" s="1"/>
  <c r="I45" i="40" s="1"/>
  <c r="I44" i="40"/>
  <c r="G44" i="40"/>
  <c r="O44" i="40" s="1"/>
  <c r="Q44" i="40" s="1"/>
  <c r="CO40" i="40"/>
  <c r="AF40" i="40" s="1"/>
  <c r="BE40" i="40"/>
  <c r="Y40" i="40" s="1"/>
  <c r="CX40" i="40"/>
  <c r="AI40" i="40" s="1"/>
  <c r="BM40" i="40" a="1"/>
  <c r="BM40" i="40" s="1"/>
  <c r="BI40" i="40" a="1"/>
  <c r="BI40" i="40" s="1"/>
  <c r="BL40" i="40" a="1"/>
  <c r="BL40" i="40" s="1"/>
  <c r="BN40" i="40" a="1"/>
  <c r="BN40" i="40" s="1"/>
  <c r="BG40" i="40" a="1"/>
  <c r="BG40" i="40" s="1"/>
  <c r="BJ40" i="40" a="1"/>
  <c r="BJ40" i="40" s="1"/>
  <c r="BF40" i="40" a="1"/>
  <c r="BF40" i="40" s="1"/>
  <c r="BH40" i="40" a="1"/>
  <c r="BH40" i="40" s="1"/>
  <c r="BK40" i="40" a="1"/>
  <c r="BK40" i="40" s="1"/>
  <c r="BO40" i="40" a="1"/>
  <c r="BO40" i="40" s="1"/>
  <c r="BQ40" i="40" a="1"/>
  <c r="BQ40" i="40" s="1"/>
  <c r="CL40" i="40"/>
  <c r="AE40" i="40" s="1"/>
  <c r="AN42" i="40"/>
  <c r="AO42" i="40" s="1"/>
  <c r="AP42" i="40" s="1"/>
  <c r="AQ42" i="40" s="1"/>
  <c r="AR42" i="40" s="1"/>
  <c r="AS42" i="40" s="1"/>
  <c r="CS42" i="40" s="1" a="1"/>
  <c r="CS42" i="40" s="1"/>
  <c r="CZ40" i="40" a="1"/>
  <c r="CZ40" i="40" s="1"/>
  <c r="DA40" i="40" a="1"/>
  <c r="DA40" i="40" s="1"/>
  <c r="DC40" i="40" a="1"/>
  <c r="DC40" i="40" s="1"/>
  <c r="CY40" i="40" a="1"/>
  <c r="CY40" i="40" s="1"/>
  <c r="V39" i="40"/>
  <c r="AK39" i="40"/>
  <c r="U39" i="40"/>
  <c r="BU40" i="40" a="1"/>
  <c r="BU40" i="40" s="1"/>
  <c r="BW40" i="40" a="1"/>
  <c r="BW40" i="40" s="1"/>
  <c r="AN41" i="40"/>
  <c r="AO41" i="40" s="1"/>
  <c r="AP41" i="40" s="1"/>
  <c r="AQ41" i="40" s="1"/>
  <c r="AR41" i="40" s="1"/>
  <c r="AS41" i="40" s="1"/>
  <c r="CB41" i="40" s="1"/>
  <c r="CD40" i="40"/>
  <c r="CC40" i="40" s="1" a="1"/>
  <c r="CC40" i="40" s="1"/>
  <c r="BY40" i="40" a="1"/>
  <c r="BY40" i="40" s="1"/>
  <c r="CA40" i="40" a="1"/>
  <c r="CA40" i="40" s="1"/>
  <c r="BZ40" i="40" a="1"/>
  <c r="BZ40" i="40" s="1"/>
  <c r="AM43" i="40"/>
  <c r="AT40" i="40" a="1"/>
  <c r="AT40" i="40" s="1"/>
  <c r="AU40" i="40" a="1"/>
  <c r="AU40" i="40" s="1"/>
  <c r="AW40" i="40" a="1"/>
  <c r="AW40" i="40" s="1"/>
  <c r="M44" i="39"/>
  <c r="H44" i="39" s="1"/>
  <c r="E45" i="39" s="1" a="1"/>
  <c r="E45" i="39" s="1"/>
  <c r="F45" i="39" s="1" a="1"/>
  <c r="F45" i="39" s="1"/>
  <c r="N43" i="39"/>
  <c r="Q43" i="39"/>
  <c r="P43" i="39"/>
  <c r="M37" i="35"/>
  <c r="I37" i="35" s="1"/>
  <c r="Q36" i="35"/>
  <c r="N36" i="35"/>
  <c r="P36" i="35"/>
  <c r="T44" i="40" l="1"/>
  <c r="AM44" i="40" s="1"/>
  <c r="CJ42" i="40" a="1"/>
  <c r="CJ42" i="40" s="1"/>
  <c r="CK42" i="40" a="1"/>
  <c r="CK42" i="40" s="1"/>
  <c r="BV42" i="40"/>
  <c r="BU42" i="40" s="1" a="1"/>
  <c r="BU42" i="40" s="1"/>
  <c r="P44" i="40"/>
  <c r="N44" i="40"/>
  <c r="DD40" i="40"/>
  <c r="AJ40" i="40" s="1"/>
  <c r="CG41" i="40"/>
  <c r="CH41" i="40" s="1" a="1"/>
  <c r="CH41" i="40" s="1"/>
  <c r="CJ41" i="40" a="1"/>
  <c r="CJ41" i="40" s="1"/>
  <c r="CK41" i="40" a="1"/>
  <c r="CK41" i="40" s="1"/>
  <c r="CM41" i="40" a="1"/>
  <c r="CM41" i="40" s="1"/>
  <c r="CM42" i="40" a="1"/>
  <c r="CM42" i="40" s="1"/>
  <c r="CV42" i="40" a="1"/>
  <c r="CV42" i="40" s="1"/>
  <c r="BS41" i="40" a="1"/>
  <c r="BS41" i="40" s="1"/>
  <c r="BT41" i="40" s="1"/>
  <c r="AA41" i="40" s="1"/>
  <c r="BP42" i="40"/>
  <c r="BQ42" i="40" s="1" a="1"/>
  <c r="BQ42" i="40" s="1"/>
  <c r="CQ41" i="40" a="1"/>
  <c r="CQ41" i="40" s="1"/>
  <c r="CG42" i="40"/>
  <c r="CF42" i="40" s="1" a="1"/>
  <c r="CF42" i="40" s="1"/>
  <c r="BD42" i="40"/>
  <c r="BC42" i="40" s="1" a="1"/>
  <c r="BC42" i="40" s="1"/>
  <c r="AV42" i="40"/>
  <c r="AT42" i="40" s="1" a="1"/>
  <c r="AT42" i="40" s="1"/>
  <c r="AY42" i="40" a="1"/>
  <c r="AY42" i="40" s="1"/>
  <c r="BP41" i="40"/>
  <c r="BQ41" i="40" s="1" a="1"/>
  <c r="BQ41" i="40" s="1"/>
  <c r="BB41" i="40" a="1"/>
  <c r="BB41" i="40" s="1"/>
  <c r="BE41" i="40" s="1"/>
  <c r="Y41" i="40" s="1"/>
  <c r="CT41" i="40" a="1"/>
  <c r="CT41" i="40" s="1"/>
  <c r="CB42" i="40"/>
  <c r="BV41" i="40"/>
  <c r="BD41" i="40"/>
  <c r="BC41" i="40" s="1" a="1"/>
  <c r="BC41" i="40" s="1"/>
  <c r="CN42" i="40" a="1"/>
  <c r="CN42" i="40" s="1"/>
  <c r="CA41" i="40" a="1"/>
  <c r="CA41" i="40" s="1"/>
  <c r="BZ41" i="40" a="1"/>
  <c r="BZ41" i="40" s="1"/>
  <c r="BY41" i="40" a="1"/>
  <c r="BY41" i="40" s="1"/>
  <c r="CD41" i="40"/>
  <c r="CC41" i="40" s="1" a="1"/>
  <c r="CC41" i="40" s="1"/>
  <c r="CE40" i="40" a="1"/>
  <c r="CE40" i="40" s="1"/>
  <c r="AC40" i="40" s="1"/>
  <c r="BX40" i="40"/>
  <c r="AB40" i="40" s="1"/>
  <c r="AY41" i="40" a="1"/>
  <c r="AY41" i="40" s="1"/>
  <c r="CP42" i="40" a="1"/>
  <c r="CP42" i="40" s="1"/>
  <c r="CT42" i="40" a="1"/>
  <c r="CT42" i="40" s="1"/>
  <c r="CU42" i="40" s="1"/>
  <c r="AH42" i="40" s="1"/>
  <c r="BB42" i="40" a="1"/>
  <c r="BB42" i="40" s="1"/>
  <c r="BR40" i="40" a="1"/>
  <c r="BR40" i="40" s="1"/>
  <c r="Z40" i="40" s="1"/>
  <c r="DB42" i="40"/>
  <c r="AX40" i="40" a="1"/>
  <c r="AX40" i="40" s="1"/>
  <c r="W40" i="40" s="1"/>
  <c r="AZ42" i="40" a="1"/>
  <c r="AZ42" i="40" s="1"/>
  <c r="CQ42" i="40" a="1"/>
  <c r="CQ42" i="40" s="1"/>
  <c r="CV41" i="40" a="1"/>
  <c r="CV41" i="40" s="1"/>
  <c r="CN41" i="40" a="1"/>
  <c r="CN41" i="40" s="1"/>
  <c r="BS42" i="40" a="1"/>
  <c r="BS42" i="40" s="1"/>
  <c r="BT42" i="40" s="1"/>
  <c r="AA42" i="40" s="1"/>
  <c r="CW42" i="40" a="1"/>
  <c r="CW42" i="40" s="1"/>
  <c r="CP41" i="40" a="1"/>
  <c r="CP41" i="40" s="1"/>
  <c r="CW41" i="40" a="1"/>
  <c r="CW41" i="40" s="1"/>
  <c r="AZ41" i="40" a="1"/>
  <c r="AZ41" i="40" s="1"/>
  <c r="G45" i="40"/>
  <c r="O45" i="40" s="1"/>
  <c r="AN43" i="40"/>
  <c r="AO43" i="40" s="1"/>
  <c r="AP43" i="40" s="1"/>
  <c r="AQ43" i="40" s="1"/>
  <c r="AR43" i="40" s="1"/>
  <c r="AS43" i="40" s="1"/>
  <c r="BB43" i="40" s="1" a="1"/>
  <c r="BB43" i="40" s="1"/>
  <c r="AV41" i="40"/>
  <c r="H45" i="40"/>
  <c r="E46" i="40" s="1" a="1"/>
  <c r="E46" i="40" s="1"/>
  <c r="F46" i="40" s="1" a="1"/>
  <c r="F46" i="40" s="1"/>
  <c r="CS41" i="40" a="1"/>
  <c r="CS41" i="40" s="1"/>
  <c r="DB41" i="40"/>
  <c r="G44" i="39"/>
  <c r="O44" i="39" s="1"/>
  <c r="N44" i="39" s="1"/>
  <c r="I44" i="39"/>
  <c r="M45" i="39"/>
  <c r="I45" i="39" s="1"/>
  <c r="G37" i="35"/>
  <c r="O37" i="35" s="1"/>
  <c r="P37" i="35" s="1"/>
  <c r="H37" i="35"/>
  <c r="E38" i="35" s="1" a="1"/>
  <c r="E38" i="35" s="1"/>
  <c r="F38" i="35" s="1" a="1"/>
  <c r="F38" i="35" s="1"/>
  <c r="CO41" i="40" l="1"/>
  <c r="AF41" i="40" s="1"/>
  <c r="BG41" i="40" a="1"/>
  <c r="BG41" i="40" s="1"/>
  <c r="BF42" i="40" a="1"/>
  <c r="BF42" i="40" s="1"/>
  <c r="CF41" i="40" a="1"/>
  <c r="CF41" i="40" s="1"/>
  <c r="CI41" i="40" s="1"/>
  <c r="AD41" i="40" s="1"/>
  <c r="BW42" i="40" a="1"/>
  <c r="BW42" i="40" s="1"/>
  <c r="BX42" i="40" s="1"/>
  <c r="AB42" i="40" s="1"/>
  <c r="CL42" i="40"/>
  <c r="AE42" i="40" s="1"/>
  <c r="BG42" i="40" a="1"/>
  <c r="BG42" i="40" s="1"/>
  <c r="BL42" i="40" a="1"/>
  <c r="BL42" i="40" s="1"/>
  <c r="CL41" i="40"/>
  <c r="AE41" i="40" s="1"/>
  <c r="CX42" i="40"/>
  <c r="AI42" i="40" s="1"/>
  <c r="BJ42" i="40" a="1"/>
  <c r="BJ42" i="40" s="1"/>
  <c r="CH42" i="40" a="1"/>
  <c r="CH42" i="40" s="1"/>
  <c r="CI42" i="40" s="1"/>
  <c r="AD42" i="40" s="1"/>
  <c r="BN42" i="40" a="1"/>
  <c r="BN42" i="40" s="1"/>
  <c r="BK42" i="40" a="1"/>
  <c r="BK42" i="40" s="1"/>
  <c r="BE42" i="40"/>
  <c r="Y42" i="40" s="1"/>
  <c r="CR41" i="40"/>
  <c r="AG41" i="40" s="1"/>
  <c r="BN41" i="40" a="1"/>
  <c r="BN41" i="40" s="1"/>
  <c r="CW43" i="40" a="1"/>
  <c r="CW43" i="40" s="1"/>
  <c r="AY43" i="40" a="1"/>
  <c r="AY43" i="40" s="1"/>
  <c r="BA42" i="40"/>
  <c r="X42" i="40" s="1"/>
  <c r="BH41" i="40" a="1"/>
  <c r="BH41" i="40" s="1"/>
  <c r="BM41" i="40" a="1"/>
  <c r="BM41" i="40" s="1"/>
  <c r="CM43" i="40" a="1"/>
  <c r="CM43" i="40" s="1"/>
  <c r="BF41" i="40" a="1"/>
  <c r="BF41" i="40" s="1"/>
  <c r="DB43" i="40"/>
  <c r="CZ43" i="40" s="1" a="1"/>
  <c r="CZ43" i="40" s="1"/>
  <c r="CQ43" i="40" a="1"/>
  <c r="CQ43" i="40" s="1"/>
  <c r="AZ43" i="40" a="1"/>
  <c r="AZ43" i="40" s="1"/>
  <c r="BJ41" i="40" a="1"/>
  <c r="BJ41" i="40" s="1"/>
  <c r="AW42" i="40" a="1"/>
  <c r="AW42" i="40" s="1"/>
  <c r="CB43" i="40"/>
  <c r="CD43" i="40" s="1"/>
  <c r="CC43" i="40" s="1" a="1"/>
  <c r="CC43" i="40" s="1"/>
  <c r="CT43" i="40" a="1"/>
  <c r="CT43" i="40" s="1"/>
  <c r="AU42" i="40" a="1"/>
  <c r="AU42" i="40" s="1"/>
  <c r="BL41" i="40" a="1"/>
  <c r="BL41" i="40" s="1"/>
  <c r="CK43" i="40" a="1"/>
  <c r="CK43" i="40" s="1"/>
  <c r="AV43" i="40"/>
  <c r="BU41" i="40" a="1"/>
  <c r="BU41" i="40" s="1"/>
  <c r="BW41" i="40" a="1"/>
  <c r="BW41" i="40" s="1"/>
  <c r="CA42" i="40" a="1"/>
  <c r="CA42" i="40" s="1"/>
  <c r="CD42" i="40"/>
  <c r="CC42" i="40" s="1" a="1"/>
  <c r="CC42" i="40" s="1"/>
  <c r="BY42" i="40" a="1"/>
  <c r="BY42" i="40" s="1"/>
  <c r="CX41" i="40"/>
  <c r="AI41" i="40" s="1"/>
  <c r="BK41" i="40" a="1"/>
  <c r="BK41" i="40" s="1"/>
  <c r="BO41" i="40" a="1"/>
  <c r="BO41" i="40" s="1"/>
  <c r="BI41" i="40" a="1"/>
  <c r="BI41" i="40" s="1"/>
  <c r="CN43" i="40" a="1"/>
  <c r="CN43" i="40" s="1"/>
  <c r="BM42" i="40" a="1"/>
  <c r="BM42" i="40" s="1"/>
  <c r="BI42" i="40" a="1"/>
  <c r="BI42" i="40" s="1"/>
  <c r="BO42" i="40" a="1"/>
  <c r="BO42" i="40" s="1"/>
  <c r="BH42" i="40" a="1"/>
  <c r="BH42" i="40" s="1"/>
  <c r="CU41" i="40"/>
  <c r="AH41" i="40" s="1"/>
  <c r="BZ42" i="40" a="1"/>
  <c r="BZ42" i="40" s="1"/>
  <c r="CO42" i="40"/>
  <c r="AF42" i="40" s="1"/>
  <c r="DA41" i="40" a="1"/>
  <c r="DA41" i="40" s="1"/>
  <c r="DC41" i="40" a="1"/>
  <c r="DC41" i="40" s="1"/>
  <c r="CY41" i="40" a="1"/>
  <c r="CY41" i="40" s="1"/>
  <c r="CZ41" i="40" a="1"/>
  <c r="CZ41" i="40" s="1"/>
  <c r="CY42" i="40" a="1"/>
  <c r="CY42" i="40" s="1"/>
  <c r="CZ42" i="40" a="1"/>
  <c r="CZ42" i="40" s="1"/>
  <c r="DA42" i="40" a="1"/>
  <c r="DA42" i="40" s="1"/>
  <c r="DC42" i="40" a="1"/>
  <c r="DC42" i="40" s="1"/>
  <c r="BP43" i="40"/>
  <c r="CJ43" i="40" a="1"/>
  <c r="CJ43" i="40" s="1"/>
  <c r="AN44" i="40"/>
  <c r="AO44" i="40" s="1"/>
  <c r="AP44" i="40" s="1"/>
  <c r="AQ44" i="40" s="1"/>
  <c r="AR44" i="40" s="1"/>
  <c r="AS44" i="40" s="1"/>
  <c r="BS44" i="40" s="1" a="1"/>
  <c r="BS44" i="40" s="1"/>
  <c r="BT44" i="40" s="1"/>
  <c r="AA44" i="40" s="1"/>
  <c r="CS43" i="40" a="1"/>
  <c r="CS43" i="40" s="1"/>
  <c r="CE41" i="40" a="1"/>
  <c r="CE41" i="40" s="1"/>
  <c r="AC41" i="40" s="1"/>
  <c r="AK40" i="40"/>
  <c r="V40" i="40"/>
  <c r="U40" i="40"/>
  <c r="CV43" i="40" a="1"/>
  <c r="CV43" i="40" s="1"/>
  <c r="BS43" i="40" a="1"/>
  <c r="BS43" i="40" s="1"/>
  <c r="BT43" i="40" s="1"/>
  <c r="AA43" i="40" s="1"/>
  <c r="BD43" i="40"/>
  <c r="BC43" i="40" s="1" a="1"/>
  <c r="BC43" i="40" s="1"/>
  <c r="BE43" i="40" s="1"/>
  <c r="Y43" i="40" s="1"/>
  <c r="CP43" i="40" a="1"/>
  <c r="CP43" i="40" s="1"/>
  <c r="CR43" i="40" s="1"/>
  <c r="AG43" i="40" s="1"/>
  <c r="CR42" i="40"/>
  <c r="AG42" i="40" s="1"/>
  <c r="AW41" i="40" a="1"/>
  <c r="AW41" i="40" s="1"/>
  <c r="AT41" i="40" a="1"/>
  <c r="AT41" i="40" s="1"/>
  <c r="AU41" i="40" a="1"/>
  <c r="AU41" i="40" s="1"/>
  <c r="Q45" i="40"/>
  <c r="P45" i="40"/>
  <c r="T45" i="40"/>
  <c r="N45" i="40"/>
  <c r="BV43" i="40"/>
  <c r="CG43" i="40"/>
  <c r="M46" i="40"/>
  <c r="H46" i="40" s="1"/>
  <c r="E47" i="40" s="1" a="1"/>
  <c r="E47" i="40" s="1"/>
  <c r="F47" i="40" s="1" a="1"/>
  <c r="F47" i="40" s="1"/>
  <c r="BA41" i="40"/>
  <c r="X41" i="40" s="1"/>
  <c r="Q44" i="39"/>
  <c r="P44" i="39"/>
  <c r="G45" i="39"/>
  <c r="O45" i="39" s="1"/>
  <c r="H45" i="39"/>
  <c r="E46" i="39" s="1" a="1"/>
  <c r="E46" i="39" s="1"/>
  <c r="F46" i="39" s="1" a="1"/>
  <c r="F46" i="39" s="1"/>
  <c r="Q37" i="35"/>
  <c r="N37" i="35"/>
  <c r="M38" i="35"/>
  <c r="H38" i="35" s="1"/>
  <c r="E39" i="35" s="1" a="1"/>
  <c r="E39" i="35" s="1"/>
  <c r="F39" i="35" s="1" a="1"/>
  <c r="F39" i="35" s="1"/>
  <c r="DC43" i="40" l="1" a="1"/>
  <c r="DC43" i="40" s="1"/>
  <c r="CY43" i="40" a="1"/>
  <c r="CY43" i="40" s="1"/>
  <c r="DA43" i="40" a="1"/>
  <c r="DA43" i="40" s="1"/>
  <c r="I46" i="40"/>
  <c r="CX43" i="40"/>
  <c r="AI43" i="40" s="1"/>
  <c r="BA43" i="40"/>
  <c r="X43" i="40" s="1"/>
  <c r="CO43" i="40"/>
  <c r="AF43" i="40" s="1"/>
  <c r="G46" i="40"/>
  <c r="O46" i="40" s="1"/>
  <c r="P46" i="40" s="1"/>
  <c r="AX42" i="40" a="1"/>
  <c r="AX42" i="40" s="1"/>
  <c r="W42" i="40" s="1"/>
  <c r="CE42" i="40" a="1"/>
  <c r="CE42" i="40" s="1"/>
  <c r="AC42" i="40" s="1"/>
  <c r="BR41" i="40" a="1"/>
  <c r="BR41" i="40" s="1"/>
  <c r="Z41" i="40" s="1"/>
  <c r="BZ43" i="40" a="1"/>
  <c r="BZ43" i="40" s="1"/>
  <c r="CA43" i="40" a="1"/>
  <c r="CA43" i="40" s="1"/>
  <c r="CU43" i="40"/>
  <c r="AH43" i="40" s="1"/>
  <c r="BY43" i="40" a="1"/>
  <c r="BY43" i="40" s="1"/>
  <c r="CL43" i="40"/>
  <c r="AE43" i="40" s="1"/>
  <c r="BR42" i="40" a="1"/>
  <c r="BR42" i="40" s="1"/>
  <c r="Z42" i="40" s="1"/>
  <c r="BX41" i="40"/>
  <c r="AB41" i="40" s="1"/>
  <c r="AW43" i="40" a="1"/>
  <c r="AW43" i="40" s="1"/>
  <c r="AU43" i="40" a="1"/>
  <c r="AU43" i="40" s="1"/>
  <c r="AT43" i="40" a="1"/>
  <c r="AT43" i="40" s="1"/>
  <c r="DD41" i="40"/>
  <c r="AJ41" i="40" s="1"/>
  <c r="BB44" i="40" a="1"/>
  <c r="BB44" i="40" s="1"/>
  <c r="CF43" i="40" a="1"/>
  <c r="CF43" i="40" s="1"/>
  <c r="CI43" i="40" s="1"/>
  <c r="AD43" i="40" s="1"/>
  <c r="CH43" i="40" a="1"/>
  <c r="CH43" i="40" s="1"/>
  <c r="DB44" i="40"/>
  <c r="CP44" i="40" a="1"/>
  <c r="CP44" i="40" s="1"/>
  <c r="CV44" i="40" a="1"/>
  <c r="CV44" i="40" s="1"/>
  <c r="CS44" i="40" a="1"/>
  <c r="CS44" i="40" s="1"/>
  <c r="M47" i="40"/>
  <c r="I47" i="40" s="1"/>
  <c r="CT44" i="40" a="1"/>
  <c r="CT44" i="40" s="1"/>
  <c r="BU43" i="40" a="1"/>
  <c r="BU43" i="40" s="1"/>
  <c r="BW43" i="40" a="1"/>
  <c r="BW43" i="40" s="1"/>
  <c r="AV44" i="40"/>
  <c r="BP44" i="40"/>
  <c r="AM45" i="40"/>
  <c r="CN44" i="40" a="1"/>
  <c r="CN44" i="40" s="1"/>
  <c r="CK44" i="40" a="1"/>
  <c r="CK44" i="40" s="1"/>
  <c r="BD44" i="40"/>
  <c r="BC44" i="40" s="1" a="1"/>
  <c r="BC44" i="40" s="1"/>
  <c r="DD42" i="40"/>
  <c r="AJ42" i="40" s="1"/>
  <c r="CG44" i="40"/>
  <c r="CJ44" i="40" a="1"/>
  <c r="CJ44" i="40" s="1"/>
  <c r="CM44" i="40" a="1"/>
  <c r="CM44" i="40" s="1"/>
  <c r="CQ44" i="40" a="1"/>
  <c r="CQ44" i="40" s="1"/>
  <c r="AZ44" i="40" a="1"/>
  <c r="AZ44" i="40" s="1"/>
  <c r="CW44" i="40" a="1"/>
  <c r="CW44" i="40" s="1"/>
  <c r="BV44" i="40"/>
  <c r="AY44" i="40" a="1"/>
  <c r="AY44" i="40" s="1"/>
  <c r="AX41" i="40" a="1"/>
  <c r="AX41" i="40" s="1"/>
  <c r="W41" i="40" s="1"/>
  <c r="CB44" i="40"/>
  <c r="BJ43" i="40" a="1"/>
  <c r="BJ43" i="40" s="1"/>
  <c r="BH43" i="40" a="1"/>
  <c r="BH43" i="40" s="1"/>
  <c r="BN43" i="40" a="1"/>
  <c r="BN43" i="40" s="1"/>
  <c r="BO43" i="40" a="1"/>
  <c r="BO43" i="40" s="1"/>
  <c r="BK43" i="40" a="1"/>
  <c r="BK43" i="40" s="1"/>
  <c r="BG43" i="40" a="1"/>
  <c r="BG43" i="40" s="1"/>
  <c r="BF43" i="40" a="1"/>
  <c r="BF43" i="40" s="1"/>
  <c r="BI43" i="40" a="1"/>
  <c r="BI43" i="40" s="1"/>
  <c r="BQ43" i="40" a="1"/>
  <c r="BQ43" i="40" s="1"/>
  <c r="BM43" i="40" a="1"/>
  <c r="BM43" i="40" s="1"/>
  <c r="BL43" i="40" a="1"/>
  <c r="BL43" i="40" s="1"/>
  <c r="M46" i="39"/>
  <c r="H46" i="39" s="1"/>
  <c r="E47" i="39" s="1" a="1"/>
  <c r="E47" i="39" s="1"/>
  <c r="F47" i="39" s="1" a="1"/>
  <c r="F47" i="39" s="1"/>
  <c r="N45" i="39"/>
  <c r="Q45" i="39"/>
  <c r="P45" i="39"/>
  <c r="M39" i="35"/>
  <c r="I39" i="35" s="1"/>
  <c r="I38" i="35"/>
  <c r="G38" i="35"/>
  <c r="O38" i="35" s="1"/>
  <c r="DD43" i="40" l="1"/>
  <c r="AJ43" i="40" s="1"/>
  <c r="Q46" i="40"/>
  <c r="T46" i="40"/>
  <c r="AM46" i="40" s="1"/>
  <c r="BA44" i="40"/>
  <c r="X44" i="40" s="1"/>
  <c r="N46" i="40"/>
  <c r="AX43" i="40" a="1"/>
  <c r="AX43" i="40" s="1"/>
  <c r="W43" i="40" s="1"/>
  <c r="AK42" i="40"/>
  <c r="CE43" i="40" a="1"/>
  <c r="CE43" i="40" s="1"/>
  <c r="AC43" i="40" s="1"/>
  <c r="G47" i="40"/>
  <c r="O47" i="40" s="1"/>
  <c r="N47" i="40" s="1"/>
  <c r="H47" i="40"/>
  <c r="E48" i="40" s="1" a="1"/>
  <c r="E48" i="40" s="1"/>
  <c r="F48" i="40" s="1" a="1"/>
  <c r="F48" i="40" s="1"/>
  <c r="M48" i="40" s="1"/>
  <c r="I48" i="40" s="1"/>
  <c r="CD44" i="40"/>
  <c r="CC44" i="40" s="1" a="1"/>
  <c r="CC44" i="40" s="1"/>
  <c r="BY44" i="40" a="1"/>
  <c r="BY44" i="40" s="1"/>
  <c r="CA44" i="40" a="1"/>
  <c r="CA44" i="40" s="1"/>
  <c r="BZ44" i="40" a="1"/>
  <c r="BZ44" i="40" s="1"/>
  <c r="AK41" i="40"/>
  <c r="V41" i="40"/>
  <c r="U41" i="40"/>
  <c r="CX44" i="40"/>
  <c r="AI44" i="40" s="1"/>
  <c r="AN45" i="40"/>
  <c r="AO45" i="40" s="1"/>
  <c r="AP45" i="40" s="1"/>
  <c r="AQ45" i="40" s="1"/>
  <c r="AR45" i="40" s="1"/>
  <c r="AS45" i="40" s="1"/>
  <c r="CV45" i="40" s="1" a="1"/>
  <c r="CV45" i="40" s="1"/>
  <c r="CU44" i="40"/>
  <c r="AH44" i="40" s="1"/>
  <c r="CR44" i="40"/>
  <c r="AG44" i="40" s="1"/>
  <c r="BR43" i="40" a="1"/>
  <c r="BR43" i="40" s="1"/>
  <c r="Z43" i="40" s="1"/>
  <c r="CH44" i="40" a="1"/>
  <c r="CH44" i="40" s="1"/>
  <c r="CF44" i="40" a="1"/>
  <c r="CF44" i="40" s="1"/>
  <c r="U42" i="40"/>
  <c r="BU44" i="40" a="1"/>
  <c r="BU44" i="40" s="1"/>
  <c r="BW44" i="40" a="1"/>
  <c r="BW44" i="40" s="1"/>
  <c r="BL44" i="40" a="1"/>
  <c r="BL44" i="40" s="1"/>
  <c r="BH44" i="40" a="1"/>
  <c r="BH44" i="40" s="1"/>
  <c r="BQ44" i="40" a="1"/>
  <c r="BQ44" i="40" s="1"/>
  <c r="BG44" i="40" a="1"/>
  <c r="BG44" i="40" s="1"/>
  <c r="BO44" i="40" a="1"/>
  <c r="BO44" i="40" s="1"/>
  <c r="BK44" i="40" a="1"/>
  <c r="BK44" i="40" s="1"/>
  <c r="BJ44" i="40" a="1"/>
  <c r="BJ44" i="40" s="1"/>
  <c r="BN44" i="40" a="1"/>
  <c r="BN44" i="40" s="1"/>
  <c r="BF44" i="40" a="1"/>
  <c r="BF44" i="40" s="1"/>
  <c r="BI44" i="40" a="1"/>
  <c r="BI44" i="40" s="1"/>
  <c r="BM44" i="40" a="1"/>
  <c r="BM44" i="40" s="1"/>
  <c r="DC44" i="40" a="1"/>
  <c r="DC44" i="40" s="1"/>
  <c r="DA44" i="40" a="1"/>
  <c r="DA44" i="40" s="1"/>
  <c r="CZ44" i="40" a="1"/>
  <c r="CZ44" i="40" s="1"/>
  <c r="CY44" i="40" a="1"/>
  <c r="CY44" i="40" s="1"/>
  <c r="V42" i="40"/>
  <c r="AT44" i="40" a="1"/>
  <c r="AT44" i="40" s="1"/>
  <c r="AU44" i="40" a="1"/>
  <c r="AU44" i="40" s="1"/>
  <c r="AW44" i="40" a="1"/>
  <c r="AW44" i="40" s="1"/>
  <c r="BE44" i="40"/>
  <c r="Y44" i="40" s="1"/>
  <c r="BX43" i="40"/>
  <c r="AB43" i="40" s="1"/>
  <c r="CO44" i="40"/>
  <c r="AF44" i="40" s="1"/>
  <c r="CL44" i="40"/>
  <c r="AE44" i="40" s="1"/>
  <c r="M47" i="39"/>
  <c r="I47" i="39" s="1"/>
  <c r="I46" i="39"/>
  <c r="G46" i="39"/>
  <c r="O46" i="39" s="1"/>
  <c r="G39" i="35"/>
  <c r="O39" i="35" s="1"/>
  <c r="Q39" i="35" s="1"/>
  <c r="H39" i="35"/>
  <c r="E40" i="35" s="1" a="1"/>
  <c r="E40" i="35" s="1"/>
  <c r="F40" i="35" s="1" a="1"/>
  <c r="F40" i="35" s="1"/>
  <c r="M40" i="35" s="1"/>
  <c r="I40" i="35" s="1"/>
  <c r="Q38" i="35"/>
  <c r="N38" i="35"/>
  <c r="P38" i="35"/>
  <c r="CI44" i="40" l="1"/>
  <c r="AD44" i="40" s="1"/>
  <c r="Q47" i="40"/>
  <c r="P47" i="40"/>
  <c r="BX44" i="40"/>
  <c r="AB44" i="40" s="1"/>
  <c r="T47" i="40"/>
  <c r="AM47" i="40" s="1"/>
  <c r="DD44" i="40"/>
  <c r="AJ44" i="40" s="1"/>
  <c r="CE44" i="40" a="1"/>
  <c r="CE44" i="40" s="1"/>
  <c r="AC44" i="40" s="1"/>
  <c r="AV45" i="40"/>
  <c r="BP45" i="40"/>
  <c r="BD45" i="40"/>
  <c r="BC45" i="40" s="1" a="1"/>
  <c r="BC45" i="40" s="1"/>
  <c r="CQ45" i="40" a="1"/>
  <c r="CQ45" i="40" s="1"/>
  <c r="DB45" i="40"/>
  <c r="V43" i="40"/>
  <c r="U43" i="40"/>
  <c r="AK43" i="40"/>
  <c r="G48" i="40"/>
  <c r="O48" i="40" s="1"/>
  <c r="H48" i="40"/>
  <c r="E49" i="40" s="1" a="1"/>
  <c r="E49" i="40" s="1"/>
  <c r="F49" i="40" s="1" a="1"/>
  <c r="F49" i="40" s="1"/>
  <c r="CW45" i="40" a="1"/>
  <c r="CW45" i="40" s="1"/>
  <c r="CX45" i="40" s="1"/>
  <c r="AI45" i="40" s="1"/>
  <c r="CG45" i="40"/>
  <c r="CJ45" i="40" a="1"/>
  <c r="CJ45" i="40" s="1"/>
  <c r="CK45" i="40" a="1"/>
  <c r="CK45" i="40" s="1"/>
  <c r="BR44" i="40" a="1"/>
  <c r="BR44" i="40" s="1"/>
  <c r="Z44" i="40" s="1"/>
  <c r="BB45" i="40" a="1"/>
  <c r="BB45" i="40" s="1"/>
  <c r="AY45" i="40" a="1"/>
  <c r="AY45" i="40" s="1"/>
  <c r="BA45" i="40" s="1"/>
  <c r="X45" i="40" s="1"/>
  <c r="AZ45" i="40" a="1"/>
  <c r="AZ45" i="40" s="1"/>
  <c r="CS45" i="40" a="1"/>
  <c r="CS45" i="40" s="1"/>
  <c r="AN46" i="40"/>
  <c r="AO46" i="40" s="1"/>
  <c r="AP46" i="40" s="1"/>
  <c r="AQ46" i="40" s="1"/>
  <c r="AR46" i="40" s="1"/>
  <c r="AS46" i="40" s="1"/>
  <c r="BV46" i="40" s="1"/>
  <c r="CP45" i="40" a="1"/>
  <c r="CP45" i="40" s="1"/>
  <c r="CT45" i="40" a="1"/>
  <c r="CT45" i="40" s="1"/>
  <c r="CN45" i="40" a="1"/>
  <c r="CN45" i="40" s="1"/>
  <c r="BS45" i="40" a="1"/>
  <c r="BS45" i="40" s="1"/>
  <c r="BT45" i="40" s="1"/>
  <c r="AA45" i="40" s="1"/>
  <c r="CB45" i="40"/>
  <c r="CM45" i="40" a="1"/>
  <c r="CM45" i="40" s="1"/>
  <c r="AX44" i="40" a="1"/>
  <c r="AX44" i="40" s="1"/>
  <c r="W44" i="40" s="1"/>
  <c r="BV45" i="40"/>
  <c r="G47" i="39"/>
  <c r="O47" i="39" s="1"/>
  <c r="N47" i="39" s="1"/>
  <c r="N46" i="39"/>
  <c r="P46" i="39"/>
  <c r="Q46" i="39"/>
  <c r="H47" i="39"/>
  <c r="E48" i="39" s="1" a="1"/>
  <c r="E48" i="39" s="1"/>
  <c r="F48" i="39" s="1" a="1"/>
  <c r="F48" i="39" s="1"/>
  <c r="N39" i="35"/>
  <c r="P39" i="35"/>
  <c r="H40" i="35"/>
  <c r="E41" i="35" s="1" a="1"/>
  <c r="E41" i="35" s="1"/>
  <c r="F41" i="35" s="1" a="1"/>
  <c r="F41" i="35" s="1"/>
  <c r="M41" i="35" s="1"/>
  <c r="I41" i="35" s="1"/>
  <c r="G40" i="35"/>
  <c r="O40" i="35" s="1"/>
  <c r="N40" i="35" s="1"/>
  <c r="CR45" i="40" l="1"/>
  <c r="AG45" i="40" s="1"/>
  <c r="CO45" i="40"/>
  <c r="AF45" i="40" s="1"/>
  <c r="BE45" i="40"/>
  <c r="Y45" i="40" s="1"/>
  <c r="CW46" i="40" a="1"/>
  <c r="CW46" i="40" s="1"/>
  <c r="BD46" i="40"/>
  <c r="BC46" i="40" s="1" a="1"/>
  <c r="BC46" i="40" s="1"/>
  <c r="BP46" i="40"/>
  <c r="BN46" i="40" s="1" a="1"/>
  <c r="BN46" i="40" s="1"/>
  <c r="CV46" i="40" a="1"/>
  <c r="CV46" i="40" s="1"/>
  <c r="BW46" i="40" a="1"/>
  <c r="BW46" i="40" s="1"/>
  <c r="BU46" i="40" a="1"/>
  <c r="BU46" i="40" s="1"/>
  <c r="AY46" i="40" a="1"/>
  <c r="AY46" i="40" s="1"/>
  <c r="BW45" i="40" a="1"/>
  <c r="BW45" i="40" s="1"/>
  <c r="BU45" i="40" a="1"/>
  <c r="BU45" i="40" s="1"/>
  <c r="BS46" i="40" a="1"/>
  <c r="BS46" i="40" s="1"/>
  <c r="BT46" i="40" s="1"/>
  <c r="AA46" i="40" s="1"/>
  <c r="CL45" i="40"/>
  <c r="AE45" i="40" s="1"/>
  <c r="V44" i="40"/>
  <c r="U44" i="40"/>
  <c r="AK44" i="40"/>
  <c r="CN46" i="40" a="1"/>
  <c r="CN46" i="40" s="1"/>
  <c r="CH45" i="40" a="1"/>
  <c r="CH45" i="40" s="1"/>
  <c r="CF45" i="40" a="1"/>
  <c r="CF45" i="40" s="1"/>
  <c r="CI45" i="40" s="1"/>
  <c r="AD45" i="40" s="1"/>
  <c r="DB46" i="40"/>
  <c r="CM46" i="40" a="1"/>
  <c r="CM46" i="40" s="1"/>
  <c r="CS46" i="40" a="1"/>
  <c r="CS46" i="40" s="1"/>
  <c r="CK46" i="40" a="1"/>
  <c r="CK46" i="40" s="1"/>
  <c r="P48" i="40"/>
  <c r="T48" i="40"/>
  <c r="Q48" i="40"/>
  <c r="N48" i="40"/>
  <c r="AN47" i="40"/>
  <c r="AO47" i="40" s="1"/>
  <c r="AP47" i="40" s="1"/>
  <c r="AQ47" i="40" s="1"/>
  <c r="AR47" i="40" s="1"/>
  <c r="AS47" i="40" s="1"/>
  <c r="BD47" i="40" s="1"/>
  <c r="BC47" i="40" s="1" a="1"/>
  <c r="BC47" i="40" s="1"/>
  <c r="DC45" i="40" a="1"/>
  <c r="DC45" i="40" s="1"/>
  <c r="CZ45" i="40" a="1"/>
  <c r="CZ45" i="40" s="1"/>
  <c r="DA45" i="40" a="1"/>
  <c r="DA45" i="40" s="1"/>
  <c r="CY45" i="40" a="1"/>
  <c r="CY45" i="40" s="1"/>
  <c r="CU45" i="40"/>
  <c r="AH45" i="40" s="1"/>
  <c r="M49" i="40"/>
  <c r="I49" i="40" s="1"/>
  <c r="BK45" i="40" a="1"/>
  <c r="BK45" i="40" s="1"/>
  <c r="BM45" i="40" a="1"/>
  <c r="BM45" i="40" s="1"/>
  <c r="BQ45" i="40" a="1"/>
  <c r="BQ45" i="40" s="1"/>
  <c r="BG45" i="40" a="1"/>
  <c r="BG45" i="40" s="1"/>
  <c r="BH45" i="40" a="1"/>
  <c r="BH45" i="40" s="1"/>
  <c r="BL45" i="40" a="1"/>
  <c r="BL45" i="40" s="1"/>
  <c r="BN45" i="40" a="1"/>
  <c r="BN45" i="40" s="1"/>
  <c r="BI45" i="40" a="1"/>
  <c r="BI45" i="40" s="1"/>
  <c r="BF45" i="40" a="1"/>
  <c r="BF45" i="40" s="1"/>
  <c r="BJ45" i="40" a="1"/>
  <c r="BJ45" i="40" s="1"/>
  <c r="BO45" i="40" a="1"/>
  <c r="BO45" i="40" s="1"/>
  <c r="AU45" i="40" a="1"/>
  <c r="AU45" i="40" s="1"/>
  <c r="AW45" i="40" a="1"/>
  <c r="AW45" i="40" s="1"/>
  <c r="AT45" i="40" a="1"/>
  <c r="AT45" i="40" s="1"/>
  <c r="CA45" i="40" a="1"/>
  <c r="CA45" i="40" s="1"/>
  <c r="BZ45" i="40" a="1"/>
  <c r="BZ45" i="40" s="1"/>
  <c r="BY45" i="40" a="1"/>
  <c r="BY45" i="40" s="1"/>
  <c r="CD45" i="40"/>
  <c r="CC45" i="40" s="1" a="1"/>
  <c r="CC45" i="40" s="1"/>
  <c r="CQ46" i="40" a="1"/>
  <c r="CQ46" i="40" s="1"/>
  <c r="AV46" i="40"/>
  <c r="BL46" i="40" a="1"/>
  <c r="BL46" i="40" s="1"/>
  <c r="BO46" i="40" a="1"/>
  <c r="BO46" i="40" s="1"/>
  <c r="CB46" i="40"/>
  <c r="CP46" i="40" a="1"/>
  <c r="CP46" i="40" s="1"/>
  <c r="BM46" i="40" a="1"/>
  <c r="BM46" i="40" s="1"/>
  <c r="CT46" i="40" a="1"/>
  <c r="CT46" i="40" s="1"/>
  <c r="CJ46" i="40" a="1"/>
  <c r="CJ46" i="40" s="1"/>
  <c r="BB46" i="40" a="1"/>
  <c r="BB46" i="40" s="1"/>
  <c r="CG46" i="40"/>
  <c r="AZ46" i="40" a="1"/>
  <c r="AZ46" i="40" s="1"/>
  <c r="P47" i="39"/>
  <c r="Q47" i="39"/>
  <c r="M48" i="39"/>
  <c r="H48" i="39" s="1"/>
  <c r="E49" i="39" s="1" a="1"/>
  <c r="E49" i="39" s="1"/>
  <c r="F49" i="39" s="1" a="1"/>
  <c r="F49" i="39" s="1"/>
  <c r="Q40" i="35"/>
  <c r="P40" i="35"/>
  <c r="G41" i="35"/>
  <c r="O41" i="35" s="1"/>
  <c r="H41" i="35"/>
  <c r="E42" i="35" s="1" a="1"/>
  <c r="E42" i="35" s="1"/>
  <c r="F42" i="35" s="1" a="1"/>
  <c r="F42" i="35" s="1"/>
  <c r="G19" i="12"/>
  <c r="F19" i="12"/>
  <c r="E19" i="12"/>
  <c r="D19" i="12"/>
  <c r="C19" i="12"/>
  <c r="P25" i="12"/>
  <c r="O25" i="12"/>
  <c r="N25" i="12"/>
  <c r="M25" i="12"/>
  <c r="L25" i="12"/>
  <c r="K25" i="12"/>
  <c r="CX46" i="40" l="1"/>
  <c r="AI46" i="40" s="1"/>
  <c r="BX45" i="40"/>
  <c r="AB45" i="40" s="1"/>
  <c r="BE46" i="40"/>
  <c r="Y46" i="40" s="1"/>
  <c r="BG46" i="40" a="1"/>
  <c r="BG46" i="40" s="1"/>
  <c r="BX46" i="40"/>
  <c r="AB46" i="40" s="1"/>
  <c r="AX45" i="40" a="1"/>
  <c r="AX45" i="40" s="1"/>
  <c r="W45" i="40" s="1"/>
  <c r="BK46" i="40" a="1"/>
  <c r="BK46" i="40" s="1"/>
  <c r="BH46" i="40" a="1"/>
  <c r="BH46" i="40" s="1"/>
  <c r="BI46" i="40" a="1"/>
  <c r="BI46" i="40" s="1"/>
  <c r="BJ46" i="40" a="1"/>
  <c r="BJ46" i="40" s="1"/>
  <c r="CR46" i="40"/>
  <c r="AG46" i="40" s="1"/>
  <c r="DD45" i="40"/>
  <c r="AJ45" i="40" s="1"/>
  <c r="CJ47" i="40" a="1"/>
  <c r="CJ47" i="40" s="1"/>
  <c r="H49" i="40"/>
  <c r="E50" i="40" s="1" a="1"/>
  <c r="E50" i="40" s="1"/>
  <c r="F50" i="40" s="1" a="1"/>
  <c r="F50" i="40" s="1"/>
  <c r="M50" i="40" s="1"/>
  <c r="H50" i="40" s="1"/>
  <c r="E51" i="40" s="1" a="1"/>
  <c r="E51" i="40" s="1"/>
  <c r="F51" i="40" s="1" a="1"/>
  <c r="F51" i="40" s="1"/>
  <c r="AV47" i="40"/>
  <c r="BP47" i="40"/>
  <c r="BH47" i="40" s="1" a="1"/>
  <c r="BH47" i="40" s="1"/>
  <c r="CG47" i="40"/>
  <c r="CF47" i="40" s="1" a="1"/>
  <c r="CF47" i="40" s="1"/>
  <c r="CP47" i="40" a="1"/>
  <c r="CP47" i="40" s="1"/>
  <c r="CS47" i="40" a="1"/>
  <c r="CS47" i="40" s="1"/>
  <c r="BB47" i="40" a="1"/>
  <c r="BB47" i="40" s="1"/>
  <c r="BE47" i="40" s="1"/>
  <c r="Y47" i="40" s="1"/>
  <c r="CM47" i="40" a="1"/>
  <c r="CM47" i="40" s="1"/>
  <c r="CW47" i="40" a="1"/>
  <c r="CW47" i="40" s="1"/>
  <c r="BF46" i="40" a="1"/>
  <c r="BF46" i="40" s="1"/>
  <c r="BQ46" i="40" a="1"/>
  <c r="BQ46" i="40" s="1"/>
  <c r="DB47" i="40"/>
  <c r="DA47" i="40" s="1" a="1"/>
  <c r="DA47" i="40" s="1"/>
  <c r="CB47" i="40"/>
  <c r="CA47" i="40" s="1" a="1"/>
  <c r="CA47" i="40" s="1"/>
  <c r="CD46" i="40"/>
  <c r="CC46" i="40" s="1" a="1"/>
  <c r="CC46" i="40" s="1"/>
  <c r="BZ46" i="40" a="1"/>
  <c r="BZ46" i="40" s="1"/>
  <c r="BY46" i="40" a="1"/>
  <c r="BY46" i="40" s="1"/>
  <c r="CA46" i="40" a="1"/>
  <c r="CA46" i="40" s="1"/>
  <c r="BR45" i="40" a="1"/>
  <c r="BR45" i="40" s="1"/>
  <c r="Z45" i="40" s="1"/>
  <c r="BL47" i="40" a="1"/>
  <c r="BL47" i="40" s="1"/>
  <c r="G49" i="40"/>
  <c r="O49" i="40" s="1"/>
  <c r="CU46" i="40"/>
  <c r="AH46" i="40" s="1"/>
  <c r="AW46" i="40" a="1"/>
  <c r="AW46" i="40" s="1"/>
  <c r="AT46" i="40" a="1"/>
  <c r="AT46" i="40" s="1"/>
  <c r="AU46" i="40" a="1"/>
  <c r="AU46" i="40" s="1"/>
  <c r="CO46" i="40"/>
  <c r="AF46" i="40" s="1"/>
  <c r="BA46" i="40"/>
  <c r="X46" i="40" s="1"/>
  <c r="AZ47" i="40" a="1"/>
  <c r="AZ47" i="40" s="1"/>
  <c r="CF46" i="40" a="1"/>
  <c r="CF46" i="40" s="1"/>
  <c r="CI46" i="40" s="1"/>
  <c r="AD46" i="40" s="1"/>
  <c r="CH46" i="40" a="1"/>
  <c r="CH46" i="40" s="1"/>
  <c r="BV47" i="40"/>
  <c r="CT47" i="40" a="1"/>
  <c r="CT47" i="40" s="1"/>
  <c r="DC46" i="40" a="1"/>
  <c r="DC46" i="40" s="1"/>
  <c r="CZ46" i="40" a="1"/>
  <c r="CZ46" i="40" s="1"/>
  <c r="DA46" i="40" a="1"/>
  <c r="DA46" i="40" s="1"/>
  <c r="CY46" i="40" a="1"/>
  <c r="CY46" i="40" s="1"/>
  <c r="AM48" i="40"/>
  <c r="CE45" i="40" a="1"/>
  <c r="CE45" i="40" s="1"/>
  <c r="AC45" i="40" s="1"/>
  <c r="AY47" i="40" a="1"/>
  <c r="AY47" i="40" s="1"/>
  <c r="BS47" i="40" a="1"/>
  <c r="BS47" i="40" s="1"/>
  <c r="BT47" i="40" s="1"/>
  <c r="AA47" i="40" s="1"/>
  <c r="CL46" i="40"/>
  <c r="AE46" i="40" s="1"/>
  <c r="CK47" i="40" a="1"/>
  <c r="CK47" i="40" s="1"/>
  <c r="CV47" i="40" a="1"/>
  <c r="CV47" i="40" s="1"/>
  <c r="CX47" i="40" s="1"/>
  <c r="AI47" i="40" s="1"/>
  <c r="CQ47" i="40" a="1"/>
  <c r="CQ47" i="40" s="1"/>
  <c r="CN47" i="40" a="1"/>
  <c r="CN47" i="40" s="1"/>
  <c r="I48" i="39"/>
  <c r="M49" i="39"/>
  <c r="I49" i="39" s="1"/>
  <c r="G48" i="39"/>
  <c r="O48" i="39" s="1"/>
  <c r="M42" i="35"/>
  <c r="I42" i="35" s="1"/>
  <c r="Q41" i="35"/>
  <c r="N41" i="35"/>
  <c r="P41" i="35"/>
  <c r="D24" i="12"/>
  <c r="E24" i="12" s="1"/>
  <c r="F24" i="12" s="1"/>
  <c r="D25" i="12"/>
  <c r="E25" i="12" s="1"/>
  <c r="F25" i="12" s="1"/>
  <c r="L24" i="12"/>
  <c r="M24" i="12" s="1"/>
  <c r="N24" i="12" s="1"/>
  <c r="L23" i="12"/>
  <c r="M23" i="12" s="1"/>
  <c r="N23" i="12" s="1"/>
  <c r="L22" i="12"/>
  <c r="M22" i="12" s="1"/>
  <c r="N22" i="12" s="1"/>
  <c r="L21" i="12"/>
  <c r="M21" i="12" s="1"/>
  <c r="N21" i="12" s="1"/>
  <c r="L20" i="12"/>
  <c r="M20" i="12" s="1"/>
  <c r="N20" i="12" s="1"/>
  <c r="BO47" i="40" l="1" a="1"/>
  <c r="BO47" i="40" s="1"/>
  <c r="CL47" i="40"/>
  <c r="AE47" i="40" s="1"/>
  <c r="U45" i="40"/>
  <c r="CR47" i="40"/>
  <c r="AG47" i="40" s="1"/>
  <c r="BR46" i="40" a="1"/>
  <c r="BR46" i="40" s="1"/>
  <c r="Z46" i="40" s="1"/>
  <c r="CU47" i="40"/>
  <c r="AH47" i="40" s="1"/>
  <c r="CO47" i="40"/>
  <c r="AF47" i="40" s="1"/>
  <c r="CZ47" i="40" a="1"/>
  <c r="CZ47" i="40" s="1"/>
  <c r="CD47" i="40"/>
  <c r="CC47" i="40" s="1" a="1"/>
  <c r="CC47" i="40" s="1"/>
  <c r="AK45" i="40"/>
  <c r="V45" i="40"/>
  <c r="AX46" i="40" a="1"/>
  <c r="AX46" i="40" s="1"/>
  <c r="W46" i="40" s="1"/>
  <c r="BY47" i="40" a="1"/>
  <c r="BY47" i="40" s="1"/>
  <c r="BZ47" i="40" a="1"/>
  <c r="BZ47" i="40" s="1"/>
  <c r="CY47" i="40" a="1"/>
  <c r="CY47" i="40" s="1"/>
  <c r="DC47" i="40" a="1"/>
  <c r="DC47" i="40" s="1"/>
  <c r="CH47" i="40" a="1"/>
  <c r="CH47" i="40" s="1"/>
  <c r="CI47" i="40" s="1"/>
  <c r="AD47" i="40" s="1"/>
  <c r="BJ47" i="40" a="1"/>
  <c r="BJ47" i="40" s="1"/>
  <c r="BQ47" i="40" a="1"/>
  <c r="BQ47" i="40" s="1"/>
  <c r="BG47" i="40" a="1"/>
  <c r="BG47" i="40" s="1"/>
  <c r="BI47" i="40" a="1"/>
  <c r="BI47" i="40" s="1"/>
  <c r="BK47" i="40" a="1"/>
  <c r="BK47" i="40" s="1"/>
  <c r="BM47" i="40" a="1"/>
  <c r="BM47" i="40" s="1"/>
  <c r="BN47" i="40" a="1"/>
  <c r="BN47" i="40" s="1"/>
  <c r="BF47" i="40" a="1"/>
  <c r="BF47" i="40" s="1"/>
  <c r="AT47" i="40" a="1"/>
  <c r="AT47" i="40" s="1"/>
  <c r="AU47" i="40" a="1"/>
  <c r="AU47" i="40" s="1"/>
  <c r="AW47" i="40" a="1"/>
  <c r="AW47" i="40" s="1"/>
  <c r="BA47" i="40"/>
  <c r="X47" i="40" s="1"/>
  <c r="M51" i="40"/>
  <c r="H51" i="40" s="1"/>
  <c r="E52" i="40" s="1" a="1"/>
  <c r="E52" i="40" s="1"/>
  <c r="F52" i="40" s="1" a="1"/>
  <c r="F52" i="40" s="1"/>
  <c r="G51" i="40"/>
  <c r="O51" i="40" s="1"/>
  <c r="G50" i="40"/>
  <c r="O50" i="40" s="1"/>
  <c r="CE46" i="40" a="1"/>
  <c r="CE46" i="40" s="1"/>
  <c r="AC46" i="40" s="1"/>
  <c r="I50" i="40"/>
  <c r="BW47" i="40" a="1"/>
  <c r="BW47" i="40" s="1"/>
  <c r="BU47" i="40" a="1"/>
  <c r="BU47" i="40" s="1"/>
  <c r="BX47" i="40" s="1"/>
  <c r="AB47" i="40" s="1"/>
  <c r="Q49" i="40"/>
  <c r="T49" i="40"/>
  <c r="P49" i="40"/>
  <c r="N49" i="40"/>
  <c r="AN48" i="40"/>
  <c r="AO48" i="40" s="1"/>
  <c r="AP48" i="40" s="1"/>
  <c r="AQ48" i="40" s="1"/>
  <c r="AR48" i="40" s="1"/>
  <c r="AS48" i="40" s="1"/>
  <c r="BP48" i="40" s="1"/>
  <c r="DD46" i="40"/>
  <c r="AJ46" i="40" s="1"/>
  <c r="H49" i="39"/>
  <c r="E50" i="39" s="1" a="1"/>
  <c r="E50" i="39" s="1"/>
  <c r="F50" i="39" s="1" a="1"/>
  <c r="F50" i="39" s="1"/>
  <c r="M50" i="39" s="1"/>
  <c r="I50" i="39" s="1"/>
  <c r="G49" i="39"/>
  <c r="O49" i="39" s="1"/>
  <c r="N49" i="39" s="1"/>
  <c r="N48" i="39"/>
  <c r="Q48" i="39"/>
  <c r="P48" i="39"/>
  <c r="H42" i="35"/>
  <c r="E43" i="35" s="1" a="1"/>
  <c r="E43" i="35" s="1"/>
  <c r="F43" i="35" s="1" a="1"/>
  <c r="F43" i="35" s="1"/>
  <c r="G42" i="35"/>
  <c r="O42" i="35" s="1"/>
  <c r="O20" i="12" a="1"/>
  <c r="O20" i="12" s="1"/>
  <c r="V46" i="40" l="1"/>
  <c r="DD47" i="40"/>
  <c r="AJ47" i="40" s="1"/>
  <c r="CJ48" i="40" a="1"/>
  <c r="CJ48" i="40" s="1"/>
  <c r="CG48" i="40"/>
  <c r="Q49" i="39"/>
  <c r="DB48" i="40"/>
  <c r="DA48" i="40" s="1" a="1"/>
  <c r="DA48" i="40" s="1"/>
  <c r="CW48" i="40" a="1"/>
  <c r="CW48" i="40" s="1"/>
  <c r="CN48" i="40" a="1"/>
  <c r="CN48" i="40" s="1"/>
  <c r="U46" i="40"/>
  <c r="P49" i="39"/>
  <c r="AY48" i="40" a="1"/>
  <c r="AY48" i="40" s="1"/>
  <c r="CE47" i="40" a="1"/>
  <c r="CE47" i="40" s="1"/>
  <c r="AC47" i="40" s="1"/>
  <c r="CP48" i="40" a="1"/>
  <c r="CP48" i="40" s="1"/>
  <c r="CB48" i="40"/>
  <c r="AZ48" i="40" a="1"/>
  <c r="AZ48" i="40" s="1"/>
  <c r="BB48" i="40" a="1"/>
  <c r="BB48" i="40" s="1"/>
  <c r="BR47" i="40" a="1"/>
  <c r="BR47" i="40" s="1"/>
  <c r="Z47" i="40" s="1"/>
  <c r="CM48" i="40" a="1"/>
  <c r="CM48" i="40" s="1"/>
  <c r="BV48" i="40"/>
  <c r="BW48" i="40" s="1" a="1"/>
  <c r="BW48" i="40" s="1"/>
  <c r="CT48" i="40" a="1"/>
  <c r="CT48" i="40" s="1"/>
  <c r="AX47" i="40" a="1"/>
  <c r="AX47" i="40" s="1"/>
  <c r="W47" i="40" s="1"/>
  <c r="BQ48" i="40" a="1"/>
  <c r="BQ48" i="40" s="1"/>
  <c r="BG48" i="40" a="1"/>
  <c r="BG48" i="40" s="1"/>
  <c r="BK48" i="40" a="1"/>
  <c r="BK48" i="40" s="1"/>
  <c r="BN48" i="40" a="1"/>
  <c r="BN48" i="40" s="1"/>
  <c r="BJ48" i="40" a="1"/>
  <c r="BJ48" i="40" s="1"/>
  <c r="BM48" i="40" a="1"/>
  <c r="BM48" i="40" s="1"/>
  <c r="BI48" i="40" a="1"/>
  <c r="BI48" i="40" s="1"/>
  <c r="BL48" i="40" a="1"/>
  <c r="BL48" i="40" s="1"/>
  <c r="BH48" i="40" a="1"/>
  <c r="BH48" i="40" s="1"/>
  <c r="BF48" i="40" a="1"/>
  <c r="BF48" i="40" s="1"/>
  <c r="BO48" i="40" a="1"/>
  <c r="BO48" i="40" s="1"/>
  <c r="M52" i="40"/>
  <c r="H52" i="40" s="1"/>
  <c r="E53" i="40" s="1" a="1"/>
  <c r="E53" i="40" s="1"/>
  <c r="F53" i="40" s="1" a="1"/>
  <c r="F53" i="40" s="1"/>
  <c r="CS48" i="40" a="1"/>
  <c r="CS48" i="40" s="1"/>
  <c r="AK46" i="40"/>
  <c r="BD48" i="40"/>
  <c r="BC48" i="40" s="1" a="1"/>
  <c r="BC48" i="40" s="1"/>
  <c r="CQ48" i="40" a="1"/>
  <c r="CQ48" i="40" s="1"/>
  <c r="T51" i="40"/>
  <c r="P51" i="40"/>
  <c r="N51" i="40"/>
  <c r="Q51" i="40"/>
  <c r="Q50" i="40"/>
  <c r="N50" i="40"/>
  <c r="P50" i="40"/>
  <c r="T50" i="40"/>
  <c r="CK48" i="40" a="1"/>
  <c r="CK48" i="40" s="1"/>
  <c r="CL48" i="40" s="1"/>
  <c r="AE48" i="40" s="1"/>
  <c r="AV48" i="40"/>
  <c r="I51" i="40"/>
  <c r="CV48" i="40" a="1"/>
  <c r="CV48" i="40" s="1"/>
  <c r="BS48" i="40" a="1"/>
  <c r="BS48" i="40" s="1"/>
  <c r="BT48" i="40" s="1"/>
  <c r="AA48" i="40" s="1"/>
  <c r="AM49" i="40"/>
  <c r="G50" i="39"/>
  <c r="O50" i="39" s="1"/>
  <c r="N50" i="39" s="1"/>
  <c r="H50" i="39"/>
  <c r="E51" i="39" s="1" a="1"/>
  <c r="E51" i="39" s="1"/>
  <c r="F51" i="39" s="1" a="1"/>
  <c r="F51" i="39" s="1"/>
  <c r="M51" i="39" s="1"/>
  <c r="M43" i="35"/>
  <c r="I43" i="35" s="1"/>
  <c r="N42" i="35"/>
  <c r="P42" i="35"/>
  <c r="Q42" i="35"/>
  <c r="BA48" i="40" l="1"/>
  <c r="X48" i="40" s="1"/>
  <c r="CX48" i="40"/>
  <c r="AI48" i="40" s="1"/>
  <c r="DC48" i="40" a="1"/>
  <c r="DC48" i="40" s="1"/>
  <c r="CR48" i="40"/>
  <c r="AG48" i="40" s="1"/>
  <c r="CO48" i="40"/>
  <c r="AF48" i="40" s="1"/>
  <c r="BU48" i="40" a="1"/>
  <c r="BU48" i="40" s="1"/>
  <c r="BX48" i="40" s="1"/>
  <c r="AB48" i="40" s="1"/>
  <c r="BY48" i="40" a="1"/>
  <c r="BY48" i="40" s="1"/>
  <c r="CA48" i="40" a="1"/>
  <c r="CA48" i="40" s="1"/>
  <c r="CD48" i="40"/>
  <c r="CC48" i="40" s="1" a="1"/>
  <c r="CC48" i="40" s="1"/>
  <c r="BE48" i="40"/>
  <c r="Y48" i="40" s="1"/>
  <c r="U47" i="40"/>
  <c r="CZ48" i="40" a="1"/>
  <c r="CZ48" i="40" s="1"/>
  <c r="CY48" i="40" a="1"/>
  <c r="CY48" i="40" s="1"/>
  <c r="BZ48" i="40" a="1"/>
  <c r="BZ48" i="40" s="1"/>
  <c r="AK47" i="40"/>
  <c r="V47" i="40"/>
  <c r="CH48" i="40" a="1"/>
  <c r="CH48" i="40" s="1"/>
  <c r="CF48" i="40" a="1"/>
  <c r="CF48" i="40" s="1"/>
  <c r="CI48" i="40" s="1"/>
  <c r="AD48" i="40" s="1"/>
  <c r="CU48" i="40"/>
  <c r="AH48" i="40" s="1"/>
  <c r="G52" i="40"/>
  <c r="O52" i="40" s="1"/>
  <c r="P52" i="40" s="1"/>
  <c r="M53" i="40"/>
  <c r="I53" i="40" s="1"/>
  <c r="H53" i="40"/>
  <c r="E54" i="40" s="1" a="1"/>
  <c r="E54" i="40" s="1"/>
  <c r="F54" i="40" s="1" a="1"/>
  <c r="F54" i="40" s="1"/>
  <c r="AM51" i="40"/>
  <c r="AU48" i="40" a="1"/>
  <c r="AU48" i="40" s="1"/>
  <c r="AW48" i="40" a="1"/>
  <c r="AW48" i="40" s="1"/>
  <c r="AT48" i="40" a="1"/>
  <c r="AT48" i="40" s="1"/>
  <c r="AM50" i="40"/>
  <c r="I52" i="40"/>
  <c r="AN49" i="40"/>
  <c r="AO49" i="40" s="1"/>
  <c r="AP49" i="40" s="1"/>
  <c r="AQ49" i="40" s="1"/>
  <c r="AR49" i="40" s="1"/>
  <c r="AS49" i="40" s="1"/>
  <c r="AZ49" i="40" s="1" a="1"/>
  <c r="AZ49" i="40" s="1"/>
  <c r="BR48" i="40" a="1"/>
  <c r="BR48" i="40" s="1"/>
  <c r="Z48" i="40" s="1"/>
  <c r="Q50" i="39"/>
  <c r="P50" i="39"/>
  <c r="G51" i="39"/>
  <c r="O51" i="39" s="1"/>
  <c r="N51" i="39" s="1"/>
  <c r="H51" i="39"/>
  <c r="E52" i="39" s="1" a="1"/>
  <c r="E52" i="39" s="1"/>
  <c r="F52" i="39" s="1" a="1"/>
  <c r="F52" i="39" s="1"/>
  <c r="M52" i="39" s="1"/>
  <c r="I52" i="39" s="1"/>
  <c r="I51" i="39"/>
  <c r="Q52" i="40" l="1"/>
  <c r="CE48" i="40" a="1"/>
  <c r="CE48" i="40" s="1"/>
  <c r="AC48" i="40" s="1"/>
  <c r="DD48" i="40"/>
  <c r="AJ48" i="40" s="1"/>
  <c r="T52" i="40"/>
  <c r="AM52" i="40" s="1"/>
  <c r="N52" i="40"/>
  <c r="AX48" i="40" a="1"/>
  <c r="AX48" i="40" s="1"/>
  <c r="W48" i="40" s="1"/>
  <c r="AY49" i="40" a="1"/>
  <c r="AY49" i="40" s="1"/>
  <c r="BA49" i="40" s="1"/>
  <c r="X49" i="40" s="1"/>
  <c r="AN50" i="40"/>
  <c r="AO50" i="40" s="1"/>
  <c r="AP50" i="40" s="1"/>
  <c r="AQ50" i="40" s="1"/>
  <c r="AR50" i="40" s="1"/>
  <c r="AS50" i="40" s="1"/>
  <c r="CK50" i="40" s="1" a="1"/>
  <c r="CK50" i="40" s="1"/>
  <c r="CW49" i="40" a="1"/>
  <c r="CW49" i="40" s="1"/>
  <c r="BB49" i="40" a="1"/>
  <c r="BB49" i="40" s="1"/>
  <c r="CQ49" i="40" a="1"/>
  <c r="CQ49" i="40" s="1"/>
  <c r="BP49" i="40"/>
  <c r="BD49" i="40"/>
  <c r="BC49" i="40" s="1" a="1"/>
  <c r="BC49" i="40" s="1"/>
  <c r="CK49" i="40" a="1"/>
  <c r="CK49" i="40" s="1"/>
  <c r="CV49" i="40" a="1"/>
  <c r="CV49" i="40" s="1"/>
  <c r="CN49" i="40" a="1"/>
  <c r="CN49" i="40" s="1"/>
  <c r="CS49" i="40" a="1"/>
  <c r="CS49" i="40" s="1"/>
  <c r="BV49" i="40"/>
  <c r="M54" i="40"/>
  <c r="H54" i="40" s="1"/>
  <c r="E55" i="40" s="1" a="1"/>
  <c r="E55" i="40" s="1"/>
  <c r="F55" i="40" s="1" a="1"/>
  <c r="F55" i="40" s="1"/>
  <c r="CP49" i="40" a="1"/>
  <c r="CP49" i="40" s="1"/>
  <c r="CJ49" i="40" a="1"/>
  <c r="CJ49" i="40" s="1"/>
  <c r="AN51" i="40"/>
  <c r="AO51" i="40" s="1"/>
  <c r="AP51" i="40" s="1"/>
  <c r="AQ51" i="40" s="1"/>
  <c r="AR51" i="40" s="1"/>
  <c r="AS51" i="40" s="1"/>
  <c r="BP51" i="40" s="1"/>
  <c r="G53" i="40"/>
  <c r="O53" i="40" s="1"/>
  <c r="CB49" i="40"/>
  <c r="DB49" i="40"/>
  <c r="CM49" i="40" a="1"/>
  <c r="CM49" i="40" s="1"/>
  <c r="BS49" i="40" a="1"/>
  <c r="BS49" i="40" s="1"/>
  <c r="BT49" i="40" s="1"/>
  <c r="AA49" i="40" s="1"/>
  <c r="CT49" i="40" a="1"/>
  <c r="CT49" i="40" s="1"/>
  <c r="CG49" i="40"/>
  <c r="AV49" i="40"/>
  <c r="P51" i="39"/>
  <c r="Q51" i="39"/>
  <c r="G52" i="39"/>
  <c r="O52" i="39" s="1"/>
  <c r="N52" i="39" s="1"/>
  <c r="H52" i="39"/>
  <c r="E53" i="39" s="1" a="1"/>
  <c r="E53" i="39" s="1"/>
  <c r="F53" i="39" s="1" a="1"/>
  <c r="F53" i="39" s="1"/>
  <c r="M53" i="39" s="1"/>
  <c r="H53" i="39" s="1"/>
  <c r="E54" i="39" s="1" a="1"/>
  <c r="E54" i="39" s="1"/>
  <c r="F54" i="39" s="1" a="1"/>
  <c r="F54" i="39" s="1"/>
  <c r="H43" i="35"/>
  <c r="E44" i="35" s="1" a="1"/>
  <c r="E44" i="35" s="1"/>
  <c r="F44" i="35" s="1" a="1"/>
  <c r="F44" i="35" s="1"/>
  <c r="G43" i="35"/>
  <c r="O43" i="35" s="1"/>
  <c r="CX49" i="40" l="1"/>
  <c r="AI49" i="40" s="1"/>
  <c r="V48" i="40"/>
  <c r="CO49" i="40"/>
  <c r="AF49" i="40" s="1"/>
  <c r="BE49" i="40"/>
  <c r="Y49" i="40" s="1"/>
  <c r="U48" i="40"/>
  <c r="CN51" i="40" a="1"/>
  <c r="CN51" i="40" s="1"/>
  <c r="CG51" i="40"/>
  <c r="CH51" i="40" s="1" a="1"/>
  <c r="CH51" i="40" s="1"/>
  <c r="CR49" i="40"/>
  <c r="AG49" i="40" s="1"/>
  <c r="CW50" i="40" a="1"/>
  <c r="CW50" i="40" s="1"/>
  <c r="CM51" i="40" a="1"/>
  <c r="CM51" i="40" s="1"/>
  <c r="AK48" i="40"/>
  <c r="CP51" i="40" a="1"/>
  <c r="CP51" i="40" s="1"/>
  <c r="AY51" i="40" a="1"/>
  <c r="AY51" i="40" s="1"/>
  <c r="CB51" i="40"/>
  <c r="CV51" i="40" a="1"/>
  <c r="CV51" i="40" s="1"/>
  <c r="CM50" i="40" a="1"/>
  <c r="CM50" i="40" s="1"/>
  <c r="CK51" i="40" a="1"/>
  <c r="CK51" i="40" s="1"/>
  <c r="CP50" i="40" a="1"/>
  <c r="CP50" i="40" s="1"/>
  <c r="CT51" i="40" a="1"/>
  <c r="CT51" i="40" s="1"/>
  <c r="DB50" i="40"/>
  <c r="CZ50" i="40" s="1" a="1"/>
  <c r="CZ50" i="40" s="1"/>
  <c r="AZ51" i="40" a="1"/>
  <c r="AZ51" i="40" s="1"/>
  <c r="CN50" i="40" a="1"/>
  <c r="CN50" i="40" s="1"/>
  <c r="CQ51" i="40" a="1"/>
  <c r="CQ51" i="40" s="1"/>
  <c r="CG50" i="40"/>
  <c r="CH50" i="40" s="1" a="1"/>
  <c r="CH50" i="40" s="1"/>
  <c r="BB51" i="40" a="1"/>
  <c r="BB51" i="40" s="1"/>
  <c r="CV50" i="40" a="1"/>
  <c r="CV50" i="40" s="1"/>
  <c r="CQ50" i="40" a="1"/>
  <c r="CQ50" i="40" s="1"/>
  <c r="BG51" i="40" a="1"/>
  <c r="BG51" i="40" s="1"/>
  <c r="BM51" i="40" a="1"/>
  <c r="BM51" i="40" s="1"/>
  <c r="BL51" i="40" a="1"/>
  <c r="BL51" i="40" s="1"/>
  <c r="BJ51" i="40" a="1"/>
  <c r="BJ51" i="40" s="1"/>
  <c r="BK51" i="40" a="1"/>
  <c r="BK51" i="40" s="1"/>
  <c r="BF51" i="40" a="1"/>
  <c r="BF51" i="40" s="1"/>
  <c r="BH51" i="40" a="1"/>
  <c r="BH51" i="40" s="1"/>
  <c r="BN51" i="40" a="1"/>
  <c r="BN51" i="40" s="1"/>
  <c r="BQ51" i="40" a="1"/>
  <c r="BQ51" i="40" s="1"/>
  <c r="BI51" i="40" a="1"/>
  <c r="BI51" i="40" s="1"/>
  <c r="BO51" i="40" a="1"/>
  <c r="BO51" i="40" s="1"/>
  <c r="M55" i="40"/>
  <c r="G55" i="40" s="1"/>
  <c r="O55" i="40" s="1"/>
  <c r="BY49" i="40" a="1"/>
  <c r="BY49" i="40" s="1"/>
  <c r="CA49" i="40" a="1"/>
  <c r="CA49" i="40" s="1"/>
  <c r="BZ49" i="40" a="1"/>
  <c r="BZ49" i="40" s="1"/>
  <c r="CD49" i="40"/>
  <c r="CC49" i="40" s="1" a="1"/>
  <c r="CC49" i="40" s="1"/>
  <c r="CW51" i="40" a="1"/>
  <c r="CW51" i="40" s="1"/>
  <c r="AZ50" i="40" a="1"/>
  <c r="AZ50" i="40" s="1"/>
  <c r="CJ50" i="40" a="1"/>
  <c r="CJ50" i="40" s="1"/>
  <c r="CL50" i="40" s="1"/>
  <c r="AE50" i="40" s="1"/>
  <c r="T53" i="40"/>
  <c r="N53" i="40"/>
  <c r="Q53" i="40"/>
  <c r="P53" i="40"/>
  <c r="CS51" i="40" a="1"/>
  <c r="CS51" i="40" s="1"/>
  <c r="AV50" i="40"/>
  <c r="BB50" i="40" a="1"/>
  <c r="BB50" i="40" s="1"/>
  <c r="DC49" i="40" a="1"/>
  <c r="DC49" i="40" s="1"/>
  <c r="DA49" i="40" a="1"/>
  <c r="DA49" i="40" s="1"/>
  <c r="CY49" i="40" a="1"/>
  <c r="CY49" i="40" s="1"/>
  <c r="CZ49" i="40" a="1"/>
  <c r="CZ49" i="40" s="1"/>
  <c r="BP50" i="40"/>
  <c r="CL49" i="40"/>
  <c r="AE49" i="40" s="1"/>
  <c r="AV51" i="40"/>
  <c r="AN52" i="40"/>
  <c r="AO52" i="40" s="1"/>
  <c r="AP52" i="40" s="1"/>
  <c r="AQ52" i="40" s="1"/>
  <c r="AR52" i="40" s="1"/>
  <c r="AS52" i="40" s="1"/>
  <c r="DB52" i="40" s="1"/>
  <c r="BQ49" i="40" a="1"/>
  <c r="BQ49" i="40" s="1"/>
  <c r="BK49" i="40" a="1"/>
  <c r="BK49" i="40" s="1"/>
  <c r="BN49" i="40" a="1"/>
  <c r="BN49" i="40" s="1"/>
  <c r="BJ49" i="40" a="1"/>
  <c r="BJ49" i="40" s="1"/>
  <c r="BM49" i="40" a="1"/>
  <c r="BM49" i="40" s="1"/>
  <c r="BG49" i="40" a="1"/>
  <c r="BG49" i="40" s="1"/>
  <c r="BF49" i="40" a="1"/>
  <c r="BF49" i="40" s="1"/>
  <c r="BH49" i="40" a="1"/>
  <c r="BH49" i="40" s="1"/>
  <c r="BI49" i="40" a="1"/>
  <c r="BI49" i="40" s="1"/>
  <c r="BO49" i="40" a="1"/>
  <c r="BO49" i="40" s="1"/>
  <c r="BL49" i="40" a="1"/>
  <c r="BL49" i="40" s="1"/>
  <c r="CS50" i="40" a="1"/>
  <c r="CS50" i="40" s="1"/>
  <c r="CH49" i="40" a="1"/>
  <c r="CH49" i="40" s="1"/>
  <c r="CF49" i="40" a="1"/>
  <c r="CF49" i="40" s="1"/>
  <c r="G54" i="40"/>
  <c r="O54" i="40" s="1"/>
  <c r="AY50" i="40" a="1"/>
  <c r="AY50" i="40" s="1"/>
  <c r="CT50" i="40" a="1"/>
  <c r="CT50" i="40" s="1"/>
  <c r="CU49" i="40"/>
  <c r="AH49" i="40" s="1"/>
  <c r="CJ51" i="40" a="1"/>
  <c r="CJ51" i="40" s="1"/>
  <c r="BS51" i="40" a="1"/>
  <c r="BS51" i="40" s="1"/>
  <c r="BT51" i="40" s="1"/>
  <c r="AA51" i="40" s="1"/>
  <c r="I54" i="40"/>
  <c r="BV50" i="40"/>
  <c r="BD50" i="40"/>
  <c r="BC50" i="40" s="1" a="1"/>
  <c r="BC50" i="40" s="1"/>
  <c r="BD51" i="40"/>
  <c r="BC51" i="40" s="1" a="1"/>
  <c r="BC51" i="40" s="1"/>
  <c r="BV51" i="40"/>
  <c r="BS50" i="40" a="1"/>
  <c r="BS50" i="40" s="1"/>
  <c r="BT50" i="40" s="1"/>
  <c r="AA50" i="40" s="1"/>
  <c r="CB50" i="40"/>
  <c r="BU49" i="40" a="1"/>
  <c r="BU49" i="40" s="1"/>
  <c r="BW49" i="40" a="1"/>
  <c r="BW49" i="40" s="1"/>
  <c r="AW49" i="40" a="1"/>
  <c r="AW49" i="40" s="1"/>
  <c r="AU49" i="40" a="1"/>
  <c r="AU49" i="40" s="1"/>
  <c r="AT49" i="40" a="1"/>
  <c r="AT49" i="40" s="1"/>
  <c r="DB51" i="40"/>
  <c r="Q52" i="39"/>
  <c r="P52" i="39"/>
  <c r="M54" i="39"/>
  <c r="I54" i="39" s="1"/>
  <c r="I53" i="39"/>
  <c r="G53" i="39"/>
  <c r="O53" i="39" s="1"/>
  <c r="M44" i="35"/>
  <c r="I44" i="35" s="1"/>
  <c r="N43" i="35"/>
  <c r="Q43" i="35"/>
  <c r="P43" i="35"/>
  <c r="CF51" i="40" l="1" a="1"/>
  <c r="CF51" i="40" s="1"/>
  <c r="CI51" i="40" s="1"/>
  <c r="AD51" i="40" s="1"/>
  <c r="CF50" i="40" a="1"/>
  <c r="CF50" i="40" s="1"/>
  <c r="CI50" i="40" s="1"/>
  <c r="AD50" i="40" s="1"/>
  <c r="BA50" i="40"/>
  <c r="X50" i="40" s="1"/>
  <c r="CX50" i="40"/>
  <c r="AI50" i="40" s="1"/>
  <c r="CX51" i="40"/>
  <c r="AI51" i="40" s="1"/>
  <c r="CO51" i="40"/>
  <c r="AF51" i="40" s="1"/>
  <c r="CL51" i="40"/>
  <c r="AE51" i="40" s="1"/>
  <c r="I55" i="40"/>
  <c r="BE51" i="40"/>
  <c r="Y51" i="40" s="1"/>
  <c r="DA50" i="40" a="1"/>
  <c r="DA50" i="40" s="1"/>
  <c r="BA51" i="40"/>
  <c r="X51" i="40" s="1"/>
  <c r="CE49" i="40" a="1"/>
  <c r="CE49" i="40" s="1"/>
  <c r="AC49" i="40" s="1"/>
  <c r="CY50" i="40" a="1"/>
  <c r="CY50" i="40" s="1"/>
  <c r="DC50" i="40" a="1"/>
  <c r="DC50" i="40" s="1"/>
  <c r="CU51" i="40"/>
  <c r="AH51" i="40" s="1"/>
  <c r="AX49" i="40" a="1"/>
  <c r="AX49" i="40" s="1"/>
  <c r="W49" i="40" s="1"/>
  <c r="CR50" i="40"/>
  <c r="AG50" i="40" s="1"/>
  <c r="CO50" i="40"/>
  <c r="AF50" i="40" s="1"/>
  <c r="BY51" i="40" a="1"/>
  <c r="BY51" i="40" s="1"/>
  <c r="BZ51" i="40" a="1"/>
  <c r="BZ51" i="40" s="1"/>
  <c r="CA51" i="40" a="1"/>
  <c r="CA51" i="40" s="1"/>
  <c r="CD51" i="40"/>
  <c r="CC51" i="40" s="1" a="1"/>
  <c r="CC51" i="40" s="1"/>
  <c r="CR51" i="40"/>
  <c r="AG51" i="40" s="1"/>
  <c r="CZ52" i="40" a="1"/>
  <c r="CZ52" i="40" s="1"/>
  <c r="DA52" i="40" a="1"/>
  <c r="DA52" i="40" s="1"/>
  <c r="DC52" i="40" a="1"/>
  <c r="DC52" i="40" s="1"/>
  <c r="CY52" i="40" a="1"/>
  <c r="CY52" i="40" s="1"/>
  <c r="N55" i="40"/>
  <c r="T55" i="40"/>
  <c r="Q55" i="40"/>
  <c r="P55" i="40"/>
  <c r="BX49" i="40"/>
  <c r="AB49" i="40" s="1"/>
  <c r="CI49" i="40"/>
  <c r="AD49" i="40" s="1"/>
  <c r="CS52" i="40" a="1"/>
  <c r="CS52" i="40" s="1"/>
  <c r="BY50" i="40" a="1"/>
  <c r="BY50" i="40" s="1"/>
  <c r="CA50" i="40" a="1"/>
  <c r="CA50" i="40" s="1"/>
  <c r="CD50" i="40"/>
  <c r="CC50" i="40" s="1" a="1"/>
  <c r="CC50" i="40" s="1"/>
  <c r="BZ50" i="40" a="1"/>
  <c r="BZ50" i="40" s="1"/>
  <c r="BV52" i="40"/>
  <c r="BQ50" i="40" a="1"/>
  <c r="BQ50" i="40" s="1"/>
  <c r="BL50" i="40" a="1"/>
  <c r="BL50" i="40" s="1"/>
  <c r="BO50" i="40" a="1"/>
  <c r="BO50" i="40" s="1"/>
  <c r="BF50" i="40" a="1"/>
  <c r="BF50" i="40" s="1"/>
  <c r="BI50" i="40" a="1"/>
  <c r="BI50" i="40" s="1"/>
  <c r="BN50" i="40" a="1"/>
  <c r="BN50" i="40" s="1"/>
  <c r="BG50" i="40" a="1"/>
  <c r="BG50" i="40" s="1"/>
  <c r="BM50" i="40" a="1"/>
  <c r="BM50" i="40" s="1"/>
  <c r="BJ50" i="40" a="1"/>
  <c r="BJ50" i="40" s="1"/>
  <c r="BK50" i="40" a="1"/>
  <c r="BK50" i="40" s="1"/>
  <c r="BH50" i="40" a="1"/>
  <c r="BH50" i="40" s="1"/>
  <c r="CV52" i="40" a="1"/>
  <c r="CV52" i="40" s="1"/>
  <c r="CG52" i="40"/>
  <c r="CU50" i="40"/>
  <c r="AH50" i="40" s="1"/>
  <c r="AY52" i="40" a="1"/>
  <c r="AY52" i="40" s="1"/>
  <c r="CT52" i="40" a="1"/>
  <c r="CT52" i="40" s="1"/>
  <c r="BS52" i="40" a="1"/>
  <c r="BS52" i="40" s="1"/>
  <c r="BT52" i="40" s="1"/>
  <c r="AA52" i="40" s="1"/>
  <c r="BR51" i="40" a="1"/>
  <c r="BR51" i="40" s="1"/>
  <c r="Z51" i="40" s="1"/>
  <c r="DA51" i="40" a="1"/>
  <c r="DA51" i="40" s="1"/>
  <c r="DC51" i="40" a="1"/>
  <c r="DC51" i="40" s="1"/>
  <c r="CY51" i="40" a="1"/>
  <c r="CY51" i="40" s="1"/>
  <c r="CZ51" i="40" a="1"/>
  <c r="CZ51" i="40" s="1"/>
  <c r="H55" i="40"/>
  <c r="E56" i="40" s="1" a="1"/>
  <c r="E56" i="40" s="1"/>
  <c r="F56" i="40" s="1" a="1"/>
  <c r="F56" i="40" s="1"/>
  <c r="AZ52" i="40" a="1"/>
  <c r="AZ52" i="40" s="1"/>
  <c r="CJ52" i="40" a="1"/>
  <c r="CJ52" i="40" s="1"/>
  <c r="BD52" i="40"/>
  <c r="BC52" i="40" s="1" a="1"/>
  <c r="BC52" i="40" s="1"/>
  <c r="BW51" i="40" a="1"/>
  <c r="BW51" i="40" s="1"/>
  <c r="BU51" i="40" a="1"/>
  <c r="BU51" i="40" s="1"/>
  <c r="CK52" i="40" a="1"/>
  <c r="CK52" i="40" s="1"/>
  <c r="AT51" i="40" a="1"/>
  <c r="AT51" i="40" s="1"/>
  <c r="AW51" i="40" a="1"/>
  <c r="AW51" i="40" s="1"/>
  <c r="AU51" i="40" a="1"/>
  <c r="AU51" i="40" s="1"/>
  <c r="AV52" i="40"/>
  <c r="DD49" i="40"/>
  <c r="AJ49" i="40" s="1"/>
  <c r="CB52" i="40"/>
  <c r="N54" i="40"/>
  <c r="T54" i="40"/>
  <c r="Q54" i="40"/>
  <c r="P54" i="40"/>
  <c r="CQ52" i="40" a="1"/>
  <c r="CQ52" i="40" s="1"/>
  <c r="CW52" i="40" a="1"/>
  <c r="CW52" i="40" s="1"/>
  <c r="AM53" i="40"/>
  <c r="BU50" i="40" a="1"/>
  <c r="BU50" i="40" s="1"/>
  <c r="BW50" i="40" a="1"/>
  <c r="BW50" i="40" s="1"/>
  <c r="CP52" i="40" a="1"/>
  <c r="CP52" i="40" s="1"/>
  <c r="AT50" i="40" a="1"/>
  <c r="AT50" i="40" s="1"/>
  <c r="AU50" i="40" a="1"/>
  <c r="AU50" i="40" s="1"/>
  <c r="AW50" i="40" a="1"/>
  <c r="AW50" i="40" s="1"/>
  <c r="CN52" i="40" a="1"/>
  <c r="CN52" i="40" s="1"/>
  <c r="BB52" i="40" a="1"/>
  <c r="BB52" i="40" s="1"/>
  <c r="BR49" i="40" a="1"/>
  <c r="BR49" i="40" s="1"/>
  <c r="Z49" i="40" s="1"/>
  <c r="BP52" i="40"/>
  <c r="CM52" i="40" a="1"/>
  <c r="CM52" i="40" s="1"/>
  <c r="BE50" i="40"/>
  <c r="Y50" i="40" s="1"/>
  <c r="G54" i="39"/>
  <c r="O54" i="39" s="1"/>
  <c r="N54" i="39" s="1"/>
  <c r="H54" i="39"/>
  <c r="E55" i="39" s="1" a="1"/>
  <c r="E55" i="39" s="1"/>
  <c r="F55" i="39" s="1" a="1"/>
  <c r="F55" i="39" s="1"/>
  <c r="M55" i="39" s="1"/>
  <c r="I55" i="39" s="1"/>
  <c r="N53" i="39"/>
  <c r="Q53" i="39"/>
  <c r="P53" i="39"/>
  <c r="H44" i="35"/>
  <c r="E45" i="35" s="1" a="1"/>
  <c r="E45" i="35" s="1"/>
  <c r="F45" i="35" s="1" a="1"/>
  <c r="F45" i="35" s="1"/>
  <c r="M45" i="35" s="1"/>
  <c r="I45" i="35" s="1"/>
  <c r="G44" i="35"/>
  <c r="O44" i="35" s="1"/>
  <c r="BA52" i="40" l="1"/>
  <c r="X52" i="40" s="1"/>
  <c r="BX51" i="40"/>
  <c r="AB51" i="40" s="1"/>
  <c r="DD50" i="40"/>
  <c r="AJ50" i="40" s="1"/>
  <c r="BX50" i="40"/>
  <c r="AB50" i="40" s="1"/>
  <c r="U49" i="40"/>
  <c r="AX50" i="40" a="1"/>
  <c r="AX50" i="40" s="1"/>
  <c r="W50" i="40" s="1"/>
  <c r="AX51" i="40" a="1"/>
  <c r="AX51" i="40" s="1"/>
  <c r="W51" i="40" s="1"/>
  <c r="CO52" i="40"/>
  <c r="AF52" i="40" s="1"/>
  <c r="DD52" i="40"/>
  <c r="AJ52" i="40" s="1"/>
  <c r="CE51" i="40" a="1"/>
  <c r="CE51" i="40" s="1"/>
  <c r="AC51" i="40" s="1"/>
  <c r="BU52" i="40" a="1"/>
  <c r="BU52" i="40" s="1"/>
  <c r="BW52" i="40" a="1"/>
  <c r="BW52" i="40" s="1"/>
  <c r="AM54" i="40"/>
  <c r="DD51" i="40"/>
  <c r="AJ51" i="40" s="1"/>
  <c r="AM55" i="40"/>
  <c r="CE50" i="40" a="1"/>
  <c r="CE50" i="40" s="1"/>
  <c r="AC50" i="40" s="1"/>
  <c r="BE52" i="40"/>
  <c r="Y52" i="40" s="1"/>
  <c r="M56" i="40"/>
  <c r="I56" i="40" s="1"/>
  <c r="AK49" i="40"/>
  <c r="V49" i="40"/>
  <c r="CX52" i="40"/>
  <c r="AI52" i="40" s="1"/>
  <c r="BZ52" i="40" a="1"/>
  <c r="BZ52" i="40" s="1"/>
  <c r="CD52" i="40"/>
  <c r="CC52" i="40" s="1" a="1"/>
  <c r="CC52" i="40" s="1"/>
  <c r="CA52" i="40" a="1"/>
  <c r="CA52" i="40" s="1"/>
  <c r="BY52" i="40" a="1"/>
  <c r="BY52" i="40" s="1"/>
  <c r="Q54" i="39"/>
  <c r="BR50" i="40" a="1"/>
  <c r="BR50" i="40" s="1"/>
  <c r="Z50" i="40" s="1"/>
  <c r="P54" i="39"/>
  <c r="CR52" i="40"/>
  <c r="AG52" i="40" s="1"/>
  <c r="CH52" i="40" a="1"/>
  <c r="CH52" i="40" s="1"/>
  <c r="CF52" i="40" a="1"/>
  <c r="CF52" i="40" s="1"/>
  <c r="CU52" i="40"/>
  <c r="AH52" i="40" s="1"/>
  <c r="BN52" i="40" a="1"/>
  <c r="BN52" i="40" s="1"/>
  <c r="BI52" i="40" a="1"/>
  <c r="BI52" i="40" s="1"/>
  <c r="BG52" i="40" a="1"/>
  <c r="BG52" i="40" s="1"/>
  <c r="BL52" i="40" a="1"/>
  <c r="BL52" i="40" s="1"/>
  <c r="BO52" i="40" a="1"/>
  <c r="BO52" i="40" s="1"/>
  <c r="BQ52" i="40" a="1"/>
  <c r="BQ52" i="40" s="1"/>
  <c r="BF52" i="40" a="1"/>
  <c r="BF52" i="40" s="1"/>
  <c r="BJ52" i="40" a="1"/>
  <c r="BJ52" i="40" s="1"/>
  <c r="BM52" i="40" a="1"/>
  <c r="BM52" i="40" s="1"/>
  <c r="BH52" i="40" a="1"/>
  <c r="BH52" i="40" s="1"/>
  <c r="BK52" i="40" a="1"/>
  <c r="BK52" i="40" s="1"/>
  <c r="AN53" i="40"/>
  <c r="AO53" i="40" s="1"/>
  <c r="AP53" i="40" s="1"/>
  <c r="AQ53" i="40" s="1"/>
  <c r="AR53" i="40" s="1"/>
  <c r="AS53" i="40" s="1"/>
  <c r="BB53" i="40" s="1" a="1"/>
  <c r="BB53" i="40" s="1"/>
  <c r="CL52" i="40"/>
  <c r="AE52" i="40" s="1"/>
  <c r="AT52" i="40" a="1"/>
  <c r="AT52" i="40" s="1"/>
  <c r="AW52" i="40" a="1"/>
  <c r="AW52" i="40" s="1"/>
  <c r="AU52" i="40" a="1"/>
  <c r="AU52" i="40" s="1"/>
  <c r="G55" i="39"/>
  <c r="O55" i="39" s="1"/>
  <c r="H55" i="39"/>
  <c r="E56" i="39" s="1" a="1"/>
  <c r="E56" i="39" s="1"/>
  <c r="F56" i="39" s="1" a="1"/>
  <c r="F56" i="39" s="1"/>
  <c r="N44" i="35"/>
  <c r="Q44" i="35"/>
  <c r="P44" i="35"/>
  <c r="G45" i="35"/>
  <c r="O45" i="35" s="1"/>
  <c r="AX52" i="40" l="1" a="1"/>
  <c r="AX52" i="40" s="1"/>
  <c r="W52" i="40" s="1"/>
  <c r="U50" i="40"/>
  <c r="V51" i="40"/>
  <c r="CI52" i="40"/>
  <c r="AD52" i="40" s="1"/>
  <c r="BX52" i="40"/>
  <c r="AB52" i="40" s="1"/>
  <c r="U51" i="40"/>
  <c r="G56" i="40"/>
  <c r="O56" i="40" s="1"/>
  <c r="T56" i="40" s="1"/>
  <c r="H56" i="40"/>
  <c r="E57" i="40" s="1" a="1"/>
  <c r="E57" i="40" s="1"/>
  <c r="F57" i="40" s="1" a="1"/>
  <c r="F57" i="40" s="1"/>
  <c r="M57" i="40" s="1"/>
  <c r="G57" i="40" s="1"/>
  <c r="O57" i="40" s="1"/>
  <c r="AZ53" i="40" a="1"/>
  <c r="AZ53" i="40" s="1"/>
  <c r="BV53" i="40"/>
  <c r="BW53" i="40" s="1" a="1"/>
  <c r="BW53" i="40" s="1"/>
  <c r="CB53" i="40"/>
  <c r="CA53" i="40" s="1" a="1"/>
  <c r="CA53" i="40" s="1"/>
  <c r="CS53" i="40" a="1"/>
  <c r="CS53" i="40" s="1"/>
  <c r="DB53" i="40"/>
  <c r="CY53" i="40" s="1" a="1"/>
  <c r="CY53" i="40" s="1"/>
  <c r="CE52" i="40" a="1"/>
  <c r="CE52" i="40" s="1"/>
  <c r="AC52" i="40" s="1"/>
  <c r="AY53" i="40" a="1"/>
  <c r="AY53" i="40" s="1"/>
  <c r="AN55" i="40"/>
  <c r="AO55" i="40" s="1"/>
  <c r="AP55" i="40" s="1"/>
  <c r="AQ55" i="40" s="1"/>
  <c r="AR55" i="40" s="1"/>
  <c r="AS55" i="40" s="1"/>
  <c r="CS55" i="40" s="1" a="1"/>
  <c r="CS55" i="40" s="1"/>
  <c r="CQ53" i="40" a="1"/>
  <c r="CQ53" i="40" s="1"/>
  <c r="BR52" i="40" a="1"/>
  <c r="BR52" i="40" s="1"/>
  <c r="Z52" i="40" s="1"/>
  <c r="AN54" i="40"/>
  <c r="AO54" i="40" s="1"/>
  <c r="AP54" i="40" s="1"/>
  <c r="AQ54" i="40" s="1"/>
  <c r="AR54" i="40" s="1"/>
  <c r="AS54" i="40" s="1"/>
  <c r="CT54" i="40" s="1" a="1"/>
  <c r="CT54" i="40" s="1"/>
  <c r="BS53" i="40" a="1"/>
  <c r="BS53" i="40" s="1"/>
  <c r="BT53" i="40" s="1"/>
  <c r="AA53" i="40" s="1"/>
  <c r="CK53" i="40" a="1"/>
  <c r="CK53" i="40" s="1"/>
  <c r="AK50" i="40"/>
  <c r="CJ53" i="40" a="1"/>
  <c r="CJ53" i="40" s="1"/>
  <c r="CG53" i="40"/>
  <c r="V50" i="40"/>
  <c r="CT53" i="40" a="1"/>
  <c r="CT53" i="40" s="1"/>
  <c r="BP53" i="40"/>
  <c r="BD53" i="40"/>
  <c r="BC53" i="40" s="1" a="1"/>
  <c r="BC53" i="40" s="1"/>
  <c r="BE53" i="40" s="1"/>
  <c r="Y53" i="40" s="1"/>
  <c r="AK51" i="40"/>
  <c r="CM53" i="40" a="1"/>
  <c r="CM53" i="40" s="1"/>
  <c r="CV53" i="40" a="1"/>
  <c r="CV53" i="40" s="1"/>
  <c r="CN53" i="40" a="1"/>
  <c r="CN53" i="40" s="1"/>
  <c r="CW53" i="40" a="1"/>
  <c r="CW53" i="40" s="1"/>
  <c r="CP53" i="40" a="1"/>
  <c r="CP53" i="40" s="1"/>
  <c r="AV53" i="40"/>
  <c r="N55" i="39"/>
  <c r="P55" i="39"/>
  <c r="Q55" i="39"/>
  <c r="M56" i="39"/>
  <c r="H56" i="39" s="1"/>
  <c r="E57" i="39" s="1" a="1"/>
  <c r="E57" i="39" s="1"/>
  <c r="F57" i="39" s="1" a="1"/>
  <c r="F57" i="39" s="1"/>
  <c r="Q45" i="35"/>
  <c r="P45" i="35"/>
  <c r="N45" i="35"/>
  <c r="H45" i="35"/>
  <c r="E46" i="35" s="1" a="1"/>
  <c r="E46" i="35" s="1"/>
  <c r="F46" i="35" s="1" a="1"/>
  <c r="F46" i="35" s="1"/>
  <c r="BA53" i="40" l="1"/>
  <c r="X53" i="40" s="1"/>
  <c r="P56" i="40"/>
  <c r="Q56" i="40"/>
  <c r="CU53" i="40"/>
  <c r="AH53" i="40" s="1"/>
  <c r="N56" i="40"/>
  <c r="BZ53" i="40" a="1"/>
  <c r="BZ53" i="40" s="1"/>
  <c r="CR53" i="40"/>
  <c r="AG53" i="40" s="1"/>
  <c r="BU53" i="40" a="1"/>
  <c r="BU53" i="40" s="1"/>
  <c r="BX53" i="40" s="1"/>
  <c r="AB53" i="40" s="1"/>
  <c r="AK52" i="40"/>
  <c r="BB55" i="40" a="1"/>
  <c r="BB55" i="40" s="1"/>
  <c r="V52" i="40"/>
  <c r="CQ55" i="40" a="1"/>
  <c r="CQ55" i="40" s="1"/>
  <c r="BV55" i="40"/>
  <c r="BU55" i="40" s="1" a="1"/>
  <c r="BU55" i="40" s="1"/>
  <c r="CX53" i="40"/>
  <c r="AI53" i="40" s="1"/>
  <c r="CK55" i="40" a="1"/>
  <c r="CK55" i="40" s="1"/>
  <c r="CL53" i="40"/>
  <c r="AE53" i="40" s="1"/>
  <c r="BD55" i="40"/>
  <c r="BC55" i="40" s="1" a="1"/>
  <c r="BC55" i="40" s="1"/>
  <c r="CJ55" i="40" a="1"/>
  <c r="CJ55" i="40" s="1"/>
  <c r="CW55" i="40" a="1"/>
  <c r="CW55" i="40" s="1"/>
  <c r="BS55" i="40" a="1"/>
  <c r="BS55" i="40" s="1"/>
  <c r="BT55" i="40" s="1"/>
  <c r="AA55" i="40" s="1"/>
  <c r="DC53" i="40" a="1"/>
  <c r="DC53" i="40" s="1"/>
  <c r="CZ53" i="40" a="1"/>
  <c r="CZ53" i="40" s="1"/>
  <c r="DA53" i="40" a="1"/>
  <c r="DA53" i="40" s="1"/>
  <c r="U52" i="40"/>
  <c r="BY53" i="40" a="1"/>
  <c r="BY53" i="40" s="1"/>
  <c r="CD53" i="40"/>
  <c r="CC53" i="40" s="1" a="1"/>
  <c r="CC53" i="40" s="1"/>
  <c r="CV55" i="40" a="1"/>
  <c r="CV55" i="40" s="1"/>
  <c r="CP55" i="40" a="1"/>
  <c r="CP55" i="40" s="1"/>
  <c r="CR55" i="40" s="1"/>
  <c r="AG55" i="40" s="1"/>
  <c r="N57" i="40"/>
  <c r="T57" i="40"/>
  <c r="Q57" i="40"/>
  <c r="P57" i="40"/>
  <c r="I57" i="40"/>
  <c r="BD54" i="40"/>
  <c r="BC54" i="40" s="1" a="1"/>
  <c r="BC54" i="40" s="1"/>
  <c r="AM56" i="40"/>
  <c r="CH53" i="40" a="1"/>
  <c r="CH53" i="40" s="1"/>
  <c r="CF53" i="40" a="1"/>
  <c r="CF53" i="40" s="1"/>
  <c r="BV54" i="40"/>
  <c r="AZ54" i="40" a="1"/>
  <c r="AZ54" i="40" s="1"/>
  <c r="CN54" i="40" a="1"/>
  <c r="CN54" i="40" s="1"/>
  <c r="CK54" i="40" a="1"/>
  <c r="CK54" i="40" s="1"/>
  <c r="CJ54" i="40" a="1"/>
  <c r="CJ54" i="40" s="1"/>
  <c r="CP54" i="40" a="1"/>
  <c r="CP54" i="40" s="1"/>
  <c r="AZ55" i="40" a="1"/>
  <c r="AZ55" i="40" s="1"/>
  <c r="H57" i="40"/>
  <c r="E58" i="40" s="1" a="1"/>
  <c r="E58" i="40" s="1"/>
  <c r="F58" i="40" s="1" a="1"/>
  <c r="F58" i="40" s="1"/>
  <c r="AY54" i="40" a="1"/>
  <c r="AY54" i="40" s="1"/>
  <c r="CV54" i="40" a="1"/>
  <c r="CV54" i="40" s="1"/>
  <c r="CG55" i="40"/>
  <c r="CM55" i="40" a="1"/>
  <c r="CM55" i="40" s="1"/>
  <c r="CB54" i="40"/>
  <c r="CM54" i="40" a="1"/>
  <c r="CM54" i="40" s="1"/>
  <c r="BJ53" i="40" a="1"/>
  <c r="BJ53" i="40" s="1"/>
  <c r="BG53" i="40" a="1"/>
  <c r="BG53" i="40" s="1"/>
  <c r="BI53" i="40" a="1"/>
  <c r="BI53" i="40" s="1"/>
  <c r="BO53" i="40" a="1"/>
  <c r="BO53" i="40" s="1"/>
  <c r="BN53" i="40" a="1"/>
  <c r="BN53" i="40" s="1"/>
  <c r="BK53" i="40" a="1"/>
  <c r="BK53" i="40" s="1"/>
  <c r="BH53" i="40" a="1"/>
  <c r="BH53" i="40" s="1"/>
  <c r="BQ53" i="40" a="1"/>
  <c r="BQ53" i="40" s="1"/>
  <c r="BM53" i="40" a="1"/>
  <c r="BM53" i="40" s="1"/>
  <c r="BF53" i="40" a="1"/>
  <c r="BF53" i="40" s="1"/>
  <c r="BL53" i="40" a="1"/>
  <c r="BL53" i="40" s="1"/>
  <c r="BP54" i="40"/>
  <c r="CW54" i="40" a="1"/>
  <c r="CW54" i="40" s="1"/>
  <c r="CN55" i="40" a="1"/>
  <c r="CN55" i="40" s="1"/>
  <c r="AY55" i="40" a="1"/>
  <c r="AY55" i="40" s="1"/>
  <c r="BA55" i="40" s="1"/>
  <c r="X55" i="40" s="1"/>
  <c r="DB54" i="40"/>
  <c r="CQ54" i="40" a="1"/>
  <c r="CQ54" i="40" s="1"/>
  <c r="CS54" i="40" a="1"/>
  <c r="CS54" i="40" s="1"/>
  <c r="CU54" i="40" s="1"/>
  <c r="AH54" i="40" s="1"/>
  <c r="DB55" i="40"/>
  <c r="AU53" i="40" a="1"/>
  <c r="AU53" i="40" s="1"/>
  <c r="AT53" i="40" a="1"/>
  <c r="AT53" i="40" s="1"/>
  <c r="AW53" i="40" a="1"/>
  <c r="AW53" i="40" s="1"/>
  <c r="AV54" i="40"/>
  <c r="AV55" i="40"/>
  <c r="CT55" i="40" a="1"/>
  <c r="CT55" i="40" s="1"/>
  <c r="CU55" i="40" s="1"/>
  <c r="AH55" i="40" s="1"/>
  <c r="CO53" i="40"/>
  <c r="AF53" i="40" s="1"/>
  <c r="BB54" i="40" a="1"/>
  <c r="BB54" i="40" s="1"/>
  <c r="CG54" i="40"/>
  <c r="BS54" i="40" a="1"/>
  <c r="BS54" i="40" s="1"/>
  <c r="BT54" i="40" s="1"/>
  <c r="AA54" i="40" s="1"/>
  <c r="CB55" i="40"/>
  <c r="BP55" i="40"/>
  <c r="I56" i="39"/>
  <c r="G56" i="39"/>
  <c r="O56" i="39" s="1"/>
  <c r="N56" i="39" s="1"/>
  <c r="M57" i="39"/>
  <c r="H57" i="39" s="1"/>
  <c r="E58" i="39" s="1" a="1"/>
  <c r="E58" i="39" s="1"/>
  <c r="F58" i="39" s="1" a="1"/>
  <c r="F58" i="39" s="1"/>
  <c r="M46" i="35"/>
  <c r="I46" i="35" s="1"/>
  <c r="BW55" i="40" l="1" a="1"/>
  <c r="BW55" i="40" s="1"/>
  <c r="BX55" i="40" s="1"/>
  <c r="AB55" i="40" s="1"/>
  <c r="CI53" i="40"/>
  <c r="AD53" i="40" s="1"/>
  <c r="AX53" i="40" a="1"/>
  <c r="AX53" i="40" s="1"/>
  <c r="W53" i="40" s="1"/>
  <c r="BE55" i="40"/>
  <c r="Y55" i="40" s="1"/>
  <c r="CO55" i="40"/>
  <c r="AF55" i="40" s="1"/>
  <c r="CE53" i="40" a="1"/>
  <c r="CE53" i="40" s="1"/>
  <c r="AC53" i="40" s="1"/>
  <c r="DD53" i="40"/>
  <c r="AJ53" i="40" s="1"/>
  <c r="CL55" i="40"/>
  <c r="AE55" i="40" s="1"/>
  <c r="CX55" i="40"/>
  <c r="AI55" i="40" s="1"/>
  <c r="CL54" i="40"/>
  <c r="AE54" i="40" s="1"/>
  <c r="CO54" i="40"/>
  <c r="AF54" i="40" s="1"/>
  <c r="BA54" i="40"/>
  <c r="X54" i="40" s="1"/>
  <c r="CZ54" i="40" a="1"/>
  <c r="CZ54" i="40" s="1"/>
  <c r="CY54" i="40" a="1"/>
  <c r="CY54" i="40" s="1"/>
  <c r="DC54" i="40" a="1"/>
  <c r="DC54" i="40" s="1"/>
  <c r="DA54" i="40" a="1"/>
  <c r="DA54" i="40" s="1"/>
  <c r="CA55" i="40" a="1"/>
  <c r="CA55" i="40" s="1"/>
  <c r="CD55" i="40"/>
  <c r="CC55" i="40" s="1" a="1"/>
  <c r="CC55" i="40" s="1"/>
  <c r="BY55" i="40" a="1"/>
  <c r="BY55" i="40" s="1"/>
  <c r="BZ55" i="40" a="1"/>
  <c r="BZ55" i="40" s="1"/>
  <c r="CH55" i="40" a="1"/>
  <c r="CH55" i="40" s="1"/>
  <c r="CF55" i="40" a="1"/>
  <c r="CF55" i="40" s="1"/>
  <c r="CH54" i="40" a="1"/>
  <c r="CH54" i="40" s="1"/>
  <c r="CF54" i="40" a="1"/>
  <c r="CF54" i="40" s="1"/>
  <c r="BJ54" i="40" a="1"/>
  <c r="BJ54" i="40" s="1"/>
  <c r="BO54" i="40" a="1"/>
  <c r="BO54" i="40" s="1"/>
  <c r="BI54" i="40" a="1"/>
  <c r="BI54" i="40" s="1"/>
  <c r="BL54" i="40" a="1"/>
  <c r="BL54" i="40" s="1"/>
  <c r="BH54" i="40" a="1"/>
  <c r="BH54" i="40" s="1"/>
  <c r="BK54" i="40" a="1"/>
  <c r="BK54" i="40" s="1"/>
  <c r="BG54" i="40" a="1"/>
  <c r="BG54" i="40" s="1"/>
  <c r="BM54" i="40" a="1"/>
  <c r="BM54" i="40" s="1"/>
  <c r="BF54" i="40" a="1"/>
  <c r="BF54" i="40" s="1"/>
  <c r="BN54" i="40" a="1"/>
  <c r="BN54" i="40" s="1"/>
  <c r="BQ54" i="40" a="1"/>
  <c r="BQ54" i="40" s="1"/>
  <c r="CX54" i="40"/>
  <c r="AI54" i="40" s="1"/>
  <c r="AN56" i="40"/>
  <c r="AO56" i="40" s="1"/>
  <c r="AP56" i="40" s="1"/>
  <c r="AQ56" i="40" s="1"/>
  <c r="AR56" i="40" s="1"/>
  <c r="AS56" i="40" s="1"/>
  <c r="AV56" i="40" s="1"/>
  <c r="BU54" i="40" a="1"/>
  <c r="BU54" i="40" s="1"/>
  <c r="BW54" i="40" a="1"/>
  <c r="BW54" i="40" s="1"/>
  <c r="BE54" i="40"/>
  <c r="Y54" i="40" s="1"/>
  <c r="BR53" i="40" a="1"/>
  <c r="BR53" i="40" s="1"/>
  <c r="Z53" i="40" s="1"/>
  <c r="M58" i="40"/>
  <c r="H58" i="40" s="1"/>
  <c r="E59" i="40" s="1" a="1"/>
  <c r="E59" i="40" s="1"/>
  <c r="F59" i="40" s="1" a="1"/>
  <c r="F59" i="40" s="1"/>
  <c r="BH55" i="40" a="1"/>
  <c r="BH55" i="40" s="1"/>
  <c r="BL55" i="40" a="1"/>
  <c r="BL55" i="40" s="1"/>
  <c r="BG55" i="40" a="1"/>
  <c r="BG55" i="40" s="1"/>
  <c r="BM55" i="40" a="1"/>
  <c r="BM55" i="40" s="1"/>
  <c r="BQ55" i="40" a="1"/>
  <c r="BQ55" i="40" s="1"/>
  <c r="BJ55" i="40" a="1"/>
  <c r="BJ55" i="40" s="1"/>
  <c r="BN55" i="40" a="1"/>
  <c r="BN55" i="40" s="1"/>
  <c r="BO55" i="40" a="1"/>
  <c r="BO55" i="40" s="1"/>
  <c r="BF55" i="40" a="1"/>
  <c r="BF55" i="40" s="1"/>
  <c r="BK55" i="40" a="1"/>
  <c r="BK55" i="40" s="1"/>
  <c r="BI55" i="40" a="1"/>
  <c r="BI55" i="40" s="1"/>
  <c r="CD54" i="40"/>
  <c r="CC54" i="40" s="1" a="1"/>
  <c r="CC54" i="40" s="1"/>
  <c r="BY54" i="40" a="1"/>
  <c r="BY54" i="40" s="1"/>
  <c r="CA54" i="40" a="1"/>
  <c r="CA54" i="40" s="1"/>
  <c r="BZ54" i="40" a="1"/>
  <c r="BZ54" i="40" s="1"/>
  <c r="AU55" i="40" a="1"/>
  <c r="AU55" i="40" s="1"/>
  <c r="AW55" i="40" a="1"/>
  <c r="AW55" i="40" s="1"/>
  <c r="AT55" i="40" a="1"/>
  <c r="AT55" i="40" s="1"/>
  <c r="CR54" i="40"/>
  <c r="AG54" i="40" s="1"/>
  <c r="AW54" i="40" a="1"/>
  <c r="AW54" i="40" s="1"/>
  <c r="AT54" i="40" a="1"/>
  <c r="AT54" i="40" s="1"/>
  <c r="AU54" i="40" a="1"/>
  <c r="AU54" i="40" s="1"/>
  <c r="AM57" i="40"/>
  <c r="CY55" i="40" a="1"/>
  <c r="CY55" i="40" s="1"/>
  <c r="CZ55" i="40" a="1"/>
  <c r="CZ55" i="40" s="1"/>
  <c r="DA55" i="40" a="1"/>
  <c r="DA55" i="40" s="1"/>
  <c r="DC55" i="40" a="1"/>
  <c r="DC55" i="40" s="1"/>
  <c r="P56" i="39"/>
  <c r="Q56" i="39"/>
  <c r="G57" i="39"/>
  <c r="O57" i="39" s="1"/>
  <c r="N57" i="39" s="1"/>
  <c r="M58" i="39"/>
  <c r="H58" i="39" s="1"/>
  <c r="E59" i="39" s="1" a="1"/>
  <c r="E59" i="39" s="1"/>
  <c r="F59" i="39" s="1" a="1"/>
  <c r="F59" i="39" s="1"/>
  <c r="I57" i="39"/>
  <c r="G46" i="35"/>
  <c r="O46" i="35" s="1"/>
  <c r="P46" i="35" s="1"/>
  <c r="H46" i="35"/>
  <c r="E47" i="35" s="1" a="1"/>
  <c r="E47" i="35" s="1"/>
  <c r="F47" i="35" s="1" a="1"/>
  <c r="F47" i="35" s="1"/>
  <c r="M47" i="35" s="1"/>
  <c r="I47" i="35" s="1"/>
  <c r="V53" i="40" l="1"/>
  <c r="CI54" i="40"/>
  <c r="AD54" i="40" s="1"/>
  <c r="CG56" i="40"/>
  <c r="CH56" i="40" s="1" a="1"/>
  <c r="CH56" i="40" s="1"/>
  <c r="CQ56" i="40" a="1"/>
  <c r="CQ56" i="40" s="1"/>
  <c r="I58" i="40"/>
  <c r="DD54" i="40"/>
  <c r="AJ54" i="40" s="1"/>
  <c r="CV56" i="40" a="1"/>
  <c r="CV56" i="40" s="1"/>
  <c r="BD56" i="40"/>
  <c r="BC56" i="40" s="1" a="1"/>
  <c r="BC56" i="40" s="1"/>
  <c r="CE55" i="40" a="1"/>
  <c r="CE55" i="40" s="1"/>
  <c r="AC55" i="40" s="1"/>
  <c r="CW56" i="40" a="1"/>
  <c r="CW56" i="40" s="1"/>
  <c r="DD55" i="40"/>
  <c r="AJ55" i="40" s="1"/>
  <c r="CK56" i="40" a="1"/>
  <c r="CK56" i="40" s="1"/>
  <c r="BV56" i="40"/>
  <c r="BS56" i="40" a="1"/>
  <c r="BS56" i="40" s="1"/>
  <c r="BT56" i="40" s="1"/>
  <c r="AA56" i="40" s="1"/>
  <c r="AX55" i="40" a="1"/>
  <c r="AX55" i="40" s="1"/>
  <c r="W55" i="40" s="1"/>
  <c r="DB56" i="40"/>
  <c r="DA56" i="40" s="1" a="1"/>
  <c r="DA56" i="40" s="1"/>
  <c r="CI55" i="40"/>
  <c r="AD55" i="40" s="1"/>
  <c r="CM56" i="40" a="1"/>
  <c r="CM56" i="40" s="1"/>
  <c r="CJ56" i="40" a="1"/>
  <c r="CJ56" i="40" s="1"/>
  <c r="CS56" i="40" a="1"/>
  <c r="CS56" i="40" s="1"/>
  <c r="CP56" i="40" a="1"/>
  <c r="CP56" i="40" s="1"/>
  <c r="M59" i="40"/>
  <c r="I59" i="40" s="1"/>
  <c r="AU56" i="40" a="1"/>
  <c r="AU56" i="40" s="1"/>
  <c r="AT56" i="40" a="1"/>
  <c r="AT56" i="40" s="1"/>
  <c r="AW56" i="40" a="1"/>
  <c r="AW56" i="40" s="1"/>
  <c r="AK53" i="40"/>
  <c r="U53" i="40"/>
  <c r="G58" i="40"/>
  <c r="O58" i="40" s="1"/>
  <c r="CE54" i="40" a="1"/>
  <c r="CE54" i="40" s="1"/>
  <c r="AC54" i="40" s="1"/>
  <c r="CB56" i="40"/>
  <c r="AY56" i="40" a="1"/>
  <c r="AY56" i="40" s="1"/>
  <c r="BR54" i="40" a="1"/>
  <c r="BR54" i="40" s="1"/>
  <c r="Z54" i="40" s="1"/>
  <c r="AN57" i="40"/>
  <c r="AO57" i="40" s="1"/>
  <c r="AP57" i="40" s="1"/>
  <c r="AQ57" i="40" s="1"/>
  <c r="AR57" i="40" s="1"/>
  <c r="AS57" i="40" s="1"/>
  <c r="AY57" i="40" s="1" a="1"/>
  <c r="AY57" i="40" s="1"/>
  <c r="CT56" i="40" a="1"/>
  <c r="CT56" i="40" s="1"/>
  <c r="AX54" i="40" a="1"/>
  <c r="AX54" i="40" s="1"/>
  <c r="W54" i="40" s="1"/>
  <c r="AZ56" i="40" a="1"/>
  <c r="AZ56" i="40" s="1"/>
  <c r="BB56" i="40" a="1"/>
  <c r="BB56" i="40" s="1"/>
  <c r="CN56" i="40" a="1"/>
  <c r="CN56" i="40" s="1"/>
  <c r="BR55" i="40" a="1"/>
  <c r="BR55" i="40" s="1"/>
  <c r="Z55" i="40" s="1"/>
  <c r="BX54" i="40"/>
  <c r="AB54" i="40" s="1"/>
  <c r="BP56" i="40"/>
  <c r="P57" i="39"/>
  <c r="Q57" i="39"/>
  <c r="M59" i="39"/>
  <c r="I59" i="39" s="1"/>
  <c r="G58" i="39"/>
  <c r="O58" i="39" s="1"/>
  <c r="I58" i="39"/>
  <c r="N46" i="35"/>
  <c r="Q46" i="35"/>
  <c r="H47" i="35"/>
  <c r="E48" i="35" s="1" a="1"/>
  <c r="E48" i="35" s="1"/>
  <c r="F48" i="35" s="1" a="1"/>
  <c r="F48" i="35" s="1"/>
  <c r="G47" i="35"/>
  <c r="O47" i="35" s="1"/>
  <c r="BA56" i="40" l="1"/>
  <c r="X56" i="40" s="1"/>
  <c r="AK55" i="40"/>
  <c r="CF56" i="40" a="1"/>
  <c r="CF56" i="40" s="1"/>
  <c r="CI56" i="40" s="1"/>
  <c r="AD56" i="40" s="1"/>
  <c r="CU56" i="40"/>
  <c r="AH56" i="40" s="1"/>
  <c r="CO56" i="40"/>
  <c r="AF56" i="40" s="1"/>
  <c r="BE56" i="40"/>
  <c r="Y56" i="40" s="1"/>
  <c r="DC56" i="40" a="1"/>
  <c r="DC56" i="40" s="1"/>
  <c r="AX56" i="40" a="1"/>
  <c r="AX56" i="40" s="1"/>
  <c r="W56" i="40" s="1"/>
  <c r="CR56" i="40"/>
  <c r="AG56" i="40" s="1"/>
  <c r="CY56" i="40" a="1"/>
  <c r="CY56" i="40" s="1"/>
  <c r="CL56" i="40"/>
  <c r="AE56" i="40" s="1"/>
  <c r="CX56" i="40"/>
  <c r="AI56" i="40" s="1"/>
  <c r="CK57" i="40" a="1"/>
  <c r="CK57" i="40" s="1"/>
  <c r="CV57" i="40" a="1"/>
  <c r="CV57" i="40" s="1"/>
  <c r="CZ56" i="40" a="1"/>
  <c r="CZ56" i="40" s="1"/>
  <c r="BW56" i="40" a="1"/>
  <c r="BW56" i="40" s="1"/>
  <c r="BU56" i="40" a="1"/>
  <c r="BU56" i="40" s="1"/>
  <c r="AZ57" i="40" a="1"/>
  <c r="AZ57" i="40" s="1"/>
  <c r="BA57" i="40" s="1"/>
  <c r="X57" i="40" s="1"/>
  <c r="CP57" i="40" a="1"/>
  <c r="CP57" i="40" s="1"/>
  <c r="CB57" i="40"/>
  <c r="BY57" i="40" s="1" a="1"/>
  <c r="BY57" i="40" s="1"/>
  <c r="CM57" i="40" a="1"/>
  <c r="CM57" i="40" s="1"/>
  <c r="DB57" i="40"/>
  <c r="DA57" i="40" s="1" a="1"/>
  <c r="DA57" i="40" s="1"/>
  <c r="BD57" i="40"/>
  <c r="BC57" i="40" s="1" a="1"/>
  <c r="BC57" i="40" s="1"/>
  <c r="BK56" i="40" a="1"/>
  <c r="BK56" i="40" s="1"/>
  <c r="BO56" i="40" a="1"/>
  <c r="BO56" i="40" s="1"/>
  <c r="BH56" i="40" a="1"/>
  <c r="BH56" i="40" s="1"/>
  <c r="BF56" i="40" a="1"/>
  <c r="BF56" i="40" s="1"/>
  <c r="BL56" i="40" a="1"/>
  <c r="BL56" i="40" s="1"/>
  <c r="BJ56" i="40" a="1"/>
  <c r="BJ56" i="40" s="1"/>
  <c r="BQ56" i="40" a="1"/>
  <c r="BQ56" i="40" s="1"/>
  <c r="BM56" i="40" a="1"/>
  <c r="BM56" i="40" s="1"/>
  <c r="BG56" i="40" a="1"/>
  <c r="BG56" i="40" s="1"/>
  <c r="BN56" i="40" a="1"/>
  <c r="BN56" i="40" s="1"/>
  <c r="BI56" i="40" a="1"/>
  <c r="BI56" i="40" s="1"/>
  <c r="CW57" i="40" a="1"/>
  <c r="CW57" i="40" s="1"/>
  <c r="BB57" i="40" a="1"/>
  <c r="BB57" i="40" s="1"/>
  <c r="U55" i="40"/>
  <c r="CG57" i="40"/>
  <c r="CQ57" i="40" a="1"/>
  <c r="CQ57" i="40" s="1"/>
  <c r="CS57" i="40" a="1"/>
  <c r="CS57" i="40" s="1"/>
  <c r="CJ57" i="40" a="1"/>
  <c r="CJ57" i="40" s="1"/>
  <c r="CT57" i="40" a="1"/>
  <c r="CT57" i="40" s="1"/>
  <c r="CN57" i="40" a="1"/>
  <c r="CN57" i="40" s="1"/>
  <c r="V55" i="40"/>
  <c r="V54" i="40"/>
  <c r="U54" i="40"/>
  <c r="AK54" i="40"/>
  <c r="BS57" i="40" a="1"/>
  <c r="BS57" i="40" s="1"/>
  <c r="BT57" i="40" s="1"/>
  <c r="AA57" i="40" s="1"/>
  <c r="G59" i="40"/>
  <c r="O59" i="40" s="1"/>
  <c r="T58" i="40"/>
  <c r="Q58" i="40"/>
  <c r="P58" i="40"/>
  <c r="N58" i="40"/>
  <c r="BP57" i="40"/>
  <c r="BV57" i="40"/>
  <c r="BY56" i="40" a="1"/>
  <c r="BY56" i="40" s="1"/>
  <c r="CD56" i="40"/>
  <c r="CC56" i="40" s="1" a="1"/>
  <c r="CC56" i="40" s="1"/>
  <c r="BZ56" i="40" a="1"/>
  <c r="BZ56" i="40" s="1"/>
  <c r="CA56" i="40" a="1"/>
  <c r="CA56" i="40" s="1"/>
  <c r="H59" i="40"/>
  <c r="E60" i="40" s="1" a="1"/>
  <c r="E60" i="40" s="1"/>
  <c r="F60" i="40" s="1" a="1"/>
  <c r="F60" i="40" s="1"/>
  <c r="AV57" i="40"/>
  <c r="N58" i="39"/>
  <c r="P58" i="39"/>
  <c r="Q58" i="39"/>
  <c r="G59" i="39"/>
  <c r="O59" i="39" s="1"/>
  <c r="H59" i="39"/>
  <c r="E60" i="39" s="1" a="1"/>
  <c r="E60" i="39" s="1"/>
  <c r="F60" i="39" s="1" a="1"/>
  <c r="F60" i="39" s="1"/>
  <c r="M48" i="35"/>
  <c r="I48" i="35" s="1"/>
  <c r="N47" i="35"/>
  <c r="P47" i="35"/>
  <c r="Q47" i="35"/>
  <c r="CL57" i="40" l="1"/>
  <c r="AE57" i="40" s="1"/>
  <c r="CZ57" i="40" a="1"/>
  <c r="CZ57" i="40" s="1"/>
  <c r="DC57" i="40" a="1"/>
  <c r="DC57" i="40" s="1"/>
  <c r="CY57" i="40" a="1"/>
  <c r="CY57" i="40" s="1"/>
  <c r="BX56" i="40"/>
  <c r="AB56" i="40" s="1"/>
  <c r="CR57" i="40"/>
  <c r="AG57" i="40" s="1"/>
  <c r="CX57" i="40"/>
  <c r="AI57" i="40" s="1"/>
  <c r="CO57" i="40"/>
  <c r="AF57" i="40" s="1"/>
  <c r="BE57" i="40"/>
  <c r="Y57" i="40" s="1"/>
  <c r="DD56" i="40"/>
  <c r="AJ56" i="40" s="1"/>
  <c r="CD57" i="40"/>
  <c r="CC57" i="40" s="1" a="1"/>
  <c r="CC57" i="40" s="1"/>
  <c r="BZ57" i="40" a="1"/>
  <c r="BZ57" i="40" s="1"/>
  <c r="CA57" i="40" a="1"/>
  <c r="CA57" i="40" s="1"/>
  <c r="BF57" i="40" a="1"/>
  <c r="BF57" i="40" s="1"/>
  <c r="BQ57" i="40" a="1"/>
  <c r="BQ57" i="40" s="1"/>
  <c r="BG57" i="40" a="1"/>
  <c r="BG57" i="40" s="1"/>
  <c r="BL57" i="40" a="1"/>
  <c r="BL57" i="40" s="1"/>
  <c r="BI57" i="40" a="1"/>
  <c r="BI57" i="40" s="1"/>
  <c r="BN57" i="40" a="1"/>
  <c r="BN57" i="40" s="1"/>
  <c r="BH57" i="40" a="1"/>
  <c r="BH57" i="40" s="1"/>
  <c r="BJ57" i="40" a="1"/>
  <c r="BJ57" i="40" s="1"/>
  <c r="BO57" i="40" a="1"/>
  <c r="BO57" i="40" s="1"/>
  <c r="BK57" i="40" a="1"/>
  <c r="BK57" i="40" s="1"/>
  <c r="BM57" i="40" a="1"/>
  <c r="BM57" i="40" s="1"/>
  <c r="M60" i="40"/>
  <c r="H60" i="40" s="1"/>
  <c r="E61" i="40" s="1" a="1"/>
  <c r="E61" i="40" s="1"/>
  <c r="F61" i="40" s="1" a="1"/>
  <c r="F61" i="40" s="1"/>
  <c r="BR56" i="40" a="1"/>
  <c r="BR56" i="40" s="1"/>
  <c r="Z56" i="40" s="1"/>
  <c r="CE56" i="40" a="1"/>
  <c r="CE56" i="40" s="1"/>
  <c r="AC56" i="40" s="1"/>
  <c r="CU57" i="40"/>
  <c r="AH57" i="40" s="1"/>
  <c r="BW57" i="40" a="1"/>
  <c r="BW57" i="40" s="1"/>
  <c r="BU57" i="40" a="1"/>
  <c r="BU57" i="40" s="1"/>
  <c r="AM58" i="40"/>
  <c r="P59" i="40"/>
  <c r="T59" i="40"/>
  <c r="Q59" i="40"/>
  <c r="N59" i="40"/>
  <c r="CH57" i="40" a="1"/>
  <c r="CH57" i="40" s="1"/>
  <c r="CF57" i="40" a="1"/>
  <c r="CF57" i="40" s="1"/>
  <c r="CI57" i="40" s="1"/>
  <c r="AD57" i="40" s="1"/>
  <c r="AT57" i="40" a="1"/>
  <c r="AT57" i="40" s="1"/>
  <c r="AU57" i="40" a="1"/>
  <c r="AU57" i="40" s="1"/>
  <c r="AW57" i="40" a="1"/>
  <c r="AW57" i="40" s="1"/>
  <c r="M60" i="39"/>
  <c r="I60" i="39" s="1"/>
  <c r="N59" i="39"/>
  <c r="P59" i="39"/>
  <c r="Q59" i="39"/>
  <c r="G48" i="35"/>
  <c r="O48" i="35" s="1"/>
  <c r="H48" i="35"/>
  <c r="E49" i="35" s="1" a="1"/>
  <c r="E49" i="35" s="1"/>
  <c r="F49" i="35" s="1" a="1"/>
  <c r="F49" i="35" s="1"/>
  <c r="DD57" i="40" l="1"/>
  <c r="AJ57" i="40" s="1"/>
  <c r="I60" i="40"/>
  <c r="AX57" i="40" a="1"/>
  <c r="AX57" i="40" s="1"/>
  <c r="W57" i="40" s="1"/>
  <c r="BX57" i="40"/>
  <c r="AB57" i="40" s="1"/>
  <c r="CE57" i="40" a="1"/>
  <c r="CE57" i="40" s="1"/>
  <c r="AC57" i="40" s="1"/>
  <c r="G60" i="40"/>
  <c r="O60" i="40" s="1"/>
  <c r="Q60" i="40" s="1"/>
  <c r="M61" i="40"/>
  <c r="I61" i="40" s="1"/>
  <c r="AK56" i="40"/>
  <c r="U56" i="40"/>
  <c r="V56" i="40"/>
  <c r="AM59" i="40"/>
  <c r="AN58" i="40"/>
  <c r="AO58" i="40" s="1"/>
  <c r="AP58" i="40" s="1"/>
  <c r="AQ58" i="40" s="1"/>
  <c r="AR58" i="40" s="1"/>
  <c r="AS58" i="40" s="1"/>
  <c r="CT58" i="40" s="1" a="1"/>
  <c r="CT58" i="40" s="1"/>
  <c r="BR57" i="40" a="1"/>
  <c r="BR57" i="40" s="1"/>
  <c r="Z57" i="40" s="1"/>
  <c r="G60" i="39"/>
  <c r="O60" i="39" s="1"/>
  <c r="N60" i="39" s="1"/>
  <c r="H60" i="39"/>
  <c r="E61" i="39" s="1" a="1"/>
  <c r="E61" i="39" s="1"/>
  <c r="F61" i="39" s="1" a="1"/>
  <c r="F61" i="39" s="1"/>
  <c r="M49" i="35"/>
  <c r="I49" i="35" s="1"/>
  <c r="Q48" i="35"/>
  <c r="N48" i="35"/>
  <c r="P48" i="35"/>
  <c r="P60" i="40" l="1"/>
  <c r="T60" i="40"/>
  <c r="AM60" i="40" s="1"/>
  <c r="AK57" i="40"/>
  <c r="N60" i="40"/>
  <c r="CB58" i="40"/>
  <c r="U57" i="40"/>
  <c r="V57" i="40"/>
  <c r="BP58" i="40"/>
  <c r="CK58" i="40" a="1"/>
  <c r="CK58" i="40" s="1"/>
  <c r="BS58" i="40" a="1"/>
  <c r="BS58" i="40" s="1"/>
  <c r="BT58" i="40" s="1"/>
  <c r="AA58" i="40" s="1"/>
  <c r="BV58" i="40"/>
  <c r="CG58" i="40"/>
  <c r="BD58" i="40"/>
  <c r="BC58" i="40" s="1" a="1"/>
  <c r="BC58" i="40" s="1"/>
  <c r="AV58" i="40"/>
  <c r="CN58" i="40" a="1"/>
  <c r="CN58" i="40" s="1"/>
  <c r="CQ58" i="40" a="1"/>
  <c r="CQ58" i="40" s="1"/>
  <c r="AN59" i="40"/>
  <c r="AO59" i="40" s="1"/>
  <c r="AP59" i="40" s="1"/>
  <c r="AQ59" i="40" s="1"/>
  <c r="AR59" i="40" s="1"/>
  <c r="AS59" i="40" s="1"/>
  <c r="CW59" i="40" s="1" a="1"/>
  <c r="CW59" i="40" s="1"/>
  <c r="CM58" i="40" a="1"/>
  <c r="CM58" i="40" s="1"/>
  <c r="CW58" i="40" a="1"/>
  <c r="CW58" i="40" s="1"/>
  <c r="AY58" i="40" a="1"/>
  <c r="AY58" i="40" s="1"/>
  <c r="BA58" i="40" s="1"/>
  <c r="X58" i="40" s="1"/>
  <c r="CV58" i="40" a="1"/>
  <c r="CV58" i="40" s="1"/>
  <c r="CP58" i="40" a="1"/>
  <c r="CP58" i="40" s="1"/>
  <c r="CJ58" i="40" a="1"/>
  <c r="CJ58" i="40" s="1"/>
  <c r="AZ58" i="40" a="1"/>
  <c r="AZ58" i="40" s="1"/>
  <c r="G61" i="40"/>
  <c r="O61" i="40" s="1"/>
  <c r="CS58" i="40" a="1"/>
  <c r="CS58" i="40" s="1"/>
  <c r="CU58" i="40" s="1"/>
  <c r="AH58" i="40" s="1"/>
  <c r="DB58" i="40"/>
  <c r="H61" i="40"/>
  <c r="E62" i="40" s="1" a="1"/>
  <c r="E62" i="40" s="1"/>
  <c r="F62" i="40" s="1" a="1"/>
  <c r="F62" i="40" s="1"/>
  <c r="BB58" i="40" a="1"/>
  <c r="BB58" i="40" s="1"/>
  <c r="P60" i="39"/>
  <c r="Q60" i="39"/>
  <c r="M61" i="39"/>
  <c r="H61" i="39" s="1"/>
  <c r="E62" i="39" s="1" a="1"/>
  <c r="E62" i="39" s="1"/>
  <c r="F62" i="39" s="1" a="1"/>
  <c r="F62" i="39" s="1"/>
  <c r="H49" i="35"/>
  <c r="E50" i="35" s="1" a="1"/>
  <c r="E50" i="35" s="1"/>
  <c r="F50" i="35" s="1" a="1"/>
  <c r="F50" i="35" s="1"/>
  <c r="G49" i="35"/>
  <c r="O49" i="35" s="1"/>
  <c r="CO58" i="40" l="1"/>
  <c r="AF58" i="40" s="1"/>
  <c r="DB59" i="40"/>
  <c r="DC59" i="40" s="1" a="1"/>
  <c r="DC59" i="40" s="1"/>
  <c r="CP59" i="40" a="1"/>
  <c r="CP59" i="40" s="1"/>
  <c r="CB59" i="40"/>
  <c r="CA59" i="40" s="1" a="1"/>
  <c r="CA59" i="40" s="1"/>
  <c r="CM59" i="40" a="1"/>
  <c r="CM59" i="40" s="1"/>
  <c r="AY59" i="40" a="1"/>
  <c r="AY59" i="40" s="1"/>
  <c r="CJ59" i="40" a="1"/>
  <c r="CJ59" i="40" s="1"/>
  <c r="BB59" i="40" a="1"/>
  <c r="BB59" i="40" s="1"/>
  <c r="BV59" i="40"/>
  <c r="AW58" i="40" a="1"/>
  <c r="AW58" i="40" s="1"/>
  <c r="AT58" i="40" a="1"/>
  <c r="AT58" i="40" s="1"/>
  <c r="AU58" i="40" a="1"/>
  <c r="AU58" i="40" s="1"/>
  <c r="BE58" i="40"/>
  <c r="Y58" i="40" s="1"/>
  <c r="CG59" i="40"/>
  <c r="M62" i="40"/>
  <c r="G62" i="40" s="1"/>
  <c r="O62" i="40" s="1"/>
  <c r="AZ59" i="40" a="1"/>
  <c r="AZ59" i="40" s="1"/>
  <c r="CS59" i="40" a="1"/>
  <c r="CS59" i="40" s="1"/>
  <c r="CZ58" i="40" a="1"/>
  <c r="CZ58" i="40" s="1"/>
  <c r="DA58" i="40" a="1"/>
  <c r="DA58" i="40" s="1"/>
  <c r="DC58" i="40" a="1"/>
  <c r="DC58" i="40" s="1"/>
  <c r="CY58" i="40" a="1"/>
  <c r="CY58" i="40" s="1"/>
  <c r="CV59" i="40" a="1"/>
  <c r="CV59" i="40" s="1"/>
  <c r="CX59" i="40" s="1"/>
  <c r="AI59" i="40" s="1"/>
  <c r="CF58" i="40" a="1"/>
  <c r="CF58" i="40" s="1"/>
  <c r="CH58" i="40" a="1"/>
  <c r="CH58" i="40" s="1"/>
  <c r="CQ59" i="40" a="1"/>
  <c r="CQ59" i="40" s="1"/>
  <c r="BD59" i="40"/>
  <c r="BC59" i="40" s="1" a="1"/>
  <c r="BC59" i="40" s="1"/>
  <c r="BP59" i="40"/>
  <c r="BW58" i="40" a="1"/>
  <c r="BW58" i="40" s="1"/>
  <c r="BU58" i="40" a="1"/>
  <c r="BU58" i="40" s="1"/>
  <c r="AN60" i="40"/>
  <c r="AO60" i="40" s="1"/>
  <c r="AP60" i="40" s="1"/>
  <c r="AQ60" i="40" s="1"/>
  <c r="AR60" i="40" s="1"/>
  <c r="AS60" i="40" s="1"/>
  <c r="AV60" i="40" s="1"/>
  <c r="CL58" i="40"/>
  <c r="AE58" i="40" s="1"/>
  <c r="BO58" i="40" a="1"/>
  <c r="BO58" i="40" s="1"/>
  <c r="BQ58" i="40" a="1"/>
  <c r="BQ58" i="40" s="1"/>
  <c r="BM58" i="40" a="1"/>
  <c r="BM58" i="40" s="1"/>
  <c r="BH58" i="40" a="1"/>
  <c r="BH58" i="40" s="1"/>
  <c r="BJ58" i="40" a="1"/>
  <c r="BJ58" i="40" s="1"/>
  <c r="BG58" i="40" a="1"/>
  <c r="BG58" i="40" s="1"/>
  <c r="BI58" i="40" a="1"/>
  <c r="BI58" i="40" s="1"/>
  <c r="BN58" i="40" a="1"/>
  <c r="BN58" i="40" s="1"/>
  <c r="BL58" i="40" a="1"/>
  <c r="BL58" i="40" s="1"/>
  <c r="BF58" i="40" a="1"/>
  <c r="BF58" i="40" s="1"/>
  <c r="BK58" i="40" a="1"/>
  <c r="BK58" i="40" s="1"/>
  <c r="CT59" i="40" a="1"/>
  <c r="CT59" i="40" s="1"/>
  <c r="N61" i="40"/>
  <c r="Q61" i="40"/>
  <c r="P61" i="40"/>
  <c r="T61" i="40"/>
  <c r="CR58" i="40"/>
  <c r="AG58" i="40" s="1"/>
  <c r="CX58" i="40"/>
  <c r="AI58" i="40" s="1"/>
  <c r="AV59" i="40"/>
  <c r="CK59" i="40" a="1"/>
  <c r="CK59" i="40" s="1"/>
  <c r="BS59" i="40" a="1"/>
  <c r="BS59" i="40" s="1"/>
  <c r="BT59" i="40" s="1"/>
  <c r="AA59" i="40" s="1"/>
  <c r="CN59" i="40" a="1"/>
  <c r="CN59" i="40" s="1"/>
  <c r="CO59" i="40" s="1"/>
  <c r="AF59" i="40" s="1"/>
  <c r="BY58" i="40" a="1"/>
  <c r="BY58" i="40" s="1"/>
  <c r="CD58" i="40"/>
  <c r="CC58" i="40" s="1" a="1"/>
  <c r="CC58" i="40" s="1"/>
  <c r="BZ58" i="40" a="1"/>
  <c r="BZ58" i="40" s="1"/>
  <c r="CA58" i="40" a="1"/>
  <c r="CA58" i="40" s="1"/>
  <c r="M62" i="39"/>
  <c r="H62" i="39" s="1"/>
  <c r="E63" i="39" s="1" a="1"/>
  <c r="E63" i="39" s="1"/>
  <c r="F63" i="39" s="1" a="1"/>
  <c r="F63" i="39" s="1"/>
  <c r="I61" i="39"/>
  <c r="G61" i="39"/>
  <c r="O61" i="39" s="1"/>
  <c r="M50" i="35"/>
  <c r="P49" i="35"/>
  <c r="Q49" i="35"/>
  <c r="N49" i="35"/>
  <c r="CD59" i="40" l="1"/>
  <c r="CC59" i="40" s="1" a="1"/>
  <c r="CC59" i="40" s="1"/>
  <c r="CY59" i="40" a="1"/>
  <c r="CY59" i="40" s="1"/>
  <c r="CL59" i="40"/>
  <c r="AE59" i="40" s="1"/>
  <c r="BE59" i="40"/>
  <c r="Y59" i="40" s="1"/>
  <c r="CR59" i="40"/>
  <c r="AG59" i="40" s="1"/>
  <c r="CZ59" i="40" a="1"/>
  <c r="CZ59" i="40" s="1"/>
  <c r="DA59" i="40" a="1"/>
  <c r="DA59" i="40" s="1"/>
  <c r="BX58" i="40"/>
  <c r="AB58" i="40" s="1"/>
  <c r="BZ59" i="40" a="1"/>
  <c r="BZ59" i="40" s="1"/>
  <c r="BY59" i="40" a="1"/>
  <c r="BY59" i="40" s="1"/>
  <c r="CI58" i="40"/>
  <c r="AD58" i="40" s="1"/>
  <c r="DD58" i="40"/>
  <c r="AJ58" i="40" s="1"/>
  <c r="AX58" i="40" a="1"/>
  <c r="AX58" i="40" s="1"/>
  <c r="W58" i="40" s="1"/>
  <c r="BA59" i="40"/>
  <c r="X59" i="40" s="1"/>
  <c r="CG60" i="40"/>
  <c r="CF60" i="40" s="1" a="1"/>
  <c r="CF60" i="40" s="1"/>
  <c r="H62" i="40"/>
  <c r="E63" i="40" s="1" a="1"/>
  <c r="E63" i="40" s="1"/>
  <c r="F63" i="40" s="1" a="1"/>
  <c r="F63" i="40" s="1"/>
  <c r="M63" i="40" s="1"/>
  <c r="I63" i="40" s="1"/>
  <c r="AU60" i="40" a="1"/>
  <c r="AU60" i="40" s="1"/>
  <c r="AW60" i="40" a="1"/>
  <c r="AW60" i="40" s="1"/>
  <c r="BR58" i="40" a="1"/>
  <c r="BR58" i="40" s="1"/>
  <c r="Z58" i="40" s="1"/>
  <c r="CN60" i="40" a="1"/>
  <c r="CN60" i="40" s="1"/>
  <c r="CV60" i="40" a="1"/>
  <c r="CV60" i="40" s="1"/>
  <c r="BD60" i="40"/>
  <c r="BC60" i="40" s="1" a="1"/>
  <c r="BC60" i="40" s="1"/>
  <c r="CS60" i="40" a="1"/>
  <c r="CS60" i="40" s="1"/>
  <c r="BU59" i="40" a="1"/>
  <c r="BU59" i="40" s="1"/>
  <c r="BW59" i="40" a="1"/>
  <c r="BW59" i="40" s="1"/>
  <c r="BP60" i="40"/>
  <c r="BM60" i="40" s="1" a="1"/>
  <c r="BM60" i="40" s="1"/>
  <c r="AY60" i="40" a="1"/>
  <c r="AY60" i="40" s="1"/>
  <c r="BB60" i="40" a="1"/>
  <c r="BB60" i="40" s="1"/>
  <c r="CM60" i="40" a="1"/>
  <c r="CM60" i="40" s="1"/>
  <c r="DB60" i="40"/>
  <c r="DC60" i="40" s="1" a="1"/>
  <c r="DC60" i="40" s="1"/>
  <c r="CB60" i="40"/>
  <c r="BY60" i="40" s="1" a="1"/>
  <c r="BY60" i="40" s="1"/>
  <c r="CP60" i="40" a="1"/>
  <c r="CP60" i="40" s="1"/>
  <c r="Q62" i="40"/>
  <c r="T62" i="40"/>
  <c r="P62" i="40"/>
  <c r="N62" i="40"/>
  <c r="CF59" i="40" a="1"/>
  <c r="CF59" i="40" s="1"/>
  <c r="CH59" i="40" a="1"/>
  <c r="CH59" i="40" s="1"/>
  <c r="CT60" i="40" a="1"/>
  <c r="CT60" i="40" s="1"/>
  <c r="CH60" i="40" a="1"/>
  <c r="CH60" i="40" s="1"/>
  <c r="AT60" i="40" a="1"/>
  <c r="AT60" i="40" s="1"/>
  <c r="AW59" i="40" a="1"/>
  <c r="AW59" i="40" s="1"/>
  <c r="AT59" i="40" a="1"/>
  <c r="AT59" i="40" s="1"/>
  <c r="AU59" i="40" a="1"/>
  <c r="AU59" i="40" s="1"/>
  <c r="CE58" i="40" a="1"/>
  <c r="CE58" i="40" s="1"/>
  <c r="AC58" i="40" s="1"/>
  <c r="AZ60" i="40" a="1"/>
  <c r="AZ60" i="40" s="1"/>
  <c r="BV60" i="40"/>
  <c r="BS60" i="40" a="1"/>
  <c r="BS60" i="40" s="1"/>
  <c r="BT60" i="40" s="1"/>
  <c r="AA60" i="40" s="1"/>
  <c r="CU59" i="40"/>
  <c r="AH59" i="40" s="1"/>
  <c r="BO59" i="40" a="1"/>
  <c r="BO59" i="40" s="1"/>
  <c r="BF59" i="40" a="1"/>
  <c r="BF59" i="40" s="1"/>
  <c r="BI59" i="40" a="1"/>
  <c r="BI59" i="40" s="1"/>
  <c r="BQ59" i="40" a="1"/>
  <c r="BQ59" i="40" s="1"/>
  <c r="BN59" i="40" a="1"/>
  <c r="BN59" i="40" s="1"/>
  <c r="BJ59" i="40" a="1"/>
  <c r="BJ59" i="40" s="1"/>
  <c r="BH59" i="40" a="1"/>
  <c r="BH59" i="40" s="1"/>
  <c r="BL59" i="40" a="1"/>
  <c r="BL59" i="40" s="1"/>
  <c r="BM59" i="40" a="1"/>
  <c r="BM59" i="40" s="1"/>
  <c r="BK59" i="40" a="1"/>
  <c r="BK59" i="40" s="1"/>
  <c r="BG59" i="40" a="1"/>
  <c r="BG59" i="40" s="1"/>
  <c r="I62" i="40"/>
  <c r="AM61" i="40"/>
  <c r="CQ60" i="40" a="1"/>
  <c r="CQ60" i="40" s="1"/>
  <c r="CJ60" i="40" a="1"/>
  <c r="CJ60" i="40" s="1"/>
  <c r="CK60" i="40" a="1"/>
  <c r="CK60" i="40" s="1"/>
  <c r="CW60" i="40" a="1"/>
  <c r="CW60" i="40" s="1"/>
  <c r="CX60" i="40" s="1"/>
  <c r="AI60" i="40" s="1"/>
  <c r="G62" i="39"/>
  <c r="O62" i="39" s="1"/>
  <c r="P62" i="39" s="1"/>
  <c r="M63" i="39"/>
  <c r="I63" i="39" s="1"/>
  <c r="N61" i="39"/>
  <c r="Q61" i="39"/>
  <c r="P61" i="39"/>
  <c r="N62" i="39"/>
  <c r="Q62" i="39"/>
  <c r="I62" i="39"/>
  <c r="H50" i="35"/>
  <c r="E51" i="35" s="1" a="1"/>
  <c r="E51" i="35" s="1"/>
  <c r="F51" i="35" s="1" a="1"/>
  <c r="F51" i="35" s="1"/>
  <c r="G50" i="35"/>
  <c r="O50" i="35" s="1"/>
  <c r="I50" i="35"/>
  <c r="DD59" i="40" l="1"/>
  <c r="AJ59" i="40" s="1"/>
  <c r="BN60" i="40" a="1"/>
  <c r="BN60" i="40" s="1"/>
  <c r="BG60" i="40" a="1"/>
  <c r="BG60" i="40" s="1"/>
  <c r="AX60" i="40" a="1"/>
  <c r="AX60" i="40" s="1"/>
  <c r="W60" i="40" s="1"/>
  <c r="BK60" i="40" a="1"/>
  <c r="BK60" i="40" s="1"/>
  <c r="BO60" i="40" a="1"/>
  <c r="BO60" i="40" s="1"/>
  <c r="AX59" i="40" a="1"/>
  <c r="AX59" i="40" s="1"/>
  <c r="W59" i="40" s="1"/>
  <c r="CU60" i="40"/>
  <c r="AH60" i="40" s="1"/>
  <c r="CI59" i="40"/>
  <c r="AD59" i="40" s="1"/>
  <c r="AK58" i="40"/>
  <c r="CE59" i="40" a="1"/>
  <c r="CE59" i="40" s="1"/>
  <c r="AC59" i="40" s="1"/>
  <c r="BE60" i="40"/>
  <c r="Y60" i="40" s="1"/>
  <c r="CR60" i="40"/>
  <c r="AG60" i="40" s="1"/>
  <c r="BX59" i="40"/>
  <c r="AB59" i="40" s="1"/>
  <c r="CY60" i="40" a="1"/>
  <c r="CY60" i="40" s="1"/>
  <c r="G63" i="40"/>
  <c r="O63" i="40" s="1"/>
  <c r="P63" i="40" s="1"/>
  <c r="BA60" i="40"/>
  <c r="X60" i="40" s="1"/>
  <c r="H63" i="40"/>
  <c r="E64" i="40" s="1" a="1"/>
  <c r="E64" i="40" s="1"/>
  <c r="F64" i="40" s="1" a="1"/>
  <c r="F64" i="40" s="1"/>
  <c r="M64" i="40" s="1"/>
  <c r="H64" i="40" s="1"/>
  <c r="E65" i="40" s="1" a="1"/>
  <c r="E65" i="40" s="1"/>
  <c r="F65" i="40" s="1" a="1"/>
  <c r="F65" i="40" s="1"/>
  <c r="V58" i="40"/>
  <c r="CI60" i="40"/>
  <c r="AD60" i="40" s="1"/>
  <c r="U58" i="40"/>
  <c r="CO60" i="40"/>
  <c r="AF60" i="40" s="1"/>
  <c r="CZ60" i="40" a="1"/>
  <c r="CZ60" i="40" s="1"/>
  <c r="DA60" i="40" a="1"/>
  <c r="DA60" i="40" s="1"/>
  <c r="BL60" i="40" a="1"/>
  <c r="BL60" i="40" s="1"/>
  <c r="BH60" i="40" a="1"/>
  <c r="BH60" i="40" s="1"/>
  <c r="BJ60" i="40" a="1"/>
  <c r="BJ60" i="40" s="1"/>
  <c r="BF60" i="40" a="1"/>
  <c r="BF60" i="40" s="1"/>
  <c r="BQ60" i="40" a="1"/>
  <c r="BQ60" i="40" s="1"/>
  <c r="BI60" i="40" a="1"/>
  <c r="BI60" i="40" s="1"/>
  <c r="BZ60" i="40" a="1"/>
  <c r="BZ60" i="40" s="1"/>
  <c r="CA60" i="40" a="1"/>
  <c r="CA60" i="40" s="1"/>
  <c r="CD60" i="40"/>
  <c r="CC60" i="40" s="1" a="1"/>
  <c r="CC60" i="40" s="1"/>
  <c r="BR59" i="40" a="1"/>
  <c r="BR59" i="40" s="1"/>
  <c r="Z59" i="40" s="1"/>
  <c r="CL60" i="40"/>
  <c r="AE60" i="40" s="1"/>
  <c r="AM62" i="40"/>
  <c r="AN61" i="40"/>
  <c r="AO61" i="40" s="1"/>
  <c r="AP61" i="40" s="1"/>
  <c r="AQ61" i="40" s="1"/>
  <c r="AR61" i="40" s="1"/>
  <c r="AS61" i="40" s="1"/>
  <c r="CP61" i="40" s="1" a="1"/>
  <c r="CP61" i="40" s="1"/>
  <c r="BW60" i="40" a="1"/>
  <c r="BW60" i="40" s="1"/>
  <c r="BU60" i="40" a="1"/>
  <c r="BU60" i="40" s="1"/>
  <c r="BX60" i="40" s="1"/>
  <c r="AB60" i="40" s="1"/>
  <c r="G63" i="39"/>
  <c r="O63" i="39" s="1"/>
  <c r="N63" i="39" s="1"/>
  <c r="H63" i="39"/>
  <c r="E64" i="39" s="1" a="1"/>
  <c r="E64" i="39" s="1"/>
  <c r="F64" i="39" s="1" a="1"/>
  <c r="F64" i="39" s="1"/>
  <c r="M64" i="39" s="1"/>
  <c r="I64" i="39" s="1"/>
  <c r="N50" i="35"/>
  <c r="Q50" i="35"/>
  <c r="P50" i="35"/>
  <c r="M51" i="35"/>
  <c r="I51" i="35" s="1"/>
  <c r="AK59" i="40" l="1"/>
  <c r="Q63" i="40"/>
  <c r="N63" i="40"/>
  <c r="T63" i="40"/>
  <c r="AM63" i="40" s="1"/>
  <c r="DD60" i="40"/>
  <c r="AJ60" i="40" s="1"/>
  <c r="BR60" i="40" a="1"/>
  <c r="BR60" i="40" s="1"/>
  <c r="Z60" i="40" s="1"/>
  <c r="CE60" i="40" a="1"/>
  <c r="CE60" i="40" s="1"/>
  <c r="AC60" i="40" s="1"/>
  <c r="M65" i="40"/>
  <c r="H65" i="40" s="1"/>
  <c r="E66" i="40" s="1" a="1"/>
  <c r="E66" i="40" s="1"/>
  <c r="F66" i="40" s="1" a="1"/>
  <c r="F66" i="40" s="1"/>
  <c r="CV61" i="40" a="1"/>
  <c r="CV61" i="40" s="1"/>
  <c r="CT61" i="40" a="1"/>
  <c r="CT61" i="40" s="1"/>
  <c r="AV61" i="40"/>
  <c r="BP61" i="40"/>
  <c r="CS61" i="40" a="1"/>
  <c r="CS61" i="40" s="1"/>
  <c r="CQ61" i="40" a="1"/>
  <c r="CQ61" i="40" s="1"/>
  <c r="CR61" i="40" s="1"/>
  <c r="AG61" i="40" s="1"/>
  <c r="CG61" i="40"/>
  <c r="I64" i="40"/>
  <c r="CB61" i="40"/>
  <c r="G64" i="40"/>
  <c r="O64" i="40" s="1"/>
  <c r="CM61" i="40" a="1"/>
  <c r="CM61" i="40" s="1"/>
  <c r="BB61" i="40" a="1"/>
  <c r="BB61" i="40" s="1"/>
  <c r="BS61" i="40" a="1"/>
  <c r="BS61" i="40" s="1"/>
  <c r="BT61" i="40" s="1"/>
  <c r="AA61" i="40" s="1"/>
  <c r="BD61" i="40"/>
  <c r="BC61" i="40" s="1" a="1"/>
  <c r="BC61" i="40" s="1"/>
  <c r="CW61" i="40" a="1"/>
  <c r="CW61" i="40" s="1"/>
  <c r="V59" i="40"/>
  <c r="DB61" i="40"/>
  <c r="U59" i="40"/>
  <c r="CJ61" i="40" a="1"/>
  <c r="CJ61" i="40" s="1"/>
  <c r="BV61" i="40"/>
  <c r="CN61" i="40" a="1"/>
  <c r="CN61" i="40" s="1"/>
  <c r="CK61" i="40" a="1"/>
  <c r="CK61" i="40" s="1"/>
  <c r="AY61" i="40" a="1"/>
  <c r="AY61" i="40" s="1"/>
  <c r="BA61" i="40" s="1"/>
  <c r="X61" i="40" s="1"/>
  <c r="AZ61" i="40" a="1"/>
  <c r="AZ61" i="40" s="1"/>
  <c r="AN62" i="40"/>
  <c r="AO62" i="40" s="1"/>
  <c r="AP62" i="40" s="1"/>
  <c r="AQ62" i="40" s="1"/>
  <c r="AR62" i="40" s="1"/>
  <c r="AS62" i="40" s="1"/>
  <c r="CJ62" i="40" s="1" a="1"/>
  <c r="CJ62" i="40" s="1"/>
  <c r="P63" i="39"/>
  <c r="Q63" i="39"/>
  <c r="G64" i="39"/>
  <c r="O64" i="39" s="1"/>
  <c r="N64" i="39" s="1"/>
  <c r="H64" i="39"/>
  <c r="E65" i="39" s="1" a="1"/>
  <c r="E65" i="39" s="1"/>
  <c r="F65" i="39" s="1" a="1"/>
  <c r="F65" i="39" s="1"/>
  <c r="M65" i="39" s="1"/>
  <c r="H51" i="35"/>
  <c r="E52" i="35" s="1" a="1"/>
  <c r="E52" i="35" s="1"/>
  <c r="F52" i="35" s="1" a="1"/>
  <c r="F52" i="35" s="1"/>
  <c r="M52" i="35" s="1"/>
  <c r="G52" i="35" s="1"/>
  <c r="O52" i="35" s="1"/>
  <c r="G51" i="35"/>
  <c r="O51" i="35" s="1"/>
  <c r="P51" i="35" s="1"/>
  <c r="AY62" i="40" l="1" a="1"/>
  <c r="AY62" i="40" s="1"/>
  <c r="BE61" i="40"/>
  <c r="Y61" i="40" s="1"/>
  <c r="BS62" i="40" a="1"/>
  <c r="BS62" i="40" s="1"/>
  <c r="BT62" i="40" s="1"/>
  <c r="AA62" i="40" s="1"/>
  <c r="CS62" i="40" a="1"/>
  <c r="CS62" i="40" s="1"/>
  <c r="BP62" i="40"/>
  <c r="BN62" i="40" s="1" a="1"/>
  <c r="BN62" i="40" s="1"/>
  <c r="CM62" i="40" a="1"/>
  <c r="CM62" i="40" s="1"/>
  <c r="CT62" i="40" a="1"/>
  <c r="CT62" i="40" s="1"/>
  <c r="AV62" i="40"/>
  <c r="AU62" i="40" s="1" a="1"/>
  <c r="AU62" i="40" s="1"/>
  <c r="CK62" i="40" a="1"/>
  <c r="CK62" i="40" s="1"/>
  <c r="CL62" i="40" s="1"/>
  <c r="AE62" i="40" s="1"/>
  <c r="AZ62" i="40" a="1"/>
  <c r="AZ62" i="40" s="1"/>
  <c r="CQ62" i="40" a="1"/>
  <c r="CQ62" i="40" s="1"/>
  <c r="CV62" i="40" a="1"/>
  <c r="CV62" i="40" s="1"/>
  <c r="BB62" i="40" a="1"/>
  <c r="BB62" i="40" s="1"/>
  <c r="CP62" i="40" a="1"/>
  <c r="CP62" i="40" s="1"/>
  <c r="CN62" i="40" a="1"/>
  <c r="CN62" i="40" s="1"/>
  <c r="BD62" i="40"/>
  <c r="BC62" i="40" s="1" a="1"/>
  <c r="BC62" i="40" s="1"/>
  <c r="G65" i="40"/>
  <c r="O65" i="40" s="1"/>
  <c r="N65" i="40" s="1"/>
  <c r="AK60" i="40"/>
  <c r="V60" i="40"/>
  <c r="U60" i="40"/>
  <c r="CX61" i="40"/>
  <c r="AI61" i="40" s="1"/>
  <c r="I65" i="40"/>
  <c r="M66" i="40"/>
  <c r="H66" i="40" s="1"/>
  <c r="E67" i="40" s="1" a="1"/>
  <c r="E67" i="40" s="1"/>
  <c r="F67" i="40" s="1" a="1"/>
  <c r="F67" i="40" s="1"/>
  <c r="CU61" i="40"/>
  <c r="AH61" i="40" s="1"/>
  <c r="CL61" i="40"/>
  <c r="AE61" i="40" s="1"/>
  <c r="BK61" i="40" a="1"/>
  <c r="BK61" i="40" s="1"/>
  <c r="BG61" i="40" a="1"/>
  <c r="BG61" i="40" s="1"/>
  <c r="BI61" i="40" a="1"/>
  <c r="BI61" i="40" s="1"/>
  <c r="BM61" i="40" a="1"/>
  <c r="BM61" i="40" s="1"/>
  <c r="BF61" i="40" a="1"/>
  <c r="BF61" i="40" s="1"/>
  <c r="BQ61" i="40" a="1"/>
  <c r="BQ61" i="40" s="1"/>
  <c r="BN61" i="40" a="1"/>
  <c r="BN61" i="40" s="1"/>
  <c r="BJ61" i="40" a="1"/>
  <c r="BJ61" i="40" s="1"/>
  <c r="BL61" i="40" a="1"/>
  <c r="BL61" i="40" s="1"/>
  <c r="BH61" i="40" a="1"/>
  <c r="BH61" i="40" s="1"/>
  <c r="BO61" i="40" a="1"/>
  <c r="BO61" i="40" s="1"/>
  <c r="BH62" i="40" a="1"/>
  <c r="BH62" i="40" s="1"/>
  <c r="BU61" i="40" a="1"/>
  <c r="BU61" i="40" s="1"/>
  <c r="BW61" i="40" a="1"/>
  <c r="BW61" i="40" s="1"/>
  <c r="BV62" i="40"/>
  <c r="DA61" i="40" a="1"/>
  <c r="DA61" i="40" s="1"/>
  <c r="CY61" i="40" a="1"/>
  <c r="CY61" i="40" s="1"/>
  <c r="DC61" i="40" a="1"/>
  <c r="DC61" i="40" s="1"/>
  <c r="CZ61" i="40" a="1"/>
  <c r="CZ61" i="40" s="1"/>
  <c r="AW61" i="40" a="1"/>
  <c r="AW61" i="40" s="1"/>
  <c r="AU61" i="40" a="1"/>
  <c r="AU61" i="40" s="1"/>
  <c r="AT61" i="40" a="1"/>
  <c r="AT61" i="40" s="1"/>
  <c r="BI62" i="40" a="1"/>
  <c r="BI62" i="40" s="1"/>
  <c r="CO61" i="40"/>
  <c r="AF61" i="40" s="1"/>
  <c r="AW62" i="40" a="1"/>
  <c r="AW62" i="40" s="1"/>
  <c r="CB62" i="40"/>
  <c r="BG62" i="40" a="1"/>
  <c r="BG62" i="40" s="1"/>
  <c r="CG62" i="40"/>
  <c r="CW62" i="40" a="1"/>
  <c r="CW62" i="40" s="1"/>
  <c r="CX62" i="40" s="1"/>
  <c r="AI62" i="40" s="1"/>
  <c r="BF62" i="40" a="1"/>
  <c r="BF62" i="40" s="1"/>
  <c r="P64" i="40"/>
  <c r="Q64" i="40"/>
  <c r="T64" i="40"/>
  <c r="N64" i="40"/>
  <c r="CH61" i="40" a="1"/>
  <c r="CH61" i="40" s="1"/>
  <c r="CF61" i="40" a="1"/>
  <c r="CF61" i="40" s="1"/>
  <c r="AN63" i="40"/>
  <c r="AO63" i="40" s="1"/>
  <c r="AP63" i="40" s="1"/>
  <c r="AQ63" i="40" s="1"/>
  <c r="AR63" i="40" s="1"/>
  <c r="AS63" i="40" s="1"/>
  <c r="BS63" i="40" s="1" a="1"/>
  <c r="BS63" i="40" s="1"/>
  <c r="BT63" i="40" s="1"/>
  <c r="AA63" i="40" s="1"/>
  <c r="DB62" i="40"/>
  <c r="BQ62" i="40" a="1"/>
  <c r="BQ62" i="40" s="1"/>
  <c r="BY61" i="40" a="1"/>
  <c r="BY61" i="40" s="1"/>
  <c r="CD61" i="40"/>
  <c r="CC61" i="40" s="1" a="1"/>
  <c r="CC61" i="40" s="1"/>
  <c r="CA61" i="40" a="1"/>
  <c r="CA61" i="40" s="1"/>
  <c r="BZ61" i="40" a="1"/>
  <c r="BZ61" i="40" s="1"/>
  <c r="H65" i="39"/>
  <c r="E66" i="39" s="1" a="1"/>
  <c r="E66" i="39" s="1"/>
  <c r="F66" i="39" s="1" a="1"/>
  <c r="F66" i="39" s="1"/>
  <c r="M66" i="39" s="1"/>
  <c r="H66" i="39" s="1"/>
  <c r="E67" i="39" s="1" a="1"/>
  <c r="E67" i="39" s="1"/>
  <c r="F67" i="39" s="1" a="1"/>
  <c r="F67" i="39" s="1"/>
  <c r="I65" i="39"/>
  <c r="G65" i="39"/>
  <c r="O65" i="39" s="1"/>
  <c r="Q65" i="39" s="1"/>
  <c r="P64" i="39"/>
  <c r="Q64" i="39"/>
  <c r="N51" i="35"/>
  <c r="Q51" i="35"/>
  <c r="H52" i="35"/>
  <c r="E53" i="35" s="1" a="1"/>
  <c r="E53" i="35" s="1"/>
  <c r="F53" i="35" s="1" a="1"/>
  <c r="F53" i="35" s="1"/>
  <c r="M53" i="35" s="1"/>
  <c r="I53" i="35" s="1"/>
  <c r="P52" i="35"/>
  <c r="Q52" i="35"/>
  <c r="N52" i="35"/>
  <c r="I52" i="35"/>
  <c r="CU62" i="40" l="1"/>
  <c r="AH62" i="40" s="1"/>
  <c r="BK62" i="40" a="1"/>
  <c r="BK62" i="40" s="1"/>
  <c r="BM62" i="40" a="1"/>
  <c r="BM62" i="40" s="1"/>
  <c r="BJ62" i="40" a="1"/>
  <c r="BJ62" i="40" s="1"/>
  <c r="AT62" i="40" a="1"/>
  <c r="AT62" i="40" s="1"/>
  <c r="AX62" i="40" s="1" a="1"/>
  <c r="AX62" i="40" s="1"/>
  <c r="W62" i="40" s="1"/>
  <c r="BL62" i="40" a="1"/>
  <c r="BL62" i="40" s="1"/>
  <c r="BO62" i="40" a="1"/>
  <c r="BO62" i="40" s="1"/>
  <c r="CI61" i="40"/>
  <c r="AD61" i="40" s="1"/>
  <c r="CO62" i="40"/>
  <c r="AF62" i="40" s="1"/>
  <c r="BA62" i="40"/>
  <c r="X62" i="40" s="1"/>
  <c r="AY63" i="40" a="1"/>
  <c r="AY63" i="40" s="1"/>
  <c r="CW63" i="40" a="1"/>
  <c r="CW63" i="40" s="1"/>
  <c r="T65" i="40"/>
  <c r="AM65" i="40" s="1"/>
  <c r="P65" i="40"/>
  <c r="Q65" i="40"/>
  <c r="CG63" i="40"/>
  <c r="CH63" i="40" s="1" a="1"/>
  <c r="CH63" i="40" s="1"/>
  <c r="CP63" i="40" a="1"/>
  <c r="CP63" i="40" s="1"/>
  <c r="BX61" i="40"/>
  <c r="AB61" i="40" s="1"/>
  <c r="CR62" i="40"/>
  <c r="AG62" i="40" s="1"/>
  <c r="AX61" i="40" a="1"/>
  <c r="AX61" i="40" s="1"/>
  <c r="W61" i="40" s="1"/>
  <c r="AZ63" i="40" a="1"/>
  <c r="AZ63" i="40" s="1"/>
  <c r="BE62" i="40"/>
  <c r="Y62" i="40" s="1"/>
  <c r="CT63" i="40" a="1"/>
  <c r="CT63" i="40" s="1"/>
  <c r="CS63" i="40" a="1"/>
  <c r="CS63" i="40" s="1"/>
  <c r="DB63" i="40"/>
  <c r="DA63" i="40" s="1" a="1"/>
  <c r="DA63" i="40" s="1"/>
  <c r="CN63" i="40" a="1"/>
  <c r="CN63" i="40" s="1"/>
  <c r="AV63" i="40"/>
  <c r="AT63" i="40" s="1" a="1"/>
  <c r="AT63" i="40" s="1"/>
  <c r="BP63" i="40"/>
  <c r="BO63" i="40" s="1" a="1"/>
  <c r="BO63" i="40" s="1"/>
  <c r="BV63" i="40"/>
  <c r="BB63" i="40" a="1"/>
  <c r="BB63" i="40" s="1"/>
  <c r="CQ63" i="40" a="1"/>
  <c r="CQ63" i="40" s="1"/>
  <c r="CJ63" i="40" a="1"/>
  <c r="CJ63" i="40" s="1"/>
  <c r="BD63" i="40"/>
  <c r="BC63" i="40" s="1" a="1"/>
  <c r="BC63" i="40" s="1"/>
  <c r="CV63" i="40" a="1"/>
  <c r="CV63" i="40" s="1"/>
  <c r="CK63" i="40" a="1"/>
  <c r="CK63" i="40" s="1"/>
  <c r="N65" i="39"/>
  <c r="M67" i="40"/>
  <c r="H67" i="40" s="1"/>
  <c r="E68" i="40" s="1" a="1"/>
  <c r="E68" i="40" s="1"/>
  <c r="F68" i="40" s="1" a="1"/>
  <c r="F68" i="40" s="1"/>
  <c r="BR61" i="40" a="1"/>
  <c r="BR61" i="40" s="1"/>
  <c r="Z61" i="40" s="1"/>
  <c r="CE61" i="40" a="1"/>
  <c r="CE61" i="40" s="1"/>
  <c r="AC61" i="40" s="1"/>
  <c r="BW62" i="40" a="1"/>
  <c r="BW62" i="40" s="1"/>
  <c r="BU62" i="40" a="1"/>
  <c r="BU62" i="40" s="1"/>
  <c r="BZ62" i="40" a="1"/>
  <c r="BZ62" i="40" s="1"/>
  <c r="BY62" i="40" a="1"/>
  <c r="BY62" i="40" s="1"/>
  <c r="CD62" i="40"/>
  <c r="CC62" i="40" s="1" a="1"/>
  <c r="CC62" i="40" s="1"/>
  <c r="CA62" i="40" a="1"/>
  <c r="CA62" i="40" s="1"/>
  <c r="DA62" i="40" a="1"/>
  <c r="DA62" i="40" s="1"/>
  <c r="DC62" i="40" a="1"/>
  <c r="DC62" i="40" s="1"/>
  <c r="CY62" i="40" a="1"/>
  <c r="CY62" i="40" s="1"/>
  <c r="CZ62" i="40" a="1"/>
  <c r="CZ62" i="40" s="1"/>
  <c r="CB63" i="40"/>
  <c r="CM63" i="40" a="1"/>
  <c r="CM63" i="40" s="1"/>
  <c r="CH62" i="40" a="1"/>
  <c r="CH62" i="40" s="1"/>
  <c r="CF62" i="40" a="1"/>
  <c r="CF62" i="40" s="1"/>
  <c r="CI62" i="40" s="1"/>
  <c r="AD62" i="40" s="1"/>
  <c r="I66" i="40"/>
  <c r="G66" i="40"/>
  <c r="O66" i="40" s="1"/>
  <c r="DD61" i="40"/>
  <c r="AJ61" i="40" s="1"/>
  <c r="P65" i="39"/>
  <c r="AM64" i="40"/>
  <c r="I66" i="39"/>
  <c r="G66" i="39"/>
  <c r="O66" i="39" s="1"/>
  <c r="N66" i="39" s="1"/>
  <c r="M67" i="39"/>
  <c r="I67" i="39" s="1"/>
  <c r="H53" i="35"/>
  <c r="E54" i="35" s="1" a="1"/>
  <c r="E54" i="35" s="1"/>
  <c r="F54" i="35" s="1" a="1"/>
  <c r="F54" i="35" s="1"/>
  <c r="M54" i="35" s="1"/>
  <c r="G54" i="35" s="1"/>
  <c r="O54" i="35" s="1"/>
  <c r="G53" i="35"/>
  <c r="O53" i="35" s="1"/>
  <c r="N53" i="35" s="1"/>
  <c r="CZ63" i="40" l="1" a="1"/>
  <c r="CZ63" i="40" s="1"/>
  <c r="BX62" i="40"/>
  <c r="AB62" i="40" s="1"/>
  <c r="BR62" i="40" a="1"/>
  <c r="BR62" i="40" s="1"/>
  <c r="Z62" i="40" s="1"/>
  <c r="CX63" i="40"/>
  <c r="AI63" i="40" s="1"/>
  <c r="CR63" i="40"/>
  <c r="AG63" i="40" s="1"/>
  <c r="CF63" i="40" a="1"/>
  <c r="CF63" i="40" s="1"/>
  <c r="CI63" i="40" s="1"/>
  <c r="AD63" i="40" s="1"/>
  <c r="BA63" i="40"/>
  <c r="X63" i="40" s="1"/>
  <c r="AW63" i="40" a="1"/>
  <c r="AW63" i="40" s="1"/>
  <c r="CO63" i="40"/>
  <c r="AF63" i="40" s="1"/>
  <c r="AU63" i="40" a="1"/>
  <c r="AU63" i="40" s="1"/>
  <c r="I67" i="40"/>
  <c r="CU63" i="40"/>
  <c r="AH63" i="40" s="1"/>
  <c r="CL63" i="40"/>
  <c r="AE63" i="40" s="1"/>
  <c r="BE63" i="40"/>
  <c r="Y63" i="40" s="1"/>
  <c r="DC63" i="40" a="1"/>
  <c r="DC63" i="40" s="1"/>
  <c r="CY63" i="40" a="1"/>
  <c r="CY63" i="40" s="1"/>
  <c r="DD62" i="40"/>
  <c r="AJ62" i="40" s="1"/>
  <c r="CE62" i="40" a="1"/>
  <c r="CE62" i="40" s="1"/>
  <c r="AC62" i="40" s="1"/>
  <c r="BU63" i="40" a="1"/>
  <c r="BU63" i="40" s="1"/>
  <c r="BW63" i="40" a="1"/>
  <c r="BW63" i="40" s="1"/>
  <c r="BQ63" i="40" a="1"/>
  <c r="BQ63" i="40" s="1"/>
  <c r="BG63" i="40" a="1"/>
  <c r="BG63" i="40" s="1"/>
  <c r="BH63" i="40" a="1"/>
  <c r="BH63" i="40" s="1"/>
  <c r="BM63" i="40" a="1"/>
  <c r="BM63" i="40" s="1"/>
  <c r="BL63" i="40" a="1"/>
  <c r="BL63" i="40" s="1"/>
  <c r="BJ63" i="40" a="1"/>
  <c r="BJ63" i="40" s="1"/>
  <c r="BF63" i="40" a="1"/>
  <c r="BF63" i="40" s="1"/>
  <c r="BK63" i="40" a="1"/>
  <c r="BK63" i="40" s="1"/>
  <c r="BN63" i="40" a="1"/>
  <c r="BN63" i="40" s="1"/>
  <c r="BI63" i="40" a="1"/>
  <c r="BI63" i="40" s="1"/>
  <c r="V61" i="40"/>
  <c r="M68" i="40"/>
  <c r="H68" i="40" s="1"/>
  <c r="E69" i="40" s="1" a="1"/>
  <c r="E69" i="40" s="1"/>
  <c r="F69" i="40" s="1" a="1"/>
  <c r="F69" i="40" s="1"/>
  <c r="AN65" i="40"/>
  <c r="AO65" i="40" s="1"/>
  <c r="AP65" i="40" s="1"/>
  <c r="AQ65" i="40" s="1"/>
  <c r="AR65" i="40" s="1"/>
  <c r="AS65" i="40" s="1"/>
  <c r="CN65" i="40" s="1" a="1"/>
  <c r="CN65" i="40" s="1"/>
  <c r="AN64" i="40"/>
  <c r="AO64" i="40" s="1"/>
  <c r="AP64" i="40" s="1"/>
  <c r="AQ64" i="40" s="1"/>
  <c r="AR64" i="40" s="1"/>
  <c r="AS64" i="40" s="1"/>
  <c r="BS64" i="40" s="1" a="1"/>
  <c r="BS64" i="40" s="1"/>
  <c r="BT64" i="40" s="1"/>
  <c r="AA64" i="40" s="1"/>
  <c r="AK61" i="40"/>
  <c r="BY63" i="40" a="1"/>
  <c r="BY63" i="40" s="1"/>
  <c r="CD63" i="40"/>
  <c r="CC63" i="40" s="1" a="1"/>
  <c r="CC63" i="40" s="1"/>
  <c r="CA63" i="40" a="1"/>
  <c r="CA63" i="40" s="1"/>
  <c r="BZ63" i="40" a="1"/>
  <c r="BZ63" i="40" s="1"/>
  <c r="U61" i="40"/>
  <c r="G67" i="40"/>
  <c r="O67" i="40" s="1"/>
  <c r="P66" i="40"/>
  <c r="N66" i="40"/>
  <c r="T66" i="40"/>
  <c r="Q66" i="40"/>
  <c r="Q66" i="39"/>
  <c r="P66" i="39"/>
  <c r="G67" i="39"/>
  <c r="O67" i="39" s="1"/>
  <c r="N67" i="39" s="1"/>
  <c r="H67" i="39"/>
  <c r="E68" i="39" s="1" a="1"/>
  <c r="E68" i="39" s="1"/>
  <c r="F68" i="39" s="1" a="1"/>
  <c r="F68" i="39" s="1"/>
  <c r="M68" i="39" s="1"/>
  <c r="I68" i="39" s="1"/>
  <c r="P53" i="35"/>
  <c r="Q53" i="35"/>
  <c r="H54" i="35"/>
  <c r="E55" i="35" s="1" a="1"/>
  <c r="E55" i="35" s="1"/>
  <c r="F55" i="35" s="1" a="1"/>
  <c r="F55" i="35" s="1"/>
  <c r="M55" i="35" s="1"/>
  <c r="G55" i="35" s="1"/>
  <c r="O55" i="35" s="1"/>
  <c r="N54" i="35"/>
  <c r="P54" i="35"/>
  <c r="Q54" i="35"/>
  <c r="I54" i="35"/>
  <c r="V62" i="40" l="1"/>
  <c r="DD63" i="40"/>
  <c r="AJ63" i="40" s="1"/>
  <c r="U62" i="40"/>
  <c r="AX63" i="40" a="1"/>
  <c r="AX63" i="40" s="1"/>
  <c r="W63" i="40" s="1"/>
  <c r="BX63" i="40"/>
  <c r="AB63" i="40" s="1"/>
  <c r="Q67" i="39"/>
  <c r="P67" i="39"/>
  <c r="AK62" i="40"/>
  <c r="I68" i="40"/>
  <c r="G68" i="40"/>
  <c r="O68" i="40" s="1"/>
  <c r="BD65" i="40"/>
  <c r="BC65" i="40" s="1" a="1"/>
  <c r="BC65" i="40" s="1"/>
  <c r="BV64" i="40"/>
  <c r="BU64" i="40" s="1" a="1"/>
  <c r="BU64" i="40" s="1"/>
  <c r="CQ64" i="40" a="1"/>
  <c r="CQ64" i="40" s="1"/>
  <c r="CT65" i="40" a="1"/>
  <c r="CT65" i="40" s="1"/>
  <c r="DB64" i="40"/>
  <c r="AY65" i="40" a="1"/>
  <c r="AY65" i="40" s="1"/>
  <c r="BD64" i="40"/>
  <c r="BC64" i="40" s="1" a="1"/>
  <c r="BC64" i="40" s="1"/>
  <c r="CP64" i="40" a="1"/>
  <c r="CP64" i="40" s="1"/>
  <c r="CG65" i="40"/>
  <c r="CB64" i="40"/>
  <c r="BZ64" i="40" s="1" a="1"/>
  <c r="BZ64" i="40" s="1"/>
  <c r="BB65" i="40" a="1"/>
  <c r="BB65" i="40" s="1"/>
  <c r="BR63" i="40" a="1"/>
  <c r="BR63" i="40" s="1"/>
  <c r="Z63" i="40" s="1"/>
  <c r="CN64" i="40" a="1"/>
  <c r="CN64" i="40" s="1"/>
  <c r="BS65" i="40" a="1"/>
  <c r="BS65" i="40" s="1"/>
  <c r="BT65" i="40" s="1"/>
  <c r="AA65" i="40" s="1"/>
  <c r="CP65" i="40" a="1"/>
  <c r="CP65" i="40" s="1"/>
  <c r="CQ65" i="40" a="1"/>
  <c r="CQ65" i="40" s="1"/>
  <c r="AZ64" i="40" a="1"/>
  <c r="AZ64" i="40" s="1"/>
  <c r="DB65" i="40"/>
  <c r="DC65" i="40" s="1" a="1"/>
  <c r="DC65" i="40" s="1"/>
  <c r="CW64" i="40" a="1"/>
  <c r="CW64" i="40" s="1"/>
  <c r="CK64" i="40" a="1"/>
  <c r="CK64" i="40" s="1"/>
  <c r="CT64" i="40" a="1"/>
  <c r="CT64" i="40" s="1"/>
  <c r="AY64" i="40" a="1"/>
  <c r="AY64" i="40" s="1"/>
  <c r="BA64" i="40" s="1"/>
  <c r="X64" i="40" s="1"/>
  <c r="CS64" i="40" a="1"/>
  <c r="CS64" i="40" s="1"/>
  <c r="BP64" i="40"/>
  <c r="CB65" i="40"/>
  <c r="AZ65" i="40" a="1"/>
  <c r="AZ65" i="40" s="1"/>
  <c r="CA64" i="40" a="1"/>
  <c r="CA64" i="40" s="1"/>
  <c r="CS65" i="40" a="1"/>
  <c r="CS65" i="40" s="1"/>
  <c r="CM65" i="40" a="1"/>
  <c r="CM65" i="40" s="1"/>
  <c r="CO65" i="40" s="1"/>
  <c r="AF65" i="40" s="1"/>
  <c r="CE63" i="40" a="1"/>
  <c r="CE63" i="40" s="1"/>
  <c r="AC63" i="40" s="1"/>
  <c r="BW64" i="40" a="1"/>
  <c r="BW64" i="40" s="1"/>
  <c r="CJ64" i="40" a="1"/>
  <c r="CJ64" i="40" s="1"/>
  <c r="CV65" i="40" a="1"/>
  <c r="CV65" i="40" s="1"/>
  <c r="AV65" i="40"/>
  <c r="T68" i="40"/>
  <c r="N68" i="40"/>
  <c r="Q68" i="40"/>
  <c r="P68" i="40"/>
  <c r="CY64" i="40" a="1"/>
  <c r="CY64" i="40" s="1"/>
  <c r="CM64" i="40" a="1"/>
  <c r="CM64" i="40" s="1"/>
  <c r="M69" i="40"/>
  <c r="I69" i="40" s="1"/>
  <c r="Q67" i="40"/>
  <c r="N67" i="40"/>
  <c r="T67" i="40"/>
  <c r="P67" i="40"/>
  <c r="BB64" i="40" a="1"/>
  <c r="BB64" i="40" s="1"/>
  <c r="AV64" i="40"/>
  <c r="BP65" i="40"/>
  <c r="AM66" i="40"/>
  <c r="CJ65" i="40" a="1"/>
  <c r="CJ65" i="40" s="1"/>
  <c r="CW65" i="40" a="1"/>
  <c r="CW65" i="40" s="1"/>
  <c r="BV65" i="40"/>
  <c r="CG64" i="40"/>
  <c r="CK65" i="40" a="1"/>
  <c r="CK65" i="40" s="1"/>
  <c r="CV64" i="40" a="1"/>
  <c r="CV64" i="40" s="1"/>
  <c r="CX64" i="40" s="1"/>
  <c r="AI64" i="40" s="1"/>
  <c r="G68" i="39"/>
  <c r="O68" i="39" s="1"/>
  <c r="P68" i="39" s="1"/>
  <c r="H68" i="39"/>
  <c r="E69" i="39" s="1" a="1"/>
  <c r="E69" i="39" s="1"/>
  <c r="F69" i="39" s="1" a="1"/>
  <c r="F69" i="39" s="1"/>
  <c r="Q55" i="35"/>
  <c r="P55" i="35"/>
  <c r="N55" i="35"/>
  <c r="I55" i="35"/>
  <c r="H55" i="35"/>
  <c r="E56" i="35" s="1" a="1"/>
  <c r="E56" i="35" s="1"/>
  <c r="F56" i="35" s="1" a="1"/>
  <c r="F56" i="35" s="1"/>
  <c r="CO64" i="40" l="1"/>
  <c r="AF64" i="40" s="1"/>
  <c r="CU64" i="40"/>
  <c r="AH64" i="40" s="1"/>
  <c r="BE65" i="40"/>
  <c r="Y65" i="40" s="1"/>
  <c r="CR64" i="40"/>
  <c r="AG64" i="40" s="1"/>
  <c r="BE64" i="40"/>
  <c r="Y64" i="40" s="1"/>
  <c r="DA65" i="40" a="1"/>
  <c r="DA65" i="40" s="1"/>
  <c r="CZ65" i="40" a="1"/>
  <c r="CZ65" i="40" s="1"/>
  <c r="CU65" i="40"/>
  <c r="AH65" i="40" s="1"/>
  <c r="BX64" i="40"/>
  <c r="AB64" i="40" s="1"/>
  <c r="CL64" i="40"/>
  <c r="AE64" i="40" s="1"/>
  <c r="BA65" i="40"/>
  <c r="X65" i="40" s="1"/>
  <c r="CR65" i="40"/>
  <c r="AG65" i="40" s="1"/>
  <c r="G69" i="40"/>
  <c r="O69" i="40" s="1"/>
  <c r="N69" i="40" s="1"/>
  <c r="CD64" i="40"/>
  <c r="CC64" i="40" s="1" a="1"/>
  <c r="CC64" i="40" s="1"/>
  <c r="BY64" i="40" a="1"/>
  <c r="BY64" i="40" s="1"/>
  <c r="CH65" i="40" a="1"/>
  <c r="CH65" i="40" s="1"/>
  <c r="CF65" i="40" a="1"/>
  <c r="CF65" i="40" s="1"/>
  <c r="CY65" i="40" a="1"/>
  <c r="CY65" i="40" s="1"/>
  <c r="CZ64" i="40" a="1"/>
  <c r="CZ64" i="40" s="1"/>
  <c r="DC64" i="40" a="1"/>
  <c r="DC64" i="40" s="1"/>
  <c r="DA64" i="40" a="1"/>
  <c r="DA64" i="40" s="1"/>
  <c r="BU65" i="40" a="1"/>
  <c r="BU65" i="40" s="1"/>
  <c r="BW65" i="40" a="1"/>
  <c r="BW65" i="40" s="1"/>
  <c r="H69" i="40"/>
  <c r="E70" i="40" s="1" a="1"/>
  <c r="E70" i="40" s="1"/>
  <c r="F70" i="40" s="1" a="1"/>
  <c r="F70" i="40" s="1"/>
  <c r="CL65" i="40"/>
  <c r="AE65" i="40" s="1"/>
  <c r="CA65" i="40" a="1"/>
  <c r="CA65" i="40" s="1"/>
  <c r="BZ65" i="40" a="1"/>
  <c r="BZ65" i="40" s="1"/>
  <c r="CD65" i="40"/>
  <c r="CC65" i="40" s="1" a="1"/>
  <c r="CC65" i="40" s="1"/>
  <c r="BY65" i="40" a="1"/>
  <c r="BY65" i="40" s="1"/>
  <c r="T69" i="40"/>
  <c r="BF64" i="40" a="1"/>
  <c r="BF64" i="40" s="1"/>
  <c r="BL64" i="40" a="1"/>
  <c r="BL64" i="40" s="1"/>
  <c r="BQ64" i="40" a="1"/>
  <c r="BQ64" i="40" s="1"/>
  <c r="BI64" i="40" a="1"/>
  <c r="BI64" i="40" s="1"/>
  <c r="BK64" i="40" a="1"/>
  <c r="BK64" i="40" s="1"/>
  <c r="BO64" i="40" a="1"/>
  <c r="BO64" i="40" s="1"/>
  <c r="BN64" i="40" a="1"/>
  <c r="BN64" i="40" s="1"/>
  <c r="BG64" i="40" a="1"/>
  <c r="BG64" i="40" s="1"/>
  <c r="BM64" i="40" a="1"/>
  <c r="BM64" i="40" s="1"/>
  <c r="BH64" i="40" a="1"/>
  <c r="BH64" i="40" s="1"/>
  <c r="BJ64" i="40" a="1"/>
  <c r="BJ64" i="40" s="1"/>
  <c r="BH65" i="40" a="1"/>
  <c r="BH65" i="40" s="1"/>
  <c r="BQ65" i="40" a="1"/>
  <c r="BQ65" i="40" s="1"/>
  <c r="BO65" i="40" a="1"/>
  <c r="BO65" i="40" s="1"/>
  <c r="BK65" i="40" a="1"/>
  <c r="BK65" i="40" s="1"/>
  <c r="BG65" i="40" a="1"/>
  <c r="BG65" i="40" s="1"/>
  <c r="BJ65" i="40" a="1"/>
  <c r="BJ65" i="40" s="1"/>
  <c r="BM65" i="40" a="1"/>
  <c r="BM65" i="40" s="1"/>
  <c r="BN65" i="40" a="1"/>
  <c r="BN65" i="40" s="1"/>
  <c r="BF65" i="40" a="1"/>
  <c r="BF65" i="40" s="1"/>
  <c r="BL65" i="40" a="1"/>
  <c r="BL65" i="40" s="1"/>
  <c r="BI65" i="40" a="1"/>
  <c r="BI65" i="40" s="1"/>
  <c r="AM68" i="40"/>
  <c r="V63" i="40"/>
  <c r="U63" i="40"/>
  <c r="AK63" i="40"/>
  <c r="CH64" i="40" a="1"/>
  <c r="CH64" i="40" s="1"/>
  <c r="CF64" i="40" a="1"/>
  <c r="CF64" i="40" s="1"/>
  <c r="AW65" i="40" a="1"/>
  <c r="AW65" i="40" s="1"/>
  <c r="AU65" i="40" a="1"/>
  <c r="AU65" i="40" s="1"/>
  <c r="AT65" i="40" a="1"/>
  <c r="AT65" i="40" s="1"/>
  <c r="AW64" i="40" a="1"/>
  <c r="AW64" i="40" s="1"/>
  <c r="AU64" i="40" a="1"/>
  <c r="AU64" i="40" s="1"/>
  <c r="AT64" i="40" a="1"/>
  <c r="AT64" i="40" s="1"/>
  <c r="AX64" i="40" s="1" a="1"/>
  <c r="AX64" i="40" s="1"/>
  <c r="W64" i="40" s="1"/>
  <c r="AM67" i="40"/>
  <c r="CX65" i="40"/>
  <c r="AI65" i="40" s="1"/>
  <c r="AN66" i="40"/>
  <c r="AO66" i="40" s="1"/>
  <c r="AP66" i="40" s="1"/>
  <c r="AQ66" i="40" s="1"/>
  <c r="AR66" i="40" s="1"/>
  <c r="AS66" i="40" s="1"/>
  <c r="CB66" i="40" s="1"/>
  <c r="N68" i="39"/>
  <c r="Q68" i="39"/>
  <c r="M69" i="39"/>
  <c r="H69" i="39" s="1"/>
  <c r="E70" i="39" s="1" a="1"/>
  <c r="E70" i="39" s="1"/>
  <c r="F70" i="39" s="1" a="1"/>
  <c r="F70" i="39" s="1"/>
  <c r="M56" i="35"/>
  <c r="I56" i="35" s="1"/>
  <c r="P69" i="40" l="1"/>
  <c r="Q69" i="40"/>
  <c r="AX65" i="40" a="1"/>
  <c r="AX65" i="40" s="1"/>
  <c r="W65" i="40" s="1"/>
  <c r="CE64" i="40" a="1"/>
  <c r="CE64" i="40" s="1"/>
  <c r="AC64" i="40" s="1"/>
  <c r="CI65" i="40"/>
  <c r="AD65" i="40" s="1"/>
  <c r="DD64" i="40"/>
  <c r="AJ64" i="40" s="1"/>
  <c r="DD65" i="40"/>
  <c r="AJ65" i="40" s="1"/>
  <c r="BX65" i="40"/>
  <c r="AB65" i="40" s="1"/>
  <c r="DB66" i="40"/>
  <c r="DA66" i="40" s="1" a="1"/>
  <c r="DA66" i="40" s="1"/>
  <c r="AY66" i="40" a="1"/>
  <c r="AY66" i="40" s="1"/>
  <c r="CS66" i="40" a="1"/>
  <c r="CS66" i="40" s="1"/>
  <c r="CV66" i="40" a="1"/>
  <c r="CV66" i="40" s="1"/>
  <c r="CE65" i="40" a="1"/>
  <c r="CE65" i="40" s="1"/>
  <c r="AC65" i="40" s="1"/>
  <c r="BV66" i="40"/>
  <c r="BU66" i="40" s="1" a="1"/>
  <c r="BU66" i="40" s="1"/>
  <c r="BP66" i="40"/>
  <c r="BM66" i="40" s="1" a="1"/>
  <c r="BM66" i="40" s="1"/>
  <c r="BD66" i="40"/>
  <c r="BC66" i="40" s="1" a="1"/>
  <c r="BC66" i="40" s="1"/>
  <c r="AZ66" i="40" a="1"/>
  <c r="AZ66" i="40" s="1"/>
  <c r="CP66" i="40" a="1"/>
  <c r="CP66" i="40" s="1"/>
  <c r="CJ66" i="40" a="1"/>
  <c r="CJ66" i="40" s="1"/>
  <c r="BY66" i="40" a="1"/>
  <c r="BY66" i="40" s="1"/>
  <c r="CD66" i="40"/>
  <c r="CC66" i="40" s="1" a="1"/>
  <c r="CC66" i="40" s="1"/>
  <c r="CA66" i="40" a="1"/>
  <c r="CA66" i="40" s="1"/>
  <c r="BZ66" i="40" a="1"/>
  <c r="BZ66" i="40" s="1"/>
  <c r="BR64" i="40" a="1"/>
  <c r="BR64" i="40" s="1"/>
  <c r="Z64" i="40" s="1"/>
  <c r="CY66" i="40" a="1"/>
  <c r="CY66" i="40" s="1"/>
  <c r="CG66" i="40"/>
  <c r="CI64" i="40"/>
  <c r="AD64" i="40" s="1"/>
  <c r="AM69" i="40"/>
  <c r="AN68" i="40"/>
  <c r="AO68" i="40" s="1"/>
  <c r="AP68" i="40" s="1"/>
  <c r="AQ68" i="40" s="1"/>
  <c r="AR68" i="40" s="1"/>
  <c r="AS68" i="40" s="1"/>
  <c r="CW68" i="40" s="1" a="1"/>
  <c r="CW68" i="40" s="1"/>
  <c r="CQ66" i="40" a="1"/>
  <c r="CQ66" i="40" s="1"/>
  <c r="BR65" i="40" a="1"/>
  <c r="BR65" i="40" s="1"/>
  <c r="Z65" i="40" s="1"/>
  <c r="BS66" i="40" a="1"/>
  <c r="BS66" i="40" s="1"/>
  <c r="BT66" i="40" s="1"/>
  <c r="AA66" i="40" s="1"/>
  <c r="AV66" i="40"/>
  <c r="BB66" i="40" a="1"/>
  <c r="BB66" i="40" s="1"/>
  <c r="CT66" i="40" a="1"/>
  <c r="CT66" i="40" s="1"/>
  <c r="CZ66" i="40" a="1"/>
  <c r="CZ66" i="40" s="1"/>
  <c r="CN66" i="40" a="1"/>
  <c r="CN66" i="40" s="1"/>
  <c r="CW66" i="40" a="1"/>
  <c r="CW66" i="40" s="1"/>
  <c r="M70" i="40"/>
  <c r="I70" i="40" s="1"/>
  <c r="AN67" i="40"/>
  <c r="AO67" i="40" s="1"/>
  <c r="AP67" i="40" s="1"/>
  <c r="AQ67" i="40" s="1"/>
  <c r="AR67" i="40" s="1"/>
  <c r="AS67" i="40" s="1"/>
  <c r="BP67" i="40" s="1"/>
  <c r="CK66" i="40" a="1"/>
  <c r="CK66" i="40" s="1"/>
  <c r="CM66" i="40" a="1"/>
  <c r="CM66" i="40" s="1"/>
  <c r="G69" i="39"/>
  <c r="O69" i="39" s="1"/>
  <c r="N69" i="39" s="1"/>
  <c r="M70" i="39"/>
  <c r="I70" i="39" s="1"/>
  <c r="I69" i="39"/>
  <c r="G56" i="35"/>
  <c r="O56" i="35" s="1"/>
  <c r="Q56" i="35" s="1"/>
  <c r="H56" i="35"/>
  <c r="E57" i="35" s="1" a="1"/>
  <c r="E57" i="35" s="1"/>
  <c r="F57" i="35" s="1" a="1"/>
  <c r="F57" i="35" s="1"/>
  <c r="BK66" i="40" l="1" a="1"/>
  <c r="BK66" i="40" s="1"/>
  <c r="CU66" i="40"/>
  <c r="AH66" i="40" s="1"/>
  <c r="DC66" i="40" a="1"/>
  <c r="DC66" i="40" s="1"/>
  <c r="CR66" i="40"/>
  <c r="AG66" i="40" s="1"/>
  <c r="V65" i="40"/>
  <c r="CX66" i="40"/>
  <c r="AI66" i="40" s="1"/>
  <c r="AK64" i="40"/>
  <c r="BE66" i="40"/>
  <c r="Y66" i="40" s="1"/>
  <c r="CL66" i="40"/>
  <c r="AE66" i="40" s="1"/>
  <c r="BA66" i="40"/>
  <c r="X66" i="40" s="1"/>
  <c r="AZ67" i="40" a="1"/>
  <c r="AZ67" i="40" s="1"/>
  <c r="CW67" i="40" a="1"/>
  <c r="CW67" i="40" s="1"/>
  <c r="DB67" i="40"/>
  <c r="CY67" i="40" s="1" a="1"/>
  <c r="CY67" i="40" s="1"/>
  <c r="CB67" i="40"/>
  <c r="BY67" i="40" s="1" a="1"/>
  <c r="BY67" i="40" s="1"/>
  <c r="V64" i="40"/>
  <c r="BW66" i="40" a="1"/>
  <c r="BW66" i="40" s="1"/>
  <c r="BX66" i="40" s="1"/>
  <c r="AB66" i="40" s="1"/>
  <c r="U64" i="40"/>
  <c r="CQ67" i="40" a="1"/>
  <c r="CQ67" i="40" s="1"/>
  <c r="CO66" i="40"/>
  <c r="AF66" i="40" s="1"/>
  <c r="CS67" i="40" a="1"/>
  <c r="CS67" i="40" s="1"/>
  <c r="BD68" i="40"/>
  <c r="BC68" i="40" s="1" a="1"/>
  <c r="BC68" i="40" s="1"/>
  <c r="AV67" i="40"/>
  <c r="AW67" i="40" s="1" a="1"/>
  <c r="AW67" i="40" s="1"/>
  <c r="CJ67" i="40" a="1"/>
  <c r="CJ67" i="40" s="1"/>
  <c r="BN66" i="40" a="1"/>
  <c r="BN66" i="40" s="1"/>
  <c r="BQ66" i="40" a="1"/>
  <c r="BQ66" i="40" s="1"/>
  <c r="BH66" i="40" a="1"/>
  <c r="BH66" i="40" s="1"/>
  <c r="BO66" i="40" a="1"/>
  <c r="BO66" i="40" s="1"/>
  <c r="BF66" i="40" a="1"/>
  <c r="BF66" i="40" s="1"/>
  <c r="BG66" i="40" a="1"/>
  <c r="BG66" i="40" s="1"/>
  <c r="BL66" i="40" a="1"/>
  <c r="BL66" i="40" s="1"/>
  <c r="BJ66" i="40" a="1"/>
  <c r="BJ66" i="40" s="1"/>
  <c r="BI66" i="40" a="1"/>
  <c r="BI66" i="40" s="1"/>
  <c r="BN67" i="40" a="1"/>
  <c r="BN67" i="40" s="1"/>
  <c r="BJ67" i="40" a="1"/>
  <c r="BJ67" i="40" s="1"/>
  <c r="BK67" i="40" a="1"/>
  <c r="BK67" i="40" s="1"/>
  <c r="BF67" i="40" a="1"/>
  <c r="BF67" i="40" s="1"/>
  <c r="BH67" i="40" a="1"/>
  <c r="BH67" i="40" s="1"/>
  <c r="BI67" i="40" a="1"/>
  <c r="BI67" i="40" s="1"/>
  <c r="BQ67" i="40" a="1"/>
  <c r="BQ67" i="40" s="1"/>
  <c r="BO67" i="40" a="1"/>
  <c r="BO67" i="40" s="1"/>
  <c r="BG67" i="40" a="1"/>
  <c r="BG67" i="40" s="1"/>
  <c r="BM67" i="40" a="1"/>
  <c r="BM67" i="40" s="1"/>
  <c r="BL67" i="40" a="1"/>
  <c r="BL67" i="40" s="1"/>
  <c r="CT68" i="40" a="1"/>
  <c r="CT68" i="40" s="1"/>
  <c r="CV68" i="40" a="1"/>
  <c r="CV68" i="40" s="1"/>
  <c r="CX68" i="40" s="1"/>
  <c r="AI68" i="40" s="1"/>
  <c r="AV68" i="40"/>
  <c r="CK67" i="40" a="1"/>
  <c r="CK67" i="40" s="1"/>
  <c r="AW66" i="40" a="1"/>
  <c r="AW66" i="40" s="1"/>
  <c r="AU66" i="40" a="1"/>
  <c r="AU66" i="40" s="1"/>
  <c r="AT66" i="40" a="1"/>
  <c r="AT66" i="40" s="1"/>
  <c r="AZ68" i="40" a="1"/>
  <c r="AZ68" i="40" s="1"/>
  <c r="AK65" i="40"/>
  <c r="AN69" i="40"/>
  <c r="AO69" i="40" s="1"/>
  <c r="AP69" i="40" s="1"/>
  <c r="AQ69" i="40" s="1"/>
  <c r="AR69" i="40" s="1"/>
  <c r="AS69" i="40" s="1"/>
  <c r="CN69" i="40" s="1" a="1"/>
  <c r="CN69" i="40" s="1"/>
  <c r="CP68" i="40" a="1"/>
  <c r="CP68" i="40" s="1"/>
  <c r="U65" i="40"/>
  <c r="CV67" i="40" a="1"/>
  <c r="CV67" i="40" s="1"/>
  <c r="CX67" i="40" s="1"/>
  <c r="AI67" i="40" s="1"/>
  <c r="BD67" i="40"/>
  <c r="BC67" i="40" s="1" a="1"/>
  <c r="BC67" i="40" s="1"/>
  <c r="CG67" i="40"/>
  <c r="CG68" i="40"/>
  <c r="BS67" i="40" a="1"/>
  <c r="BS67" i="40" s="1"/>
  <c r="BT67" i="40" s="1"/>
  <c r="AA67" i="40" s="1"/>
  <c r="BV67" i="40"/>
  <c r="AY67" i="40" a="1"/>
  <c r="AY67" i="40" s="1"/>
  <c r="BS68" i="40" a="1"/>
  <c r="BS68" i="40" s="1"/>
  <c r="BT68" i="40" s="1"/>
  <c r="AA68" i="40" s="1"/>
  <c r="CQ68" i="40" a="1"/>
  <c r="CQ68" i="40" s="1"/>
  <c r="CZ67" i="40" a="1"/>
  <c r="CZ67" i="40" s="1"/>
  <c r="CM67" i="40" a="1"/>
  <c r="CM67" i="40" s="1"/>
  <c r="CS68" i="40" a="1"/>
  <c r="CS68" i="40" s="1"/>
  <c r="BB68" i="40" a="1"/>
  <c r="BB68" i="40" s="1"/>
  <c r="DC67" i="40" a="1"/>
  <c r="DC67" i="40" s="1"/>
  <c r="CT67" i="40" a="1"/>
  <c r="CT67" i="40" s="1"/>
  <c r="BP68" i="40"/>
  <c r="DB68" i="40"/>
  <c r="BB67" i="40" a="1"/>
  <c r="BB67" i="40" s="1"/>
  <c r="CN67" i="40" a="1"/>
  <c r="CN67" i="40" s="1"/>
  <c r="H70" i="40"/>
  <c r="E71" i="40" s="1" a="1"/>
  <c r="E71" i="40" s="1"/>
  <c r="F71" i="40" s="1" a="1"/>
  <c r="F71" i="40" s="1"/>
  <c r="BV68" i="40"/>
  <c r="AY68" i="40" a="1"/>
  <c r="AY68" i="40" s="1"/>
  <c r="CD67" i="40"/>
  <c r="CC67" i="40" s="1" a="1"/>
  <c r="CC67" i="40" s="1"/>
  <c r="CP67" i="40" a="1"/>
  <c r="CP67" i="40" s="1"/>
  <c r="G70" i="40"/>
  <c r="O70" i="40" s="1"/>
  <c r="CH66" i="40" a="1"/>
  <c r="CH66" i="40" s="1"/>
  <c r="CF66" i="40" a="1"/>
  <c r="CF66" i="40" s="1"/>
  <c r="BZ67" i="40" a="1"/>
  <c r="BZ67" i="40" s="1"/>
  <c r="DA67" i="40" a="1"/>
  <c r="DA67" i="40" s="1"/>
  <c r="CK68" i="40" a="1"/>
  <c r="CK68" i="40" s="1"/>
  <c r="CB68" i="40"/>
  <c r="CN68" i="40" a="1"/>
  <c r="CN68" i="40" s="1"/>
  <c r="CJ68" i="40" a="1"/>
  <c r="CJ68" i="40" s="1"/>
  <c r="CM68" i="40" a="1"/>
  <c r="CM68" i="40" s="1"/>
  <c r="CE66" i="40" a="1"/>
  <c r="CE66" i="40" s="1"/>
  <c r="AC66" i="40" s="1"/>
  <c r="DD66" i="40"/>
  <c r="AJ66" i="40" s="1"/>
  <c r="Q69" i="39"/>
  <c r="P69" i="39"/>
  <c r="G70" i="39"/>
  <c r="O70" i="39" s="1"/>
  <c r="N70" i="39" s="1"/>
  <c r="H70" i="39"/>
  <c r="E71" i="39" s="1" a="1"/>
  <c r="E71" i="39" s="1"/>
  <c r="F71" i="39" s="1" a="1"/>
  <c r="F71" i="39" s="1"/>
  <c r="M71" i="39" s="1"/>
  <c r="I71" i="39" s="1"/>
  <c r="N56" i="35"/>
  <c r="P56" i="35"/>
  <c r="M57" i="35"/>
  <c r="I57" i="35" s="1"/>
  <c r="CR67" i="40" l="1"/>
  <c r="AG67" i="40" s="1"/>
  <c r="CU67" i="40"/>
  <c r="AH67" i="40" s="1"/>
  <c r="BA67" i="40"/>
  <c r="X67" i="40" s="1"/>
  <c r="BE68" i="40"/>
  <c r="Y68" i="40" s="1"/>
  <c r="CA67" i="40" a="1"/>
  <c r="CA67" i="40" s="1"/>
  <c r="CE67" i="40" s="1" a="1"/>
  <c r="CE67" i="40" s="1"/>
  <c r="AC67" i="40" s="1"/>
  <c r="AY69" i="40" a="1"/>
  <c r="AY69" i="40" s="1"/>
  <c r="AU67" i="40" a="1"/>
  <c r="AU67" i="40" s="1"/>
  <c r="CL67" i="40"/>
  <c r="AE67" i="40" s="1"/>
  <c r="AT67" i="40" a="1"/>
  <c r="AT67" i="40" s="1"/>
  <c r="CV69" i="40" a="1"/>
  <c r="CV69" i="40" s="1"/>
  <c r="CT69" i="40" a="1"/>
  <c r="CT69" i="40" s="1"/>
  <c r="CI66" i="40"/>
  <c r="AD66" i="40" s="1"/>
  <c r="CG69" i="40"/>
  <c r="CF69" i="40" s="1" a="1"/>
  <c r="CF69" i="40" s="1"/>
  <c r="CL68" i="40"/>
  <c r="AE68" i="40" s="1"/>
  <c r="Q70" i="39"/>
  <c r="BE67" i="40"/>
  <c r="Y67" i="40" s="1"/>
  <c r="BR66" i="40" a="1"/>
  <c r="BR66" i="40" s="1"/>
  <c r="Z66" i="40" s="1"/>
  <c r="CO68" i="40"/>
  <c r="AF68" i="40" s="1"/>
  <c r="P70" i="39"/>
  <c r="DD67" i="40"/>
  <c r="AJ67" i="40" s="1"/>
  <c r="AX66" i="40" a="1"/>
  <c r="AX66" i="40" s="1"/>
  <c r="W66" i="40" s="1"/>
  <c r="CF67" i="40" a="1"/>
  <c r="CF67" i="40" s="1"/>
  <c r="CI67" i="40" s="1"/>
  <c r="AD67" i="40" s="1"/>
  <c r="CH67" i="40" a="1"/>
  <c r="CH67" i="40" s="1"/>
  <c r="AV69" i="40"/>
  <c r="CY68" i="40" a="1"/>
  <c r="CY68" i="40" s="1"/>
  <c r="DC68" i="40" a="1"/>
  <c r="DC68" i="40" s="1"/>
  <c r="DA68" i="40" a="1"/>
  <c r="DA68" i="40" s="1"/>
  <c r="CZ68" i="40" a="1"/>
  <c r="CZ68" i="40" s="1"/>
  <c r="CS69" i="40" a="1"/>
  <c r="CS69" i="40" s="1"/>
  <c r="CB69" i="40"/>
  <c r="BL68" i="40" a="1"/>
  <c r="BL68" i="40" s="1"/>
  <c r="BM68" i="40" a="1"/>
  <c r="BM68" i="40" s="1"/>
  <c r="BG68" i="40" a="1"/>
  <c r="BG68" i="40" s="1"/>
  <c r="BI68" i="40" a="1"/>
  <c r="BI68" i="40" s="1"/>
  <c r="BQ68" i="40" a="1"/>
  <c r="BQ68" i="40" s="1"/>
  <c r="BO68" i="40" a="1"/>
  <c r="BO68" i="40" s="1"/>
  <c r="BJ68" i="40" a="1"/>
  <c r="BJ68" i="40" s="1"/>
  <c r="BN68" i="40" a="1"/>
  <c r="BN68" i="40" s="1"/>
  <c r="BK68" i="40" a="1"/>
  <c r="BK68" i="40" s="1"/>
  <c r="BF68" i="40" a="1"/>
  <c r="BF68" i="40" s="1"/>
  <c r="BH68" i="40" a="1"/>
  <c r="BH68" i="40" s="1"/>
  <c r="CM69" i="40" a="1"/>
  <c r="CM69" i="40" s="1"/>
  <c r="CO69" i="40" s="1"/>
  <c r="AF69" i="40" s="1"/>
  <c r="CW69" i="40" a="1"/>
  <c r="CW69" i="40" s="1"/>
  <c r="CX69" i="40" s="1"/>
  <c r="AI69" i="40" s="1"/>
  <c r="BY68" i="40" a="1"/>
  <c r="BY68" i="40" s="1"/>
  <c r="CA68" i="40" a="1"/>
  <c r="CA68" i="40" s="1"/>
  <c r="CD68" i="40"/>
  <c r="CC68" i="40" s="1" a="1"/>
  <c r="CC68" i="40" s="1"/>
  <c r="BZ68" i="40" a="1"/>
  <c r="BZ68" i="40" s="1"/>
  <c r="BS69" i="40" a="1"/>
  <c r="BS69" i="40" s="1"/>
  <c r="BT69" i="40" s="1"/>
  <c r="AA69" i="40" s="1"/>
  <c r="CK69" i="40" a="1"/>
  <c r="CK69" i="40" s="1"/>
  <c r="CR68" i="40"/>
  <c r="AG68" i="40" s="1"/>
  <c r="BD69" i="40"/>
  <c r="BC69" i="40" s="1" a="1"/>
  <c r="BC69" i="40" s="1"/>
  <c r="CJ69" i="40" a="1"/>
  <c r="CJ69" i="40" s="1"/>
  <c r="AZ69" i="40" a="1"/>
  <c r="AZ69" i="40" s="1"/>
  <c r="CU68" i="40"/>
  <c r="AH68" i="40" s="1"/>
  <c r="AX67" i="40" a="1"/>
  <c r="AX67" i="40" s="1"/>
  <c r="W67" i="40" s="1"/>
  <c r="DB69" i="40"/>
  <c r="CH69" i="40" a="1"/>
  <c r="CH69" i="40" s="1"/>
  <c r="CO67" i="40"/>
  <c r="AF67" i="40" s="1"/>
  <c r="Q70" i="40"/>
  <c r="P70" i="40"/>
  <c r="T70" i="40"/>
  <c r="N70" i="40"/>
  <c r="BR67" i="40" a="1"/>
  <c r="BR67" i="40" s="1"/>
  <c r="Z67" i="40" s="1"/>
  <c r="BB69" i="40" a="1"/>
  <c r="BB69" i="40" s="1"/>
  <c r="BE69" i="40" s="1"/>
  <c r="Y69" i="40" s="1"/>
  <c r="BV69" i="40"/>
  <c r="BA68" i="40"/>
  <c r="X68" i="40" s="1"/>
  <c r="BU67" i="40" a="1"/>
  <c r="BU67" i="40" s="1"/>
  <c r="BW67" i="40" a="1"/>
  <c r="BW67" i="40" s="1"/>
  <c r="CP69" i="40" a="1"/>
  <c r="CP69" i="40" s="1"/>
  <c r="M71" i="40"/>
  <c r="I71" i="40" s="1"/>
  <c r="CF68" i="40" a="1"/>
  <c r="CF68" i="40" s="1"/>
  <c r="CH68" i="40" a="1"/>
  <c r="CH68" i="40" s="1"/>
  <c r="BW68" i="40" a="1"/>
  <c r="BW68" i="40" s="1"/>
  <c r="BU68" i="40" a="1"/>
  <c r="BU68" i="40" s="1"/>
  <c r="BP69" i="40"/>
  <c r="CQ69" i="40" a="1"/>
  <c r="CQ69" i="40" s="1"/>
  <c r="AW68" i="40" a="1"/>
  <c r="AW68" i="40" s="1"/>
  <c r="AU68" i="40" a="1"/>
  <c r="AU68" i="40" s="1"/>
  <c r="AT68" i="40" a="1"/>
  <c r="AT68" i="40" s="1"/>
  <c r="H71" i="39"/>
  <c r="E72" i="39" s="1" a="1"/>
  <c r="E72" i="39" s="1"/>
  <c r="F72" i="39" s="1" a="1"/>
  <c r="F72" i="39" s="1"/>
  <c r="M72" i="39" s="1"/>
  <c r="H72" i="39" s="1"/>
  <c r="E73" i="39" s="1" a="1"/>
  <c r="E73" i="39" s="1"/>
  <c r="F73" i="39" s="1" a="1"/>
  <c r="F73" i="39" s="1"/>
  <c r="G71" i="39"/>
  <c r="O71" i="39" s="1"/>
  <c r="H57" i="35"/>
  <c r="E58" i="35" s="1" a="1"/>
  <c r="E58" i="35" s="1"/>
  <c r="F58" i="35" s="1" a="1"/>
  <c r="F58" i="35" s="1"/>
  <c r="G57" i="35"/>
  <c r="O57" i="35" s="1"/>
  <c r="CI69" i="40" l="1"/>
  <c r="AD69" i="40" s="1"/>
  <c r="V66" i="40"/>
  <c r="BX68" i="40"/>
  <c r="AB68" i="40" s="1"/>
  <c r="AK66" i="40"/>
  <c r="U66" i="40"/>
  <c r="CI68" i="40"/>
  <c r="AD68" i="40" s="1"/>
  <c r="BA69" i="40"/>
  <c r="X69" i="40" s="1"/>
  <c r="CU69" i="40"/>
  <c r="AH69" i="40" s="1"/>
  <c r="DD68" i="40"/>
  <c r="AJ68" i="40" s="1"/>
  <c r="CR69" i="40"/>
  <c r="AG69" i="40" s="1"/>
  <c r="AX68" i="40" a="1"/>
  <c r="AX68" i="40" s="1"/>
  <c r="W68" i="40" s="1"/>
  <c r="BO69" i="40" a="1"/>
  <c r="BO69" i="40" s="1"/>
  <c r="BK69" i="40" a="1"/>
  <c r="BK69" i="40" s="1"/>
  <c r="BH69" i="40" a="1"/>
  <c r="BH69" i="40" s="1"/>
  <c r="BG69" i="40" a="1"/>
  <c r="BG69" i="40" s="1"/>
  <c r="BL69" i="40" a="1"/>
  <c r="BL69" i="40" s="1"/>
  <c r="BI69" i="40" a="1"/>
  <c r="BI69" i="40" s="1"/>
  <c r="BN69" i="40" a="1"/>
  <c r="BN69" i="40" s="1"/>
  <c r="BF69" i="40" a="1"/>
  <c r="BF69" i="40" s="1"/>
  <c r="BQ69" i="40" a="1"/>
  <c r="BQ69" i="40" s="1"/>
  <c r="BM69" i="40" a="1"/>
  <c r="BM69" i="40" s="1"/>
  <c r="BJ69" i="40" a="1"/>
  <c r="BJ69" i="40" s="1"/>
  <c r="AM70" i="40"/>
  <c r="BY69" i="40" a="1"/>
  <c r="BY69" i="40" s="1"/>
  <c r="CA69" i="40" a="1"/>
  <c r="CA69" i="40" s="1"/>
  <c r="BZ69" i="40" a="1"/>
  <c r="BZ69" i="40" s="1"/>
  <c r="CD69" i="40"/>
  <c r="CC69" i="40" s="1" a="1"/>
  <c r="CC69" i="40" s="1"/>
  <c r="G71" i="40"/>
  <c r="O71" i="40" s="1"/>
  <c r="CE68" i="40" a="1"/>
  <c r="CE68" i="40" s="1"/>
  <c r="AC68" i="40" s="1"/>
  <c r="H71" i="40"/>
  <c r="E72" i="40" s="1" a="1"/>
  <c r="E72" i="40" s="1"/>
  <c r="F72" i="40" s="1" a="1"/>
  <c r="F72" i="40" s="1"/>
  <c r="BR68" i="40" a="1"/>
  <c r="BR68" i="40" s="1"/>
  <c r="Z68" i="40" s="1"/>
  <c r="V68" i="40" s="1"/>
  <c r="AT69" i="40" a="1"/>
  <c r="AT69" i="40" s="1"/>
  <c r="AW69" i="40" a="1"/>
  <c r="AW69" i="40" s="1"/>
  <c r="AU69" i="40" a="1"/>
  <c r="AU69" i="40" s="1"/>
  <c r="CZ69" i="40" a="1"/>
  <c r="CZ69" i="40" s="1"/>
  <c r="DC69" i="40" a="1"/>
  <c r="DC69" i="40" s="1"/>
  <c r="CY69" i="40" a="1"/>
  <c r="CY69" i="40" s="1"/>
  <c r="DA69" i="40" a="1"/>
  <c r="DA69" i="40" s="1"/>
  <c r="BX67" i="40"/>
  <c r="AB67" i="40" s="1"/>
  <c r="U67" i="40" s="1"/>
  <c r="BU69" i="40" a="1"/>
  <c r="BU69" i="40" s="1"/>
  <c r="BW69" i="40" a="1"/>
  <c r="BW69" i="40" s="1"/>
  <c r="CL69" i="40"/>
  <c r="AE69" i="40" s="1"/>
  <c r="G72" i="39"/>
  <c r="O72" i="39" s="1"/>
  <c r="N72" i="39" s="1"/>
  <c r="M73" i="39"/>
  <c r="H73" i="39" s="1"/>
  <c r="E74" i="39" s="1" a="1"/>
  <c r="E74" i="39" s="1"/>
  <c r="F74" i="39" s="1" a="1"/>
  <c r="F74" i="39" s="1"/>
  <c r="I72" i="39"/>
  <c r="N71" i="39"/>
  <c r="Q71" i="39"/>
  <c r="P71" i="39"/>
  <c r="N57" i="35"/>
  <c r="Q57" i="35"/>
  <c r="P57" i="35"/>
  <c r="M58" i="35"/>
  <c r="H58" i="35" s="1"/>
  <c r="E59" i="35" s="1" a="1"/>
  <c r="E59" i="35" s="1"/>
  <c r="F59" i="35" s="1" a="1"/>
  <c r="F59" i="35" s="1"/>
  <c r="P72" i="39" l="1"/>
  <c r="Q72" i="39"/>
  <c r="V67" i="40"/>
  <c r="BR69" i="40" a="1"/>
  <c r="BR69" i="40" s="1"/>
  <c r="Z69" i="40" s="1"/>
  <c r="AK67" i="40"/>
  <c r="DD69" i="40"/>
  <c r="AJ69" i="40" s="1"/>
  <c r="BX69" i="40"/>
  <c r="AB69" i="40" s="1"/>
  <c r="AK68" i="40"/>
  <c r="U68" i="40"/>
  <c r="CE69" i="40" a="1"/>
  <c r="CE69" i="40" s="1"/>
  <c r="AC69" i="40" s="1"/>
  <c r="AN70" i="40"/>
  <c r="AO70" i="40" s="1"/>
  <c r="AP70" i="40" s="1"/>
  <c r="AQ70" i="40" s="1"/>
  <c r="AR70" i="40" s="1"/>
  <c r="AS70" i="40" s="1"/>
  <c r="CP70" i="40" s="1" a="1"/>
  <c r="CP70" i="40" s="1"/>
  <c r="AX69" i="40" a="1"/>
  <c r="AX69" i="40" s="1"/>
  <c r="W69" i="40" s="1"/>
  <c r="M72" i="40"/>
  <c r="H72" i="40" s="1"/>
  <c r="E73" i="40" s="1" a="1"/>
  <c r="E73" i="40" s="1"/>
  <c r="F73" i="40" s="1" a="1"/>
  <c r="F73" i="40" s="1"/>
  <c r="P71" i="40"/>
  <c r="N71" i="40"/>
  <c r="Q71" i="40"/>
  <c r="T71" i="40"/>
  <c r="I73" i="39"/>
  <c r="G73" i="39"/>
  <c r="O73" i="39" s="1"/>
  <c r="Q73" i="39" s="1"/>
  <c r="M74" i="39"/>
  <c r="I74" i="39" s="1"/>
  <c r="M59" i="35"/>
  <c r="I59" i="35" s="1"/>
  <c r="I58" i="35"/>
  <c r="G58" i="35"/>
  <c r="O58" i="35" s="1"/>
  <c r="CN70" i="40" l="1" a="1"/>
  <c r="CN70" i="40" s="1"/>
  <c r="CJ70" i="40" a="1"/>
  <c r="CJ70" i="40" s="1"/>
  <c r="CT70" i="40" a="1"/>
  <c r="CT70" i="40" s="1"/>
  <c r="CW70" i="40" a="1"/>
  <c r="CW70" i="40" s="1"/>
  <c r="BP70" i="40"/>
  <c r="BF70" i="40" s="1" a="1"/>
  <c r="BF70" i="40" s="1"/>
  <c r="AV70" i="40"/>
  <c r="CM70" i="40" a="1"/>
  <c r="CM70" i="40" s="1"/>
  <c r="BD70" i="40"/>
  <c r="BC70" i="40" s="1" a="1"/>
  <c r="BC70" i="40" s="1"/>
  <c r="BV70" i="40"/>
  <c r="BW70" i="40" s="1" a="1"/>
  <c r="BW70" i="40" s="1"/>
  <c r="CQ70" i="40" a="1"/>
  <c r="CQ70" i="40" s="1"/>
  <c r="CR70" i="40" s="1"/>
  <c r="AG70" i="40" s="1"/>
  <c r="M73" i="40"/>
  <c r="G73" i="40" s="1"/>
  <c r="O73" i="40" s="1"/>
  <c r="CB70" i="40"/>
  <c r="DB70" i="40"/>
  <c r="CS70" i="40" a="1"/>
  <c r="CS70" i="40" s="1"/>
  <c r="BB70" i="40" a="1"/>
  <c r="BB70" i="40" s="1"/>
  <c r="I72" i="40"/>
  <c r="BI70" i="40" a="1"/>
  <c r="BI70" i="40" s="1"/>
  <c r="G72" i="40"/>
  <c r="O72" i="40" s="1"/>
  <c r="CV70" i="40" a="1"/>
  <c r="CV70" i="40" s="1"/>
  <c r="CX70" i="40" s="1"/>
  <c r="AI70" i="40" s="1"/>
  <c r="BK70" i="40" a="1"/>
  <c r="BK70" i="40" s="1"/>
  <c r="AY70" i="40" a="1"/>
  <c r="AY70" i="40" s="1"/>
  <c r="BA70" i="40" s="1"/>
  <c r="X70" i="40" s="1"/>
  <c r="CK70" i="40" a="1"/>
  <c r="CK70" i="40" s="1"/>
  <c r="AM71" i="40"/>
  <c r="AK69" i="40"/>
  <c r="V69" i="40"/>
  <c r="U69" i="40"/>
  <c r="BS70" i="40" a="1"/>
  <c r="BS70" i="40" s="1"/>
  <c r="BT70" i="40" s="1"/>
  <c r="AA70" i="40" s="1"/>
  <c r="AZ70" i="40" a="1"/>
  <c r="AZ70" i="40" s="1"/>
  <c r="CG70" i="40"/>
  <c r="P73" i="39"/>
  <c r="N73" i="39"/>
  <c r="G74" i="39"/>
  <c r="O74" i="39" s="1"/>
  <c r="N74" i="39" s="1"/>
  <c r="H74" i="39"/>
  <c r="E75" i="39" s="1" a="1"/>
  <c r="E75" i="39" s="1"/>
  <c r="F75" i="39" s="1" a="1"/>
  <c r="F75" i="39" s="1"/>
  <c r="Q58" i="35"/>
  <c r="N58" i="35"/>
  <c r="P58" i="35"/>
  <c r="G59" i="35"/>
  <c r="O59" i="35" s="1"/>
  <c r="H59" i="35"/>
  <c r="E60" i="35" s="1" a="1"/>
  <c r="E60" i="35" s="1"/>
  <c r="F60" i="35" s="1" a="1"/>
  <c r="F60" i="35" s="1"/>
  <c r="CL70" i="40" l="1"/>
  <c r="AE70" i="40" s="1"/>
  <c r="BG70" i="40" a="1"/>
  <c r="BG70" i="40" s="1"/>
  <c r="BM70" i="40" a="1"/>
  <c r="BM70" i="40" s="1"/>
  <c r="BN70" i="40" a="1"/>
  <c r="BN70" i="40" s="1"/>
  <c r="BL70" i="40" a="1"/>
  <c r="BL70" i="40" s="1"/>
  <c r="CO70" i="40"/>
  <c r="AF70" i="40" s="1"/>
  <c r="BQ70" i="40" a="1"/>
  <c r="BQ70" i="40" s="1"/>
  <c r="BE70" i="40"/>
  <c r="Y70" i="40" s="1"/>
  <c r="AU70" i="40" a="1"/>
  <c r="AU70" i="40" s="1"/>
  <c r="AT70" i="40" a="1"/>
  <c r="AT70" i="40" s="1"/>
  <c r="AX70" i="40" s="1" a="1"/>
  <c r="AX70" i="40" s="1"/>
  <c r="W70" i="40" s="1"/>
  <c r="AW70" i="40" a="1"/>
  <c r="AW70" i="40" s="1"/>
  <c r="BO70" i="40" a="1"/>
  <c r="BO70" i="40" s="1"/>
  <c r="BH70" i="40" a="1"/>
  <c r="BH70" i="40" s="1"/>
  <c r="BJ70" i="40" a="1"/>
  <c r="BJ70" i="40" s="1"/>
  <c r="BU70" i="40" a="1"/>
  <c r="BU70" i="40" s="1"/>
  <c r="BX70" i="40" s="1"/>
  <c r="AB70" i="40" s="1"/>
  <c r="CU70" i="40"/>
  <c r="AH70" i="40" s="1"/>
  <c r="T73" i="40"/>
  <c r="N73" i="40"/>
  <c r="Q73" i="40"/>
  <c r="P73" i="40"/>
  <c r="CY70" i="40" a="1"/>
  <c r="CY70" i="40" s="1"/>
  <c r="DA70" i="40" a="1"/>
  <c r="DA70" i="40" s="1"/>
  <c r="CZ70" i="40" a="1"/>
  <c r="CZ70" i="40" s="1"/>
  <c r="DC70" i="40" a="1"/>
  <c r="DC70" i="40" s="1"/>
  <c r="CD70" i="40"/>
  <c r="CC70" i="40" s="1" a="1"/>
  <c r="CC70" i="40" s="1"/>
  <c r="CA70" i="40" a="1"/>
  <c r="CA70" i="40" s="1"/>
  <c r="BY70" i="40" a="1"/>
  <c r="BY70" i="40" s="1"/>
  <c r="BZ70" i="40" a="1"/>
  <c r="BZ70" i="40" s="1"/>
  <c r="I73" i="40"/>
  <c r="AN71" i="40"/>
  <c r="AO71" i="40" s="1"/>
  <c r="AP71" i="40" s="1"/>
  <c r="AQ71" i="40" s="1"/>
  <c r="AR71" i="40" s="1"/>
  <c r="AS71" i="40" s="1"/>
  <c r="CM71" i="40" s="1" a="1"/>
  <c r="CM71" i="40" s="1"/>
  <c r="N72" i="40"/>
  <c r="T72" i="40"/>
  <c r="P72" i="40"/>
  <c r="Q72" i="40"/>
  <c r="H73" i="40"/>
  <c r="E74" i="40" s="1" a="1"/>
  <c r="E74" i="40" s="1"/>
  <c r="F74" i="40" s="1" a="1"/>
  <c r="F74" i="40" s="1"/>
  <c r="CF70" i="40" a="1"/>
  <c r="CF70" i="40" s="1"/>
  <c r="CH70" i="40" a="1"/>
  <c r="CH70" i="40" s="1"/>
  <c r="Q74" i="39"/>
  <c r="P74" i="39"/>
  <c r="M75" i="39"/>
  <c r="I75" i="39" s="1"/>
  <c r="M60" i="35"/>
  <c r="I60" i="35" s="1"/>
  <c r="Q59" i="35"/>
  <c r="N59" i="35"/>
  <c r="P59" i="35"/>
  <c r="CN71" i="40" l="1" a="1"/>
  <c r="CN71" i="40" s="1"/>
  <c r="CO71" i="40" s="1"/>
  <c r="AF71" i="40" s="1"/>
  <c r="BP71" i="40"/>
  <c r="BG71" i="40" s="1" a="1"/>
  <c r="BG71" i="40" s="1"/>
  <c r="BB71" i="40" a="1"/>
  <c r="BB71" i="40" s="1"/>
  <c r="AV71" i="40"/>
  <c r="AT71" i="40" s="1" a="1"/>
  <c r="AT71" i="40" s="1"/>
  <c r="BR70" i="40" a="1"/>
  <c r="BR70" i="40" s="1"/>
  <c r="Z70" i="40" s="1"/>
  <c r="CI70" i="40"/>
  <c r="AD70" i="40" s="1"/>
  <c r="CQ71" i="40" a="1"/>
  <c r="CQ71" i="40" s="1"/>
  <c r="CB71" i="40"/>
  <c r="CD71" i="40" s="1"/>
  <c r="CC71" i="40" s="1" a="1"/>
  <c r="CC71" i="40" s="1"/>
  <c r="AY71" i="40" a="1"/>
  <c r="AY71" i="40" s="1"/>
  <c r="BM71" i="40" a="1"/>
  <c r="BM71" i="40" s="1"/>
  <c r="BJ71" i="40" a="1"/>
  <c r="BJ71" i="40" s="1"/>
  <c r="CG71" i="40"/>
  <c r="CT71" i="40" a="1"/>
  <c r="CT71" i="40" s="1"/>
  <c r="CP71" i="40" a="1"/>
  <c r="CP71" i="40" s="1"/>
  <c r="BS71" i="40" a="1"/>
  <c r="BS71" i="40" s="1"/>
  <c r="BT71" i="40" s="1"/>
  <c r="AA71" i="40" s="1"/>
  <c r="CE70" i="40" a="1"/>
  <c r="CE70" i="40" s="1"/>
  <c r="AC70" i="40" s="1"/>
  <c r="BH71" i="40" a="1"/>
  <c r="BH71" i="40" s="1"/>
  <c r="DB71" i="40"/>
  <c r="BZ71" i="40" a="1"/>
  <c r="BZ71" i="40" s="1"/>
  <c r="DD70" i="40"/>
  <c r="AJ70" i="40" s="1"/>
  <c r="V70" i="40" s="1"/>
  <c r="CJ71" i="40" a="1"/>
  <c r="CJ71" i="40" s="1"/>
  <c r="BD71" i="40"/>
  <c r="BC71" i="40" s="1" a="1"/>
  <c r="BC71" i="40" s="1"/>
  <c r="AM72" i="40"/>
  <c r="BV71" i="40"/>
  <c r="CW71" i="40" a="1"/>
  <c r="CW71" i="40" s="1"/>
  <c r="CS71" i="40" a="1"/>
  <c r="CS71" i="40" s="1"/>
  <c r="CK71" i="40" a="1"/>
  <c r="CK71" i="40" s="1"/>
  <c r="M74" i="40"/>
  <c r="H74" i="40" s="1"/>
  <c r="E75" i="40" s="1" a="1"/>
  <c r="E75" i="40" s="1"/>
  <c r="F75" i="40" s="1" a="1"/>
  <c r="F75" i="40" s="1"/>
  <c r="CV71" i="40" a="1"/>
  <c r="CV71" i="40" s="1"/>
  <c r="BF71" i="40" a="1"/>
  <c r="BF71" i="40" s="1"/>
  <c r="AM73" i="40"/>
  <c r="AZ71" i="40" a="1"/>
  <c r="AZ71" i="40" s="1"/>
  <c r="G75" i="39"/>
  <c r="O75" i="39" s="1"/>
  <c r="Q75" i="39" s="1"/>
  <c r="H75" i="39"/>
  <c r="E76" i="39" s="1" a="1"/>
  <c r="E76" i="39" s="1"/>
  <c r="F76" i="39" s="1" a="1"/>
  <c r="F76" i="39" s="1"/>
  <c r="H60" i="35"/>
  <c r="E61" i="35" s="1" a="1"/>
  <c r="E61" i="35" s="1"/>
  <c r="F61" i="35" s="1" a="1"/>
  <c r="F61" i="35" s="1"/>
  <c r="G60" i="35"/>
  <c r="O60" i="35" s="1"/>
  <c r="U70" i="40" l="1"/>
  <c r="AW71" i="40" a="1"/>
  <c r="AW71" i="40" s="1"/>
  <c r="AU71" i="40" a="1"/>
  <c r="AU71" i="40" s="1"/>
  <c r="AX71" i="40" s="1" a="1"/>
  <c r="AX71" i="40" s="1"/>
  <c r="W71" i="40" s="1"/>
  <c r="CA71" i="40" a="1"/>
  <c r="CA71" i="40" s="1"/>
  <c r="BQ71" i="40" a="1"/>
  <c r="BQ71" i="40" s="1"/>
  <c r="BI71" i="40" a="1"/>
  <c r="BI71" i="40" s="1"/>
  <c r="BK71" i="40" a="1"/>
  <c r="BK71" i="40" s="1"/>
  <c r="BO71" i="40" a="1"/>
  <c r="BO71" i="40" s="1"/>
  <c r="CU71" i="40"/>
  <c r="AH71" i="40" s="1"/>
  <c r="BN71" i="40" a="1"/>
  <c r="BN71" i="40" s="1"/>
  <c r="BL71" i="40" a="1"/>
  <c r="BL71" i="40" s="1"/>
  <c r="BE71" i="40"/>
  <c r="Y71" i="40" s="1"/>
  <c r="BY71" i="40" a="1"/>
  <c r="BY71" i="40" s="1"/>
  <c r="BA71" i="40"/>
  <c r="X71" i="40" s="1"/>
  <c r="CR71" i="40"/>
  <c r="AG71" i="40" s="1"/>
  <c r="AK70" i="40"/>
  <c r="I74" i="40"/>
  <c r="CF71" i="40" a="1"/>
  <c r="CF71" i="40" s="1"/>
  <c r="CI71" i="40" s="1"/>
  <c r="AD71" i="40" s="1"/>
  <c r="CH71" i="40" a="1"/>
  <c r="CH71" i="40" s="1"/>
  <c r="CL71" i="40"/>
  <c r="AE71" i="40" s="1"/>
  <c r="M75" i="40"/>
  <c r="H75" i="40" s="1"/>
  <c r="E76" i="40" s="1" a="1"/>
  <c r="E76" i="40" s="1"/>
  <c r="F76" i="40" s="1" a="1"/>
  <c r="F76" i="40" s="1"/>
  <c r="AN72" i="40"/>
  <c r="AO72" i="40" s="1"/>
  <c r="AP72" i="40" s="1"/>
  <c r="AQ72" i="40" s="1"/>
  <c r="AR72" i="40" s="1"/>
  <c r="AS72" i="40" s="1"/>
  <c r="CV72" i="40" s="1" a="1"/>
  <c r="CV72" i="40" s="1"/>
  <c r="CZ71" i="40" a="1"/>
  <c r="CZ71" i="40" s="1"/>
  <c r="DA71" i="40" a="1"/>
  <c r="DA71" i="40" s="1"/>
  <c r="DC71" i="40" a="1"/>
  <c r="DC71" i="40" s="1"/>
  <c r="CY71" i="40" a="1"/>
  <c r="CY71" i="40" s="1"/>
  <c r="CX71" i="40"/>
  <c r="AI71" i="40" s="1"/>
  <c r="G74" i="40"/>
  <c r="O74" i="40" s="1"/>
  <c r="AN73" i="40"/>
  <c r="AO73" i="40" s="1"/>
  <c r="AP73" i="40" s="1"/>
  <c r="AQ73" i="40" s="1"/>
  <c r="AR73" i="40" s="1"/>
  <c r="AS73" i="40" s="1"/>
  <c r="BB73" i="40" s="1" a="1"/>
  <c r="BB73" i="40" s="1"/>
  <c r="BW71" i="40" a="1"/>
  <c r="BW71" i="40" s="1"/>
  <c r="BU71" i="40" a="1"/>
  <c r="BU71" i="40" s="1"/>
  <c r="BX71" i="40" s="1"/>
  <c r="AB71" i="40" s="1"/>
  <c r="P75" i="39"/>
  <c r="N75" i="39"/>
  <c r="M76" i="39"/>
  <c r="N60" i="35"/>
  <c r="Q60" i="35"/>
  <c r="P60" i="35"/>
  <c r="M61" i="35"/>
  <c r="I61" i="35" s="1"/>
  <c r="CE71" i="40" l="1" a="1"/>
  <c r="CE71" i="40" s="1"/>
  <c r="AC71" i="40" s="1"/>
  <c r="BR71" i="40" a="1"/>
  <c r="BR71" i="40" s="1"/>
  <c r="Z71" i="40" s="1"/>
  <c r="G75" i="40"/>
  <c r="O75" i="40" s="1"/>
  <c r="N75" i="40" s="1"/>
  <c r="BS72" i="40" a="1"/>
  <c r="BS72" i="40" s="1"/>
  <c r="BT72" i="40" s="1"/>
  <c r="AA72" i="40" s="1"/>
  <c r="CN72" i="40" a="1"/>
  <c r="CN72" i="40" s="1"/>
  <c r="AZ72" i="40" a="1"/>
  <c r="AZ72" i="40" s="1"/>
  <c r="AV72" i="40"/>
  <c r="AT72" i="40" s="1" a="1"/>
  <c r="AT72" i="40" s="1"/>
  <c r="AY72" i="40" a="1"/>
  <c r="AY72" i="40" s="1"/>
  <c r="BA72" i="40" s="1"/>
  <c r="X72" i="40" s="1"/>
  <c r="BV72" i="40"/>
  <c r="BW72" i="40" s="1" a="1"/>
  <c r="BW72" i="40" s="1"/>
  <c r="CS72" i="40" a="1"/>
  <c r="CS72" i="40" s="1"/>
  <c r="CP72" i="40" a="1"/>
  <c r="CP72" i="40" s="1"/>
  <c r="M76" i="40"/>
  <c r="H76" i="40" s="1"/>
  <c r="E77" i="40" s="1" a="1"/>
  <c r="E77" i="40" s="1"/>
  <c r="F77" i="40" s="1" a="1"/>
  <c r="F77" i="40" s="1"/>
  <c r="Q74" i="40"/>
  <c r="N74" i="40"/>
  <c r="T74" i="40"/>
  <c r="P74" i="40"/>
  <c r="CK73" i="40" a="1"/>
  <c r="CK73" i="40" s="1"/>
  <c r="CG73" i="40"/>
  <c r="BD73" i="40"/>
  <c r="BC73" i="40" s="1" a="1"/>
  <c r="BC73" i="40" s="1"/>
  <c r="BE73" i="40" s="1"/>
  <c r="Y73" i="40" s="1"/>
  <c r="CN73" i="40" a="1"/>
  <c r="CN73" i="40" s="1"/>
  <c r="BD72" i="40"/>
  <c r="BC72" i="40" s="1" a="1"/>
  <c r="BC72" i="40" s="1"/>
  <c r="CT73" i="40" a="1"/>
  <c r="CT73" i="40" s="1"/>
  <c r="BV73" i="40"/>
  <c r="CV73" i="40" a="1"/>
  <c r="CV73" i="40" s="1"/>
  <c r="BP72" i="40"/>
  <c r="CT72" i="40" a="1"/>
  <c r="CT72" i="40" s="1"/>
  <c r="CU72" i="40" s="1"/>
  <c r="AH72" i="40" s="1"/>
  <c r="CM73" i="40" a="1"/>
  <c r="CM73" i="40" s="1"/>
  <c r="CB73" i="40"/>
  <c r="CS73" i="40" a="1"/>
  <c r="CS73" i="40" s="1"/>
  <c r="CP73" i="40" a="1"/>
  <c r="CP73" i="40" s="1"/>
  <c r="CJ72" i="40" a="1"/>
  <c r="CJ72" i="40" s="1"/>
  <c r="AZ73" i="40" a="1"/>
  <c r="AZ73" i="40" s="1"/>
  <c r="BB72" i="40" a="1"/>
  <c r="BB72" i="40" s="1"/>
  <c r="T75" i="40"/>
  <c r="Q75" i="40"/>
  <c r="P75" i="40"/>
  <c r="CW73" i="40" a="1"/>
  <c r="CW73" i="40" s="1"/>
  <c r="DB73" i="40"/>
  <c r="AY73" i="40" a="1"/>
  <c r="AY73" i="40" s="1"/>
  <c r="BA73" i="40" s="1"/>
  <c r="X73" i="40" s="1"/>
  <c r="CB72" i="40"/>
  <c r="I75" i="40"/>
  <c r="BP73" i="40"/>
  <c r="CQ72" i="40" a="1"/>
  <c r="CQ72" i="40" s="1"/>
  <c r="CK72" i="40" a="1"/>
  <c r="CK72" i="40" s="1"/>
  <c r="CM72" i="40" a="1"/>
  <c r="CM72" i="40" s="1"/>
  <c r="CO72" i="40" s="1"/>
  <c r="AF72" i="40" s="1"/>
  <c r="DD71" i="40"/>
  <c r="AJ71" i="40" s="1"/>
  <c r="U71" i="40" s="1"/>
  <c r="BS73" i="40" a="1"/>
  <c r="BS73" i="40" s="1"/>
  <c r="BT73" i="40" s="1"/>
  <c r="AA73" i="40" s="1"/>
  <c r="AV73" i="40"/>
  <c r="CQ73" i="40" a="1"/>
  <c r="CQ73" i="40" s="1"/>
  <c r="CJ73" i="40" a="1"/>
  <c r="CJ73" i="40" s="1"/>
  <c r="DB72" i="40"/>
  <c r="CG72" i="40"/>
  <c r="CW72" i="40" a="1"/>
  <c r="CW72" i="40" s="1"/>
  <c r="CX72" i="40" s="1"/>
  <c r="AI72" i="40" s="1"/>
  <c r="G76" i="39"/>
  <c r="O76" i="39" s="1"/>
  <c r="I76" i="39"/>
  <c r="H76" i="39"/>
  <c r="E77" i="39" s="1" a="1"/>
  <c r="E77" i="39" s="1"/>
  <c r="F77" i="39" s="1" a="1"/>
  <c r="F77" i="39" s="1"/>
  <c r="M77" i="39" s="1"/>
  <c r="I77" i="39" s="1"/>
  <c r="G61" i="35"/>
  <c r="O61" i="35" s="1"/>
  <c r="H61" i="35"/>
  <c r="E62" i="35" s="1" a="1"/>
  <c r="E62" i="35" s="1"/>
  <c r="F62" i="35" s="1" a="1"/>
  <c r="F62" i="35" s="1"/>
  <c r="CR72" i="40" l="1"/>
  <c r="AG72" i="40" s="1"/>
  <c r="CO73" i="40"/>
  <c r="AF73" i="40" s="1"/>
  <c r="BU72" i="40" a="1"/>
  <c r="BU72" i="40" s="1"/>
  <c r="BX72" i="40" s="1"/>
  <c r="AB72" i="40" s="1"/>
  <c r="CR73" i="40"/>
  <c r="AG73" i="40" s="1"/>
  <c r="CU73" i="40"/>
  <c r="AH73" i="40" s="1"/>
  <c r="I76" i="40"/>
  <c r="G76" i="40"/>
  <c r="O76" i="40" s="1"/>
  <c r="P76" i="40" s="1"/>
  <c r="AU72" i="40" a="1"/>
  <c r="AU72" i="40" s="1"/>
  <c r="AW72" i="40" a="1"/>
  <c r="AW72" i="40" s="1"/>
  <c r="BE72" i="40"/>
  <c r="Y72" i="40" s="1"/>
  <c r="M77" i="40"/>
  <c r="H77" i="40" s="1"/>
  <c r="E78" i="40" s="1" a="1"/>
  <c r="E78" i="40" s="1"/>
  <c r="F78" i="40" s="1" a="1"/>
  <c r="F78" i="40" s="1"/>
  <c r="CA73" i="40" a="1"/>
  <c r="CA73" i="40" s="1"/>
  <c r="CD73" i="40"/>
  <c r="CC73" i="40" s="1" a="1"/>
  <c r="CC73" i="40" s="1"/>
  <c r="BY73" i="40" a="1"/>
  <c r="BY73" i="40" s="1"/>
  <c r="BZ73" i="40" a="1"/>
  <c r="BZ73" i="40" s="1"/>
  <c r="BZ72" i="40" a="1"/>
  <c r="BZ72" i="40" s="1"/>
  <c r="BY72" i="40" a="1"/>
  <c r="BY72" i="40" s="1"/>
  <c r="CD72" i="40"/>
  <c r="CC72" i="40" s="1" a="1"/>
  <c r="CC72" i="40" s="1"/>
  <c r="CA72" i="40" a="1"/>
  <c r="CA72" i="40" s="1"/>
  <c r="AM74" i="40"/>
  <c r="V71" i="40"/>
  <c r="BL73" i="40" a="1"/>
  <c r="BL73" i="40" s="1"/>
  <c r="BF73" i="40" a="1"/>
  <c r="BF73" i="40" s="1"/>
  <c r="BI73" i="40" a="1"/>
  <c r="BI73" i="40" s="1"/>
  <c r="BK73" i="40" a="1"/>
  <c r="BK73" i="40" s="1"/>
  <c r="BN73" i="40" a="1"/>
  <c r="BN73" i="40" s="1"/>
  <c r="BQ73" i="40" a="1"/>
  <c r="BQ73" i="40" s="1"/>
  <c r="BO73" i="40" a="1"/>
  <c r="BO73" i="40" s="1"/>
  <c r="BM73" i="40" a="1"/>
  <c r="BM73" i="40" s="1"/>
  <c r="BG73" i="40" a="1"/>
  <c r="BG73" i="40" s="1"/>
  <c r="BH73" i="40" a="1"/>
  <c r="BH73" i="40" s="1"/>
  <c r="BJ73" i="40" a="1"/>
  <c r="BJ73" i="40" s="1"/>
  <c r="DC73" i="40" a="1"/>
  <c r="DC73" i="40" s="1"/>
  <c r="CZ73" i="40" a="1"/>
  <c r="CZ73" i="40" s="1"/>
  <c r="CY73" i="40" a="1"/>
  <c r="CY73" i="40" s="1"/>
  <c r="DA73" i="40" a="1"/>
  <c r="DA73" i="40" s="1"/>
  <c r="AK71" i="40"/>
  <c r="CF72" i="40" a="1"/>
  <c r="CF72" i="40" s="1"/>
  <c r="CH72" i="40" a="1"/>
  <c r="CH72" i="40" s="1"/>
  <c r="BK72" i="40" a="1"/>
  <c r="BK72" i="40" s="1"/>
  <c r="BQ72" i="40" a="1"/>
  <c r="BQ72" i="40" s="1"/>
  <c r="BF72" i="40" a="1"/>
  <c r="BF72" i="40" s="1"/>
  <c r="BG72" i="40" a="1"/>
  <c r="BG72" i="40" s="1"/>
  <c r="BI72" i="40" a="1"/>
  <c r="BI72" i="40" s="1"/>
  <c r="BJ72" i="40" a="1"/>
  <c r="BJ72" i="40" s="1"/>
  <c r="BH72" i="40" a="1"/>
  <c r="BH72" i="40" s="1"/>
  <c r="BN72" i="40" a="1"/>
  <c r="BN72" i="40" s="1"/>
  <c r="BO72" i="40" a="1"/>
  <c r="BO72" i="40" s="1"/>
  <c r="BL72" i="40" a="1"/>
  <c r="BL72" i="40" s="1"/>
  <c r="BM72" i="40" a="1"/>
  <c r="BM72" i="40" s="1"/>
  <c r="Q76" i="40"/>
  <c r="T76" i="40"/>
  <c r="CY72" i="40" a="1"/>
  <c r="CY72" i="40" s="1"/>
  <c r="DC72" i="40" a="1"/>
  <c r="DC72" i="40" s="1"/>
  <c r="DA72" i="40" a="1"/>
  <c r="DA72" i="40" s="1"/>
  <c r="CZ72" i="40" a="1"/>
  <c r="CZ72" i="40" s="1"/>
  <c r="CX73" i="40"/>
  <c r="AI73" i="40" s="1"/>
  <c r="CH73" i="40" a="1"/>
  <c r="CH73" i="40" s="1"/>
  <c r="CF73" i="40" a="1"/>
  <c r="CF73" i="40" s="1"/>
  <c r="CL73" i="40"/>
  <c r="AE73" i="40" s="1"/>
  <c r="AM75" i="40"/>
  <c r="BW73" i="40" a="1"/>
  <c r="BW73" i="40" s="1"/>
  <c r="BU73" i="40" a="1"/>
  <c r="BU73" i="40" s="1"/>
  <c r="BX73" i="40" s="1"/>
  <c r="AB73" i="40" s="1"/>
  <c r="AW73" i="40" a="1"/>
  <c r="AW73" i="40" s="1"/>
  <c r="AT73" i="40" a="1"/>
  <c r="AT73" i="40" s="1"/>
  <c r="AU73" i="40" a="1"/>
  <c r="AU73" i="40" s="1"/>
  <c r="CL72" i="40"/>
  <c r="AE72" i="40" s="1"/>
  <c r="H77" i="39"/>
  <c r="E78" i="39" s="1" a="1"/>
  <c r="E78" i="39" s="1"/>
  <c r="F78" i="39" s="1" a="1"/>
  <c r="F78" i="39" s="1"/>
  <c r="M78" i="39" s="1"/>
  <c r="H78" i="39" s="1"/>
  <c r="E79" i="39" s="1" a="1"/>
  <c r="E79" i="39" s="1"/>
  <c r="F79" i="39" s="1" a="1"/>
  <c r="F79" i="39" s="1"/>
  <c r="G77" i="39"/>
  <c r="O77" i="39" s="1"/>
  <c r="N77" i="39" s="1"/>
  <c r="N76" i="39"/>
  <c r="Q76" i="39"/>
  <c r="P76" i="39"/>
  <c r="M62" i="35"/>
  <c r="I62" i="35" s="1"/>
  <c r="Q61" i="35"/>
  <c r="P61" i="35"/>
  <c r="N61" i="35"/>
  <c r="CI73" i="40" l="1"/>
  <c r="AD73" i="40" s="1"/>
  <c r="AX72" i="40" a="1"/>
  <c r="AX72" i="40" s="1"/>
  <c r="W72" i="40" s="1"/>
  <c r="N76" i="40"/>
  <c r="I77" i="40"/>
  <c r="CI72" i="40"/>
  <c r="AD72" i="40" s="1"/>
  <c r="M78" i="40"/>
  <c r="H78" i="40" s="1"/>
  <c r="E79" i="40" s="1" a="1"/>
  <c r="E79" i="40" s="1"/>
  <c r="F79" i="40" s="1" a="1"/>
  <c r="F79" i="40" s="1"/>
  <c r="DD73" i="40"/>
  <c r="AJ73" i="40" s="1"/>
  <c r="CE72" i="40" a="1"/>
  <c r="CE72" i="40" s="1"/>
  <c r="AC72" i="40" s="1"/>
  <c r="CE73" i="40" a="1"/>
  <c r="CE73" i="40" s="1"/>
  <c r="AC73" i="40" s="1"/>
  <c r="BR72" i="40" a="1"/>
  <c r="BR72" i="40" s="1"/>
  <c r="Z72" i="40" s="1"/>
  <c r="AN74" i="40"/>
  <c r="AO74" i="40" s="1"/>
  <c r="AP74" i="40" s="1"/>
  <c r="AQ74" i="40" s="1"/>
  <c r="AR74" i="40" s="1"/>
  <c r="AS74" i="40" s="1"/>
  <c r="AV74" i="40" s="1"/>
  <c r="DD72" i="40"/>
  <c r="AJ72" i="40" s="1"/>
  <c r="BR73" i="40" a="1"/>
  <c r="BR73" i="40" s="1"/>
  <c r="Z73" i="40" s="1"/>
  <c r="AN75" i="40"/>
  <c r="AO75" i="40" s="1"/>
  <c r="AP75" i="40" s="1"/>
  <c r="AQ75" i="40" s="1"/>
  <c r="AR75" i="40" s="1"/>
  <c r="AS75" i="40" s="1"/>
  <c r="CN75" i="40" s="1" a="1"/>
  <c r="CN75" i="40" s="1"/>
  <c r="G77" i="40"/>
  <c r="O77" i="40" s="1"/>
  <c r="AX73" i="40" a="1"/>
  <c r="AX73" i="40" s="1"/>
  <c r="W73" i="40" s="1"/>
  <c r="AM76" i="40"/>
  <c r="P77" i="39"/>
  <c r="Q77" i="39"/>
  <c r="G78" i="39"/>
  <c r="O78" i="39" s="1"/>
  <c r="N78" i="39" s="1"/>
  <c r="I78" i="39"/>
  <c r="M79" i="39"/>
  <c r="I79" i="39" s="1"/>
  <c r="H62" i="35"/>
  <c r="E63" i="35" s="1" a="1"/>
  <c r="E63" i="35" s="1"/>
  <c r="F63" i="35" s="1" a="1"/>
  <c r="F63" i="35" s="1"/>
  <c r="G62" i="35"/>
  <c r="O62" i="35" s="1"/>
  <c r="CP75" i="40" l="1" a="1"/>
  <c r="CP75" i="40" s="1"/>
  <c r="CQ75" i="40" a="1"/>
  <c r="CQ75" i="40" s="1"/>
  <c r="BB75" i="40" a="1"/>
  <c r="BB75" i="40" s="1"/>
  <c r="AY75" i="40" a="1"/>
  <c r="AY75" i="40" s="1"/>
  <c r="CG75" i="40"/>
  <c r="CH75" i="40" s="1" a="1"/>
  <c r="CH75" i="40" s="1"/>
  <c r="BP75" i="40"/>
  <c r="BO75" i="40" s="1" a="1"/>
  <c r="BO75" i="40" s="1"/>
  <c r="BS75" i="40" a="1"/>
  <c r="BS75" i="40" s="1"/>
  <c r="BT75" i="40" s="1"/>
  <c r="AA75" i="40" s="1"/>
  <c r="CB75" i="40"/>
  <c r="CD75" i="40" s="1"/>
  <c r="CC75" i="40" s="1" a="1"/>
  <c r="CC75" i="40" s="1"/>
  <c r="BV75" i="40"/>
  <c r="BU75" i="40" s="1" a="1"/>
  <c r="BU75" i="40" s="1"/>
  <c r="AU74" i="40" a="1"/>
  <c r="AU74" i="40" s="1"/>
  <c r="AW74" i="40" a="1"/>
  <c r="AW74" i="40" s="1"/>
  <c r="AT74" i="40" a="1"/>
  <c r="AT74" i="40" s="1"/>
  <c r="M79" i="40"/>
  <c r="G79" i="40" s="1"/>
  <c r="O79" i="40" s="1"/>
  <c r="CT74" i="40" a="1"/>
  <c r="CT74" i="40" s="1"/>
  <c r="AY74" i="40" a="1"/>
  <c r="AY74" i="40" s="1"/>
  <c r="CB74" i="40"/>
  <c r="V73" i="40"/>
  <c r="U73" i="40"/>
  <c r="AK73" i="40"/>
  <c r="CK75" i="40" a="1"/>
  <c r="CK75" i="40" s="1"/>
  <c r="CV74" i="40" a="1"/>
  <c r="CV74" i="40" s="1"/>
  <c r="BV74" i="40"/>
  <c r="CQ74" i="40" a="1"/>
  <c r="CQ74" i="40" s="1"/>
  <c r="BI75" i="40" a="1"/>
  <c r="BI75" i="40" s="1"/>
  <c r="BB74" i="40" a="1"/>
  <c r="BB74" i="40" s="1"/>
  <c r="AZ74" i="40" a="1"/>
  <c r="AZ74" i="40" s="1"/>
  <c r="CS75" i="40" a="1"/>
  <c r="CS75" i="40" s="1"/>
  <c r="CJ74" i="40" a="1"/>
  <c r="CJ74" i="40" s="1"/>
  <c r="CP74" i="40" a="1"/>
  <c r="CP74" i="40" s="1"/>
  <c r="U72" i="40"/>
  <c r="AK72" i="40"/>
  <c r="V72" i="40"/>
  <c r="CW74" i="40" a="1"/>
  <c r="CW74" i="40" s="1"/>
  <c r="CF75" i="40" a="1"/>
  <c r="CF75" i="40" s="1"/>
  <c r="CI75" i="40" s="1"/>
  <c r="AD75" i="40" s="1"/>
  <c r="BP74" i="40"/>
  <c r="T77" i="40"/>
  <c r="Q77" i="40"/>
  <c r="N77" i="40"/>
  <c r="P77" i="40"/>
  <c r="AZ75" i="40" a="1"/>
  <c r="AZ75" i="40" s="1"/>
  <c r="BN75" i="40" a="1"/>
  <c r="BN75" i="40" s="1"/>
  <c r="CM75" i="40" a="1"/>
  <c r="CM75" i="40" s="1"/>
  <c r="CO75" i="40" s="1"/>
  <c r="AF75" i="40" s="1"/>
  <c r="AV75" i="40"/>
  <c r="BS74" i="40" a="1"/>
  <c r="BS74" i="40" s="1"/>
  <c r="BT74" i="40" s="1"/>
  <c r="AA74" i="40" s="1"/>
  <c r="DB75" i="40"/>
  <c r="CV75" i="40" a="1"/>
  <c r="CV75" i="40" s="1"/>
  <c r="I78" i="40"/>
  <c r="AN76" i="40"/>
  <c r="AO76" i="40" s="1"/>
  <c r="AP76" i="40" s="1"/>
  <c r="AQ76" i="40" s="1"/>
  <c r="AR76" i="40" s="1"/>
  <c r="AS76" i="40" s="1"/>
  <c r="CP76" i="40" s="1" a="1"/>
  <c r="CP76" i="40" s="1"/>
  <c r="BZ75" i="40" a="1"/>
  <c r="BZ75" i="40" s="1"/>
  <c r="CJ75" i="40" a="1"/>
  <c r="CJ75" i="40" s="1"/>
  <c r="CM74" i="40" a="1"/>
  <c r="CM74" i="40" s="1"/>
  <c r="BD74" i="40"/>
  <c r="BC74" i="40" s="1" a="1"/>
  <c r="BC74" i="40" s="1"/>
  <c r="CG74" i="40"/>
  <c r="G78" i="40"/>
  <c r="O78" i="40" s="1"/>
  <c r="BD75" i="40"/>
  <c r="BC75" i="40" s="1" a="1"/>
  <c r="BC75" i="40" s="1"/>
  <c r="CT75" i="40" a="1"/>
  <c r="CT75" i="40" s="1"/>
  <c r="CK74" i="40" a="1"/>
  <c r="CK74" i="40" s="1"/>
  <c r="DB74" i="40"/>
  <c r="CW75" i="40" a="1"/>
  <c r="CW75" i="40" s="1"/>
  <c r="CN74" i="40" a="1"/>
  <c r="CN74" i="40" s="1"/>
  <c r="CS74" i="40" a="1"/>
  <c r="CS74" i="40" s="1"/>
  <c r="Q78" i="39"/>
  <c r="P78" i="39"/>
  <c r="G79" i="39"/>
  <c r="O79" i="39" s="1"/>
  <c r="N79" i="39" s="1"/>
  <c r="H79" i="39"/>
  <c r="E80" i="39" s="1" a="1"/>
  <c r="E80" i="39" s="1"/>
  <c r="F80" i="39" s="1" a="1"/>
  <c r="F80" i="39" s="1"/>
  <c r="Q62" i="35"/>
  <c r="P62" i="35"/>
  <c r="N62" i="35"/>
  <c r="M63" i="35"/>
  <c r="I63" i="35" s="1"/>
  <c r="CU74" i="40" l="1"/>
  <c r="AH74" i="40" s="1"/>
  <c r="BE75" i="40"/>
  <c r="Y75" i="40" s="1"/>
  <c r="CR75" i="40"/>
  <c r="AG75" i="40" s="1"/>
  <c r="BK75" i="40" a="1"/>
  <c r="BK75" i="40" s="1"/>
  <c r="BH75" i="40" a="1"/>
  <c r="BH75" i="40" s="1"/>
  <c r="BF75" i="40" a="1"/>
  <c r="BF75" i="40" s="1"/>
  <c r="BL75" i="40" a="1"/>
  <c r="BL75" i="40" s="1"/>
  <c r="BW75" i="40" a="1"/>
  <c r="BW75" i="40" s="1"/>
  <c r="BX75" i="40" s="1"/>
  <c r="AB75" i="40" s="1"/>
  <c r="CL75" i="40"/>
  <c r="AE75" i="40" s="1"/>
  <c r="BM75" i="40" a="1"/>
  <c r="BM75" i="40" s="1"/>
  <c r="BJ75" i="40" a="1"/>
  <c r="BJ75" i="40" s="1"/>
  <c r="BG75" i="40" a="1"/>
  <c r="BG75" i="40" s="1"/>
  <c r="AY76" i="40" a="1"/>
  <c r="AY76" i="40" s="1"/>
  <c r="CA75" i="40" a="1"/>
  <c r="CA75" i="40" s="1"/>
  <c r="BA75" i="40"/>
  <c r="X75" i="40" s="1"/>
  <c r="BQ75" i="40" a="1"/>
  <c r="BQ75" i="40" s="1"/>
  <c r="BY75" i="40" a="1"/>
  <c r="BY75" i="40" s="1"/>
  <c r="CU75" i="40"/>
  <c r="AH75" i="40" s="1"/>
  <c r="AX74" i="40" a="1"/>
  <c r="AX74" i="40" s="1"/>
  <c r="W74" i="40" s="1"/>
  <c r="DB76" i="40"/>
  <c r="DC76" i="40" s="1" a="1"/>
  <c r="DC76" i="40" s="1"/>
  <c r="BS76" i="40" a="1"/>
  <c r="BS76" i="40" s="1"/>
  <c r="BT76" i="40" s="1"/>
  <c r="AA76" i="40" s="1"/>
  <c r="CS76" i="40" a="1"/>
  <c r="CS76" i="40" s="1"/>
  <c r="BD76" i="40"/>
  <c r="BC76" i="40" s="1" a="1"/>
  <c r="BC76" i="40" s="1"/>
  <c r="CM76" i="40" a="1"/>
  <c r="CM76" i="40" s="1"/>
  <c r="CW76" i="40" a="1"/>
  <c r="CW76" i="40" s="1"/>
  <c r="AV76" i="40"/>
  <c r="AT76" i="40" s="1" a="1"/>
  <c r="AT76" i="40" s="1"/>
  <c r="N79" i="40"/>
  <c r="P79" i="40"/>
  <c r="Q79" i="40"/>
  <c r="AT75" i="40" a="1"/>
  <c r="AT75" i="40" s="1"/>
  <c r="AW75" i="40" a="1"/>
  <c r="AW75" i="40" s="1"/>
  <c r="AU75" i="40" a="1"/>
  <c r="AU75" i="40" s="1"/>
  <c r="AZ76" i="40" a="1"/>
  <c r="AZ76" i="40" s="1"/>
  <c r="CL74" i="40"/>
  <c r="AE74" i="40" s="1"/>
  <c r="BA74" i="40"/>
  <c r="X74" i="40" s="1"/>
  <c r="CD74" i="40"/>
  <c r="CC74" i="40" s="1" a="1"/>
  <c r="CC74" i="40" s="1"/>
  <c r="BZ74" i="40" a="1"/>
  <c r="BZ74" i="40" s="1"/>
  <c r="BY74" i="40" a="1"/>
  <c r="BY74" i="40" s="1"/>
  <c r="CA74" i="40" a="1"/>
  <c r="CA74" i="40" s="1"/>
  <c r="BB76" i="40" a="1"/>
  <c r="BB76" i="40" s="1"/>
  <c r="CJ76" i="40" a="1"/>
  <c r="CJ76" i="40" s="1"/>
  <c r="BE74" i="40"/>
  <c r="Y74" i="40" s="1"/>
  <c r="N78" i="40"/>
  <c r="Q78" i="40"/>
  <c r="P78" i="40"/>
  <c r="CT76" i="40" a="1"/>
  <c r="CT76" i="40" s="1"/>
  <c r="I79" i="40"/>
  <c r="CH74" i="40" a="1"/>
  <c r="CH74" i="40" s="1"/>
  <c r="CF74" i="40" a="1"/>
  <c r="CF74" i="40" s="1"/>
  <c r="BP76" i="40"/>
  <c r="CN76" i="40" a="1"/>
  <c r="CN76" i="40" s="1"/>
  <c r="H79" i="40"/>
  <c r="E80" i="40" s="1" a="1"/>
  <c r="E80" i="40" s="1"/>
  <c r="F80" i="40" s="1" a="1"/>
  <c r="F80" i="40" s="1"/>
  <c r="AM77" i="40"/>
  <c r="CZ74" i="40" a="1"/>
  <c r="CZ74" i="40" s="1"/>
  <c r="CY74" i="40" a="1"/>
  <c r="CY74" i="40" s="1"/>
  <c r="DA74" i="40" a="1"/>
  <c r="DA74" i="40" s="1"/>
  <c r="DC74" i="40" a="1"/>
  <c r="DC74" i="40" s="1"/>
  <c r="CO74" i="40"/>
  <c r="AF74" i="40" s="1"/>
  <c r="BV76" i="40"/>
  <c r="CB76" i="40"/>
  <c r="BQ74" i="40" a="1"/>
  <c r="BQ74" i="40" s="1"/>
  <c r="BM74" i="40" a="1"/>
  <c r="BM74" i="40" s="1"/>
  <c r="BL74" i="40" a="1"/>
  <c r="BL74" i="40" s="1"/>
  <c r="BI74" i="40" a="1"/>
  <c r="BI74" i="40" s="1"/>
  <c r="BH74" i="40" a="1"/>
  <c r="BH74" i="40" s="1"/>
  <c r="BO74" i="40" a="1"/>
  <c r="BO74" i="40" s="1"/>
  <c r="BN74" i="40" a="1"/>
  <c r="BN74" i="40" s="1"/>
  <c r="BG74" i="40" a="1"/>
  <c r="BG74" i="40" s="1"/>
  <c r="BJ74" i="40" a="1"/>
  <c r="BJ74" i="40" s="1"/>
  <c r="BK74" i="40" a="1"/>
  <c r="BK74" i="40" s="1"/>
  <c r="BF74" i="40" a="1"/>
  <c r="BF74" i="40" s="1"/>
  <c r="BW74" i="40" a="1"/>
  <c r="BW74" i="40" s="1"/>
  <c r="BU74" i="40" a="1"/>
  <c r="BU74" i="40" s="1"/>
  <c r="CV76" i="40" a="1"/>
  <c r="CV76" i="40" s="1"/>
  <c r="CX76" i="40" s="1"/>
  <c r="AI76" i="40" s="1"/>
  <c r="CX74" i="40"/>
  <c r="AI74" i="40" s="1"/>
  <c r="CK76" i="40" a="1"/>
  <c r="CK76" i="40" s="1"/>
  <c r="CG76" i="40"/>
  <c r="CX75" i="40"/>
  <c r="AI75" i="40" s="1"/>
  <c r="CQ76" i="40" a="1"/>
  <c r="CQ76" i="40" s="1"/>
  <c r="CR76" i="40" s="1"/>
  <c r="AG76" i="40" s="1"/>
  <c r="DA75" i="40" a="1"/>
  <c r="DA75" i="40" s="1"/>
  <c r="DC75" i="40" a="1"/>
  <c r="DC75" i="40" s="1"/>
  <c r="CZ75" i="40" a="1"/>
  <c r="CZ75" i="40" s="1"/>
  <c r="CY75" i="40" a="1"/>
  <c r="CY75" i="40" s="1"/>
  <c r="CR74" i="40"/>
  <c r="AG74" i="40" s="1"/>
  <c r="Q79" i="39"/>
  <c r="P79" i="39"/>
  <c r="M80" i="39"/>
  <c r="H80" i="39" s="1"/>
  <c r="E81" i="39" s="1" a="1"/>
  <c r="E81" i="39" s="1"/>
  <c r="F81" i="39" s="1" a="1"/>
  <c r="F81" i="39" s="1"/>
  <c r="H63" i="35"/>
  <c r="E64" i="35" s="1" a="1"/>
  <c r="E64" i="35" s="1"/>
  <c r="F64" i="35" s="1" a="1"/>
  <c r="F64" i="35" s="1"/>
  <c r="M64" i="35" s="1"/>
  <c r="I64" i="35" s="1"/>
  <c r="G63" i="35"/>
  <c r="O63" i="35" s="1"/>
  <c r="CE75" i="40" l="1" a="1"/>
  <c r="CE75" i="40" s="1"/>
  <c r="AC75" i="40" s="1"/>
  <c r="CU76" i="40"/>
  <c r="AH76" i="40" s="1"/>
  <c r="CZ76" i="40" a="1"/>
  <c r="CZ76" i="40" s="1"/>
  <c r="BE76" i="40"/>
  <c r="Y76" i="40" s="1"/>
  <c r="BX74" i="40"/>
  <c r="AB74" i="40" s="1"/>
  <c r="BR75" i="40" a="1"/>
  <c r="BR75" i="40" s="1"/>
  <c r="Z75" i="40" s="1"/>
  <c r="CO76" i="40"/>
  <c r="AF76" i="40" s="1"/>
  <c r="BA76" i="40"/>
  <c r="X76" i="40" s="1"/>
  <c r="AX75" i="40" a="1"/>
  <c r="AX75" i="40" s="1"/>
  <c r="W75" i="40" s="1"/>
  <c r="AU76" i="40" a="1"/>
  <c r="AU76" i="40" s="1"/>
  <c r="AX76" i="40" s="1" a="1"/>
  <c r="AX76" i="40" s="1"/>
  <c r="W76" i="40" s="1"/>
  <c r="AW76" i="40" a="1"/>
  <c r="AW76" i="40" s="1"/>
  <c r="DA76" i="40" a="1"/>
  <c r="DA76" i="40" s="1"/>
  <c r="CY76" i="40" a="1"/>
  <c r="CY76" i="40" s="1"/>
  <c r="AN77" i="40"/>
  <c r="AO77" i="40" s="1"/>
  <c r="AP77" i="40" s="1"/>
  <c r="AQ77" i="40" s="1"/>
  <c r="AR77" i="40" s="1"/>
  <c r="AS77" i="40" s="1"/>
  <c r="BS77" i="40" s="1" a="1"/>
  <c r="BS77" i="40" s="1"/>
  <c r="BT77" i="40" s="1"/>
  <c r="AA77" i="40" s="1"/>
  <c r="AA16" i="40" s="1"/>
  <c r="CI74" i="40"/>
  <c r="AD74" i="40" s="1"/>
  <c r="BN76" i="40" a="1"/>
  <c r="BN76" i="40" s="1"/>
  <c r="BI76" i="40" a="1"/>
  <c r="BI76" i="40" s="1"/>
  <c r="BG76" i="40" a="1"/>
  <c r="BG76" i="40" s="1"/>
  <c r="BH76" i="40" a="1"/>
  <c r="BH76" i="40" s="1"/>
  <c r="BM76" i="40" a="1"/>
  <c r="BM76" i="40" s="1"/>
  <c r="BF76" i="40" a="1"/>
  <c r="BF76" i="40" s="1"/>
  <c r="BL76" i="40" a="1"/>
  <c r="BL76" i="40" s="1"/>
  <c r="BQ76" i="40" a="1"/>
  <c r="BQ76" i="40" s="1"/>
  <c r="BJ76" i="40" a="1"/>
  <c r="BJ76" i="40" s="1"/>
  <c r="BO76" i="40" a="1"/>
  <c r="BO76" i="40" s="1"/>
  <c r="BK76" i="40" a="1"/>
  <c r="BK76" i="40" s="1"/>
  <c r="CH76" i="40" a="1"/>
  <c r="CH76" i="40" s="1"/>
  <c r="CF76" i="40" a="1"/>
  <c r="CF76" i="40" s="1"/>
  <c r="CI76" i="40" s="1"/>
  <c r="AD76" i="40" s="1"/>
  <c r="BU76" i="40" a="1"/>
  <c r="BU76" i="40" s="1"/>
  <c r="BW76" i="40" a="1"/>
  <c r="BW76" i="40" s="1"/>
  <c r="M80" i="40"/>
  <c r="G80" i="40" s="1"/>
  <c r="O80" i="40" s="1"/>
  <c r="H80" i="40"/>
  <c r="E81" i="40" s="1" a="1"/>
  <c r="E81" i="40" s="1"/>
  <c r="F81" i="40" s="1" a="1"/>
  <c r="F81" i="40" s="1"/>
  <c r="BZ76" i="40" a="1"/>
  <c r="BZ76" i="40" s="1"/>
  <c r="BY76" i="40" a="1"/>
  <c r="BY76" i="40" s="1"/>
  <c r="CD76" i="40"/>
  <c r="CC76" i="40" s="1" a="1"/>
  <c r="CC76" i="40" s="1"/>
  <c r="CA76" i="40" a="1"/>
  <c r="CA76" i="40" s="1"/>
  <c r="DD75" i="40"/>
  <c r="AJ75" i="40" s="1"/>
  <c r="BR74" i="40" a="1"/>
  <c r="BR74" i="40" s="1"/>
  <c r="Z74" i="40" s="1"/>
  <c r="DD74" i="40"/>
  <c r="AJ74" i="40" s="1"/>
  <c r="CL76" i="40"/>
  <c r="AE76" i="40" s="1"/>
  <c r="CE74" i="40" a="1"/>
  <c r="CE74" i="40" s="1"/>
  <c r="AC74" i="40" s="1"/>
  <c r="I80" i="39"/>
  <c r="M81" i="39"/>
  <c r="G81" i="39" s="1"/>
  <c r="O81" i="39" s="1"/>
  <c r="G80" i="39"/>
  <c r="O80" i="39" s="1"/>
  <c r="H64" i="35"/>
  <c r="E65" i="35" s="1" a="1"/>
  <c r="E65" i="35" s="1"/>
  <c r="F65" i="35" s="1" a="1"/>
  <c r="F65" i="35" s="1"/>
  <c r="G64" i="35"/>
  <c r="O64" i="35" s="1"/>
  <c r="Q63" i="35"/>
  <c r="P63" i="35"/>
  <c r="N63" i="35"/>
  <c r="U75" i="40" l="1"/>
  <c r="DD76" i="40"/>
  <c r="AJ76" i="40" s="1"/>
  <c r="V74" i="40"/>
  <c r="CE76" i="40" a="1"/>
  <c r="CE76" i="40" s="1"/>
  <c r="AC76" i="40" s="1"/>
  <c r="V75" i="40"/>
  <c r="CM77" i="40" a="1"/>
  <c r="CM77" i="40" s="1"/>
  <c r="BP77" i="40"/>
  <c r="BO77" i="40" s="1" a="1"/>
  <c r="BO77" i="40" s="1"/>
  <c r="CV77" i="40" a="1"/>
  <c r="CV77" i="40" s="1"/>
  <c r="BV77" i="40"/>
  <c r="N80" i="40"/>
  <c r="Q80" i="40"/>
  <c r="P80" i="40"/>
  <c r="AK75" i="40"/>
  <c r="CN77" i="40" a="1"/>
  <c r="CN77" i="40" s="1"/>
  <c r="AZ77" i="40" a="1"/>
  <c r="AZ77" i="40" s="1"/>
  <c r="AY77" i="40" a="1"/>
  <c r="AY77" i="40" s="1"/>
  <c r="BA77" i="40" s="1"/>
  <c r="X77" i="40" s="1"/>
  <c r="X16" i="40" s="1"/>
  <c r="CK77" i="40" a="1"/>
  <c r="CK77" i="40" s="1"/>
  <c r="I80" i="40"/>
  <c r="CW77" i="40" a="1"/>
  <c r="CW77" i="40" s="1"/>
  <c r="CP77" i="40" a="1"/>
  <c r="CP77" i="40" s="1"/>
  <c r="AV77" i="40"/>
  <c r="BR76" i="40" a="1"/>
  <c r="BR76" i="40" s="1"/>
  <c r="Z76" i="40" s="1"/>
  <c r="CQ77" i="40" a="1"/>
  <c r="CQ77" i="40" s="1"/>
  <c r="BD77" i="40"/>
  <c r="BC77" i="40" s="1" a="1"/>
  <c r="BC77" i="40" s="1"/>
  <c r="CT77" i="40" a="1"/>
  <c r="CT77" i="40" s="1"/>
  <c r="CS77" i="40" a="1"/>
  <c r="CS77" i="40" s="1"/>
  <c r="M81" i="40"/>
  <c r="G81" i="40" s="1"/>
  <c r="O81" i="40" s="1"/>
  <c r="BX76" i="40"/>
  <c r="AB76" i="40" s="1"/>
  <c r="DB77" i="40"/>
  <c r="U74" i="40"/>
  <c r="CJ77" i="40" a="1"/>
  <c r="CJ77" i="40" s="1"/>
  <c r="AK74" i="40"/>
  <c r="CG77" i="40"/>
  <c r="CB77" i="40"/>
  <c r="BB77" i="40" a="1"/>
  <c r="BB77" i="40" s="1"/>
  <c r="I81" i="39"/>
  <c r="H81" i="39"/>
  <c r="E82" i="39" s="1" a="1"/>
  <c r="E82" i="39" s="1"/>
  <c r="F82" i="39" s="1" a="1"/>
  <c r="F82" i="39" s="1"/>
  <c r="M82" i="39" s="1"/>
  <c r="H82" i="39" s="1"/>
  <c r="E83" i="39" s="1" a="1"/>
  <c r="E83" i="39" s="1"/>
  <c r="F83" i="39" s="1" a="1"/>
  <c r="F83" i="39" s="1"/>
  <c r="N80" i="39"/>
  <c r="Q80" i="39"/>
  <c r="P80" i="39"/>
  <c r="N81" i="39"/>
  <c r="Q81" i="39"/>
  <c r="P81" i="39"/>
  <c r="P64" i="35"/>
  <c r="N64" i="35"/>
  <c r="Q64" i="35"/>
  <c r="M65" i="35"/>
  <c r="I65" i="35" s="1"/>
  <c r="BN77" i="40" l="1" a="1"/>
  <c r="BN77" i="40" s="1"/>
  <c r="BK77" i="40" a="1"/>
  <c r="BK77" i="40" s="1"/>
  <c r="BJ77" i="40" a="1"/>
  <c r="BJ77" i="40" s="1"/>
  <c r="BH77" i="40" a="1"/>
  <c r="BH77" i="40" s="1"/>
  <c r="CO77" i="40"/>
  <c r="AF77" i="40" s="1"/>
  <c r="AF16" i="40" s="1"/>
  <c r="BI77" i="40" a="1"/>
  <c r="BI77" i="40" s="1"/>
  <c r="CX77" i="40"/>
  <c r="AI77" i="40" s="1"/>
  <c r="AI16" i="40" s="1"/>
  <c r="BQ77" i="40" a="1"/>
  <c r="BQ77" i="40" s="1"/>
  <c r="BG77" i="40" a="1"/>
  <c r="BG77" i="40" s="1"/>
  <c r="BM77" i="40" a="1"/>
  <c r="BM77" i="40" s="1"/>
  <c r="I81" i="40"/>
  <c r="BW77" i="40" a="1"/>
  <c r="BW77" i="40" s="1"/>
  <c r="BU77" i="40" a="1"/>
  <c r="BU77" i="40" s="1"/>
  <c r="BX77" i="40" s="1"/>
  <c r="AB77" i="40" s="1"/>
  <c r="AB16" i="40" s="1"/>
  <c r="BF77" i="40" a="1"/>
  <c r="BF77" i="40" s="1"/>
  <c r="BL77" i="40" a="1"/>
  <c r="BL77" i="40" s="1"/>
  <c r="H81" i="40"/>
  <c r="E82" i="40" s="1" a="1"/>
  <c r="E82" i="40" s="1"/>
  <c r="F82" i="40" s="1" a="1"/>
  <c r="F82" i="40" s="1"/>
  <c r="N81" i="40"/>
  <c r="P81" i="40"/>
  <c r="Q81" i="40"/>
  <c r="CF77" i="40" a="1"/>
  <c r="CF77" i="40" s="1"/>
  <c r="CI77" i="40" s="1"/>
  <c r="AD77" i="40" s="1"/>
  <c r="AD16" i="40" s="1"/>
  <c r="CH77" i="40" a="1"/>
  <c r="CH77" i="40" s="1"/>
  <c r="CD77" i="40"/>
  <c r="CC77" i="40" s="1" a="1"/>
  <c r="CC77" i="40" s="1"/>
  <c r="CA77" i="40" a="1"/>
  <c r="CA77" i="40" s="1"/>
  <c r="BZ77" i="40" a="1"/>
  <c r="BZ77" i="40" s="1"/>
  <c r="BY77" i="40" a="1"/>
  <c r="BY77" i="40" s="1"/>
  <c r="AK76" i="40"/>
  <c r="U76" i="40"/>
  <c r="V76" i="40"/>
  <c r="CU77" i="40"/>
  <c r="AH77" i="40" s="1"/>
  <c r="AH16" i="40" s="1"/>
  <c r="BE77" i="40"/>
  <c r="Y77" i="40" s="1"/>
  <c r="Y16" i="40" s="1"/>
  <c r="AW77" i="40" a="1"/>
  <c r="AW77" i="40" s="1"/>
  <c r="AT77" i="40" a="1"/>
  <c r="AT77" i="40" s="1"/>
  <c r="AU77" i="40" a="1"/>
  <c r="AU77" i="40" s="1"/>
  <c r="CR77" i="40"/>
  <c r="AG77" i="40" s="1"/>
  <c r="AG16" i="40" s="1"/>
  <c r="CL77" i="40"/>
  <c r="AE77" i="40" s="1"/>
  <c r="AE16" i="40" s="1"/>
  <c r="CY77" i="40" a="1"/>
  <c r="CY77" i="40" s="1"/>
  <c r="DC77" i="40" a="1"/>
  <c r="DC77" i="40" s="1"/>
  <c r="CZ77" i="40" a="1"/>
  <c r="CZ77" i="40" s="1"/>
  <c r="DA77" i="40" a="1"/>
  <c r="DA77" i="40" s="1"/>
  <c r="M82" i="40"/>
  <c r="H82" i="40" s="1"/>
  <c r="E83" i="40" s="1" a="1"/>
  <c r="E83" i="40" s="1"/>
  <c r="F83" i="40" s="1" a="1"/>
  <c r="F83" i="40" s="1"/>
  <c r="G82" i="39"/>
  <c r="O82" i="39" s="1"/>
  <c r="N82" i="39" s="1"/>
  <c r="M83" i="39"/>
  <c r="I83" i="39" s="1"/>
  <c r="I82" i="39"/>
  <c r="G65" i="35"/>
  <c r="O65" i="35" s="1"/>
  <c r="H65" i="35"/>
  <c r="E66" i="35" s="1" a="1"/>
  <c r="E66" i="35" s="1"/>
  <c r="F66" i="35" s="1" a="1"/>
  <c r="F66" i="35" s="1"/>
  <c r="AX77" i="40" l="1" a="1"/>
  <c r="AX77" i="40" s="1"/>
  <c r="W77" i="40" s="1"/>
  <c r="CE77" i="40" a="1"/>
  <c r="CE77" i="40" s="1"/>
  <c r="AC77" i="40" s="1"/>
  <c r="AC16" i="40" s="1"/>
  <c r="I82" i="40"/>
  <c r="BR77" i="40" a="1"/>
  <c r="BR77" i="40" s="1"/>
  <c r="Z77" i="40" s="1"/>
  <c r="Z16" i="40" s="1"/>
  <c r="G82" i="40"/>
  <c r="O82" i="40" s="1"/>
  <c r="P82" i="40" s="1"/>
  <c r="DD77" i="40"/>
  <c r="AJ77" i="40" s="1"/>
  <c r="AJ16" i="40" s="1"/>
  <c r="M83" i="40"/>
  <c r="H83" i="40" s="1"/>
  <c r="E84" i="40" s="1" a="1"/>
  <c r="E84" i="40" s="1"/>
  <c r="F84" i="40" s="1" a="1"/>
  <c r="F84" i="40" s="1"/>
  <c r="W16" i="40"/>
  <c r="Q82" i="39"/>
  <c r="P82" i="39"/>
  <c r="G83" i="39"/>
  <c r="O83" i="39" s="1"/>
  <c r="N83" i="39" s="1"/>
  <c r="H83" i="39"/>
  <c r="E84" i="39" s="1" a="1"/>
  <c r="E84" i="39" s="1"/>
  <c r="F84" i="39" s="1" a="1"/>
  <c r="F84" i="39" s="1"/>
  <c r="M84" i="39" s="1"/>
  <c r="I84" i="39" s="1"/>
  <c r="M66" i="35"/>
  <c r="I66" i="35" s="1"/>
  <c r="P65" i="35"/>
  <c r="Q65" i="35"/>
  <c r="N65" i="35"/>
  <c r="U77" i="40" l="1"/>
  <c r="AK77" i="40"/>
  <c r="V77" i="40"/>
  <c r="Q82" i="40"/>
  <c r="N82" i="40"/>
  <c r="M84" i="40"/>
  <c r="G84" i="40" s="1"/>
  <c r="O84" i="40" s="1"/>
  <c r="G83" i="40"/>
  <c r="O83" i="40" s="1"/>
  <c r="I83" i="40"/>
  <c r="P83" i="39"/>
  <c r="Q83" i="39"/>
  <c r="H84" i="39"/>
  <c r="E85" i="39" s="1" a="1"/>
  <c r="E85" i="39" s="1"/>
  <c r="F85" i="39" s="1" a="1"/>
  <c r="F85" i="39" s="1"/>
  <c r="M85" i="39" s="1"/>
  <c r="H85" i="39" s="1"/>
  <c r="E86" i="39" s="1" a="1"/>
  <c r="E86" i="39" s="1"/>
  <c r="F86" i="39" s="1" a="1"/>
  <c r="F86" i="39" s="1"/>
  <c r="G84" i="39"/>
  <c r="O84" i="39" s="1"/>
  <c r="N84" i="39" s="1"/>
  <c r="G66" i="35"/>
  <c r="O66" i="35" s="1"/>
  <c r="Q66" i="35" s="1"/>
  <c r="H66" i="35"/>
  <c r="E67" i="35" s="1" a="1"/>
  <c r="E67" i="35" s="1"/>
  <c r="F67" i="35" s="1" a="1"/>
  <c r="F67" i="35" s="1"/>
  <c r="M67" i="35" s="1"/>
  <c r="H84" i="40" l="1"/>
  <c r="E85" i="40" s="1" a="1"/>
  <c r="E85" i="40" s="1"/>
  <c r="F85" i="40" s="1" a="1"/>
  <c r="F85" i="40" s="1"/>
  <c r="M85" i="40" s="1"/>
  <c r="I85" i="40" s="1"/>
  <c r="I84" i="40"/>
  <c r="N84" i="40"/>
  <c r="Q84" i="40"/>
  <c r="P84" i="40"/>
  <c r="Q83" i="40"/>
  <c r="P83" i="40"/>
  <c r="N83" i="40"/>
  <c r="P84" i="39"/>
  <c r="Q84" i="39"/>
  <c r="G85" i="39"/>
  <c r="O85" i="39" s="1"/>
  <c r="Q85" i="39" s="1"/>
  <c r="I85" i="39"/>
  <c r="M86" i="39"/>
  <c r="I86" i="39" s="1"/>
  <c r="P66" i="35"/>
  <c r="N66" i="35"/>
  <c r="I67" i="35"/>
  <c r="G67" i="35"/>
  <c r="O67" i="35" s="1"/>
  <c r="Q67" i="35" s="1"/>
  <c r="H67" i="35"/>
  <c r="E68" i="35" s="1" a="1"/>
  <c r="E68" i="35" s="1"/>
  <c r="F68" i="35" s="1" a="1"/>
  <c r="F68" i="35" s="1"/>
  <c r="M68" i="35" s="1"/>
  <c r="I68" i="35" s="1"/>
  <c r="N85" i="39" l="1"/>
  <c r="G85" i="40"/>
  <c r="O85" i="40" s="1"/>
  <c r="H85" i="40"/>
  <c r="E86" i="40" s="1" a="1"/>
  <c r="E86" i="40" s="1"/>
  <c r="F86" i="40" s="1" a="1"/>
  <c r="F86" i="40" s="1"/>
  <c r="P85" i="39"/>
  <c r="G86" i="39"/>
  <c r="O86" i="39" s="1"/>
  <c r="N86" i="39" s="1"/>
  <c r="H86" i="39"/>
  <c r="E87" i="39" s="1" a="1"/>
  <c r="E87" i="39" s="1"/>
  <c r="F87" i="39" s="1" a="1"/>
  <c r="F87" i="39" s="1"/>
  <c r="M87" i="39" s="1"/>
  <c r="I87" i="39" s="1"/>
  <c r="N67" i="35"/>
  <c r="P67" i="35"/>
  <c r="H68" i="35"/>
  <c r="E69" i="35" s="1" a="1"/>
  <c r="E69" i="35" s="1"/>
  <c r="F69" i="35" s="1" a="1"/>
  <c r="F69" i="35" s="1"/>
  <c r="M69" i="35" s="1"/>
  <c r="I69" i="35" s="1"/>
  <c r="G68" i="35"/>
  <c r="O68" i="35" s="1"/>
  <c r="Q68" i="35" s="1"/>
  <c r="M86" i="40" l="1"/>
  <c r="I86" i="40" s="1"/>
  <c r="Q85" i="40"/>
  <c r="P85" i="40"/>
  <c r="N85" i="40"/>
  <c r="Q86" i="39"/>
  <c r="P86" i="39"/>
  <c r="G87" i="39"/>
  <c r="O87" i="39" s="1"/>
  <c r="N87" i="39" s="1"/>
  <c r="H87" i="39"/>
  <c r="E88" i="39" s="1" a="1"/>
  <c r="E88" i="39" s="1"/>
  <c r="F88" i="39" s="1" a="1"/>
  <c r="F88" i="39" s="1"/>
  <c r="N68" i="35"/>
  <c r="P68" i="35"/>
  <c r="H69" i="35"/>
  <c r="E70" i="35" s="1" a="1"/>
  <c r="E70" i="35" s="1"/>
  <c r="F70" i="35" s="1" a="1"/>
  <c r="F70" i="35" s="1"/>
  <c r="G69" i="35"/>
  <c r="O69" i="35" s="1"/>
  <c r="H86" i="40" l="1"/>
  <c r="E87" i="40" s="1" a="1"/>
  <c r="E87" i="40" s="1"/>
  <c r="F87" i="40" s="1" a="1"/>
  <c r="F87" i="40" s="1"/>
  <c r="G86" i="40"/>
  <c r="O86" i="40" s="1"/>
  <c r="P87" i="39"/>
  <c r="Q87" i="39"/>
  <c r="M88" i="39"/>
  <c r="G88" i="39" s="1"/>
  <c r="O88" i="39" s="1"/>
  <c r="P69" i="35"/>
  <c r="N69" i="35"/>
  <c r="Q69" i="35"/>
  <c r="M70" i="35"/>
  <c r="I70" i="35" s="1"/>
  <c r="Q86" i="40" l="1"/>
  <c r="N86" i="40"/>
  <c r="P86" i="40"/>
  <c r="M87" i="40"/>
  <c r="H87" i="40" s="1"/>
  <c r="E88" i="40" s="1" a="1"/>
  <c r="E88" i="40" s="1"/>
  <c r="F88" i="40" s="1" a="1"/>
  <c r="F88" i="40" s="1"/>
  <c r="N88" i="39"/>
  <c r="Q88" i="39"/>
  <c r="P88" i="39"/>
  <c r="H88" i="39"/>
  <c r="E89" i="39" s="1" a="1"/>
  <c r="E89" i="39" s="1"/>
  <c r="F89" i="39" s="1" a="1"/>
  <c r="F89" i="39" s="1"/>
  <c r="I88" i="39"/>
  <c r="G70" i="35"/>
  <c r="O70" i="35" s="1"/>
  <c r="H70" i="35"/>
  <c r="E71" i="35" s="1" a="1"/>
  <c r="E71" i="35" s="1"/>
  <c r="F71" i="35" s="1" a="1"/>
  <c r="F71" i="35" s="1"/>
  <c r="M88" i="40" l="1"/>
  <c r="H88" i="40" s="1"/>
  <c r="E89" i="40" s="1" a="1"/>
  <c r="E89" i="40" s="1"/>
  <c r="F89" i="40" s="1" a="1"/>
  <c r="F89" i="40" s="1"/>
  <c r="I87" i="40"/>
  <c r="G87" i="40"/>
  <c r="O87" i="40" s="1"/>
  <c r="M89" i="39"/>
  <c r="G89" i="39" s="1"/>
  <c r="O89" i="39" s="1"/>
  <c r="M71" i="35"/>
  <c r="I71" i="35" s="1"/>
  <c r="P70" i="35"/>
  <c r="N70" i="35"/>
  <c r="Q70" i="35"/>
  <c r="M89" i="40" l="1"/>
  <c r="I89" i="40" s="1"/>
  <c r="P87" i="40"/>
  <c r="Q87" i="40"/>
  <c r="N87" i="40"/>
  <c r="I88" i="40"/>
  <c r="G88" i="40"/>
  <c r="O88" i="40" s="1"/>
  <c r="H89" i="39"/>
  <c r="E90" i="39" s="1" a="1"/>
  <c r="E90" i="39" s="1"/>
  <c r="F90" i="39" s="1" a="1"/>
  <c r="F90" i="39" s="1"/>
  <c r="M90" i="39" s="1"/>
  <c r="I90" i="39" s="1"/>
  <c r="I89" i="39"/>
  <c r="N89" i="39"/>
  <c r="Q89" i="39"/>
  <c r="P89" i="39"/>
  <c r="H71" i="35"/>
  <c r="E72" i="35" s="1" a="1"/>
  <c r="E72" i="35" s="1"/>
  <c r="F72" i="35" s="1" a="1"/>
  <c r="F72" i="35" s="1"/>
  <c r="M72" i="35" s="1"/>
  <c r="I72" i="35" s="1"/>
  <c r="G71" i="35"/>
  <c r="O71" i="35" s="1"/>
  <c r="N71" i="35" s="1"/>
  <c r="Q88" i="40" l="1"/>
  <c r="P88" i="40"/>
  <c r="N88" i="40"/>
  <c r="G89" i="40"/>
  <c r="O89" i="40" s="1"/>
  <c r="H89" i="40"/>
  <c r="E90" i="40" s="1" a="1"/>
  <c r="E90" i="40" s="1"/>
  <c r="F90" i="40" s="1" a="1"/>
  <c r="F90" i="40" s="1"/>
  <c r="G90" i="39"/>
  <c r="O90" i="39" s="1"/>
  <c r="N90" i="39" s="1"/>
  <c r="H90" i="39"/>
  <c r="E91" i="39" s="1" a="1"/>
  <c r="E91" i="39" s="1"/>
  <c r="F91" i="39" s="1" a="1"/>
  <c r="F91" i="39" s="1"/>
  <c r="M91" i="39" s="1"/>
  <c r="I91" i="39" s="1"/>
  <c r="Q71" i="35"/>
  <c r="P71" i="35"/>
  <c r="H72" i="35"/>
  <c r="E73" i="35" s="1" a="1"/>
  <c r="E73" i="35" s="1"/>
  <c r="F73" i="35" s="1" a="1"/>
  <c r="F73" i="35" s="1"/>
  <c r="G72" i="35"/>
  <c r="O72" i="35" s="1"/>
  <c r="P90" i="39" l="1"/>
  <c r="Q90" i="39"/>
  <c r="M90" i="40"/>
  <c r="I90" i="40" s="1"/>
  <c r="N89" i="40"/>
  <c r="P89" i="40"/>
  <c r="Q89" i="40"/>
  <c r="G91" i="39"/>
  <c r="O91" i="39" s="1"/>
  <c r="N91" i="39" s="1"/>
  <c r="H91" i="39"/>
  <c r="E92" i="39" s="1" a="1"/>
  <c r="E92" i="39" s="1"/>
  <c r="F92" i="39" s="1" a="1"/>
  <c r="F92" i="39" s="1"/>
  <c r="N72" i="35"/>
  <c r="P72" i="35"/>
  <c r="Q72" i="35"/>
  <c r="M73" i="35"/>
  <c r="I73" i="35" s="1"/>
  <c r="G90" i="40" l="1"/>
  <c r="O90" i="40" s="1"/>
  <c r="Q90" i="40" s="1"/>
  <c r="H90" i="40"/>
  <c r="E91" i="40" s="1" a="1"/>
  <c r="E91" i="40" s="1"/>
  <c r="F91" i="40" s="1" a="1"/>
  <c r="F91" i="40" s="1"/>
  <c r="M91" i="40" s="1"/>
  <c r="G91" i="40" s="1"/>
  <c r="O91" i="40" s="1"/>
  <c r="P91" i="39"/>
  <c r="Q91" i="39"/>
  <c r="M92" i="39"/>
  <c r="G92" i="39" s="1"/>
  <c r="O92" i="39" s="1"/>
  <c r="G73" i="35"/>
  <c r="O73" i="35" s="1"/>
  <c r="H73" i="35"/>
  <c r="E74" i="35" s="1" a="1"/>
  <c r="E74" i="35" s="1"/>
  <c r="F74" i="35" s="1" a="1"/>
  <c r="F74" i="35" s="1"/>
  <c r="N90" i="40" l="1"/>
  <c r="P90" i="40"/>
  <c r="P91" i="40"/>
  <c r="N91" i="40"/>
  <c r="Q91" i="40"/>
  <c r="H91" i="40"/>
  <c r="E92" i="40" s="1" a="1"/>
  <c r="E92" i="40" s="1"/>
  <c r="F92" i="40" s="1" a="1"/>
  <c r="F92" i="40" s="1"/>
  <c r="I91" i="40"/>
  <c r="H92" i="39"/>
  <c r="E93" i="39" s="1" a="1"/>
  <c r="E93" i="39" s="1"/>
  <c r="F93" i="39" s="1" a="1"/>
  <c r="F93" i="39" s="1"/>
  <c r="M93" i="39" s="1"/>
  <c r="G93" i="39" s="1"/>
  <c r="O93" i="39" s="1"/>
  <c r="N92" i="39"/>
  <c r="Q92" i="39"/>
  <c r="P92" i="39"/>
  <c r="I92" i="39"/>
  <c r="N73" i="35"/>
  <c r="Q73" i="35"/>
  <c r="P73" i="35"/>
  <c r="M74" i="35"/>
  <c r="I74" i="35" s="1"/>
  <c r="W7" i="12" a="1"/>
  <c r="W7" i="12" s="1"/>
  <c r="W6" i="12"/>
  <c r="X160" i="12"/>
  <c r="V160" i="12"/>
  <c r="X3" i="12" s="1"/>
  <c r="X1" i="12"/>
  <c r="W1" i="12"/>
  <c r="A1" i="12"/>
  <c r="D84" i="12"/>
  <c r="E84" i="12" s="1"/>
  <c r="F84" i="12" s="1"/>
  <c r="D83" i="12"/>
  <c r="E83" i="12" s="1"/>
  <c r="F83" i="12" s="1"/>
  <c r="D82" i="12"/>
  <c r="E82" i="12" s="1"/>
  <c r="F82" i="12" s="1"/>
  <c r="D81" i="12"/>
  <c r="E81" i="12" s="1"/>
  <c r="F81" i="12" s="1"/>
  <c r="D80" i="12"/>
  <c r="E80" i="12" s="1"/>
  <c r="F80" i="12" s="1"/>
  <c r="D79" i="12"/>
  <c r="E79" i="12" s="1"/>
  <c r="F79" i="12" s="1"/>
  <c r="D78" i="12"/>
  <c r="E78" i="12" s="1"/>
  <c r="F78" i="12" s="1"/>
  <c r="D77" i="12"/>
  <c r="E77" i="12" s="1"/>
  <c r="F77" i="12" s="1"/>
  <c r="D76" i="12"/>
  <c r="E76" i="12" s="1"/>
  <c r="F76" i="12" s="1"/>
  <c r="D75" i="12"/>
  <c r="E75" i="12" s="1"/>
  <c r="F75" i="12" s="1"/>
  <c r="D74" i="12"/>
  <c r="E74" i="12" s="1"/>
  <c r="F74" i="12" s="1"/>
  <c r="D73" i="12"/>
  <c r="E73" i="12" s="1"/>
  <c r="F73" i="12" s="1"/>
  <c r="D72" i="12"/>
  <c r="E72" i="12" s="1"/>
  <c r="F72" i="12" s="1"/>
  <c r="D71" i="12"/>
  <c r="E71" i="12" s="1"/>
  <c r="F71" i="12" s="1"/>
  <c r="D70" i="12"/>
  <c r="E70" i="12" s="1"/>
  <c r="F70" i="12" s="1"/>
  <c r="D69" i="12"/>
  <c r="E69" i="12" s="1"/>
  <c r="F69" i="12" s="1"/>
  <c r="D68" i="12"/>
  <c r="E68" i="12" s="1"/>
  <c r="F68" i="12" s="1"/>
  <c r="D67" i="12"/>
  <c r="E67" i="12" s="1"/>
  <c r="F67" i="12" s="1"/>
  <c r="D66" i="12"/>
  <c r="E66" i="12" s="1"/>
  <c r="F66" i="12" s="1"/>
  <c r="D65" i="12"/>
  <c r="E65" i="12" s="1"/>
  <c r="F65" i="12" s="1"/>
  <c r="D64" i="12"/>
  <c r="E64" i="12" s="1"/>
  <c r="F64" i="12" s="1"/>
  <c r="D63" i="12"/>
  <c r="E63" i="12" s="1"/>
  <c r="F63" i="12" s="1"/>
  <c r="D62" i="12"/>
  <c r="E62" i="12" s="1"/>
  <c r="F62" i="12" s="1"/>
  <c r="D61" i="12"/>
  <c r="E61" i="12" s="1"/>
  <c r="F61" i="12" s="1"/>
  <c r="D60" i="12"/>
  <c r="E60" i="12" s="1"/>
  <c r="F60" i="12" s="1"/>
  <c r="D59" i="12"/>
  <c r="E59" i="12" s="1"/>
  <c r="F59" i="12" s="1"/>
  <c r="D58" i="12"/>
  <c r="E58" i="12" s="1"/>
  <c r="F58" i="12" s="1"/>
  <c r="D57" i="12"/>
  <c r="E57" i="12" s="1"/>
  <c r="F57" i="12" s="1"/>
  <c r="D56" i="12"/>
  <c r="E56" i="12" s="1"/>
  <c r="F56" i="12" s="1"/>
  <c r="D55" i="12"/>
  <c r="E55" i="12" s="1"/>
  <c r="F55" i="12" s="1"/>
  <c r="D54" i="12"/>
  <c r="E54" i="12" s="1"/>
  <c r="F54" i="12" s="1"/>
  <c r="D53" i="12"/>
  <c r="E53" i="12" s="1"/>
  <c r="F53" i="12" s="1"/>
  <c r="D52" i="12"/>
  <c r="E52" i="12" s="1"/>
  <c r="F52" i="12" s="1"/>
  <c r="D51" i="12"/>
  <c r="E51" i="12" s="1"/>
  <c r="F51" i="12" s="1"/>
  <c r="D50" i="12"/>
  <c r="E50" i="12" s="1"/>
  <c r="F50" i="12" s="1"/>
  <c r="D49" i="12"/>
  <c r="E49" i="12" s="1"/>
  <c r="F49" i="12" s="1"/>
  <c r="D48" i="12"/>
  <c r="E48" i="12" s="1"/>
  <c r="F48" i="12" s="1"/>
  <c r="D47" i="12"/>
  <c r="E47" i="12" s="1"/>
  <c r="F47" i="12" s="1"/>
  <c r="D46" i="12"/>
  <c r="E46" i="12" s="1"/>
  <c r="F46" i="12" s="1"/>
  <c r="D45" i="12"/>
  <c r="E45" i="12" s="1"/>
  <c r="F45" i="12" s="1"/>
  <c r="D44" i="12"/>
  <c r="E44" i="12" s="1"/>
  <c r="F44" i="12" s="1"/>
  <c r="D43" i="12"/>
  <c r="E43" i="12" s="1"/>
  <c r="F43" i="12" s="1"/>
  <c r="D42" i="12"/>
  <c r="E42" i="12" s="1"/>
  <c r="F42" i="12" s="1"/>
  <c r="D41" i="12"/>
  <c r="E41" i="12" s="1"/>
  <c r="F41" i="12" s="1"/>
  <c r="D40" i="12"/>
  <c r="E40" i="12" s="1"/>
  <c r="F40" i="12" s="1"/>
  <c r="D39" i="12"/>
  <c r="E39" i="12" s="1"/>
  <c r="F39" i="12" s="1"/>
  <c r="D38" i="12"/>
  <c r="E38" i="12" s="1"/>
  <c r="F38" i="12" s="1"/>
  <c r="D37" i="12"/>
  <c r="E37" i="12" s="1"/>
  <c r="F37" i="12" s="1"/>
  <c r="D36" i="12"/>
  <c r="E36" i="12" s="1"/>
  <c r="F36" i="12" s="1"/>
  <c r="D35" i="12"/>
  <c r="E35" i="12" s="1"/>
  <c r="F35" i="12" s="1"/>
  <c r="D34" i="12"/>
  <c r="E34" i="12" s="1"/>
  <c r="F34" i="12" s="1"/>
  <c r="D33" i="12"/>
  <c r="E33" i="12" s="1"/>
  <c r="F33" i="12" s="1"/>
  <c r="D32" i="12"/>
  <c r="E32" i="12" s="1"/>
  <c r="F32" i="12" s="1"/>
  <c r="D31" i="12"/>
  <c r="E31" i="12" s="1"/>
  <c r="F31" i="12" s="1"/>
  <c r="D30" i="12"/>
  <c r="E30" i="12" s="1"/>
  <c r="F30" i="12" s="1"/>
  <c r="D29" i="12"/>
  <c r="E29" i="12" s="1"/>
  <c r="F29" i="12" s="1"/>
  <c r="D28" i="12"/>
  <c r="E28" i="12" s="1"/>
  <c r="F28" i="12" s="1"/>
  <c r="D27" i="12"/>
  <c r="E27" i="12" s="1"/>
  <c r="F27" i="12" s="1"/>
  <c r="D26" i="12"/>
  <c r="E26" i="12" s="1"/>
  <c r="F26" i="12" s="1"/>
  <c r="G20" i="12"/>
  <c r="G18" i="12"/>
  <c r="D18" i="12"/>
  <c r="C18" i="12"/>
  <c r="M92" i="40" l="1"/>
  <c r="G92" i="40" s="1"/>
  <c r="O92" i="40" s="1"/>
  <c r="H93" i="39"/>
  <c r="E94" i="39" s="1" a="1"/>
  <c r="E94" i="39" s="1"/>
  <c r="F94" i="39" s="1" a="1"/>
  <c r="F94" i="39" s="1"/>
  <c r="M94" i="39" s="1"/>
  <c r="H94" i="39" s="1"/>
  <c r="E95" i="39" s="1" a="1"/>
  <c r="E95" i="39" s="1"/>
  <c r="F95" i="39" s="1" a="1"/>
  <c r="F95" i="39" s="1"/>
  <c r="I93" i="39"/>
  <c r="N93" i="39"/>
  <c r="Q93" i="39"/>
  <c r="P93" i="39"/>
  <c r="G74" i="35"/>
  <c r="O74" i="35" s="1"/>
  <c r="N74" i="35" s="1"/>
  <c r="H74" i="35"/>
  <c r="E75" i="35" s="1" a="1"/>
  <c r="E75" i="35" s="1"/>
  <c r="F75" i="35" s="1" a="1"/>
  <c r="F75" i="35" s="1"/>
  <c r="M75" i="35" s="1"/>
  <c r="I75" i="35" s="1"/>
  <c r="G24" i="12" a="1"/>
  <c r="G24" i="12" s="1"/>
  <c r="Q92" i="40" l="1"/>
  <c r="P92" i="40"/>
  <c r="N92" i="40"/>
  <c r="H92" i="40"/>
  <c r="E93" i="40" s="1" a="1"/>
  <c r="E93" i="40" s="1"/>
  <c r="F93" i="40" s="1" a="1"/>
  <c r="F93" i="40" s="1"/>
  <c r="I92" i="40"/>
  <c r="M95" i="39"/>
  <c r="I95" i="39" s="1"/>
  <c r="I94" i="39"/>
  <c r="G94" i="39"/>
  <c r="O94" i="39" s="1"/>
  <c r="P74" i="35"/>
  <c r="Q74" i="35"/>
  <c r="G75" i="35"/>
  <c r="O75" i="35" s="1"/>
  <c r="H75" i="35"/>
  <c r="E76" i="35" s="1" a="1"/>
  <c r="E76" i="35" s="1"/>
  <c r="F76" i="35" s="1" a="1"/>
  <c r="F76" i="35" s="1"/>
  <c r="W3" i="12" a="1"/>
  <c r="W3" i="12" s="1"/>
  <c r="M93" i="40" l="1"/>
  <c r="I93" i="40" s="1"/>
  <c r="G95" i="39"/>
  <c r="O95" i="39" s="1"/>
  <c r="Q95" i="39" s="1"/>
  <c r="H95" i="39"/>
  <c r="E96" i="39" s="1" a="1"/>
  <c r="E96" i="39" s="1"/>
  <c r="F96" i="39" s="1" a="1"/>
  <c r="F96" i="39" s="1"/>
  <c r="M96" i="39" s="1"/>
  <c r="I96" i="39" s="1"/>
  <c r="N94" i="39"/>
  <c r="P94" i="39"/>
  <c r="Q94" i="39"/>
  <c r="M76" i="35"/>
  <c r="I76" i="35" s="1"/>
  <c r="P75" i="35"/>
  <c r="Q75" i="35"/>
  <c r="N75" i="35"/>
  <c r="W4" i="12"/>
  <c r="W5" i="12"/>
  <c r="G93" i="40" l="1"/>
  <c r="O93" i="40" s="1"/>
  <c r="H93" i="40"/>
  <c r="E94" i="40" s="1" a="1"/>
  <c r="E94" i="40" s="1"/>
  <c r="F94" i="40" s="1" a="1"/>
  <c r="F94" i="40" s="1"/>
  <c r="P95" i="39"/>
  <c r="N95" i="39"/>
  <c r="H96" i="39"/>
  <c r="E97" i="39" s="1" a="1"/>
  <c r="E97" i="39" s="1"/>
  <c r="F97" i="39" s="1" a="1"/>
  <c r="F97" i="39" s="1"/>
  <c r="M97" i="39" s="1"/>
  <c r="I97" i="39" s="1"/>
  <c r="G96" i="39"/>
  <c r="O96" i="39" s="1"/>
  <c r="G76" i="35"/>
  <c r="O76" i="35" s="1"/>
  <c r="N76" i="35" s="1"/>
  <c r="H76" i="35"/>
  <c r="E77" i="35" s="1" a="1"/>
  <c r="E77" i="35" s="1"/>
  <c r="F77" i="35" s="1" a="1"/>
  <c r="F77" i="35" s="1"/>
  <c r="M94" i="40" l="1"/>
  <c r="H94" i="40" s="1"/>
  <c r="E95" i="40" s="1" a="1"/>
  <c r="E95" i="40" s="1"/>
  <c r="F95" i="40" s="1" a="1"/>
  <c r="F95" i="40" s="1"/>
  <c r="N93" i="40"/>
  <c r="Q93" i="40"/>
  <c r="P93" i="40"/>
  <c r="G97" i="39"/>
  <c r="O97" i="39" s="1"/>
  <c r="N97" i="39" s="1"/>
  <c r="H97" i="39"/>
  <c r="E98" i="39" s="1" a="1"/>
  <c r="E98" i="39" s="1"/>
  <c r="F98" i="39" s="1" a="1"/>
  <c r="F98" i="39" s="1"/>
  <c r="M98" i="39" s="1"/>
  <c r="H98" i="39" s="1"/>
  <c r="E99" i="39" s="1" a="1"/>
  <c r="E99" i="39" s="1"/>
  <c r="F99" i="39" s="1" a="1"/>
  <c r="F99" i="39" s="1"/>
  <c r="N96" i="39"/>
  <c r="Q96" i="39"/>
  <c r="P96" i="39"/>
  <c r="Q76" i="35"/>
  <c r="P76" i="35"/>
  <c r="M77" i="35"/>
  <c r="I77" i="35" s="1"/>
  <c r="P97" i="39" l="1"/>
  <c r="Q97" i="39"/>
  <c r="I94" i="40"/>
  <c r="M95" i="40"/>
  <c r="G95" i="40" s="1"/>
  <c r="O95" i="40" s="1"/>
  <c r="G94" i="40"/>
  <c r="O94" i="40" s="1"/>
  <c r="M99" i="39"/>
  <c r="I99" i="39" s="1"/>
  <c r="I98" i="39"/>
  <c r="G98" i="39"/>
  <c r="O98" i="39" s="1"/>
  <c r="G77" i="35"/>
  <c r="O77" i="35" s="1"/>
  <c r="N77" i="35" s="1"/>
  <c r="H77" i="35"/>
  <c r="E78" i="35" s="1" a="1"/>
  <c r="E78" i="35" s="1"/>
  <c r="F78" i="35" s="1" a="1"/>
  <c r="F78" i="35" s="1"/>
  <c r="M78" i="35" s="1"/>
  <c r="I78" i="35" s="1"/>
  <c r="N95" i="40" l="1"/>
  <c r="P95" i="40"/>
  <c r="Q95" i="40"/>
  <c r="N94" i="40"/>
  <c r="Q94" i="40"/>
  <c r="P94" i="40"/>
  <c r="H95" i="40"/>
  <c r="E96" i="40" s="1" a="1"/>
  <c r="E96" i="40" s="1"/>
  <c r="F96" i="40" s="1" a="1"/>
  <c r="F96" i="40" s="1"/>
  <c r="I95" i="40"/>
  <c r="G99" i="39"/>
  <c r="O99" i="39" s="1"/>
  <c r="Q99" i="39" s="1"/>
  <c r="H99" i="39"/>
  <c r="E100" i="39" s="1" a="1"/>
  <c r="E100" i="39" s="1"/>
  <c r="F100" i="39" s="1" a="1"/>
  <c r="F100" i="39" s="1"/>
  <c r="M100" i="39" s="1"/>
  <c r="G100" i="39" s="1"/>
  <c r="O100" i="39" s="1"/>
  <c r="N98" i="39"/>
  <c r="P98" i="39"/>
  <c r="Q98" i="39"/>
  <c r="P77" i="35"/>
  <c r="Q77" i="35"/>
  <c r="G78" i="35"/>
  <c r="O78" i="35" s="1"/>
  <c r="P78" i="35" s="1"/>
  <c r="H78" i="35"/>
  <c r="E79" i="35" s="1" a="1"/>
  <c r="E79" i="35" s="1"/>
  <c r="F79" i="35" s="1" a="1"/>
  <c r="F79" i="35" s="1"/>
  <c r="M79" i="35" s="1"/>
  <c r="H79" i="35" s="1"/>
  <c r="E80" i="35" s="1" a="1"/>
  <c r="E80" i="35" s="1"/>
  <c r="F80" i="35" s="1" a="1"/>
  <c r="F80" i="35" s="1"/>
  <c r="P99" i="39" l="1"/>
  <c r="N99" i="39"/>
  <c r="M96" i="40"/>
  <c r="I96" i="40" s="1"/>
  <c r="H100" i="39"/>
  <c r="E101" i="39" s="1" a="1"/>
  <c r="E101" i="39" s="1"/>
  <c r="F101" i="39" s="1" a="1"/>
  <c r="F101" i="39" s="1"/>
  <c r="I100" i="39"/>
  <c r="N100" i="39"/>
  <c r="P100" i="39"/>
  <c r="Q100" i="39"/>
  <c r="N78" i="35"/>
  <c r="Q78" i="35"/>
  <c r="G79" i="35"/>
  <c r="O79" i="35" s="1"/>
  <c r="N79" i="35" s="1"/>
  <c r="I79" i="35"/>
  <c r="M80" i="35"/>
  <c r="I80" i="35" s="1"/>
  <c r="G96" i="40" l="1"/>
  <c r="O96" i="40" s="1"/>
  <c r="H96" i="40"/>
  <c r="E97" i="40" s="1" a="1"/>
  <c r="E97" i="40" s="1"/>
  <c r="F97" i="40" s="1" a="1"/>
  <c r="F97" i="40" s="1"/>
  <c r="M101" i="39"/>
  <c r="H101" i="39" s="1"/>
  <c r="E102" i="39" s="1" a="1"/>
  <c r="E102" i="39" s="1"/>
  <c r="F102" i="39" s="1" a="1"/>
  <c r="F102" i="39" s="1"/>
  <c r="M102" i="39" s="1"/>
  <c r="H102" i="39" s="1"/>
  <c r="E103" i="39" s="1" a="1"/>
  <c r="E103" i="39" s="1"/>
  <c r="F103" i="39" s="1" a="1"/>
  <c r="F103" i="39" s="1"/>
  <c r="G80" i="35"/>
  <c r="O80" i="35" s="1"/>
  <c r="Q80" i="35" s="1"/>
  <c r="H80" i="35"/>
  <c r="E81" i="35" s="1" a="1"/>
  <c r="E81" i="35" s="1"/>
  <c r="F81" i="35" s="1" a="1"/>
  <c r="F81" i="35" s="1"/>
  <c r="M81" i="35" s="1"/>
  <c r="G81" i="35" s="1"/>
  <c r="O81" i="35" s="1"/>
  <c r="Q79" i="35"/>
  <c r="P79" i="35"/>
  <c r="M97" i="40" l="1"/>
  <c r="I97" i="40" s="1"/>
  <c r="N96" i="40"/>
  <c r="Q96" i="40"/>
  <c r="P96" i="40"/>
  <c r="G101" i="39"/>
  <c r="O101" i="39" s="1"/>
  <c r="N101" i="39" s="1"/>
  <c r="I101" i="39"/>
  <c r="I102" i="39"/>
  <c r="G102" i="39"/>
  <c r="O102" i="39" s="1"/>
  <c r="N102" i="39" s="1"/>
  <c r="M103" i="39"/>
  <c r="I103" i="39" s="1"/>
  <c r="P80" i="35"/>
  <c r="N80" i="35"/>
  <c r="I81" i="35"/>
  <c r="H81" i="35"/>
  <c r="E82" i="35" s="1" a="1"/>
  <c r="E82" i="35" s="1"/>
  <c r="F82" i="35" s="1" a="1"/>
  <c r="F82" i="35" s="1"/>
  <c r="Q81" i="35"/>
  <c r="N81" i="35"/>
  <c r="P81" i="35"/>
  <c r="G97" i="40" l="1"/>
  <c r="O97" i="40" s="1"/>
  <c r="H97" i="40"/>
  <c r="E98" i="40" s="1" a="1"/>
  <c r="E98" i="40" s="1"/>
  <c r="F98" i="40" s="1" a="1"/>
  <c r="F98" i="40" s="1"/>
  <c r="Q101" i="39"/>
  <c r="P101" i="39"/>
  <c r="Q102" i="39"/>
  <c r="P102" i="39"/>
  <c r="G103" i="39"/>
  <c r="O103" i="39" s="1"/>
  <c r="N103" i="39" s="1"/>
  <c r="H103" i="39"/>
  <c r="E104" i="39" s="1" a="1"/>
  <c r="E104" i="39" s="1"/>
  <c r="F104" i="39" s="1" a="1"/>
  <c r="F104" i="39" s="1"/>
  <c r="M82" i="35"/>
  <c r="M98" i="40" l="1"/>
  <c r="H98" i="40" s="1"/>
  <c r="E99" i="40" s="1" a="1"/>
  <c r="E99" i="40" s="1"/>
  <c r="F99" i="40" s="1" a="1"/>
  <c r="F99" i="40" s="1"/>
  <c r="P97" i="40"/>
  <c r="N97" i="40"/>
  <c r="Q97" i="40"/>
  <c r="P103" i="39"/>
  <c r="Q103" i="39"/>
  <c r="M104" i="39"/>
  <c r="I104" i="39" s="1"/>
  <c r="G82" i="35"/>
  <c r="O82" i="35" s="1"/>
  <c r="H82" i="35"/>
  <c r="E83" i="35" s="1" a="1"/>
  <c r="E83" i="35" s="1"/>
  <c r="F83" i="35" s="1" a="1"/>
  <c r="F83" i="35" s="1"/>
  <c r="I82" i="35"/>
  <c r="M99" i="40" l="1"/>
  <c r="G99" i="40" s="1"/>
  <c r="O99" i="40" s="1"/>
  <c r="G98" i="40"/>
  <c r="O98" i="40" s="1"/>
  <c r="I98" i="40"/>
  <c r="G104" i="39"/>
  <c r="O104" i="39" s="1"/>
  <c r="N104" i="39" s="1"/>
  <c r="H104" i="39"/>
  <c r="E105" i="39" s="1" a="1"/>
  <c r="E105" i="39" s="1"/>
  <c r="F105" i="39" s="1" a="1"/>
  <c r="F105" i="39" s="1"/>
  <c r="M105" i="39" s="1"/>
  <c r="I105" i="39" s="1"/>
  <c r="M83" i="35"/>
  <c r="G83" i="35" s="1"/>
  <c r="O83" i="35" s="1"/>
  <c r="P82" i="35"/>
  <c r="N82" i="35"/>
  <c r="Q82" i="35"/>
  <c r="H99" i="40" l="1"/>
  <c r="E100" i="40" s="1" a="1"/>
  <c r="E100" i="40" s="1"/>
  <c r="F100" i="40" s="1" a="1"/>
  <c r="F100" i="40" s="1"/>
  <c r="M100" i="40" s="1"/>
  <c r="G100" i="40" s="1"/>
  <c r="O100" i="40" s="1"/>
  <c r="Q99" i="40"/>
  <c r="P99" i="40"/>
  <c r="N99" i="40"/>
  <c r="I99" i="40"/>
  <c r="P98" i="40"/>
  <c r="Q98" i="40"/>
  <c r="N98" i="40"/>
  <c r="P104" i="39"/>
  <c r="Q104" i="39"/>
  <c r="G105" i="39"/>
  <c r="O105" i="39" s="1"/>
  <c r="N105" i="39" s="1"/>
  <c r="H105" i="39"/>
  <c r="E106" i="39" s="1" a="1"/>
  <c r="E106" i="39" s="1"/>
  <c r="F106" i="39" s="1" a="1"/>
  <c r="F106" i="39" s="1"/>
  <c r="M106" i="39" s="1"/>
  <c r="H106" i="39" s="1"/>
  <c r="E107" i="39" s="1" a="1"/>
  <c r="E107" i="39" s="1"/>
  <c r="F107" i="39" s="1" a="1"/>
  <c r="F107" i="39" s="1"/>
  <c r="H83" i="35"/>
  <c r="E84" i="35" s="1" a="1"/>
  <c r="E84" i="35" s="1"/>
  <c r="F84" i="35" s="1" a="1"/>
  <c r="F84" i="35" s="1"/>
  <c r="M84" i="35" s="1"/>
  <c r="I84" i="35" s="1"/>
  <c r="P83" i="35"/>
  <c r="N83" i="35"/>
  <c r="Q83" i="35"/>
  <c r="I83" i="35"/>
  <c r="N100" i="40" l="1"/>
  <c r="Q100" i="40"/>
  <c r="P100" i="40"/>
  <c r="H100" i="40"/>
  <c r="E101" i="40" s="1" a="1"/>
  <c r="E101" i="40" s="1"/>
  <c r="F101" i="40" s="1" a="1"/>
  <c r="F101" i="40" s="1"/>
  <c r="I100" i="40"/>
  <c r="P105" i="39"/>
  <c r="Q105" i="39"/>
  <c r="G106" i="39"/>
  <c r="O106" i="39" s="1"/>
  <c r="N106" i="39" s="1"/>
  <c r="I106" i="39"/>
  <c r="M107" i="39"/>
  <c r="I107" i="39" s="1"/>
  <c r="M101" i="40" l="1"/>
  <c r="G101" i="40" s="1"/>
  <c r="O101" i="40" s="1"/>
  <c r="Q106" i="39"/>
  <c r="P106" i="39"/>
  <c r="G107" i="39"/>
  <c r="O107" i="39" s="1"/>
  <c r="Q107" i="39" s="1"/>
  <c r="H107" i="39"/>
  <c r="E108" i="39" s="1" a="1"/>
  <c r="E108" i="39" s="1"/>
  <c r="F108" i="39" s="1" a="1"/>
  <c r="F108" i="39" s="1"/>
  <c r="M108" i="39" s="1"/>
  <c r="I108" i="39" s="1"/>
  <c r="G84" i="35"/>
  <c r="O84" i="35" s="1"/>
  <c r="H84" i="35"/>
  <c r="E85" i="35" s="1" a="1"/>
  <c r="E85" i="35" s="1"/>
  <c r="F85" i="35" s="1" a="1"/>
  <c r="F85" i="35" s="1"/>
  <c r="I101" i="40" l="1"/>
  <c r="Q101" i="40"/>
  <c r="P101" i="40"/>
  <c r="N101" i="40"/>
  <c r="H101" i="40"/>
  <c r="E102" i="40" s="1" a="1"/>
  <c r="E102" i="40" s="1"/>
  <c r="F102" i="40" s="1" a="1"/>
  <c r="F102" i="40" s="1"/>
  <c r="N107" i="39"/>
  <c r="P107" i="39"/>
  <c r="G108" i="39"/>
  <c r="O108" i="39" s="1"/>
  <c r="Q108" i="39" s="1"/>
  <c r="H108" i="39"/>
  <c r="E109" i="39" s="1" a="1"/>
  <c r="E109" i="39" s="1"/>
  <c r="F109" i="39" s="1" a="1"/>
  <c r="F109" i="39" s="1"/>
  <c r="M109" i="39" s="1"/>
  <c r="H109" i="39" s="1"/>
  <c r="E110" i="39" s="1" a="1"/>
  <c r="E110" i="39" s="1"/>
  <c r="F110" i="39" s="1" a="1"/>
  <c r="F110" i="39" s="1"/>
  <c r="M85" i="35"/>
  <c r="I85" i="35" s="1"/>
  <c r="P84" i="35"/>
  <c r="Q84" i="35"/>
  <c r="N84" i="35"/>
  <c r="M102" i="40" l="1"/>
  <c r="H102" i="40" s="1"/>
  <c r="E103" i="40" s="1" a="1"/>
  <c r="E103" i="40" s="1"/>
  <c r="F103" i="40" s="1" a="1"/>
  <c r="F103" i="40" s="1"/>
  <c r="N108" i="39"/>
  <c r="P108" i="39"/>
  <c r="M110" i="39"/>
  <c r="H110" i="39" s="1"/>
  <c r="E111" i="39" s="1" a="1"/>
  <c r="E111" i="39" s="1"/>
  <c r="F111" i="39" s="1" a="1"/>
  <c r="F111" i="39" s="1"/>
  <c r="I109" i="39"/>
  <c r="G109" i="39"/>
  <c r="O109" i="39" s="1"/>
  <c r="G85" i="35"/>
  <c r="O85" i="35" s="1"/>
  <c r="I102" i="40" l="1"/>
  <c r="M103" i="40"/>
  <c r="G103" i="40" s="1"/>
  <c r="O103" i="40" s="1"/>
  <c r="G102" i="40"/>
  <c r="O102" i="40" s="1"/>
  <c r="I110" i="39"/>
  <c r="G110" i="39"/>
  <c r="O110" i="39" s="1"/>
  <c r="N110" i="39" s="1"/>
  <c r="M111" i="39"/>
  <c r="I111" i="39" s="1"/>
  <c r="N109" i="39"/>
  <c r="Q109" i="39"/>
  <c r="P109" i="39"/>
  <c r="N85" i="35"/>
  <c r="P85" i="35"/>
  <c r="Q85" i="35"/>
  <c r="H85" i="35"/>
  <c r="E86" i="35" s="1" a="1"/>
  <c r="E86" i="35" s="1"/>
  <c r="F86" i="35" s="1" a="1"/>
  <c r="F86" i="35" s="1"/>
  <c r="Q110" i="39" l="1"/>
  <c r="P110" i="39"/>
  <c r="P103" i="40"/>
  <c r="Q103" i="40"/>
  <c r="N103" i="40"/>
  <c r="H103" i="40"/>
  <c r="E104" i="40" s="1" a="1"/>
  <c r="E104" i="40" s="1"/>
  <c r="F104" i="40" s="1" a="1"/>
  <c r="F104" i="40" s="1"/>
  <c r="Q102" i="40"/>
  <c r="N102" i="40"/>
  <c r="P102" i="40"/>
  <c r="I103" i="40"/>
  <c r="G111" i="39"/>
  <c r="O111" i="39" s="1"/>
  <c r="N111" i="39" s="1"/>
  <c r="H111" i="39"/>
  <c r="E112" i="39" s="1" a="1"/>
  <c r="E112" i="39" s="1"/>
  <c r="F112" i="39" s="1" a="1"/>
  <c r="F112" i="39" s="1"/>
  <c r="M112" i="39" s="1"/>
  <c r="H112" i="39" s="1"/>
  <c r="E113" i="39" s="1" a="1"/>
  <c r="E113" i="39" s="1"/>
  <c r="F113" i="39" s="1" a="1"/>
  <c r="F113" i="39" s="1"/>
  <c r="M86" i="35"/>
  <c r="I86" i="35" s="1"/>
  <c r="M104" i="40" l="1"/>
  <c r="I104" i="40" s="1"/>
  <c r="P111" i="39"/>
  <c r="Q111" i="39"/>
  <c r="M113" i="39"/>
  <c r="I113" i="39" s="1"/>
  <c r="I112" i="39"/>
  <c r="G112" i="39"/>
  <c r="O112" i="39" s="1"/>
  <c r="G104" i="40" l="1"/>
  <c r="O104" i="40" s="1"/>
  <c r="P104" i="40" s="1"/>
  <c r="H104" i="40"/>
  <c r="E105" i="40" s="1" a="1"/>
  <c r="E105" i="40" s="1"/>
  <c r="F105" i="40" s="1" a="1"/>
  <c r="F105" i="40" s="1"/>
  <c r="M105" i="40" s="1"/>
  <c r="G105" i="40" s="1"/>
  <c r="O105" i="40" s="1"/>
  <c r="G113" i="39"/>
  <c r="O113" i="39" s="1"/>
  <c r="N112" i="39"/>
  <c r="Q112" i="39"/>
  <c r="P112" i="39"/>
  <c r="H113" i="39"/>
  <c r="E114" i="39" s="1" a="1"/>
  <c r="E114" i="39" s="1"/>
  <c r="F114" i="39" s="1" a="1"/>
  <c r="F114" i="39" s="1"/>
  <c r="G86" i="35"/>
  <c r="O86" i="35" s="1"/>
  <c r="H86" i="35"/>
  <c r="E87" i="35" s="1" a="1"/>
  <c r="E87" i="35" s="1"/>
  <c r="F87" i="35" s="1" a="1"/>
  <c r="F87" i="35" s="1"/>
  <c r="Q104" i="40" l="1"/>
  <c r="N104" i="40"/>
  <c r="N105" i="40"/>
  <c r="Q105" i="40"/>
  <c r="P105" i="40"/>
  <c r="H105" i="40"/>
  <c r="E106" i="40" s="1" a="1"/>
  <c r="E106" i="40" s="1"/>
  <c r="F106" i="40" s="1" a="1"/>
  <c r="F106" i="40" s="1"/>
  <c r="I105" i="40"/>
  <c r="M114" i="39"/>
  <c r="H114" i="39" s="1"/>
  <c r="E115" i="39" s="1" a="1"/>
  <c r="E115" i="39" s="1"/>
  <c r="F115" i="39" s="1" a="1"/>
  <c r="F115" i="39" s="1"/>
  <c r="N113" i="39"/>
  <c r="P113" i="39"/>
  <c r="Q113" i="39"/>
  <c r="M87" i="35"/>
  <c r="I87" i="35" s="1"/>
  <c r="Q86" i="35"/>
  <c r="P86" i="35"/>
  <c r="N86" i="35"/>
  <c r="M106" i="40" l="1"/>
  <c r="I106" i="40" s="1"/>
  <c r="M115" i="39"/>
  <c r="I115" i="39" s="1"/>
  <c r="I114" i="39"/>
  <c r="G114" i="39"/>
  <c r="O114" i="39" s="1"/>
  <c r="G87" i="35"/>
  <c r="O87" i="35" s="1"/>
  <c r="H87" i="35"/>
  <c r="E88" i="35" s="1" a="1"/>
  <c r="E88" i="35" s="1"/>
  <c r="F88" i="35" s="1" a="1"/>
  <c r="F88" i="35" s="1"/>
  <c r="G106" i="40" l="1"/>
  <c r="O106" i="40" s="1"/>
  <c r="Q106" i="40" s="1"/>
  <c r="H106" i="40"/>
  <c r="E107" i="40" s="1" a="1"/>
  <c r="E107" i="40" s="1"/>
  <c r="F107" i="40" s="1" a="1"/>
  <c r="F107" i="40" s="1"/>
  <c r="M107" i="40" s="1"/>
  <c r="H107" i="40" s="1"/>
  <c r="E108" i="40" s="1" a="1"/>
  <c r="E108" i="40" s="1"/>
  <c r="F108" i="40" s="1" a="1"/>
  <c r="F108" i="40" s="1"/>
  <c r="G115" i="39"/>
  <c r="O115" i="39" s="1"/>
  <c r="N115" i="39" s="1"/>
  <c r="H115" i="39"/>
  <c r="E116" i="39" s="1" a="1"/>
  <c r="E116" i="39" s="1"/>
  <c r="F116" i="39" s="1" a="1"/>
  <c r="F116" i="39" s="1"/>
  <c r="N114" i="39"/>
  <c r="P114" i="39"/>
  <c r="Q114" i="39"/>
  <c r="M88" i="35"/>
  <c r="I88" i="35" s="1"/>
  <c r="P87" i="35"/>
  <c r="N87" i="35"/>
  <c r="Q87" i="35"/>
  <c r="N106" i="40" l="1"/>
  <c r="P106" i="40"/>
  <c r="G107" i="40"/>
  <c r="O107" i="40" s="1"/>
  <c r="N107" i="40" s="1"/>
  <c r="I107" i="40"/>
  <c r="M108" i="40"/>
  <c r="H108" i="40" s="1"/>
  <c r="E109" i="40" s="1" a="1"/>
  <c r="E109" i="40" s="1"/>
  <c r="F109" i="40" s="1" a="1"/>
  <c r="F109" i="40" s="1"/>
  <c r="P115" i="39"/>
  <c r="Q115" i="39"/>
  <c r="M116" i="39"/>
  <c r="I116" i="39" s="1"/>
  <c r="H88" i="35"/>
  <c r="E89" i="35" s="1" a="1"/>
  <c r="E89" i="35" s="1"/>
  <c r="F89" i="35" s="1" a="1"/>
  <c r="F89" i="35" s="1"/>
  <c r="M89" i="35" s="1"/>
  <c r="I89" i="35" s="1"/>
  <c r="G88" i="35"/>
  <c r="O88" i="35" s="1"/>
  <c r="Q88" i="35" s="1"/>
  <c r="P107" i="40" l="1"/>
  <c r="Q107" i="40"/>
  <c r="M109" i="40"/>
  <c r="I109" i="40" s="1"/>
  <c r="I108" i="40"/>
  <c r="G108" i="40"/>
  <c r="O108" i="40" s="1"/>
  <c r="G116" i="39"/>
  <c r="O116" i="39" s="1"/>
  <c r="N116" i="39" s="1"/>
  <c r="H116" i="39"/>
  <c r="E117" i="39" s="1" a="1"/>
  <c r="E117" i="39" s="1"/>
  <c r="F117" i="39" s="1" a="1"/>
  <c r="F117" i="39" s="1"/>
  <c r="P88" i="35"/>
  <c r="N88" i="35"/>
  <c r="G89" i="35"/>
  <c r="O89" i="35" s="1"/>
  <c r="H89" i="35"/>
  <c r="E90" i="35" s="1" a="1"/>
  <c r="E90" i="35" s="1"/>
  <c r="F90" i="35" s="1" a="1"/>
  <c r="F90" i="35" s="1"/>
  <c r="Q108" i="40" l="1"/>
  <c r="N108" i="40"/>
  <c r="P108" i="40"/>
  <c r="G109" i="40"/>
  <c r="O109" i="40" s="1"/>
  <c r="H109" i="40"/>
  <c r="E110" i="40" s="1" a="1"/>
  <c r="E110" i="40" s="1"/>
  <c r="F110" i="40" s="1" a="1"/>
  <c r="F110" i="40" s="1"/>
  <c r="P116" i="39"/>
  <c r="Q116" i="39"/>
  <c r="M117" i="39"/>
  <c r="I117" i="39" s="1"/>
  <c r="M90" i="35"/>
  <c r="I90" i="35" s="1"/>
  <c r="N89" i="35"/>
  <c r="P89" i="35"/>
  <c r="Q89" i="35"/>
  <c r="M110" i="40" l="1"/>
  <c r="H110" i="40" s="1"/>
  <c r="E111" i="40" s="1" a="1"/>
  <c r="E111" i="40" s="1"/>
  <c r="F111" i="40" s="1" a="1"/>
  <c r="F111" i="40" s="1"/>
  <c r="N109" i="40"/>
  <c r="P109" i="40"/>
  <c r="Q109" i="40"/>
  <c r="G117" i="39"/>
  <c r="O117" i="39" s="1"/>
  <c r="N117" i="39" s="1"/>
  <c r="H117" i="39"/>
  <c r="E118" i="39" s="1" a="1"/>
  <c r="E118" i="39" s="1"/>
  <c r="F118" i="39" s="1" a="1"/>
  <c r="F118" i="39" s="1"/>
  <c r="M118" i="39" s="1"/>
  <c r="G90" i="35"/>
  <c r="O90" i="35" s="1"/>
  <c r="H90" i="35"/>
  <c r="E91" i="35" s="1" a="1"/>
  <c r="E91" i="35" s="1"/>
  <c r="F91" i="35" s="1" a="1"/>
  <c r="F91" i="35" s="1"/>
  <c r="I110" i="40" l="1"/>
  <c r="M111" i="40"/>
  <c r="G111" i="40" s="1"/>
  <c r="O111" i="40" s="1"/>
  <c r="G110" i="40"/>
  <c r="O110" i="40" s="1"/>
  <c r="Q117" i="39"/>
  <c r="P117" i="39"/>
  <c r="I118" i="39"/>
  <c r="H118" i="39"/>
  <c r="E119" i="39" s="1" a="1"/>
  <c r="E119" i="39" s="1"/>
  <c r="F119" i="39" s="1" a="1"/>
  <c r="F119" i="39" s="1"/>
  <c r="M119" i="39" s="1"/>
  <c r="G118" i="39"/>
  <c r="O118" i="39" s="1"/>
  <c r="N118" i="39" s="1"/>
  <c r="M91" i="35"/>
  <c r="I91" i="35" s="1"/>
  <c r="Q90" i="35"/>
  <c r="P90" i="35"/>
  <c r="N90" i="35"/>
  <c r="P111" i="40" l="1"/>
  <c r="Q111" i="40"/>
  <c r="N111" i="40"/>
  <c r="H111" i="40"/>
  <c r="E112" i="40" s="1" a="1"/>
  <c r="E112" i="40" s="1"/>
  <c r="F112" i="40" s="1" a="1"/>
  <c r="F112" i="40" s="1"/>
  <c r="I111" i="40"/>
  <c r="N110" i="40"/>
  <c r="P110" i="40"/>
  <c r="Q110" i="40"/>
  <c r="Q118" i="39"/>
  <c r="P118" i="39"/>
  <c r="G119" i="39"/>
  <c r="O119" i="39" s="1"/>
  <c r="N119" i="39" s="1"/>
  <c r="H119" i="39"/>
  <c r="E120" i="39" s="1" a="1"/>
  <c r="E120" i="39" s="1"/>
  <c r="F120" i="39" s="1" a="1"/>
  <c r="F120" i="39" s="1"/>
  <c r="M120" i="39" s="1"/>
  <c r="H120" i="39" s="1"/>
  <c r="E121" i="39" s="1" a="1"/>
  <c r="E121" i="39" s="1"/>
  <c r="F121" i="39" s="1" a="1"/>
  <c r="F121" i="39" s="1"/>
  <c r="I119" i="39"/>
  <c r="H91" i="35"/>
  <c r="E92" i="35" s="1" a="1"/>
  <c r="E92" i="35" s="1"/>
  <c r="F92" i="35" s="1" a="1"/>
  <c r="F92" i="35" s="1"/>
  <c r="M92" i="35" s="1"/>
  <c r="G92" i="35" s="1"/>
  <c r="O92" i="35" s="1"/>
  <c r="G91" i="35"/>
  <c r="O91" i="35" s="1"/>
  <c r="Q91" i="35" s="1"/>
  <c r="P119" i="39" l="1"/>
  <c r="M112" i="40"/>
  <c r="I112" i="40" s="1"/>
  <c r="Q119" i="39"/>
  <c r="I120" i="39"/>
  <c r="G120" i="39"/>
  <c r="O120" i="39" s="1"/>
  <c r="N120" i="39" s="1"/>
  <c r="M121" i="39"/>
  <c r="I121" i="39" s="1"/>
  <c r="N91" i="35"/>
  <c r="P91" i="35"/>
  <c r="I92" i="35"/>
  <c r="H92" i="35"/>
  <c r="E93" i="35" s="1" a="1"/>
  <c r="E93" i="35" s="1"/>
  <c r="F93" i="35" s="1" a="1"/>
  <c r="F93" i="35" s="1"/>
  <c r="P92" i="35"/>
  <c r="Q92" i="35"/>
  <c r="N92" i="35"/>
  <c r="G112" i="40" l="1"/>
  <c r="O112" i="40" s="1"/>
  <c r="H112" i="40"/>
  <c r="E113" i="40" s="1" a="1"/>
  <c r="E113" i="40" s="1"/>
  <c r="F113" i="40" s="1" a="1"/>
  <c r="F113" i="40" s="1"/>
  <c r="Q120" i="39"/>
  <c r="P120" i="39"/>
  <c r="G121" i="39"/>
  <c r="O121" i="39" s="1"/>
  <c r="N121" i="39" s="1"/>
  <c r="H121" i="39"/>
  <c r="E122" i="39" s="1" a="1"/>
  <c r="E122" i="39" s="1"/>
  <c r="F122" i="39" s="1" a="1"/>
  <c r="F122" i="39" s="1"/>
  <c r="M122" i="39" s="1"/>
  <c r="G122" i="39" s="1"/>
  <c r="O122" i="39" s="1"/>
  <c r="M93" i="35"/>
  <c r="M113" i="40" l="1"/>
  <c r="I113" i="40" s="1"/>
  <c r="Q112" i="40"/>
  <c r="P112" i="40"/>
  <c r="N112" i="40"/>
  <c r="Q121" i="39"/>
  <c r="P121" i="39"/>
  <c r="H122" i="39"/>
  <c r="E123" i="39" s="1" a="1"/>
  <c r="E123" i="39" s="1"/>
  <c r="F123" i="39" s="1" a="1"/>
  <c r="F123" i="39" s="1"/>
  <c r="M123" i="39" s="1"/>
  <c r="H123" i="39" s="1"/>
  <c r="E124" i="39" s="1" a="1"/>
  <c r="E124" i="39" s="1"/>
  <c r="F124" i="39" s="1" a="1"/>
  <c r="F124" i="39" s="1"/>
  <c r="I122" i="39"/>
  <c r="N122" i="39"/>
  <c r="P122" i="39"/>
  <c r="Q122" i="39"/>
  <c r="H93" i="35"/>
  <c r="E94" i="35" s="1" a="1"/>
  <c r="E94" i="35" s="1"/>
  <c r="F94" i="35" s="1" a="1"/>
  <c r="F94" i="35" s="1"/>
  <c r="G93" i="35"/>
  <c r="O93" i="35" s="1"/>
  <c r="I93" i="35"/>
  <c r="G113" i="40" l="1"/>
  <c r="O113" i="40" s="1"/>
  <c r="N113" i="40" s="1"/>
  <c r="H113" i="40"/>
  <c r="E114" i="40" s="1" a="1"/>
  <c r="E114" i="40" s="1"/>
  <c r="F114" i="40" s="1" a="1"/>
  <c r="F114" i="40" s="1"/>
  <c r="I123" i="39"/>
  <c r="G123" i="39"/>
  <c r="O123" i="39" s="1"/>
  <c r="N123" i="39" s="1"/>
  <c r="M124" i="39"/>
  <c r="H124" i="39" s="1"/>
  <c r="E125" i="39" s="1" a="1"/>
  <c r="E125" i="39" s="1"/>
  <c r="F125" i="39" s="1" a="1"/>
  <c r="F125" i="39" s="1"/>
  <c r="P93" i="35"/>
  <c r="Q93" i="35"/>
  <c r="N93" i="35"/>
  <c r="M94" i="35"/>
  <c r="I94" i="35" s="1"/>
  <c r="P113" i="40" l="1"/>
  <c r="Q113" i="40"/>
  <c r="M114" i="40"/>
  <c r="H114" i="40" s="1"/>
  <c r="E115" i="40" s="1" a="1"/>
  <c r="E115" i="40" s="1"/>
  <c r="F115" i="40" s="1" a="1"/>
  <c r="F115" i="40" s="1"/>
  <c r="G124" i="39"/>
  <c r="O124" i="39" s="1"/>
  <c r="P124" i="39" s="1"/>
  <c r="Q123" i="39"/>
  <c r="P123" i="39"/>
  <c r="I124" i="39"/>
  <c r="M125" i="39"/>
  <c r="H125" i="39" s="1"/>
  <c r="E126" i="39" s="1" a="1"/>
  <c r="E126" i="39" s="1"/>
  <c r="F126" i="39" s="1" a="1"/>
  <c r="F126" i="39" s="1"/>
  <c r="H94" i="35"/>
  <c r="E95" i="35" s="1" a="1"/>
  <c r="E95" i="35" s="1"/>
  <c r="F95" i="35" s="1" a="1"/>
  <c r="F95" i="35" s="1"/>
  <c r="G94" i="35"/>
  <c r="O94" i="35" s="1"/>
  <c r="Q124" i="39" l="1"/>
  <c r="M115" i="40"/>
  <c r="G115" i="40" s="1"/>
  <c r="O115" i="40" s="1"/>
  <c r="G114" i="40"/>
  <c r="O114" i="40" s="1"/>
  <c r="I114" i="40"/>
  <c r="N124" i="39"/>
  <c r="I125" i="39"/>
  <c r="M126" i="39"/>
  <c r="I126" i="39" s="1"/>
  <c r="G125" i="39"/>
  <c r="O125" i="39" s="1"/>
  <c r="N94" i="35"/>
  <c r="Q94" i="35"/>
  <c r="P94" i="35"/>
  <c r="M95" i="35"/>
  <c r="H95" i="35" s="1"/>
  <c r="E96" i="35" s="1" a="1"/>
  <c r="E96" i="35" s="1"/>
  <c r="F96" i="35" s="1" a="1"/>
  <c r="F96" i="35" s="1"/>
  <c r="I115" i="40" l="1"/>
  <c r="N115" i="40"/>
  <c r="Q115" i="40"/>
  <c r="P115" i="40"/>
  <c r="P114" i="40"/>
  <c r="Q114" i="40"/>
  <c r="N114" i="40"/>
  <c r="H115" i="40"/>
  <c r="E116" i="40" s="1" a="1"/>
  <c r="E116" i="40" s="1"/>
  <c r="F116" i="40" s="1" a="1"/>
  <c r="F116" i="40" s="1"/>
  <c r="G126" i="39"/>
  <c r="O126" i="39" s="1"/>
  <c r="N126" i="39" s="1"/>
  <c r="H126" i="39"/>
  <c r="E127" i="39" s="1" a="1"/>
  <c r="E127" i="39" s="1"/>
  <c r="F127" i="39" s="1" a="1"/>
  <c r="F127" i="39" s="1"/>
  <c r="N125" i="39"/>
  <c r="Q125" i="39"/>
  <c r="P125" i="39"/>
  <c r="I95" i="35"/>
  <c r="M96" i="35"/>
  <c r="I96" i="35" s="1"/>
  <c r="G95" i="35"/>
  <c r="O95" i="35" s="1"/>
  <c r="P95" i="35" s="1"/>
  <c r="M116" i="40" l="1"/>
  <c r="I116" i="40" s="1"/>
  <c r="Q126" i="39"/>
  <c r="P126" i="39"/>
  <c r="M127" i="39"/>
  <c r="I127" i="39" s="1"/>
  <c r="Q95" i="35"/>
  <c r="N95" i="35"/>
  <c r="G96" i="35"/>
  <c r="O96" i="35" s="1"/>
  <c r="P96" i="35" s="1"/>
  <c r="H96" i="35"/>
  <c r="E97" i="35" s="1" a="1"/>
  <c r="E97" i="35" s="1"/>
  <c r="F97" i="35" s="1" a="1"/>
  <c r="F97" i="35" s="1"/>
  <c r="M97" i="35" s="1"/>
  <c r="I97" i="35" s="1"/>
  <c r="H116" i="40" l="1"/>
  <c r="E117" i="40" s="1" a="1"/>
  <c r="E117" i="40" s="1"/>
  <c r="F117" i="40" s="1" a="1"/>
  <c r="F117" i="40" s="1"/>
  <c r="G116" i="40"/>
  <c r="O116" i="40" s="1"/>
  <c r="G127" i="39"/>
  <c r="O127" i="39" s="1"/>
  <c r="H127" i="39"/>
  <c r="E128" i="39" s="1" a="1"/>
  <c r="E128" i="39" s="1"/>
  <c r="F128" i="39" s="1" a="1"/>
  <c r="F128" i="39" s="1"/>
  <c r="Q96" i="35"/>
  <c r="N96" i="35"/>
  <c r="H97" i="35"/>
  <c r="E98" i="35" s="1" a="1"/>
  <c r="E98" i="35" s="1"/>
  <c r="F98" i="35" s="1" a="1"/>
  <c r="F98" i="35" s="1"/>
  <c r="M98" i="35" s="1"/>
  <c r="I98" i="35" s="1"/>
  <c r="G97" i="35"/>
  <c r="O97" i="35" s="1"/>
  <c r="Q97" i="35" s="1"/>
  <c r="N116" i="40" l="1"/>
  <c r="P116" i="40"/>
  <c r="Q116" i="40"/>
  <c r="M117" i="40"/>
  <c r="G117" i="40" s="1"/>
  <c r="O117" i="40" s="1"/>
  <c r="M128" i="39"/>
  <c r="I128" i="39" s="1"/>
  <c r="N127" i="39"/>
  <c r="Q127" i="39"/>
  <c r="P127" i="39"/>
  <c r="N97" i="35"/>
  <c r="P97" i="35"/>
  <c r="H98" i="35"/>
  <c r="E99" i="35" s="1" a="1"/>
  <c r="E99" i="35" s="1"/>
  <c r="F99" i="35" s="1" a="1"/>
  <c r="F99" i="35" s="1"/>
  <c r="I117" i="40" l="1"/>
  <c r="H117" i="40"/>
  <c r="E118" i="40" s="1" a="1"/>
  <c r="E118" i="40" s="1"/>
  <c r="F118" i="40" s="1" a="1"/>
  <c r="F118" i="40" s="1"/>
  <c r="M118" i="40" s="1"/>
  <c r="Q117" i="40"/>
  <c r="P117" i="40"/>
  <c r="N117" i="40"/>
  <c r="G128" i="39"/>
  <c r="O128" i="39" s="1"/>
  <c r="N128" i="39" s="1"/>
  <c r="H128" i="39"/>
  <c r="E129" i="39" s="1" a="1"/>
  <c r="E129" i="39" s="1"/>
  <c r="F129" i="39" s="1" a="1"/>
  <c r="F129" i="39" s="1"/>
  <c r="M129" i="39" s="1"/>
  <c r="I129" i="39" s="1"/>
  <c r="M99" i="35"/>
  <c r="I99" i="35" s="1"/>
  <c r="G98" i="35"/>
  <c r="O98" i="35" s="1"/>
  <c r="I118" i="40" l="1"/>
  <c r="G118" i="40"/>
  <c r="O118" i="40" s="1"/>
  <c r="Q118" i="40" s="1"/>
  <c r="H118" i="40"/>
  <c r="E119" i="40" s="1" a="1"/>
  <c r="E119" i="40" s="1"/>
  <c r="F119" i="40" s="1" a="1"/>
  <c r="F119" i="40" s="1"/>
  <c r="Q128" i="39"/>
  <c r="P128" i="39"/>
  <c r="H129" i="39"/>
  <c r="E130" i="39" s="1" a="1"/>
  <c r="E130" i="39" s="1"/>
  <c r="F130" i="39" s="1" a="1"/>
  <c r="F130" i="39" s="1"/>
  <c r="M130" i="39" s="1"/>
  <c r="G130" i="39" s="1"/>
  <c r="O130" i="39" s="1"/>
  <c r="G129" i="39"/>
  <c r="O129" i="39" s="1"/>
  <c r="N129" i="39" s="1"/>
  <c r="H99" i="35"/>
  <c r="E100" i="35" s="1" a="1"/>
  <c r="E100" i="35" s="1"/>
  <c r="F100" i="35" s="1" a="1"/>
  <c r="F100" i="35" s="1"/>
  <c r="M100" i="35" s="1"/>
  <c r="I100" i="35" s="1"/>
  <c r="G99" i="35"/>
  <c r="O99" i="35" s="1"/>
  <c r="N99" i="35" s="1"/>
  <c r="N98" i="35"/>
  <c r="P98" i="35"/>
  <c r="Q98" i="35"/>
  <c r="P118" i="40" l="1"/>
  <c r="N118" i="40"/>
  <c r="M119" i="40"/>
  <c r="H119" i="40" s="1"/>
  <c r="E120" i="40" s="1" a="1"/>
  <c r="E120" i="40" s="1"/>
  <c r="F120" i="40" s="1" a="1"/>
  <c r="F120" i="40" s="1"/>
  <c r="P129" i="39"/>
  <c r="Q129" i="39"/>
  <c r="N130" i="39"/>
  <c r="P130" i="39"/>
  <c r="Q130" i="39"/>
  <c r="H130" i="39"/>
  <c r="E131" i="39" s="1" a="1"/>
  <c r="E131" i="39" s="1"/>
  <c r="F131" i="39" s="1" a="1"/>
  <c r="F131" i="39" s="1"/>
  <c r="I130" i="39"/>
  <c r="P99" i="35"/>
  <c r="Q99" i="35"/>
  <c r="H100" i="35"/>
  <c r="E101" i="35" s="1" a="1"/>
  <c r="E101" i="35" s="1"/>
  <c r="F101" i="35" s="1" a="1"/>
  <c r="F101" i="35" s="1"/>
  <c r="G100" i="35"/>
  <c r="O100" i="35" s="1"/>
  <c r="M120" i="40" l="1"/>
  <c r="I120" i="40" s="1"/>
  <c r="I119" i="40"/>
  <c r="G119" i="40"/>
  <c r="O119" i="40" s="1"/>
  <c r="M131" i="39"/>
  <c r="I131" i="39" s="1"/>
  <c r="M101" i="35"/>
  <c r="G101" i="35" s="1"/>
  <c r="O101" i="35" s="1"/>
  <c r="P100" i="35"/>
  <c r="N100" i="35"/>
  <c r="Q100" i="35"/>
  <c r="H120" i="40" l="1"/>
  <c r="E121" i="40" s="1" a="1"/>
  <c r="E121" i="40" s="1"/>
  <c r="F121" i="40" s="1" a="1"/>
  <c r="F121" i="40" s="1"/>
  <c r="M121" i="40" s="1"/>
  <c r="I121" i="40" s="1"/>
  <c r="G120" i="40"/>
  <c r="O120" i="40" s="1"/>
  <c r="P119" i="40"/>
  <c r="N119" i="40"/>
  <c r="Q119" i="40"/>
  <c r="G131" i="39"/>
  <c r="O131" i="39" s="1"/>
  <c r="N131" i="39" s="1"/>
  <c r="H131" i="39"/>
  <c r="E132" i="39" s="1" a="1"/>
  <c r="E132" i="39" s="1"/>
  <c r="F132" i="39" s="1" a="1"/>
  <c r="F132" i="39" s="1"/>
  <c r="M132" i="39" s="1"/>
  <c r="G132" i="39" s="1"/>
  <c r="O132" i="39" s="1"/>
  <c r="I101" i="35"/>
  <c r="H101" i="35"/>
  <c r="E102" i="35" s="1" a="1"/>
  <c r="E102" i="35" s="1"/>
  <c r="F102" i="35" s="1" a="1"/>
  <c r="F102" i="35" s="1"/>
  <c r="M102" i="35" s="1"/>
  <c r="I102" i="35" s="1"/>
  <c r="P101" i="35"/>
  <c r="N101" i="35"/>
  <c r="Q101" i="35"/>
  <c r="H121" i="40" l="1"/>
  <c r="E122" i="40" s="1" a="1"/>
  <c r="E122" i="40" s="1"/>
  <c r="F122" i="40" s="1" a="1"/>
  <c r="F122" i="40" s="1"/>
  <c r="M122" i="40" s="1"/>
  <c r="H122" i="40" s="1"/>
  <c r="E123" i="40" s="1" a="1"/>
  <c r="E123" i="40" s="1"/>
  <c r="F123" i="40" s="1" a="1"/>
  <c r="F123" i="40" s="1"/>
  <c r="G121" i="40"/>
  <c r="O121" i="40" s="1"/>
  <c r="Q120" i="40"/>
  <c r="N120" i="40"/>
  <c r="P120" i="40"/>
  <c r="N121" i="40"/>
  <c r="P121" i="40"/>
  <c r="Q121" i="40"/>
  <c r="Q131" i="39"/>
  <c r="P131" i="39"/>
  <c r="H132" i="39"/>
  <c r="E133" i="39" s="1" a="1"/>
  <c r="E133" i="39" s="1"/>
  <c r="F133" i="39" s="1" a="1"/>
  <c r="F133" i="39" s="1"/>
  <c r="M133" i="39" s="1"/>
  <c r="I132" i="39"/>
  <c r="N132" i="39"/>
  <c r="Q132" i="39"/>
  <c r="P132" i="39"/>
  <c r="I122" i="40" l="1"/>
  <c r="G122" i="40"/>
  <c r="O122" i="40" s="1"/>
  <c r="Q122" i="40" s="1"/>
  <c r="M123" i="40"/>
  <c r="G123" i="40" s="1"/>
  <c r="O123" i="40" s="1"/>
  <c r="H133" i="39"/>
  <c r="E134" i="39" s="1" a="1"/>
  <c r="E134" i="39" s="1"/>
  <c r="F134" i="39" s="1" a="1"/>
  <c r="F134" i="39" s="1"/>
  <c r="M134" i="39" s="1"/>
  <c r="H134" i="39" s="1"/>
  <c r="E135" i="39" s="1" a="1"/>
  <c r="E135" i="39" s="1"/>
  <c r="F135" i="39" s="1" a="1"/>
  <c r="F135" i="39" s="1"/>
  <c r="I133" i="39"/>
  <c r="G133" i="39"/>
  <c r="O133" i="39" s="1"/>
  <c r="N133" i="39" s="1"/>
  <c r="H102" i="35"/>
  <c r="E103" i="35" s="1" a="1"/>
  <c r="E103" i="35" s="1"/>
  <c r="F103" i="35" s="1" a="1"/>
  <c r="F103" i="35" s="1"/>
  <c r="G102" i="35"/>
  <c r="O102" i="35" s="1"/>
  <c r="P122" i="40" l="1"/>
  <c r="N122" i="40"/>
  <c r="P123" i="40"/>
  <c r="Q123" i="40"/>
  <c r="N123" i="40"/>
  <c r="H123" i="40"/>
  <c r="E124" i="40" s="1" a="1"/>
  <c r="E124" i="40" s="1"/>
  <c r="F124" i="40" s="1" a="1"/>
  <c r="F124" i="40" s="1"/>
  <c r="I123" i="40"/>
  <c r="Q133" i="39"/>
  <c r="P133" i="39"/>
  <c r="G134" i="39"/>
  <c r="O134" i="39" s="1"/>
  <c r="N134" i="39" s="1"/>
  <c r="I134" i="39"/>
  <c r="M135" i="39"/>
  <c r="I135" i="39" s="1"/>
  <c r="M103" i="35"/>
  <c r="I103" i="35" s="1"/>
  <c r="Q102" i="35"/>
  <c r="P102" i="35"/>
  <c r="N102" i="35"/>
  <c r="M124" i="40" l="1"/>
  <c r="I124" i="40" s="1"/>
  <c r="Q134" i="39"/>
  <c r="P134" i="39"/>
  <c r="G135" i="39"/>
  <c r="O135" i="39" s="1"/>
  <c r="N135" i="39" s="1"/>
  <c r="H135" i="39"/>
  <c r="E136" i="39" s="1" a="1"/>
  <c r="E136" i="39" s="1"/>
  <c r="F136" i="39" s="1" a="1"/>
  <c r="F136" i="39" s="1"/>
  <c r="M136" i="39" s="1"/>
  <c r="I136" i="39" s="1"/>
  <c r="G103" i="35"/>
  <c r="O103" i="35" s="1"/>
  <c r="G124" i="40" l="1"/>
  <c r="O124" i="40" s="1"/>
  <c r="H124" i="40"/>
  <c r="E125" i="40" s="1" a="1"/>
  <c r="E125" i="40" s="1"/>
  <c r="F125" i="40" s="1" a="1"/>
  <c r="F125" i="40" s="1"/>
  <c r="P135" i="39"/>
  <c r="Q135" i="39"/>
  <c r="H136" i="39"/>
  <c r="E137" i="39" s="1" a="1"/>
  <c r="E137" i="39" s="1"/>
  <c r="F137" i="39" s="1" a="1"/>
  <c r="F137" i="39" s="1"/>
  <c r="M137" i="39" s="1"/>
  <c r="G137" i="39" s="1"/>
  <c r="O137" i="39" s="1"/>
  <c r="G136" i="39"/>
  <c r="O136" i="39" s="1"/>
  <c r="N136" i="39" s="1"/>
  <c r="Q103" i="35"/>
  <c r="N103" i="35"/>
  <c r="P103" i="35"/>
  <c r="H103" i="35"/>
  <c r="E104" i="35" s="1" a="1"/>
  <c r="E104" i="35" s="1"/>
  <c r="F104" i="35" s="1" a="1"/>
  <c r="F104" i="35" s="1"/>
  <c r="M125" i="40" l="1"/>
  <c r="I125" i="40" s="1"/>
  <c r="P124" i="40"/>
  <c r="N124" i="40"/>
  <c r="Q124" i="40"/>
  <c r="P136" i="39"/>
  <c r="Q136" i="39"/>
  <c r="N137" i="39"/>
  <c r="Q137" i="39"/>
  <c r="P137" i="39"/>
  <c r="H137" i="39"/>
  <c r="E138" i="39" s="1" a="1"/>
  <c r="E138" i="39" s="1"/>
  <c r="F138" i="39" s="1" a="1"/>
  <c r="F138" i="39" s="1"/>
  <c r="I137" i="39"/>
  <c r="M104" i="35"/>
  <c r="I104" i="35" s="1"/>
  <c r="G125" i="40" l="1"/>
  <c r="O125" i="40" s="1"/>
  <c r="N125" i="40" s="1"/>
  <c r="H125" i="40"/>
  <c r="E126" i="40" s="1" a="1"/>
  <c r="E126" i="40" s="1"/>
  <c r="F126" i="40" s="1" a="1"/>
  <c r="F126" i="40" s="1"/>
  <c r="M138" i="39"/>
  <c r="G138" i="39" s="1"/>
  <c r="O138" i="39" s="1"/>
  <c r="H104" i="35"/>
  <c r="E105" i="35" s="1" a="1"/>
  <c r="E105" i="35" s="1"/>
  <c r="F105" i="35" s="1" a="1"/>
  <c r="F105" i="35" s="1"/>
  <c r="M105" i="35" s="1"/>
  <c r="G104" i="35"/>
  <c r="O104" i="35" s="1"/>
  <c r="N104" i="35" s="1"/>
  <c r="P125" i="40" l="1"/>
  <c r="Q125" i="40"/>
  <c r="M126" i="40"/>
  <c r="H126" i="40" s="1"/>
  <c r="E127" i="40" s="1" a="1"/>
  <c r="E127" i="40" s="1"/>
  <c r="F127" i="40" s="1" a="1"/>
  <c r="F127" i="40" s="1"/>
  <c r="H138" i="39"/>
  <c r="E139" i="39" s="1" a="1"/>
  <c r="E139" i="39" s="1"/>
  <c r="F139" i="39" s="1" a="1"/>
  <c r="F139" i="39" s="1"/>
  <c r="M139" i="39" s="1"/>
  <c r="I139" i="39" s="1"/>
  <c r="I138" i="39"/>
  <c r="N138" i="39"/>
  <c r="P138" i="39"/>
  <c r="Q138" i="39"/>
  <c r="Q104" i="35"/>
  <c r="P104" i="35"/>
  <c r="I105" i="35"/>
  <c r="G105" i="35"/>
  <c r="O105" i="35" s="1"/>
  <c r="Q105" i="35" s="1"/>
  <c r="H105" i="35"/>
  <c r="E106" i="35" s="1" a="1"/>
  <c r="E106" i="35" s="1"/>
  <c r="F106" i="35" s="1" a="1"/>
  <c r="F106" i="35" s="1"/>
  <c r="M106" i="35" s="1"/>
  <c r="I106" i="35" s="1"/>
  <c r="M127" i="40" l="1"/>
  <c r="G127" i="40" s="1"/>
  <c r="O127" i="40" s="1"/>
  <c r="I126" i="40"/>
  <c r="G126" i="40"/>
  <c r="O126" i="40" s="1"/>
  <c r="H139" i="39"/>
  <c r="E140" i="39" s="1" a="1"/>
  <c r="E140" i="39" s="1"/>
  <c r="F140" i="39" s="1" a="1"/>
  <c r="F140" i="39" s="1"/>
  <c r="M140" i="39" s="1"/>
  <c r="G140" i="39" s="1"/>
  <c r="O140" i="39" s="1"/>
  <c r="G139" i="39"/>
  <c r="O139" i="39" s="1"/>
  <c r="N139" i="39" s="1"/>
  <c r="P105" i="35"/>
  <c r="H106" i="35"/>
  <c r="E107" i="35" s="1" a="1"/>
  <c r="E107" i="35" s="1"/>
  <c r="F107" i="35" s="1" a="1"/>
  <c r="F107" i="35" s="1"/>
  <c r="M107" i="35" s="1"/>
  <c r="I107" i="35" s="1"/>
  <c r="G106" i="35"/>
  <c r="O106" i="35" s="1"/>
  <c r="N106" i="35" s="1"/>
  <c r="N105" i="35"/>
  <c r="Q127" i="40" l="1"/>
  <c r="P127" i="40"/>
  <c r="N127" i="40"/>
  <c r="I127" i="40"/>
  <c r="Q126" i="40"/>
  <c r="P126" i="40"/>
  <c r="N126" i="40"/>
  <c r="H127" i="40"/>
  <c r="E128" i="40" s="1" a="1"/>
  <c r="E128" i="40" s="1"/>
  <c r="F128" i="40" s="1" a="1"/>
  <c r="F128" i="40" s="1"/>
  <c r="Q139" i="39"/>
  <c r="P139" i="39"/>
  <c r="I140" i="39"/>
  <c r="H140" i="39"/>
  <c r="E141" i="39" s="1" a="1"/>
  <c r="E141" i="39" s="1"/>
  <c r="F141" i="39" s="1" a="1"/>
  <c r="F141" i="39" s="1"/>
  <c r="M141" i="39" s="1"/>
  <c r="G141" i="39" s="1"/>
  <c r="O141" i="39" s="1"/>
  <c r="N140" i="39"/>
  <c r="Q140" i="39"/>
  <c r="P140" i="39"/>
  <c r="Q106" i="35"/>
  <c r="P106" i="35"/>
  <c r="M128" i="40" l="1"/>
  <c r="G128" i="40" s="1"/>
  <c r="O128" i="40" s="1"/>
  <c r="I141" i="39"/>
  <c r="H141" i="39"/>
  <c r="E142" i="39" s="1" a="1"/>
  <c r="E142" i="39" s="1"/>
  <c r="F142" i="39" s="1" a="1"/>
  <c r="F142" i="39" s="1"/>
  <c r="M142" i="39" s="1"/>
  <c r="H142" i="39" s="1"/>
  <c r="E143" i="39" s="1" a="1"/>
  <c r="E143" i="39" s="1"/>
  <c r="F143" i="39" s="1" a="1"/>
  <c r="F143" i="39" s="1"/>
  <c r="N141" i="39"/>
  <c r="Q141" i="39"/>
  <c r="P141" i="39"/>
  <c r="G107" i="35"/>
  <c r="O107" i="35" s="1"/>
  <c r="H107" i="35"/>
  <c r="E108" i="35" s="1" a="1"/>
  <c r="E108" i="35" s="1"/>
  <c r="F108" i="35" s="1" a="1"/>
  <c r="F108" i="35" s="1"/>
  <c r="N128" i="40" l="1"/>
  <c r="Q128" i="40"/>
  <c r="P128" i="40"/>
  <c r="H128" i="40"/>
  <c r="E129" i="40" s="1" a="1"/>
  <c r="E129" i="40" s="1"/>
  <c r="F129" i="40" s="1" a="1"/>
  <c r="F129" i="40" s="1"/>
  <c r="I128" i="40"/>
  <c r="G142" i="39"/>
  <c r="O142" i="39" s="1"/>
  <c r="N142" i="39" s="1"/>
  <c r="M143" i="39"/>
  <c r="I143" i="39" s="1"/>
  <c r="I142" i="39"/>
  <c r="M108" i="35"/>
  <c r="I108" i="35" s="1"/>
  <c r="Q107" i="35"/>
  <c r="N107" i="35"/>
  <c r="P107" i="35"/>
  <c r="Q142" i="39" l="1"/>
  <c r="P142" i="39"/>
  <c r="M129" i="40"/>
  <c r="H129" i="40" s="1"/>
  <c r="E130" i="40" s="1" a="1"/>
  <c r="E130" i="40" s="1"/>
  <c r="F130" i="40" s="1" a="1"/>
  <c r="F130" i="40" s="1"/>
  <c r="G143" i="39"/>
  <c r="O143" i="39" s="1"/>
  <c r="N143" i="39" s="1"/>
  <c r="H143" i="39"/>
  <c r="E144" i="39" s="1" a="1"/>
  <c r="E144" i="39" s="1"/>
  <c r="F144" i="39" s="1" a="1"/>
  <c r="F144" i="39" s="1"/>
  <c r="M144" i="39" s="1"/>
  <c r="I144" i="39" s="1"/>
  <c r="G108" i="35"/>
  <c r="O108" i="35" s="1"/>
  <c r="Q108" i="35" s="1"/>
  <c r="H108" i="35"/>
  <c r="E109" i="35" s="1" a="1"/>
  <c r="E109" i="35" s="1"/>
  <c r="F109" i="35" s="1" a="1"/>
  <c r="F109" i="35" s="1"/>
  <c r="M130" i="40" l="1"/>
  <c r="H130" i="40" s="1"/>
  <c r="E131" i="40" s="1" a="1"/>
  <c r="E131" i="40" s="1"/>
  <c r="F131" i="40" s="1" a="1"/>
  <c r="F131" i="40" s="1"/>
  <c r="G129" i="40"/>
  <c r="O129" i="40" s="1"/>
  <c r="N108" i="35"/>
  <c r="I129" i="40"/>
  <c r="P108" i="35"/>
  <c r="P143" i="39"/>
  <c r="Q143" i="39"/>
  <c r="H144" i="39"/>
  <c r="E145" i="39" s="1" a="1"/>
  <c r="E145" i="39" s="1"/>
  <c r="F145" i="39" s="1" a="1"/>
  <c r="F145" i="39" s="1"/>
  <c r="M145" i="39" s="1"/>
  <c r="I145" i="39" s="1"/>
  <c r="G144" i="39"/>
  <c r="O144" i="39" s="1"/>
  <c r="M109" i="35"/>
  <c r="I109" i="35" s="1"/>
  <c r="M131" i="40" l="1"/>
  <c r="G131" i="40" s="1"/>
  <c r="O131" i="40" s="1"/>
  <c r="N129" i="40"/>
  <c r="P129" i="40"/>
  <c r="Q129" i="40"/>
  <c r="G130" i="40"/>
  <c r="O130" i="40" s="1"/>
  <c r="I130" i="40"/>
  <c r="G145" i="39"/>
  <c r="O145" i="39" s="1"/>
  <c r="H145" i="39"/>
  <c r="E146" i="39" s="1" a="1"/>
  <c r="E146" i="39" s="1"/>
  <c r="F146" i="39" s="1" a="1"/>
  <c r="F146" i="39" s="1"/>
  <c r="N144" i="39"/>
  <c r="Q144" i="39"/>
  <c r="P144" i="39"/>
  <c r="Q131" i="40" l="1"/>
  <c r="P131" i="40"/>
  <c r="N131" i="40"/>
  <c r="I131" i="40"/>
  <c r="H131" i="40"/>
  <c r="E132" i="40" s="1" a="1"/>
  <c r="E132" i="40" s="1"/>
  <c r="F132" i="40" s="1" a="1"/>
  <c r="F132" i="40" s="1"/>
  <c r="P130" i="40"/>
  <c r="Q130" i="40"/>
  <c r="N130" i="40"/>
  <c r="M146" i="39"/>
  <c r="I146" i="39" s="1"/>
  <c r="N145" i="39"/>
  <c r="Q145" i="39"/>
  <c r="P145" i="39"/>
  <c r="G109" i="35"/>
  <c r="O109" i="35" s="1"/>
  <c r="H109" i="35"/>
  <c r="E110" i="35" s="1" a="1"/>
  <c r="E110" i="35" s="1"/>
  <c r="F110" i="35" s="1" a="1"/>
  <c r="F110" i="35" s="1"/>
  <c r="M132" i="40" l="1"/>
  <c r="I132" i="40" s="1"/>
  <c r="G146" i="39"/>
  <c r="O146" i="39" s="1"/>
  <c r="N146" i="39" s="1"/>
  <c r="H146" i="39"/>
  <c r="E147" i="39" s="1" a="1"/>
  <c r="E147" i="39" s="1"/>
  <c r="F147" i="39" s="1" a="1"/>
  <c r="F147" i="39" s="1"/>
  <c r="M110" i="35"/>
  <c r="I110" i="35" s="1"/>
  <c r="N109" i="35"/>
  <c r="Q109" i="35"/>
  <c r="P109" i="35"/>
  <c r="H132" i="40" l="1"/>
  <c r="E133" i="40" s="1" a="1"/>
  <c r="E133" i="40" s="1"/>
  <c r="F133" i="40" s="1" a="1"/>
  <c r="F133" i="40" s="1"/>
  <c r="G132" i="40"/>
  <c r="O132" i="40" s="1"/>
  <c r="Q146" i="39"/>
  <c r="P146" i="39"/>
  <c r="M147" i="39"/>
  <c r="I147" i="39" s="1"/>
  <c r="G110" i="35"/>
  <c r="O110" i="35" s="1"/>
  <c r="Q110" i="35" s="1"/>
  <c r="H110" i="35"/>
  <c r="E111" i="35" s="1" a="1"/>
  <c r="E111" i="35" s="1"/>
  <c r="F111" i="35" s="1" a="1"/>
  <c r="F111" i="35" s="1"/>
  <c r="M111" i="35" s="1"/>
  <c r="N132" i="40" l="1"/>
  <c r="Q132" i="40"/>
  <c r="P132" i="40"/>
  <c r="M133" i="40"/>
  <c r="H133" i="40" s="1"/>
  <c r="E134" i="40" s="1" a="1"/>
  <c r="E134" i="40" s="1"/>
  <c r="F134" i="40" s="1" a="1"/>
  <c r="F134" i="40" s="1"/>
  <c r="G147" i="39"/>
  <c r="O147" i="39" s="1"/>
  <c r="N147" i="39" s="1"/>
  <c r="H147" i="39"/>
  <c r="E148" i="39" s="1" a="1"/>
  <c r="E148" i="39" s="1"/>
  <c r="F148" i="39" s="1" a="1"/>
  <c r="F148" i="39" s="1"/>
  <c r="N110" i="35"/>
  <c r="P110" i="35"/>
  <c r="G111" i="35"/>
  <c r="O111" i="35" s="1"/>
  <c r="N111" i="35" s="1"/>
  <c r="H111" i="35"/>
  <c r="E112" i="35" s="1" a="1"/>
  <c r="E112" i="35" s="1"/>
  <c r="F112" i="35" s="1" a="1"/>
  <c r="F112" i="35" s="1"/>
  <c r="M112" i="35" s="1"/>
  <c r="I111" i="35"/>
  <c r="G133" i="40" l="1"/>
  <c r="O133" i="40" s="1"/>
  <c r="N133" i="40" s="1"/>
  <c r="I133" i="40"/>
  <c r="M134" i="40"/>
  <c r="H134" i="40" s="1"/>
  <c r="E135" i="40" s="1" a="1"/>
  <c r="E135" i="40" s="1"/>
  <c r="F135" i="40" s="1" a="1"/>
  <c r="F135" i="40" s="1"/>
  <c r="P147" i="39"/>
  <c r="Q147" i="39"/>
  <c r="M148" i="39"/>
  <c r="I148" i="39" s="1"/>
  <c r="Q111" i="35"/>
  <c r="P111" i="35"/>
  <c r="I112" i="35"/>
  <c r="H112" i="35"/>
  <c r="E113" i="35" s="1" a="1"/>
  <c r="E113" i="35" s="1"/>
  <c r="F113" i="35" s="1" a="1"/>
  <c r="F113" i="35" s="1"/>
  <c r="M113" i="35" s="1"/>
  <c r="I113" i="35" s="1"/>
  <c r="G112" i="35"/>
  <c r="O112" i="35" s="1"/>
  <c r="Q112" i="35" s="1"/>
  <c r="Q133" i="40" l="1"/>
  <c r="P133" i="40"/>
  <c r="I134" i="40"/>
  <c r="G134" i="40"/>
  <c r="O134" i="40" s="1"/>
  <c r="Q134" i="40" s="1"/>
  <c r="M135" i="40"/>
  <c r="G135" i="40" s="1"/>
  <c r="O135" i="40" s="1"/>
  <c r="G148" i="39"/>
  <c r="O148" i="39" s="1"/>
  <c r="N148" i="39" s="1"/>
  <c r="H148" i="39"/>
  <c r="E149" i="39" s="1" a="1"/>
  <c r="E149" i="39" s="1"/>
  <c r="F149" i="39" s="1" a="1"/>
  <c r="F149" i="39" s="1"/>
  <c r="N112" i="35"/>
  <c r="P112" i="35"/>
  <c r="H113" i="35"/>
  <c r="E114" i="35" s="1" a="1"/>
  <c r="E114" i="35" s="1"/>
  <c r="F114" i="35" s="1" a="1"/>
  <c r="F114" i="35" s="1"/>
  <c r="M114" i="35" s="1"/>
  <c r="I114" i="35" s="1"/>
  <c r="G113" i="35"/>
  <c r="O113" i="35" s="1"/>
  <c r="N134" i="40" l="1"/>
  <c r="P134" i="40"/>
  <c r="P135" i="40"/>
  <c r="N135" i="40"/>
  <c r="Q135" i="40"/>
  <c r="H135" i="40"/>
  <c r="E136" i="40" s="1" a="1"/>
  <c r="E136" i="40" s="1"/>
  <c r="F136" i="40" s="1" a="1"/>
  <c r="F136" i="40" s="1"/>
  <c r="I135" i="40"/>
  <c r="P148" i="39"/>
  <c r="Q148" i="39"/>
  <c r="M149" i="39"/>
  <c r="G149" i="39" s="1"/>
  <c r="O149" i="39" s="1"/>
  <c r="N113" i="35"/>
  <c r="Q113" i="35"/>
  <c r="P113" i="35"/>
  <c r="H114" i="35"/>
  <c r="E115" i="35" s="1" a="1"/>
  <c r="E115" i="35" s="1"/>
  <c r="F115" i="35" s="1" a="1"/>
  <c r="F115" i="35" s="1"/>
  <c r="G114" i="35"/>
  <c r="O114" i="35" s="1"/>
  <c r="M136" i="40" l="1"/>
  <c r="H136" i="40" s="1"/>
  <c r="E137" i="40" s="1" a="1"/>
  <c r="E137" i="40" s="1"/>
  <c r="F137" i="40" s="1" a="1"/>
  <c r="F137" i="40" s="1"/>
  <c r="N149" i="39"/>
  <c r="Q149" i="39"/>
  <c r="P149" i="39"/>
  <c r="H149" i="39"/>
  <c r="E150" i="39" s="1" a="1"/>
  <c r="E150" i="39" s="1"/>
  <c r="F150" i="39" s="1" a="1"/>
  <c r="F150" i="39" s="1"/>
  <c r="I149" i="39"/>
  <c r="M115" i="35"/>
  <c r="I115" i="35" s="1"/>
  <c r="Q114" i="35"/>
  <c r="N114" i="35"/>
  <c r="P114" i="35"/>
  <c r="I136" i="40" l="1"/>
  <c r="M137" i="40"/>
  <c r="I137" i="40" s="1"/>
  <c r="G136" i="40"/>
  <c r="O136" i="40" s="1"/>
  <c r="M150" i="39"/>
  <c r="I150" i="39" s="1"/>
  <c r="G137" i="40" l="1"/>
  <c r="O137" i="40" s="1"/>
  <c r="N137" i="40" s="1"/>
  <c r="H137" i="40"/>
  <c r="E138" i="40" s="1" a="1"/>
  <c r="E138" i="40" s="1"/>
  <c r="F138" i="40" s="1" a="1"/>
  <c r="F138" i="40" s="1"/>
  <c r="M138" i="40" s="1"/>
  <c r="H138" i="40" s="1"/>
  <c r="E139" i="40" s="1" a="1"/>
  <c r="E139" i="40" s="1"/>
  <c r="F139" i="40" s="1" a="1"/>
  <c r="F139" i="40" s="1"/>
  <c r="Q136" i="40"/>
  <c r="P136" i="40"/>
  <c r="N136" i="40"/>
  <c r="H150" i="39"/>
  <c r="E151" i="39" s="1" a="1"/>
  <c r="E151" i="39" s="1"/>
  <c r="F151" i="39" s="1" a="1"/>
  <c r="F151" i="39" s="1"/>
  <c r="M151" i="39" s="1"/>
  <c r="H151" i="39" s="1"/>
  <c r="E152" i="39" s="1" a="1"/>
  <c r="E152" i="39" s="1"/>
  <c r="F152" i="39" s="1" a="1"/>
  <c r="F152" i="39" s="1"/>
  <c r="G150" i="39"/>
  <c r="O150" i="39" s="1"/>
  <c r="H115" i="35"/>
  <c r="E116" i="35" s="1" a="1"/>
  <c r="E116" i="35" s="1"/>
  <c r="F116" i="35" s="1" a="1"/>
  <c r="F116" i="35" s="1"/>
  <c r="G115" i="35"/>
  <c r="O115" i="35" s="1"/>
  <c r="P137" i="40" l="1"/>
  <c r="Q137" i="40"/>
  <c r="I138" i="40"/>
  <c r="G138" i="40"/>
  <c r="O138" i="40" s="1"/>
  <c r="Q138" i="40" s="1"/>
  <c r="M139" i="40"/>
  <c r="H139" i="40" s="1"/>
  <c r="E140" i="40" s="1" a="1"/>
  <c r="E140" i="40" s="1"/>
  <c r="F140" i="40" s="1" a="1"/>
  <c r="F140" i="40" s="1"/>
  <c r="G151" i="39"/>
  <c r="O151" i="39" s="1"/>
  <c r="Q151" i="39" s="1"/>
  <c r="I151" i="39"/>
  <c r="M152" i="39"/>
  <c r="I152" i="39" s="1"/>
  <c r="N150" i="39"/>
  <c r="P150" i="39"/>
  <c r="Q150" i="39"/>
  <c r="M116" i="35"/>
  <c r="I116" i="35" s="1"/>
  <c r="N115" i="35"/>
  <c r="P115" i="35"/>
  <c r="Q115" i="35"/>
  <c r="N151" i="39" l="1"/>
  <c r="P151" i="39"/>
  <c r="N138" i="40"/>
  <c r="P138" i="40"/>
  <c r="I139" i="40"/>
  <c r="M140" i="40"/>
  <c r="H140" i="40" s="1"/>
  <c r="E141" i="40" s="1" a="1"/>
  <c r="E141" i="40" s="1"/>
  <c r="F141" i="40" s="1" a="1"/>
  <c r="F141" i="40" s="1"/>
  <c r="G139" i="40"/>
  <c r="O139" i="40" s="1"/>
  <c r="H152" i="39"/>
  <c r="E153" i="39" s="1" a="1"/>
  <c r="E153" i="39" s="1"/>
  <c r="F153" i="39" s="1" a="1"/>
  <c r="F153" i="39" s="1"/>
  <c r="M153" i="39" s="1"/>
  <c r="I153" i="39" s="1"/>
  <c r="G152" i="39"/>
  <c r="O152" i="39" s="1"/>
  <c r="N152" i="39" s="1"/>
  <c r="G116" i="35"/>
  <c r="O116" i="35" s="1"/>
  <c r="N116" i="35" s="1"/>
  <c r="H116" i="35"/>
  <c r="E117" i="35" s="1" a="1"/>
  <c r="E117" i="35" s="1"/>
  <c r="F117" i="35" s="1" a="1"/>
  <c r="F117" i="35" s="1"/>
  <c r="M117" i="35" s="1"/>
  <c r="H117" i="35" s="1"/>
  <c r="E118" i="35" s="1" a="1"/>
  <c r="E118" i="35" s="1"/>
  <c r="F118" i="35" s="1" a="1"/>
  <c r="F118" i="35" s="1"/>
  <c r="I140" i="40" l="1"/>
  <c r="G140" i="40"/>
  <c r="O140" i="40" s="1"/>
  <c r="P139" i="40"/>
  <c r="Q139" i="40"/>
  <c r="N139" i="40"/>
  <c r="P140" i="40"/>
  <c r="Q140" i="40"/>
  <c r="N140" i="40"/>
  <c r="M141" i="40"/>
  <c r="I141" i="40" s="1"/>
  <c r="P152" i="39"/>
  <c r="Q152" i="39"/>
  <c r="H153" i="39"/>
  <c r="E154" i="39" s="1" a="1"/>
  <c r="E154" i="39" s="1"/>
  <c r="F154" i="39" s="1" a="1"/>
  <c r="F154" i="39" s="1"/>
  <c r="M154" i="39" s="1"/>
  <c r="I154" i="39" s="1"/>
  <c r="G153" i="39"/>
  <c r="O153" i="39" s="1"/>
  <c r="Q116" i="35"/>
  <c r="P116" i="35"/>
  <c r="I117" i="35"/>
  <c r="M118" i="35"/>
  <c r="I118" i="35" s="1"/>
  <c r="G117" i="35"/>
  <c r="O117" i="35" s="1"/>
  <c r="H141" i="40" l="1"/>
  <c r="E142" i="40" s="1" a="1"/>
  <c r="E142" i="40" s="1"/>
  <c r="F142" i="40" s="1" a="1"/>
  <c r="F142" i="40" s="1"/>
  <c r="M142" i="40" s="1"/>
  <c r="H142" i="40" s="1"/>
  <c r="E143" i="40" s="1" a="1"/>
  <c r="E143" i="40" s="1"/>
  <c r="F143" i="40" s="1" a="1"/>
  <c r="F143" i="40" s="1"/>
  <c r="G141" i="40"/>
  <c r="O141" i="40" s="1"/>
  <c r="H154" i="39"/>
  <c r="E155" i="39" s="1" a="1"/>
  <c r="E155" i="39" s="1"/>
  <c r="F155" i="39" s="1" a="1"/>
  <c r="F155" i="39" s="1"/>
  <c r="M155" i="39" s="1"/>
  <c r="I155" i="39" s="1"/>
  <c r="P153" i="39"/>
  <c r="Q153" i="39"/>
  <c r="N153" i="39"/>
  <c r="G154" i="39"/>
  <c r="O154" i="39" s="1"/>
  <c r="G118" i="35"/>
  <c r="O118" i="35" s="1"/>
  <c r="Q118" i="35" s="1"/>
  <c r="H118" i="35"/>
  <c r="E119" i="35" s="1" a="1"/>
  <c r="E119" i="35" s="1"/>
  <c r="F119" i="35" s="1" a="1"/>
  <c r="F119" i="35" s="1"/>
  <c r="M119" i="35" s="1"/>
  <c r="N117" i="35"/>
  <c r="Q117" i="35"/>
  <c r="P117" i="35"/>
  <c r="G142" i="40" l="1"/>
  <c r="O142" i="40" s="1"/>
  <c r="N142" i="40" s="1"/>
  <c r="M143" i="40"/>
  <c r="G143" i="40" s="1"/>
  <c r="O143" i="40" s="1"/>
  <c r="N141" i="40"/>
  <c r="Q141" i="40"/>
  <c r="P141" i="40"/>
  <c r="I142" i="40"/>
  <c r="G155" i="39"/>
  <c r="O155" i="39" s="1"/>
  <c r="P155" i="39" s="1"/>
  <c r="H155" i="39"/>
  <c r="E156" i="39" s="1" a="1"/>
  <c r="E156" i="39" s="1"/>
  <c r="F156" i="39" s="1" a="1"/>
  <c r="F156" i="39" s="1"/>
  <c r="M156" i="39" s="1"/>
  <c r="I156" i="39" s="1"/>
  <c r="P154" i="39"/>
  <c r="N154" i="39"/>
  <c r="Q154" i="39"/>
  <c r="N118" i="35"/>
  <c r="P118" i="35"/>
  <c r="I119" i="35"/>
  <c r="G119" i="35"/>
  <c r="O119" i="35" s="1"/>
  <c r="Q119" i="35" s="1"/>
  <c r="H119" i="35"/>
  <c r="E120" i="35" s="1" a="1"/>
  <c r="E120" i="35" s="1"/>
  <c r="F120" i="35" s="1" a="1"/>
  <c r="F120" i="35" s="1"/>
  <c r="Q142" i="40" l="1"/>
  <c r="P142" i="40"/>
  <c r="H143" i="40"/>
  <c r="E144" i="40" s="1" a="1"/>
  <c r="E144" i="40" s="1"/>
  <c r="F144" i="40" s="1" a="1"/>
  <c r="F144" i="40" s="1"/>
  <c r="M144" i="40" s="1"/>
  <c r="G144" i="40" s="1"/>
  <c r="O144" i="40" s="1"/>
  <c r="N143" i="40"/>
  <c r="Q143" i="40"/>
  <c r="P143" i="40"/>
  <c r="I143" i="40"/>
  <c r="Q155" i="39"/>
  <c r="N155" i="39"/>
  <c r="G156" i="39"/>
  <c r="O156" i="39" s="1"/>
  <c r="H156" i="39"/>
  <c r="E157" i="39" s="1" a="1"/>
  <c r="E157" i="39" s="1"/>
  <c r="F157" i="39" s="1" a="1"/>
  <c r="F157" i="39" s="1"/>
  <c r="N119" i="35"/>
  <c r="P119" i="35"/>
  <c r="M120" i="35"/>
  <c r="I120" i="35" s="1"/>
  <c r="N144" i="40" l="1"/>
  <c r="Q144" i="40"/>
  <c r="P144" i="40"/>
  <c r="H144" i="40"/>
  <c r="E145" i="40" s="1" a="1"/>
  <c r="E145" i="40" s="1"/>
  <c r="F145" i="40" s="1" a="1"/>
  <c r="F145" i="40" s="1"/>
  <c r="I144" i="40"/>
  <c r="M157" i="39"/>
  <c r="G157" i="39" s="1"/>
  <c r="O157" i="39" s="1"/>
  <c r="P156" i="39"/>
  <c r="Q156" i="39"/>
  <c r="N156" i="39"/>
  <c r="H120" i="35"/>
  <c r="E121" i="35" s="1" a="1"/>
  <c r="E121" i="35" s="1"/>
  <c r="F121" i="35" s="1" a="1"/>
  <c r="F121" i="35" s="1"/>
  <c r="M145" i="40" l="1"/>
  <c r="I145" i="40" s="1"/>
  <c r="H157" i="39"/>
  <c r="E158" i="39" s="1" a="1"/>
  <c r="E158" i="39" s="1"/>
  <c r="F158" i="39" s="1" a="1"/>
  <c r="F158" i="39" s="1"/>
  <c r="M158" i="39" s="1"/>
  <c r="G158" i="39" s="1"/>
  <c r="O158" i="39" s="1"/>
  <c r="I157" i="39"/>
  <c r="P157" i="39"/>
  <c r="Q157" i="39"/>
  <c r="N157" i="39"/>
  <c r="M121" i="35"/>
  <c r="I121" i="35" s="1"/>
  <c r="G120" i="35"/>
  <c r="O120" i="35" s="1"/>
  <c r="G145" i="40" l="1"/>
  <c r="O145" i="40" s="1"/>
  <c r="Q145" i="40" s="1"/>
  <c r="H145" i="40"/>
  <c r="E146" i="40" s="1" a="1"/>
  <c r="E146" i="40" s="1"/>
  <c r="F146" i="40" s="1" a="1"/>
  <c r="F146" i="40" s="1"/>
  <c r="P158" i="39"/>
  <c r="N158" i="39"/>
  <c r="Q158" i="39"/>
  <c r="H158" i="39"/>
  <c r="E159" i="39" s="1" a="1"/>
  <c r="E159" i="39" s="1"/>
  <c r="F159" i="39" s="1" a="1"/>
  <c r="F159" i="39" s="1"/>
  <c r="I158" i="39"/>
  <c r="G121" i="35"/>
  <c r="O121" i="35" s="1"/>
  <c r="P121" i="35" s="1"/>
  <c r="H121" i="35"/>
  <c r="E122" i="35" s="1" a="1"/>
  <c r="E122" i="35" s="1"/>
  <c r="F122" i="35" s="1" a="1"/>
  <c r="F122" i="35" s="1"/>
  <c r="M122" i="35" s="1"/>
  <c r="I122" i="35" s="1"/>
  <c r="Q120" i="35"/>
  <c r="P120" i="35"/>
  <c r="N120" i="35"/>
  <c r="N145" i="40" l="1"/>
  <c r="P145" i="40"/>
  <c r="M146" i="40"/>
  <c r="H146" i="40" s="1"/>
  <c r="E147" i="40" s="1" a="1"/>
  <c r="E147" i="40" s="1"/>
  <c r="F147" i="40" s="1" a="1"/>
  <c r="F147" i="40" s="1"/>
  <c r="M159" i="39"/>
  <c r="H159" i="39" s="1"/>
  <c r="E160" i="39" s="1" a="1"/>
  <c r="E160" i="39" s="1"/>
  <c r="F160" i="39" s="1" a="1"/>
  <c r="F160" i="39" s="1"/>
  <c r="Q121" i="35"/>
  <c r="N121" i="35"/>
  <c r="I146" i="40" l="1"/>
  <c r="M147" i="40"/>
  <c r="G147" i="40" s="1"/>
  <c r="O147" i="40" s="1"/>
  <c r="G146" i="40"/>
  <c r="O146" i="40" s="1"/>
  <c r="I159" i="39"/>
  <c r="M160" i="39"/>
  <c r="I160" i="39" s="1"/>
  <c r="G159" i="39"/>
  <c r="O159" i="39" s="1"/>
  <c r="G122" i="35"/>
  <c r="O122" i="35" s="1"/>
  <c r="H122" i="35"/>
  <c r="E123" i="35" s="1" a="1"/>
  <c r="E123" i="35" s="1"/>
  <c r="F123" i="35" s="1" a="1"/>
  <c r="F123" i="35" s="1"/>
  <c r="Q147" i="40" l="1"/>
  <c r="P147" i="40"/>
  <c r="N147" i="40"/>
  <c r="P146" i="40"/>
  <c r="Q146" i="40"/>
  <c r="N146" i="40"/>
  <c r="H147" i="40"/>
  <c r="E148" i="40" s="1" a="1"/>
  <c r="E148" i="40" s="1"/>
  <c r="F148" i="40" s="1" a="1"/>
  <c r="F148" i="40" s="1"/>
  <c r="I147" i="40"/>
  <c r="P159" i="39"/>
  <c r="Q159" i="39"/>
  <c r="N159" i="39"/>
  <c r="G160" i="39"/>
  <c r="O160" i="39" s="1"/>
  <c r="H160" i="39"/>
  <c r="E161" i="39" s="1" a="1"/>
  <c r="E161" i="39" s="1"/>
  <c r="F161" i="39" s="1" a="1"/>
  <c r="F161" i="39" s="1"/>
  <c r="M123" i="35"/>
  <c r="I123" i="35" s="1"/>
  <c r="Q122" i="35"/>
  <c r="P122" i="35"/>
  <c r="N122" i="35"/>
  <c r="M148" i="40" l="1"/>
  <c r="G148" i="40" s="1"/>
  <c r="O148" i="40" s="1"/>
  <c r="M161" i="39"/>
  <c r="H161" i="39" s="1"/>
  <c r="E162" i="39" s="1" a="1"/>
  <c r="E162" i="39" s="1"/>
  <c r="F162" i="39" s="1" a="1"/>
  <c r="F162" i="39" s="1"/>
  <c r="P160" i="39"/>
  <c r="N160" i="39"/>
  <c r="Q160" i="39"/>
  <c r="H123" i="35"/>
  <c r="E124" i="35" s="1" a="1"/>
  <c r="E124" i="35" s="1"/>
  <c r="F124" i="35" s="1" a="1"/>
  <c r="F124" i="35" s="1"/>
  <c r="M124" i="35" s="1"/>
  <c r="I124" i="35" s="1"/>
  <c r="G123" i="35"/>
  <c r="O123" i="35" s="1"/>
  <c r="H148" i="40" l="1"/>
  <c r="E149" i="40" s="1" a="1"/>
  <c r="E149" i="40" s="1"/>
  <c r="F149" i="40" s="1" a="1"/>
  <c r="F149" i="40" s="1"/>
  <c r="M149" i="40" s="1"/>
  <c r="G149" i="40" s="1"/>
  <c r="O149" i="40" s="1"/>
  <c r="I148" i="40"/>
  <c r="N148" i="40"/>
  <c r="Q148" i="40"/>
  <c r="P148" i="40"/>
  <c r="M162" i="39"/>
  <c r="H162" i="39" s="1"/>
  <c r="E163" i="39" s="1" a="1"/>
  <c r="E163" i="39" s="1"/>
  <c r="F163" i="39" s="1" a="1"/>
  <c r="F163" i="39" s="1"/>
  <c r="G161" i="39"/>
  <c r="O161" i="39" s="1"/>
  <c r="I161" i="39"/>
  <c r="P123" i="35"/>
  <c r="N123" i="35"/>
  <c r="Q123" i="35"/>
  <c r="G124" i="35"/>
  <c r="O124" i="35" s="1"/>
  <c r="I149" i="40" l="1"/>
  <c r="Q149" i="40"/>
  <c r="P149" i="40"/>
  <c r="N149" i="40"/>
  <c r="H149" i="40"/>
  <c r="E150" i="40" s="1" a="1"/>
  <c r="E150" i="40" s="1"/>
  <c r="F150" i="40" s="1" a="1"/>
  <c r="F150" i="40" s="1"/>
  <c r="G162" i="39"/>
  <c r="O162" i="39" s="1"/>
  <c r="P162" i="39" s="1"/>
  <c r="I162" i="39"/>
  <c r="P161" i="39"/>
  <c r="Q161" i="39"/>
  <c r="N161" i="39"/>
  <c r="M163" i="39"/>
  <c r="H163" i="39" s="1"/>
  <c r="E164" i="39" s="1" a="1"/>
  <c r="E164" i="39" s="1"/>
  <c r="F164" i="39" s="1" a="1"/>
  <c r="F164" i="39" s="1"/>
  <c r="Q124" i="35"/>
  <c r="P124" i="35"/>
  <c r="N124" i="35"/>
  <c r="H124" i="35"/>
  <c r="E125" i="35" s="1" a="1"/>
  <c r="E125" i="35" s="1"/>
  <c r="F125" i="35" s="1" a="1"/>
  <c r="F125" i="35" s="1"/>
  <c r="M150" i="40" l="1"/>
  <c r="I150" i="40" s="1"/>
  <c r="N162" i="39"/>
  <c r="Q162" i="39"/>
  <c r="M164" i="39"/>
  <c r="I164" i="39" s="1"/>
  <c r="I163" i="39"/>
  <c r="G163" i="39"/>
  <c r="O163" i="39" s="1"/>
  <c r="M125" i="35"/>
  <c r="I125" i="35" s="1"/>
  <c r="G150" i="40" l="1"/>
  <c r="O150" i="40" s="1"/>
  <c r="H150" i="40"/>
  <c r="E151" i="40" s="1" a="1"/>
  <c r="E151" i="40" s="1"/>
  <c r="F151" i="40" s="1" a="1"/>
  <c r="F151" i="40" s="1"/>
  <c r="H164" i="39"/>
  <c r="E165" i="39" s="1" a="1"/>
  <c r="E165" i="39" s="1"/>
  <c r="F165" i="39" s="1" a="1"/>
  <c r="F165" i="39" s="1"/>
  <c r="M165" i="39" s="1"/>
  <c r="I165" i="39" s="1"/>
  <c r="G164" i="39"/>
  <c r="O164" i="39" s="1"/>
  <c r="P164" i="39" s="1"/>
  <c r="P163" i="39"/>
  <c r="N163" i="39"/>
  <c r="Q163" i="39"/>
  <c r="H125" i="35"/>
  <c r="E126" i="35" s="1" a="1"/>
  <c r="E126" i="35" s="1"/>
  <c r="F126" i="35" s="1" a="1"/>
  <c r="F126" i="35" s="1"/>
  <c r="M126" i="35" s="1"/>
  <c r="I126" i="35" s="1"/>
  <c r="G125" i="35"/>
  <c r="O125" i="35" s="1"/>
  <c r="N164" i="39" l="1"/>
  <c r="Q164" i="39"/>
  <c r="M151" i="40"/>
  <c r="G151" i="40" s="1"/>
  <c r="O151" i="40" s="1"/>
  <c r="Q150" i="40"/>
  <c r="P150" i="40"/>
  <c r="N150" i="40"/>
  <c r="G165" i="39"/>
  <c r="O165" i="39" s="1"/>
  <c r="P165" i="39" s="1"/>
  <c r="H165" i="39"/>
  <c r="E166" i="39" s="1" a="1"/>
  <c r="E166" i="39" s="1"/>
  <c r="F166" i="39" s="1" a="1"/>
  <c r="F166" i="39" s="1"/>
  <c r="M166" i="39" s="1"/>
  <c r="G126" i="35"/>
  <c r="O126" i="35" s="1"/>
  <c r="N126" i="35" s="1"/>
  <c r="Q125" i="35"/>
  <c r="N125" i="35"/>
  <c r="P125" i="35"/>
  <c r="H126" i="35"/>
  <c r="E127" i="35" s="1" a="1"/>
  <c r="E127" i="35" s="1"/>
  <c r="F127" i="35" s="1" a="1"/>
  <c r="F127" i="35" s="1"/>
  <c r="P151" i="40" l="1"/>
  <c r="Q151" i="40"/>
  <c r="N151" i="40"/>
  <c r="I151" i="40"/>
  <c r="H151" i="40"/>
  <c r="E152" i="40" s="1" a="1"/>
  <c r="E152" i="40" s="1"/>
  <c r="F152" i="40" s="1" a="1"/>
  <c r="F152" i="40" s="1"/>
  <c r="N165" i="39"/>
  <c r="Q165" i="39"/>
  <c r="H166" i="39"/>
  <c r="E167" i="39" s="1" a="1"/>
  <c r="E167" i="39" s="1"/>
  <c r="F167" i="39" s="1" a="1"/>
  <c r="F167" i="39" s="1"/>
  <c r="M167" i="39" s="1"/>
  <c r="H167" i="39" s="1"/>
  <c r="E168" i="39" s="1" a="1"/>
  <c r="E168" i="39" s="1"/>
  <c r="F168" i="39" s="1" a="1"/>
  <c r="F168" i="39" s="1"/>
  <c r="G166" i="39"/>
  <c r="O166" i="39" s="1"/>
  <c r="P166" i="39" s="1"/>
  <c r="I166" i="39"/>
  <c r="P126" i="35"/>
  <c r="M127" i="35"/>
  <c r="I127" i="35" s="1"/>
  <c r="Q126" i="35"/>
  <c r="M152" i="40" l="1"/>
  <c r="H152" i="40" s="1"/>
  <c r="E153" i="40" s="1" a="1"/>
  <c r="E153" i="40" s="1"/>
  <c r="F153" i="40" s="1" a="1"/>
  <c r="F153" i="40" s="1"/>
  <c r="Q166" i="39"/>
  <c r="N166" i="39"/>
  <c r="I167" i="39"/>
  <c r="M168" i="39"/>
  <c r="H168" i="39" s="1"/>
  <c r="E169" i="39" s="1" a="1"/>
  <c r="E169" i="39" s="1"/>
  <c r="F169" i="39" s="1" a="1"/>
  <c r="F169" i="39" s="1"/>
  <c r="G167" i="39"/>
  <c r="O167" i="39" s="1"/>
  <c r="G127" i="35"/>
  <c r="O127" i="35" s="1"/>
  <c r="Q127" i="35" s="1"/>
  <c r="H127" i="35"/>
  <c r="E128" i="35" s="1" a="1"/>
  <c r="E128" i="35" s="1"/>
  <c r="F128" i="35" s="1" a="1"/>
  <c r="F128" i="35" s="1"/>
  <c r="M128" i="35" s="1"/>
  <c r="I128" i="35" s="1"/>
  <c r="M153" i="40" l="1"/>
  <c r="I153" i="40" s="1"/>
  <c r="I152" i="40"/>
  <c r="G152" i="40"/>
  <c r="O152" i="40" s="1"/>
  <c r="M169" i="39"/>
  <c r="G169" i="39" s="1"/>
  <c r="O169" i="39" s="1"/>
  <c r="P167" i="39"/>
  <c r="N167" i="39"/>
  <c r="Q167" i="39"/>
  <c r="I168" i="39"/>
  <c r="G168" i="39"/>
  <c r="O168" i="39" s="1"/>
  <c r="P127" i="35"/>
  <c r="N127" i="35"/>
  <c r="H128" i="35"/>
  <c r="E129" i="35" s="1" a="1"/>
  <c r="E129" i="35" s="1"/>
  <c r="F129" i="35" s="1" a="1"/>
  <c r="F129" i="35" s="1"/>
  <c r="M129" i="35" s="1"/>
  <c r="I129" i="35" s="1"/>
  <c r="G128" i="35"/>
  <c r="O128" i="35" s="1"/>
  <c r="N128" i="35" s="1"/>
  <c r="H153" i="40" l="1"/>
  <c r="E154" i="40" s="1" a="1"/>
  <c r="E154" i="40" s="1"/>
  <c r="F154" i="40" s="1" a="1"/>
  <c r="F154" i="40" s="1"/>
  <c r="Q152" i="40"/>
  <c r="N152" i="40"/>
  <c r="P152" i="40"/>
  <c r="G153" i="40"/>
  <c r="O153" i="40" s="1"/>
  <c r="N169" i="39"/>
  <c r="Q169" i="39"/>
  <c r="P169" i="39"/>
  <c r="N168" i="39"/>
  <c r="P168" i="39"/>
  <c r="Q168" i="39"/>
  <c r="H169" i="39"/>
  <c r="E170" i="39" s="1" a="1"/>
  <c r="E170" i="39" s="1"/>
  <c r="F170" i="39" s="1" a="1"/>
  <c r="F170" i="39" s="1"/>
  <c r="I169" i="39"/>
  <c r="Q128" i="35"/>
  <c r="P128" i="35"/>
  <c r="H129" i="35"/>
  <c r="E130" i="35" s="1" a="1"/>
  <c r="E130" i="35" s="1"/>
  <c r="F130" i="35" s="1" a="1"/>
  <c r="F130" i="35" s="1"/>
  <c r="N153" i="40" l="1"/>
  <c r="P153" i="40"/>
  <c r="Q153" i="40"/>
  <c r="M154" i="40"/>
  <c r="H154" i="40" s="1"/>
  <c r="E155" i="40" s="1" a="1"/>
  <c r="E155" i="40" s="1"/>
  <c r="F155" i="40" s="1" a="1"/>
  <c r="F155" i="40" s="1"/>
  <c r="M170" i="39"/>
  <c r="H170" i="39" s="1"/>
  <c r="E171" i="39" s="1" a="1"/>
  <c r="E171" i="39" s="1"/>
  <c r="F171" i="39" s="1" a="1"/>
  <c r="F171" i="39" s="1"/>
  <c r="M130" i="35"/>
  <c r="I130" i="35" s="1"/>
  <c r="G129" i="35"/>
  <c r="O129" i="35" s="1"/>
  <c r="G154" i="40" l="1"/>
  <c r="O154" i="40" s="1"/>
  <c r="Q154" i="40" s="1"/>
  <c r="I154" i="40"/>
  <c r="M155" i="40"/>
  <c r="G155" i="40" s="1"/>
  <c r="O155" i="40" s="1"/>
  <c r="M171" i="39"/>
  <c r="G171" i="39" s="1"/>
  <c r="O171" i="39" s="1"/>
  <c r="I170" i="39"/>
  <c r="G170" i="39"/>
  <c r="O170" i="39" s="1"/>
  <c r="Q129" i="35"/>
  <c r="N129" i="35"/>
  <c r="P129" i="35"/>
  <c r="G130" i="35"/>
  <c r="O130" i="35" s="1"/>
  <c r="H130" i="35"/>
  <c r="E131" i="35" s="1" a="1"/>
  <c r="E131" i="35" s="1"/>
  <c r="F131" i="35" s="1" a="1"/>
  <c r="F131" i="35" s="1"/>
  <c r="P154" i="40" l="1"/>
  <c r="N154" i="40"/>
  <c r="P155" i="40"/>
  <c r="N155" i="40"/>
  <c r="Q155" i="40"/>
  <c r="I155" i="40"/>
  <c r="H155" i="40"/>
  <c r="E156" i="40" s="1" a="1"/>
  <c r="E156" i="40" s="1"/>
  <c r="F156" i="40" s="1" a="1"/>
  <c r="F156" i="40" s="1"/>
  <c r="H171" i="39"/>
  <c r="E172" i="39" s="1" a="1"/>
  <c r="E172" i="39" s="1"/>
  <c r="F172" i="39" s="1" a="1"/>
  <c r="F172" i="39" s="1"/>
  <c r="M172" i="39" s="1"/>
  <c r="H172" i="39" s="1"/>
  <c r="E173" i="39" s="1" a="1"/>
  <c r="E173" i="39" s="1"/>
  <c r="F173" i="39" s="1" a="1"/>
  <c r="F173" i="39" s="1"/>
  <c r="I171" i="39"/>
  <c r="P171" i="39"/>
  <c r="N171" i="39"/>
  <c r="Q171" i="39"/>
  <c r="P170" i="39"/>
  <c r="N170" i="39"/>
  <c r="Q170" i="39"/>
  <c r="M131" i="35"/>
  <c r="I131" i="35" s="1"/>
  <c r="N130" i="35"/>
  <c r="Q130" i="35"/>
  <c r="P130" i="35"/>
  <c r="M156" i="40" l="1"/>
  <c r="H156" i="40" s="1"/>
  <c r="E157" i="40" s="1" a="1"/>
  <c r="E157" i="40" s="1"/>
  <c r="F157" i="40" s="1" a="1"/>
  <c r="F157" i="40" s="1"/>
  <c r="M173" i="39"/>
  <c r="H173" i="39" s="1"/>
  <c r="E174" i="39" s="1" a="1"/>
  <c r="E174" i="39" s="1"/>
  <c r="F174" i="39" s="1" a="1"/>
  <c r="F174" i="39" s="1"/>
  <c r="I172" i="39"/>
  <c r="G172" i="39"/>
  <c r="O172" i="39" s="1"/>
  <c r="M157" i="40" l="1"/>
  <c r="I157" i="40" s="1"/>
  <c r="I156" i="40"/>
  <c r="G156" i="40"/>
  <c r="O156" i="40" s="1"/>
  <c r="G173" i="39"/>
  <c r="O173" i="39" s="1"/>
  <c r="P173" i="39" s="1"/>
  <c r="I173" i="39"/>
  <c r="Q172" i="39"/>
  <c r="P172" i="39"/>
  <c r="N172" i="39"/>
  <c r="M174" i="39"/>
  <c r="H174" i="39" s="1"/>
  <c r="E175" i="39" s="1" a="1"/>
  <c r="E175" i="39" s="1"/>
  <c r="F175" i="39" s="1" a="1"/>
  <c r="F175" i="39" s="1"/>
  <c r="G131" i="35"/>
  <c r="O131" i="35" s="1"/>
  <c r="H131" i="35"/>
  <c r="E132" i="35" s="1" a="1"/>
  <c r="E132" i="35" s="1"/>
  <c r="F132" i="35" s="1" a="1"/>
  <c r="F132" i="35" s="1"/>
  <c r="G157" i="40" l="1"/>
  <c r="O157" i="40" s="1"/>
  <c r="H157" i="40"/>
  <c r="E158" i="40" s="1" a="1"/>
  <c r="E158" i="40" s="1"/>
  <c r="F158" i="40" s="1" a="1"/>
  <c r="F158" i="40" s="1"/>
  <c r="Q156" i="40"/>
  <c r="P156" i="40"/>
  <c r="N156" i="40"/>
  <c r="Q173" i="39"/>
  <c r="N173" i="39"/>
  <c r="I174" i="39"/>
  <c r="M175" i="39"/>
  <c r="I175" i="39" s="1"/>
  <c r="G174" i="39"/>
  <c r="O174" i="39" s="1"/>
  <c r="M132" i="35"/>
  <c r="I132" i="35" s="1"/>
  <c r="N131" i="35"/>
  <c r="Q131" i="35"/>
  <c r="P131" i="35"/>
  <c r="M158" i="40" l="1"/>
  <c r="H158" i="40" s="1"/>
  <c r="E159" i="40" s="1" a="1"/>
  <c r="E159" i="40" s="1"/>
  <c r="F159" i="40" s="1" a="1"/>
  <c r="F159" i="40" s="1"/>
  <c r="N157" i="40"/>
  <c r="Q157" i="40"/>
  <c r="P157" i="40"/>
  <c r="H175" i="39"/>
  <c r="E176" i="39" s="1" a="1"/>
  <c r="E176" i="39" s="1"/>
  <c r="F176" i="39" s="1" a="1"/>
  <c r="F176" i="39" s="1"/>
  <c r="M176" i="39" s="1"/>
  <c r="Q174" i="39"/>
  <c r="P174" i="39"/>
  <c r="N174" i="39"/>
  <c r="G175" i="39"/>
  <c r="O175" i="39" s="1"/>
  <c r="G132" i="35"/>
  <c r="O132" i="35" s="1"/>
  <c r="P132" i="35" s="1"/>
  <c r="H132" i="35"/>
  <c r="E133" i="35" s="1" a="1"/>
  <c r="E133" i="35" s="1"/>
  <c r="F133" i="35" s="1" a="1"/>
  <c r="F133" i="35" s="1"/>
  <c r="M133" i="35" s="1"/>
  <c r="I133" i="35" s="1"/>
  <c r="M159" i="40" l="1"/>
  <c r="G159" i="40" s="1"/>
  <c r="O159" i="40" s="1"/>
  <c r="I158" i="40"/>
  <c r="G158" i="40"/>
  <c r="O158" i="40" s="1"/>
  <c r="I176" i="39"/>
  <c r="G176" i="39"/>
  <c r="O176" i="39" s="1"/>
  <c r="Q176" i="39" s="1"/>
  <c r="H176" i="39"/>
  <c r="E177" i="39" s="1" a="1"/>
  <c r="E177" i="39" s="1"/>
  <c r="F177" i="39" s="1" a="1"/>
  <c r="F177" i="39" s="1"/>
  <c r="M177" i="39" s="1"/>
  <c r="Q175" i="39"/>
  <c r="P175" i="39"/>
  <c r="N175" i="39"/>
  <c r="N132" i="35"/>
  <c r="Q132" i="35"/>
  <c r="G133" i="35"/>
  <c r="O133" i="35" s="1"/>
  <c r="Q133" i="35" s="1"/>
  <c r="H133" i="35"/>
  <c r="E134" i="35" s="1" a="1"/>
  <c r="E134" i="35" s="1"/>
  <c r="F134" i="35" s="1" a="1"/>
  <c r="F134" i="35" s="1"/>
  <c r="M134" i="35" s="1"/>
  <c r="N159" i="40" l="1"/>
  <c r="Q159" i="40"/>
  <c r="P159" i="40"/>
  <c r="N158" i="40"/>
  <c r="P158" i="40"/>
  <c r="Q158" i="40"/>
  <c r="H159" i="40"/>
  <c r="E160" i="40" s="1" a="1"/>
  <c r="E160" i="40" s="1"/>
  <c r="F160" i="40" s="1" a="1"/>
  <c r="F160" i="40" s="1"/>
  <c r="I159" i="40"/>
  <c r="N176" i="39"/>
  <c r="P176" i="39"/>
  <c r="G177" i="39"/>
  <c r="O177" i="39" s="1"/>
  <c r="P177" i="39" s="1"/>
  <c r="I177" i="39"/>
  <c r="H177" i="39"/>
  <c r="E178" i="39" s="1" a="1"/>
  <c r="E178" i="39" s="1"/>
  <c r="F178" i="39" s="1" a="1"/>
  <c r="F178" i="39" s="1"/>
  <c r="M178" i="39" s="1"/>
  <c r="H178" i="39" s="1"/>
  <c r="E179" i="39" s="1" a="1"/>
  <c r="E179" i="39" s="1"/>
  <c r="F179" i="39" s="1" a="1"/>
  <c r="F179" i="39" s="1"/>
  <c r="P133" i="35"/>
  <c r="N133" i="35"/>
  <c r="I134" i="35"/>
  <c r="G134" i="35"/>
  <c r="O134" i="35" s="1"/>
  <c r="Q134" i="35" s="1"/>
  <c r="H134" i="35"/>
  <c r="E135" i="35" s="1" a="1"/>
  <c r="E135" i="35" s="1"/>
  <c r="F135" i="35" s="1" a="1"/>
  <c r="F135" i="35" s="1"/>
  <c r="M135" i="35" s="1"/>
  <c r="M160" i="40" l="1"/>
  <c r="I160" i="40" s="1"/>
  <c r="Q177" i="39"/>
  <c r="N177" i="39"/>
  <c r="M179" i="39"/>
  <c r="I179" i="39" s="1"/>
  <c r="I178" i="39"/>
  <c r="G178" i="39"/>
  <c r="O178" i="39" s="1"/>
  <c r="N134" i="35"/>
  <c r="P134" i="35"/>
  <c r="I135" i="35"/>
  <c r="H135" i="35"/>
  <c r="E136" i="35" s="1" a="1"/>
  <c r="E136" i="35" s="1"/>
  <c r="F136" i="35" s="1" a="1"/>
  <c r="F136" i="35" s="1"/>
  <c r="M136" i="35" s="1"/>
  <c r="I136" i="35" s="1"/>
  <c r="G135" i="35"/>
  <c r="O135" i="35" s="1"/>
  <c r="Q135" i="35" s="1"/>
  <c r="H160" i="40" l="1"/>
  <c r="E161" i="40" s="1" a="1"/>
  <c r="E161" i="40" s="1"/>
  <c r="F161" i="40" s="1" a="1"/>
  <c r="F161" i="40" s="1"/>
  <c r="M161" i="40" s="1"/>
  <c r="I161" i="40" s="1"/>
  <c r="G160" i="40"/>
  <c r="O160" i="40" s="1"/>
  <c r="G179" i="39"/>
  <c r="O179" i="39" s="1"/>
  <c r="Q179" i="39" s="1"/>
  <c r="H179" i="39"/>
  <c r="E180" i="39" s="1" a="1"/>
  <c r="E180" i="39" s="1"/>
  <c r="F180" i="39" s="1" a="1"/>
  <c r="F180" i="39" s="1"/>
  <c r="M180" i="39" s="1"/>
  <c r="I180" i="39" s="1"/>
  <c r="N178" i="39"/>
  <c r="P178" i="39"/>
  <c r="Q178" i="39"/>
  <c r="N135" i="35"/>
  <c r="P135" i="35"/>
  <c r="H136" i="35"/>
  <c r="E137" i="35" s="1" a="1"/>
  <c r="E137" i="35" s="1"/>
  <c r="F137" i="35" s="1" a="1"/>
  <c r="F137" i="35" s="1"/>
  <c r="G136" i="35"/>
  <c r="O136" i="35" s="1"/>
  <c r="G161" i="40" l="1"/>
  <c r="O161" i="40" s="1"/>
  <c r="N160" i="40"/>
  <c r="P160" i="40"/>
  <c r="Q160" i="40"/>
  <c r="H161" i="40"/>
  <c r="E162" i="40" s="1" a="1"/>
  <c r="E162" i="40" s="1"/>
  <c r="F162" i="40" s="1" a="1"/>
  <c r="F162" i="40" s="1"/>
  <c r="N179" i="39"/>
  <c r="P179" i="39"/>
  <c r="G180" i="39"/>
  <c r="O180" i="39" s="1"/>
  <c r="H180" i="39"/>
  <c r="E181" i="39" s="1" a="1"/>
  <c r="E181" i="39" s="1"/>
  <c r="F181" i="39" s="1" a="1"/>
  <c r="F181" i="39" s="1"/>
  <c r="M137" i="35"/>
  <c r="I137" i="35" s="1"/>
  <c r="P136" i="35"/>
  <c r="Q136" i="35"/>
  <c r="N136" i="35"/>
  <c r="M162" i="40" l="1"/>
  <c r="H162" i="40" s="1"/>
  <c r="E163" i="40" s="1" a="1"/>
  <c r="E163" i="40" s="1"/>
  <c r="F163" i="40" s="1" a="1"/>
  <c r="F163" i="40" s="1"/>
  <c r="P161" i="40"/>
  <c r="Q161" i="40"/>
  <c r="N161" i="40"/>
  <c r="M181" i="39"/>
  <c r="I181" i="39" s="1"/>
  <c r="Q180" i="39"/>
  <c r="P180" i="39"/>
  <c r="N180" i="39"/>
  <c r="H137" i="35"/>
  <c r="E138" i="35" s="1" a="1"/>
  <c r="E138" i="35" s="1"/>
  <c r="F138" i="35" s="1" a="1"/>
  <c r="F138" i="35" s="1"/>
  <c r="M138" i="35" s="1"/>
  <c r="G137" i="35"/>
  <c r="O137" i="35" s="1"/>
  <c r="M163" i="40" l="1"/>
  <c r="G163" i="40" s="1"/>
  <c r="O163" i="40" s="1"/>
  <c r="I162" i="40"/>
  <c r="G162" i="40"/>
  <c r="O162" i="40" s="1"/>
  <c r="H181" i="39"/>
  <c r="E182" i="39" s="1" a="1"/>
  <c r="E182" i="39" s="1"/>
  <c r="F182" i="39" s="1" a="1"/>
  <c r="F182" i="39" s="1"/>
  <c r="G181" i="39"/>
  <c r="O181" i="39" s="1"/>
  <c r="I138" i="35"/>
  <c r="H138" i="35"/>
  <c r="E139" i="35" s="1" a="1"/>
  <c r="E139" i="35" s="1"/>
  <c r="F139" i="35" s="1" a="1"/>
  <c r="F139" i="35" s="1"/>
  <c r="N137" i="35"/>
  <c r="Q137" i="35"/>
  <c r="P137" i="35"/>
  <c r="G138" i="35"/>
  <c r="O138" i="35" s="1"/>
  <c r="I163" i="40" l="1"/>
  <c r="H163" i="40"/>
  <c r="E164" i="40" s="1" a="1"/>
  <c r="E164" i="40" s="1"/>
  <c r="F164" i="40" s="1" a="1"/>
  <c r="F164" i="40" s="1"/>
  <c r="M164" i="40" s="1"/>
  <c r="I164" i="40" s="1"/>
  <c r="Q163" i="40"/>
  <c r="P163" i="40"/>
  <c r="N163" i="40"/>
  <c r="P162" i="40"/>
  <c r="Q162" i="40"/>
  <c r="N162" i="40"/>
  <c r="Q181" i="39"/>
  <c r="N181" i="39"/>
  <c r="P181" i="39"/>
  <c r="M182" i="39"/>
  <c r="H182" i="39" s="1"/>
  <c r="E183" i="39" s="1" a="1"/>
  <c r="E183" i="39" s="1"/>
  <c r="F183" i="39" s="1" a="1"/>
  <c r="F183" i="39" s="1"/>
  <c r="M139" i="35"/>
  <c r="H139" i="35" s="1"/>
  <c r="E140" i="35" s="1" a="1"/>
  <c r="E140" i="35" s="1"/>
  <c r="F140" i="35" s="1" a="1"/>
  <c r="F140" i="35" s="1"/>
  <c r="M140" i="35" s="1"/>
  <c r="I140" i="35" s="1"/>
  <c r="N138" i="35"/>
  <c r="P138" i="35"/>
  <c r="Q138" i="35"/>
  <c r="H164" i="40" l="1"/>
  <c r="E165" i="40" s="1" a="1"/>
  <c r="E165" i="40" s="1"/>
  <c r="F165" i="40" s="1" a="1"/>
  <c r="F165" i="40" s="1"/>
  <c r="G164" i="40"/>
  <c r="O164" i="40" s="1"/>
  <c r="M183" i="39"/>
  <c r="H183" i="39" s="1"/>
  <c r="E184" i="39" s="1" a="1"/>
  <c r="E184" i="39" s="1"/>
  <c r="F184" i="39" s="1" a="1"/>
  <c r="F184" i="39" s="1"/>
  <c r="I182" i="39"/>
  <c r="G182" i="39"/>
  <c r="O182" i="39" s="1"/>
  <c r="I139" i="35"/>
  <c r="G139" i="35"/>
  <c r="O139" i="35" s="1"/>
  <c r="G140" i="35"/>
  <c r="O140" i="35" s="1"/>
  <c r="N164" i="40" l="1"/>
  <c r="P164" i="40"/>
  <c r="Q164" i="40"/>
  <c r="M165" i="40"/>
  <c r="H165" i="40" s="1"/>
  <c r="E166" i="40" s="1" a="1"/>
  <c r="E166" i="40" s="1"/>
  <c r="F166" i="40" s="1" a="1"/>
  <c r="F166" i="40" s="1"/>
  <c r="I183" i="39"/>
  <c r="G183" i="39"/>
  <c r="O183" i="39" s="1"/>
  <c r="Q183" i="39" s="1"/>
  <c r="M184" i="39"/>
  <c r="G184" i="39" s="1"/>
  <c r="O184" i="39" s="1"/>
  <c r="Q182" i="39"/>
  <c r="P182" i="39"/>
  <c r="N182" i="39"/>
  <c r="N139" i="35"/>
  <c r="Q139" i="35"/>
  <c r="P139" i="35"/>
  <c r="N140" i="35"/>
  <c r="Q140" i="35"/>
  <c r="P140" i="35"/>
  <c r="H140" i="35"/>
  <c r="E141" i="35" s="1" a="1"/>
  <c r="E141" i="35" s="1"/>
  <c r="F141" i="35" s="1" a="1"/>
  <c r="F141" i="35" s="1"/>
  <c r="P183" i="39" l="1"/>
  <c r="N183" i="39"/>
  <c r="M166" i="40"/>
  <c r="H166" i="40" s="1"/>
  <c r="E167" i="40" s="1" a="1"/>
  <c r="E167" i="40" s="1"/>
  <c r="F167" i="40" s="1" a="1"/>
  <c r="F167" i="40" s="1"/>
  <c r="I165" i="40"/>
  <c r="G165" i="40"/>
  <c r="O165" i="40" s="1"/>
  <c r="Q184" i="39"/>
  <c r="P184" i="39"/>
  <c r="N184" i="39"/>
  <c r="H184" i="39"/>
  <c r="E185" i="39" s="1" a="1"/>
  <c r="E185" i="39" s="1"/>
  <c r="F185" i="39" s="1" a="1"/>
  <c r="F185" i="39" s="1"/>
  <c r="I184" i="39"/>
  <c r="M141" i="35"/>
  <c r="I141" i="35" s="1"/>
  <c r="I166" i="40" l="1"/>
  <c r="M167" i="40"/>
  <c r="G167" i="40" s="1"/>
  <c r="O167" i="40" s="1"/>
  <c r="N165" i="40"/>
  <c r="Q165" i="40"/>
  <c r="P165" i="40"/>
  <c r="G166" i="40"/>
  <c r="O166" i="40" s="1"/>
  <c r="M185" i="39"/>
  <c r="I185" i="39" s="1"/>
  <c r="H141" i="35"/>
  <c r="E142" i="35" s="1" a="1"/>
  <c r="E142" i="35" s="1"/>
  <c r="F142" i="35" s="1" a="1"/>
  <c r="F142" i="35" s="1"/>
  <c r="M142" i="35" s="1"/>
  <c r="H142" i="35" s="1"/>
  <c r="E143" i="35" s="1" a="1"/>
  <c r="E143" i="35" s="1"/>
  <c r="F143" i="35" s="1" a="1"/>
  <c r="F143" i="35" s="1"/>
  <c r="G141" i="35"/>
  <c r="O141" i="35" s="1"/>
  <c r="P141" i="35" s="1"/>
  <c r="P167" i="40" l="1"/>
  <c r="Q167" i="40"/>
  <c r="N167" i="40"/>
  <c r="H167" i="40"/>
  <c r="E168" i="40" s="1" a="1"/>
  <c r="E168" i="40" s="1"/>
  <c r="F168" i="40" s="1" a="1"/>
  <c r="F168" i="40" s="1"/>
  <c r="I167" i="40"/>
  <c r="Q166" i="40"/>
  <c r="N166" i="40"/>
  <c r="P166" i="40"/>
  <c r="G185" i="39"/>
  <c r="O185" i="39" s="1"/>
  <c r="P185" i="39" s="1"/>
  <c r="H185" i="39"/>
  <c r="E186" i="39" s="1" a="1"/>
  <c r="E186" i="39" s="1"/>
  <c r="F186" i="39" s="1" a="1"/>
  <c r="F186" i="39" s="1"/>
  <c r="M186" i="39" s="1"/>
  <c r="H186" i="39" s="1"/>
  <c r="E187" i="39" s="1" a="1"/>
  <c r="E187" i="39" s="1"/>
  <c r="F187" i="39" s="1" a="1"/>
  <c r="F187" i="39" s="1"/>
  <c r="Q141" i="35"/>
  <c r="N141" i="35"/>
  <c r="M143" i="35"/>
  <c r="I143" i="35" s="1"/>
  <c r="I142" i="35"/>
  <c r="G142" i="35"/>
  <c r="O142" i="35" s="1"/>
  <c r="Q142" i="35" s="1"/>
  <c r="M168" i="40" l="1"/>
  <c r="I168" i="40" s="1"/>
  <c r="N185" i="39"/>
  <c r="Q185" i="39"/>
  <c r="I186" i="39"/>
  <c r="M187" i="39"/>
  <c r="G187" i="39" s="1"/>
  <c r="O187" i="39" s="1"/>
  <c r="G186" i="39"/>
  <c r="O186" i="39" s="1"/>
  <c r="N142" i="35"/>
  <c r="P142" i="35"/>
  <c r="H143" i="35"/>
  <c r="E144" i="35" s="1" a="1"/>
  <c r="E144" i="35" s="1"/>
  <c r="F144" i="35" s="1" a="1"/>
  <c r="F144" i="35" s="1"/>
  <c r="G143" i="35"/>
  <c r="O143" i="35" s="1"/>
  <c r="G168" i="40" l="1"/>
  <c r="O168" i="40" s="1"/>
  <c r="H168" i="40"/>
  <c r="E169" i="40" s="1" a="1"/>
  <c r="E169" i="40" s="1"/>
  <c r="F169" i="40" s="1" a="1"/>
  <c r="F169" i="40" s="1"/>
  <c r="Q187" i="39"/>
  <c r="P187" i="39"/>
  <c r="N187" i="39"/>
  <c r="Q186" i="39"/>
  <c r="P186" i="39"/>
  <c r="N186" i="39"/>
  <c r="H187" i="39"/>
  <c r="E188" i="39" s="1" a="1"/>
  <c r="E188" i="39" s="1"/>
  <c r="F188" i="39" s="1" a="1"/>
  <c r="F188" i="39" s="1"/>
  <c r="I187" i="39"/>
  <c r="M144" i="35"/>
  <c r="I144" i="35" s="1"/>
  <c r="P143" i="35"/>
  <c r="Q143" i="35"/>
  <c r="N143" i="35"/>
  <c r="M169" i="40" l="1"/>
  <c r="H169" i="40" s="1"/>
  <c r="E170" i="40" s="1" a="1"/>
  <c r="E170" i="40" s="1"/>
  <c r="F170" i="40" s="1" a="1"/>
  <c r="F170" i="40" s="1"/>
  <c r="P168" i="40"/>
  <c r="Q168" i="40"/>
  <c r="N168" i="40"/>
  <c r="M188" i="39"/>
  <c r="H188" i="39" s="1"/>
  <c r="E189" i="39" s="1" a="1"/>
  <c r="E189" i="39" s="1"/>
  <c r="F189" i="39" s="1" a="1"/>
  <c r="F189" i="39" s="1"/>
  <c r="G144" i="35"/>
  <c r="O144" i="35" s="1"/>
  <c r="N144" i="35" s="1"/>
  <c r="H144" i="35"/>
  <c r="E145" i="35" s="1" a="1"/>
  <c r="E145" i="35" s="1"/>
  <c r="F145" i="35" s="1" a="1"/>
  <c r="F145" i="35" s="1"/>
  <c r="G169" i="40" l="1"/>
  <c r="O169" i="40" s="1"/>
  <c r="N169" i="40" s="1"/>
  <c r="M170" i="40"/>
  <c r="H170" i="40" s="1"/>
  <c r="E171" i="40" s="1" a="1"/>
  <c r="E171" i="40" s="1"/>
  <c r="F171" i="40" s="1" a="1"/>
  <c r="F171" i="40" s="1"/>
  <c r="I169" i="40"/>
  <c r="G188" i="39"/>
  <c r="O188" i="39" s="1"/>
  <c r="Q188" i="39" s="1"/>
  <c r="I188" i="39"/>
  <c r="M189" i="39"/>
  <c r="I189" i="39" s="1"/>
  <c r="P144" i="35"/>
  <c r="Q144" i="35"/>
  <c r="M145" i="35"/>
  <c r="I145" i="35" s="1"/>
  <c r="P169" i="40" l="1"/>
  <c r="N188" i="39"/>
  <c r="P188" i="39"/>
  <c r="Q169" i="40"/>
  <c r="I170" i="40"/>
  <c r="G170" i="40"/>
  <c r="O170" i="40" s="1"/>
  <c r="Q170" i="40" s="1"/>
  <c r="M171" i="40"/>
  <c r="I171" i="40" s="1"/>
  <c r="G189" i="39"/>
  <c r="O189" i="39" s="1"/>
  <c r="N189" i="39" s="1"/>
  <c r="H189" i="39"/>
  <c r="E190" i="39" s="1" a="1"/>
  <c r="E190" i="39" s="1"/>
  <c r="F190" i="39" s="1" a="1"/>
  <c r="F190" i="39" s="1"/>
  <c r="M190" i="39" s="1"/>
  <c r="H190" i="39" s="1"/>
  <c r="E191" i="39" s="1" a="1"/>
  <c r="E191" i="39" s="1"/>
  <c r="F191" i="39" s="1" a="1"/>
  <c r="F191" i="39" s="1"/>
  <c r="H145" i="35"/>
  <c r="E146" i="35" s="1" a="1"/>
  <c r="E146" i="35" s="1"/>
  <c r="F146" i="35" s="1" a="1"/>
  <c r="F146" i="35" s="1"/>
  <c r="M146" i="35" s="1"/>
  <c r="G145" i="35"/>
  <c r="O145" i="35" s="1"/>
  <c r="N145" i="35" s="1"/>
  <c r="P170" i="40" l="1"/>
  <c r="N170" i="40"/>
  <c r="G171" i="40"/>
  <c r="O171" i="40" s="1"/>
  <c r="H171" i="40"/>
  <c r="E172" i="40" s="1" a="1"/>
  <c r="E172" i="40" s="1"/>
  <c r="F172" i="40" s="1" a="1"/>
  <c r="F172" i="40" s="1"/>
  <c r="P189" i="39"/>
  <c r="Q189" i="39"/>
  <c r="G190" i="39"/>
  <c r="O190" i="39" s="1"/>
  <c r="Q190" i="39" s="1"/>
  <c r="I190" i="39"/>
  <c r="M191" i="39"/>
  <c r="I191" i="39" s="1"/>
  <c r="Q145" i="35"/>
  <c r="P145" i="35"/>
  <c r="I146" i="35"/>
  <c r="H146" i="35"/>
  <c r="E147" i="35" s="1" a="1"/>
  <c r="E147" i="35" s="1"/>
  <c r="F147" i="35" s="1" a="1"/>
  <c r="F147" i="35" s="1"/>
  <c r="M147" i="35" s="1"/>
  <c r="I147" i="35" s="1"/>
  <c r="G146" i="35"/>
  <c r="O146" i="35" s="1"/>
  <c r="N146" i="35" s="1"/>
  <c r="M172" i="40" l="1"/>
  <c r="H172" i="40" s="1"/>
  <c r="E173" i="40" s="1" a="1"/>
  <c r="E173" i="40" s="1"/>
  <c r="F173" i="40" s="1" a="1"/>
  <c r="F173" i="40" s="1"/>
  <c r="P171" i="40"/>
  <c r="Q171" i="40"/>
  <c r="N171" i="40"/>
  <c r="N190" i="39"/>
  <c r="P190" i="39"/>
  <c r="G191" i="39"/>
  <c r="O191" i="39" s="1"/>
  <c r="H191" i="39"/>
  <c r="E192" i="39" s="1" a="1"/>
  <c r="E192" i="39" s="1"/>
  <c r="F192" i="39" s="1" a="1"/>
  <c r="F192" i="39" s="1"/>
  <c r="Q146" i="35"/>
  <c r="P146" i="35"/>
  <c r="M173" i="40" l="1"/>
  <c r="I173" i="40" s="1"/>
  <c r="I172" i="40"/>
  <c r="G172" i="40"/>
  <c r="O172" i="40" s="1"/>
  <c r="M192" i="39"/>
  <c r="G192" i="39" s="1"/>
  <c r="O192" i="39" s="1"/>
  <c r="P191" i="39"/>
  <c r="Q191" i="39"/>
  <c r="N191" i="39"/>
  <c r="H147" i="35"/>
  <c r="E148" i="35" s="1" a="1"/>
  <c r="E148" i="35" s="1"/>
  <c r="F148" i="35" s="1" a="1"/>
  <c r="F148" i="35" s="1"/>
  <c r="G147" i="35"/>
  <c r="O147" i="35" s="1"/>
  <c r="Q172" i="40" l="1"/>
  <c r="N172" i="40"/>
  <c r="P172" i="40"/>
  <c r="H173" i="40"/>
  <c r="E174" i="40" s="1" a="1"/>
  <c r="E174" i="40" s="1"/>
  <c r="F174" i="40" s="1" a="1"/>
  <c r="F174" i="40" s="1"/>
  <c r="G173" i="40"/>
  <c r="O173" i="40" s="1"/>
  <c r="Q192" i="39"/>
  <c r="P192" i="39"/>
  <c r="N192" i="39"/>
  <c r="H192" i="39"/>
  <c r="E193" i="39" s="1" a="1"/>
  <c r="E193" i="39" s="1"/>
  <c r="F193" i="39" s="1" a="1"/>
  <c r="F193" i="39" s="1"/>
  <c r="I192" i="39"/>
  <c r="M148" i="35"/>
  <c r="H148" i="35" s="1"/>
  <c r="E149" i="35" s="1" a="1"/>
  <c r="E149" i="35" s="1"/>
  <c r="F149" i="35" s="1" a="1"/>
  <c r="F149" i="35" s="1"/>
  <c r="N147" i="35"/>
  <c r="Q147" i="35"/>
  <c r="P147" i="35"/>
  <c r="N173" i="40" l="1"/>
  <c r="P173" i="40"/>
  <c r="Q173" i="40"/>
  <c r="M174" i="40"/>
  <c r="H174" i="40" s="1"/>
  <c r="E175" i="40" s="1" a="1"/>
  <c r="E175" i="40" s="1"/>
  <c r="F175" i="40" s="1" a="1"/>
  <c r="F175" i="40" s="1"/>
  <c r="M193" i="39"/>
  <c r="I193" i="39" s="1"/>
  <c r="M149" i="35"/>
  <c r="I149" i="35" s="1"/>
  <c r="G148" i="35"/>
  <c r="O148" i="35" s="1"/>
  <c r="P148" i="35" s="1"/>
  <c r="I148" i="35"/>
  <c r="M175" i="40" l="1"/>
  <c r="G175" i="40" s="1"/>
  <c r="O175" i="40" s="1"/>
  <c r="I174" i="40"/>
  <c r="G174" i="40"/>
  <c r="O174" i="40" s="1"/>
  <c r="G193" i="39"/>
  <c r="O193" i="39" s="1"/>
  <c r="Q193" i="39" s="1"/>
  <c r="H193" i="39"/>
  <c r="E194" i="39" s="1" a="1"/>
  <c r="E194" i="39" s="1"/>
  <c r="F194" i="39" s="1" a="1"/>
  <c r="F194" i="39" s="1"/>
  <c r="M194" i="39" s="1"/>
  <c r="H194" i="39" s="1"/>
  <c r="E195" i="39" s="1" a="1"/>
  <c r="E195" i="39" s="1"/>
  <c r="F195" i="39" s="1" a="1"/>
  <c r="F195" i="39" s="1"/>
  <c r="Q148" i="35"/>
  <c r="N148" i="35"/>
  <c r="H149" i="35"/>
  <c r="E150" i="35" s="1" a="1"/>
  <c r="E150" i="35" s="1"/>
  <c r="F150" i="35" s="1" a="1"/>
  <c r="F150" i="35" s="1"/>
  <c r="N193" i="39" l="1"/>
  <c r="P193" i="39"/>
  <c r="P175" i="40"/>
  <c r="N175" i="40"/>
  <c r="Q175" i="40"/>
  <c r="N174" i="40"/>
  <c r="Q174" i="40"/>
  <c r="P174" i="40"/>
  <c r="I175" i="40"/>
  <c r="H175" i="40"/>
  <c r="E176" i="40" s="1" a="1"/>
  <c r="E176" i="40" s="1"/>
  <c r="F176" i="40" s="1" a="1"/>
  <c r="F176" i="40" s="1"/>
  <c r="M195" i="39"/>
  <c r="H195" i="39" s="1"/>
  <c r="E196" i="39" s="1" a="1"/>
  <c r="E196" i="39" s="1"/>
  <c r="F196" i="39" s="1" a="1"/>
  <c r="F196" i="39" s="1"/>
  <c r="I194" i="39"/>
  <c r="G194" i="39"/>
  <c r="O194" i="39" s="1"/>
  <c r="M150" i="35"/>
  <c r="I150" i="35" s="1"/>
  <c r="G149" i="35"/>
  <c r="O149" i="35" s="1"/>
  <c r="M176" i="40" l="1"/>
  <c r="I176" i="40" s="1"/>
  <c r="M196" i="39"/>
  <c r="I196" i="39" s="1"/>
  <c r="N194" i="39"/>
  <c r="Q194" i="39"/>
  <c r="P194" i="39"/>
  <c r="I195" i="39"/>
  <c r="G195" i="39"/>
  <c r="O195" i="39" s="1"/>
  <c r="H150" i="35"/>
  <c r="E151" i="35" s="1" a="1"/>
  <c r="E151" i="35" s="1"/>
  <c r="F151" i="35" s="1" a="1"/>
  <c r="F151" i="35" s="1"/>
  <c r="M151" i="35" s="1"/>
  <c r="I151" i="35" s="1"/>
  <c r="G150" i="35"/>
  <c r="O150" i="35" s="1"/>
  <c r="Q149" i="35"/>
  <c r="P149" i="35"/>
  <c r="N149" i="35"/>
  <c r="G176" i="40" l="1"/>
  <c r="O176" i="40" s="1"/>
  <c r="N176" i="40" s="1"/>
  <c r="H176" i="40"/>
  <c r="E177" i="40" s="1" a="1"/>
  <c r="E177" i="40" s="1"/>
  <c r="F177" i="40" s="1" a="1"/>
  <c r="F177" i="40" s="1"/>
  <c r="M177" i="40" s="1"/>
  <c r="I177" i="40" s="1"/>
  <c r="G196" i="39"/>
  <c r="O196" i="39" s="1"/>
  <c r="Q196" i="39" s="1"/>
  <c r="H196" i="39"/>
  <c r="E197" i="39" s="1" a="1"/>
  <c r="E197" i="39" s="1"/>
  <c r="F197" i="39" s="1" a="1"/>
  <c r="F197" i="39" s="1"/>
  <c r="M197" i="39" s="1"/>
  <c r="I197" i="39" s="1"/>
  <c r="N195" i="39"/>
  <c r="P195" i="39"/>
  <c r="Q195" i="39"/>
  <c r="G151" i="35"/>
  <c r="O151" i="35" s="1"/>
  <c r="N151" i="35" s="1"/>
  <c r="Q150" i="35"/>
  <c r="N150" i="35"/>
  <c r="P150" i="35"/>
  <c r="H151" i="35"/>
  <c r="E152" i="35" s="1" a="1"/>
  <c r="E152" i="35" s="1"/>
  <c r="F152" i="35" s="1" a="1"/>
  <c r="F152" i="35" s="1"/>
  <c r="Q176" i="40" l="1"/>
  <c r="P176" i="40"/>
  <c r="G177" i="40"/>
  <c r="O177" i="40" s="1"/>
  <c r="P177" i="40" s="1"/>
  <c r="H177" i="40"/>
  <c r="E178" i="40" s="1" a="1"/>
  <c r="E178" i="40" s="1"/>
  <c r="F178" i="40" s="1" a="1"/>
  <c r="F178" i="40" s="1"/>
  <c r="N196" i="39"/>
  <c r="P196" i="39"/>
  <c r="H197" i="39"/>
  <c r="E198" i="39" s="1" a="1"/>
  <c r="E198" i="39" s="1"/>
  <c r="F198" i="39" s="1" a="1"/>
  <c r="F198" i="39" s="1"/>
  <c r="M198" i="39" s="1"/>
  <c r="H198" i="39" s="1"/>
  <c r="E199" i="39" s="1" a="1"/>
  <c r="E199" i="39" s="1"/>
  <c r="F199" i="39" s="1" a="1"/>
  <c r="F199" i="39" s="1"/>
  <c r="G197" i="39"/>
  <c r="O197" i="39" s="1"/>
  <c r="Q197" i="39" s="1"/>
  <c r="Q151" i="35"/>
  <c r="P151" i="35"/>
  <c r="M152" i="35"/>
  <c r="I152" i="35" s="1"/>
  <c r="N177" i="40" l="1"/>
  <c r="Q177" i="40"/>
  <c r="M178" i="40"/>
  <c r="H178" i="40" s="1"/>
  <c r="E179" i="40" s="1" a="1"/>
  <c r="E179" i="40" s="1"/>
  <c r="F179" i="40" s="1" a="1"/>
  <c r="F179" i="40" s="1"/>
  <c r="N197" i="39"/>
  <c r="P197" i="39"/>
  <c r="M199" i="39"/>
  <c r="I199" i="39" s="1"/>
  <c r="I198" i="39"/>
  <c r="G198" i="39"/>
  <c r="O198" i="39" s="1"/>
  <c r="M179" i="40" l="1"/>
  <c r="G179" i="40" s="1"/>
  <c r="O179" i="40" s="1"/>
  <c r="G178" i="40"/>
  <c r="O178" i="40" s="1"/>
  <c r="I178" i="40"/>
  <c r="G199" i="39"/>
  <c r="O199" i="39" s="1"/>
  <c r="H199" i="39"/>
  <c r="E200" i="39" s="1" a="1"/>
  <c r="E200" i="39" s="1"/>
  <c r="F200" i="39" s="1" a="1"/>
  <c r="F200" i="39" s="1"/>
  <c r="N198" i="39"/>
  <c r="Q198" i="39"/>
  <c r="P198" i="39"/>
  <c r="H152" i="35"/>
  <c r="E153" i="35" s="1" a="1"/>
  <c r="E153" i="35" s="1"/>
  <c r="F153" i="35" s="1" a="1"/>
  <c r="F153" i="35" s="1"/>
  <c r="G152" i="35"/>
  <c r="O152" i="35" s="1"/>
  <c r="I179" i="40" l="1"/>
  <c r="P179" i="40"/>
  <c r="N179" i="40"/>
  <c r="Q179" i="40"/>
  <c r="Q178" i="40"/>
  <c r="P178" i="40"/>
  <c r="N178" i="40"/>
  <c r="H179" i="40"/>
  <c r="E180" i="40" s="1" a="1"/>
  <c r="E180" i="40" s="1"/>
  <c r="F180" i="40" s="1" a="1"/>
  <c r="F180" i="40" s="1"/>
  <c r="M200" i="39"/>
  <c r="H200" i="39" s="1"/>
  <c r="E201" i="39" s="1" a="1"/>
  <c r="E201" i="39" s="1"/>
  <c r="F201" i="39" s="1" a="1"/>
  <c r="F201" i="39" s="1"/>
  <c r="Q199" i="39"/>
  <c r="P199" i="39"/>
  <c r="N199" i="39"/>
  <c r="M153" i="35"/>
  <c r="I153" i="35" s="1"/>
  <c r="P152" i="35"/>
  <c r="Q152" i="35"/>
  <c r="N152" i="35"/>
  <c r="M180" i="40" l="1"/>
  <c r="I180" i="40" s="1"/>
  <c r="I200" i="39"/>
  <c r="G200" i="39"/>
  <c r="O200" i="39" s="1"/>
  <c r="P200" i="39" s="1"/>
  <c r="M201" i="39"/>
  <c r="G201" i="39" s="1"/>
  <c r="O201" i="39" s="1"/>
  <c r="G153" i="35"/>
  <c r="O153" i="35" s="1"/>
  <c r="H153" i="35"/>
  <c r="E154" i="35" s="1" a="1"/>
  <c r="E154" i="35" s="1"/>
  <c r="F154" i="35" s="1" a="1"/>
  <c r="F154" i="35" s="1"/>
  <c r="G180" i="40" l="1"/>
  <c r="O180" i="40" s="1"/>
  <c r="H180" i="40"/>
  <c r="E181" i="40" s="1" a="1"/>
  <c r="E181" i="40" s="1"/>
  <c r="F181" i="40" s="1" a="1"/>
  <c r="F181" i="40" s="1"/>
  <c r="H201" i="39"/>
  <c r="E202" i="39" s="1" a="1"/>
  <c r="E202" i="39" s="1"/>
  <c r="F202" i="39" s="1" a="1"/>
  <c r="F202" i="39" s="1"/>
  <c r="M202" i="39" s="1"/>
  <c r="H202" i="39" s="1"/>
  <c r="E203" i="39" s="1" a="1"/>
  <c r="E203" i="39" s="1"/>
  <c r="F203" i="39" s="1" a="1"/>
  <c r="F203" i="39" s="1"/>
  <c r="I201" i="39"/>
  <c r="N200" i="39"/>
  <c r="Q200" i="39"/>
  <c r="N201" i="39"/>
  <c r="P201" i="39"/>
  <c r="Q201" i="39"/>
  <c r="M154" i="35"/>
  <c r="I154" i="35" s="1"/>
  <c r="P153" i="35"/>
  <c r="Q153" i="35"/>
  <c r="N153" i="35"/>
  <c r="M181" i="40" l="1"/>
  <c r="H181" i="40" s="1"/>
  <c r="E182" i="40" s="1" a="1"/>
  <c r="E182" i="40" s="1"/>
  <c r="F182" i="40" s="1" a="1"/>
  <c r="F182" i="40" s="1"/>
  <c r="N180" i="40"/>
  <c r="Q180" i="40"/>
  <c r="P180" i="40"/>
  <c r="G202" i="39"/>
  <c r="O202" i="39" s="1"/>
  <c r="P202" i="39" s="1"/>
  <c r="M203" i="39"/>
  <c r="I203" i="39" s="1"/>
  <c r="I202" i="39"/>
  <c r="G154" i="35"/>
  <c r="O154" i="35" s="1"/>
  <c r="P154" i="35" s="1"/>
  <c r="H154" i="35"/>
  <c r="E155" i="35" s="1" a="1"/>
  <c r="E155" i="35" s="1"/>
  <c r="F155" i="35" s="1" a="1"/>
  <c r="F155" i="35" s="1"/>
  <c r="Q202" i="39" l="1"/>
  <c r="N202" i="39"/>
  <c r="I181" i="40"/>
  <c r="M182" i="40"/>
  <c r="I182" i="40" s="1"/>
  <c r="G181" i="40"/>
  <c r="O181" i="40" s="1"/>
  <c r="H203" i="39"/>
  <c r="E204" i="39" s="1" a="1"/>
  <c r="E204" i="39" s="1"/>
  <c r="F204" i="39" s="1" a="1"/>
  <c r="F204" i="39" s="1"/>
  <c r="G203" i="39"/>
  <c r="O203" i="39" s="1"/>
  <c r="N154" i="35"/>
  <c r="Q154" i="35"/>
  <c r="M155" i="35"/>
  <c r="I155" i="35" s="1"/>
  <c r="N181" i="40" l="1"/>
  <c r="Q181" i="40"/>
  <c r="P181" i="40"/>
  <c r="G182" i="40"/>
  <c r="O182" i="40" s="1"/>
  <c r="H182" i="40"/>
  <c r="E183" i="40" s="1" a="1"/>
  <c r="E183" i="40" s="1"/>
  <c r="F183" i="40" s="1" a="1"/>
  <c r="F183" i="40" s="1"/>
  <c r="Q203" i="39"/>
  <c r="P203" i="39"/>
  <c r="N203" i="39"/>
  <c r="M204" i="39"/>
  <c r="I204" i="39" s="1"/>
  <c r="G155" i="35"/>
  <c r="O155" i="35" s="1"/>
  <c r="H155" i="35"/>
  <c r="E156" i="35" s="1" a="1"/>
  <c r="E156" i="35" s="1"/>
  <c r="F156" i="35" s="1" a="1"/>
  <c r="F156" i="35" s="1"/>
  <c r="M183" i="40" l="1"/>
  <c r="G183" i="40" s="1"/>
  <c r="O183" i="40" s="1"/>
  <c r="Q182" i="40"/>
  <c r="N182" i="40"/>
  <c r="P182" i="40"/>
  <c r="H204" i="39"/>
  <c r="E205" i="39" s="1" a="1"/>
  <c r="E205" i="39" s="1"/>
  <c r="F205" i="39" s="1" a="1"/>
  <c r="F205" i="39" s="1"/>
  <c r="M205" i="39" s="1"/>
  <c r="H205" i="39" s="1"/>
  <c r="E206" i="39" s="1" a="1"/>
  <c r="E206" i="39" s="1"/>
  <c r="F206" i="39" s="1" a="1"/>
  <c r="F206" i="39" s="1"/>
  <c r="G204" i="39"/>
  <c r="O204" i="39" s="1"/>
  <c r="N204" i="39" s="1"/>
  <c r="M156" i="35"/>
  <c r="I156" i="35" s="1"/>
  <c r="P155" i="35"/>
  <c r="N155" i="35"/>
  <c r="Q155" i="35"/>
  <c r="P183" i="40" l="1"/>
  <c r="Q183" i="40"/>
  <c r="N183" i="40"/>
  <c r="I183" i="40"/>
  <c r="H183" i="40"/>
  <c r="E184" i="40" s="1" a="1"/>
  <c r="E184" i="40" s="1"/>
  <c r="F184" i="40" s="1" a="1"/>
  <c r="F184" i="40" s="1"/>
  <c r="I205" i="39"/>
  <c r="Q204" i="39"/>
  <c r="P204" i="39"/>
  <c r="M206" i="39"/>
  <c r="I206" i="39" s="1"/>
  <c r="G205" i="39"/>
  <c r="O205" i="39" s="1"/>
  <c r="G156" i="35"/>
  <c r="O156" i="35" s="1"/>
  <c r="M184" i="40" l="1"/>
  <c r="I184" i="40" s="1"/>
  <c r="G206" i="39"/>
  <c r="O206" i="39" s="1"/>
  <c r="P206" i="39" s="1"/>
  <c r="H206" i="39"/>
  <c r="E207" i="39" s="1" a="1"/>
  <c r="E207" i="39" s="1"/>
  <c r="F207" i="39" s="1" a="1"/>
  <c r="F207" i="39" s="1"/>
  <c r="M207" i="39" s="1"/>
  <c r="H207" i="39" s="1"/>
  <c r="E208" i="39" s="1" a="1"/>
  <c r="E208" i="39" s="1"/>
  <c r="F208" i="39" s="1" a="1"/>
  <c r="F208" i="39" s="1"/>
  <c r="Q205" i="39"/>
  <c r="P205" i="39"/>
  <c r="N205" i="39"/>
  <c r="P156" i="35"/>
  <c r="N156" i="35"/>
  <c r="Q156" i="35"/>
  <c r="H156" i="35"/>
  <c r="E157" i="35" s="1" a="1"/>
  <c r="E157" i="35" s="1"/>
  <c r="F157" i="35" s="1" a="1"/>
  <c r="F157" i="35" s="1"/>
  <c r="Q206" i="39" l="1"/>
  <c r="N206" i="39"/>
  <c r="G184" i="40"/>
  <c r="O184" i="40" s="1"/>
  <c r="P184" i="40" s="1"/>
  <c r="H184" i="40"/>
  <c r="E185" i="40" s="1" a="1"/>
  <c r="E185" i="40" s="1"/>
  <c r="F185" i="40" s="1" a="1"/>
  <c r="F185" i="40" s="1"/>
  <c r="M185" i="40" s="1"/>
  <c r="G185" i="40" s="1"/>
  <c r="O185" i="40" s="1"/>
  <c r="I207" i="39"/>
  <c r="G207" i="39"/>
  <c r="O207" i="39" s="1"/>
  <c r="Q207" i="39" s="1"/>
  <c r="M208" i="39"/>
  <c r="I208" i="39" s="1"/>
  <c r="M157" i="35"/>
  <c r="I157" i="35" s="1"/>
  <c r="Q184" i="40" l="1"/>
  <c r="N184" i="40"/>
  <c r="P207" i="39"/>
  <c r="N207" i="39"/>
  <c r="N185" i="40"/>
  <c r="Q185" i="40"/>
  <c r="P185" i="40"/>
  <c r="I185" i="40"/>
  <c r="H185" i="40"/>
  <c r="E186" i="40" s="1" a="1"/>
  <c r="E186" i="40" s="1"/>
  <c r="F186" i="40" s="1" a="1"/>
  <c r="F186" i="40" s="1"/>
  <c r="G208" i="39"/>
  <c r="O208" i="39" s="1"/>
  <c r="Q208" i="39" s="1"/>
  <c r="H208" i="39"/>
  <c r="E209" i="39" s="1" a="1"/>
  <c r="E209" i="39" s="1"/>
  <c r="F209" i="39" s="1" a="1"/>
  <c r="F209" i="39" s="1"/>
  <c r="M209" i="39" s="1"/>
  <c r="H209" i="39" s="1"/>
  <c r="E210" i="39" s="1" a="1"/>
  <c r="E210" i="39" s="1"/>
  <c r="F210" i="39" s="1" a="1"/>
  <c r="F210" i="39" s="1"/>
  <c r="G157" i="35"/>
  <c r="O157" i="35" s="1"/>
  <c r="Q157" i="35" s="1"/>
  <c r="H157" i="35"/>
  <c r="E158" i="35" s="1" a="1"/>
  <c r="E158" i="35" s="1"/>
  <c r="F158" i="35" s="1" a="1"/>
  <c r="F158" i="35" s="1"/>
  <c r="M158" i="35" s="1"/>
  <c r="I158" i="35" s="1"/>
  <c r="M186" i="40" l="1"/>
  <c r="H186" i="40" s="1"/>
  <c r="E187" i="40" s="1" a="1"/>
  <c r="E187" i="40" s="1"/>
  <c r="F187" i="40" s="1" a="1"/>
  <c r="F187" i="40" s="1"/>
  <c r="N208" i="39"/>
  <c r="P208" i="39"/>
  <c r="M210" i="39"/>
  <c r="H210" i="39" s="1"/>
  <c r="E211" i="39" s="1" a="1"/>
  <c r="E211" i="39" s="1"/>
  <c r="F211" i="39" s="1" a="1"/>
  <c r="F211" i="39" s="1"/>
  <c r="I209" i="39"/>
  <c r="G209" i="39"/>
  <c r="O209" i="39" s="1"/>
  <c r="N157" i="35"/>
  <c r="P157" i="35"/>
  <c r="H158" i="35"/>
  <c r="E159" i="35" s="1" a="1"/>
  <c r="E159" i="35" s="1"/>
  <c r="F159" i="35" s="1" a="1"/>
  <c r="F159" i="35" s="1"/>
  <c r="G158" i="35"/>
  <c r="O158" i="35" s="1"/>
  <c r="I186" i="40" l="1"/>
  <c r="G186" i="40"/>
  <c r="O186" i="40" s="1"/>
  <c r="Q186" i="40" s="1"/>
  <c r="M187" i="40"/>
  <c r="G187" i="40" s="1"/>
  <c r="O187" i="40" s="1"/>
  <c r="M211" i="39"/>
  <c r="H211" i="39" s="1"/>
  <c r="E212" i="39" s="1" a="1"/>
  <c r="E212" i="39" s="1"/>
  <c r="F212" i="39" s="1" a="1"/>
  <c r="F212" i="39" s="1"/>
  <c r="I210" i="39"/>
  <c r="N209" i="39"/>
  <c r="Q209" i="39"/>
  <c r="P209" i="39"/>
  <c r="G210" i="39"/>
  <c r="O210" i="39" s="1"/>
  <c r="M159" i="35"/>
  <c r="G159" i="35" s="1"/>
  <c r="O159" i="35" s="1"/>
  <c r="P158" i="35"/>
  <c r="N158" i="35"/>
  <c r="Q158" i="35"/>
  <c r="N186" i="40" l="1"/>
  <c r="P186" i="40"/>
  <c r="P187" i="40"/>
  <c r="Q187" i="40"/>
  <c r="N187" i="40"/>
  <c r="I187" i="40"/>
  <c r="H187" i="40"/>
  <c r="E188" i="40" s="1" a="1"/>
  <c r="E188" i="40" s="1"/>
  <c r="F188" i="40" s="1" a="1"/>
  <c r="F188" i="40" s="1"/>
  <c r="G211" i="39"/>
  <c r="O211" i="39" s="1"/>
  <c r="Q211" i="39" s="1"/>
  <c r="I211" i="39"/>
  <c r="M212" i="39"/>
  <c r="I212" i="39" s="1"/>
  <c r="N210" i="39"/>
  <c r="Q210" i="39"/>
  <c r="P210" i="39"/>
  <c r="I159" i="35"/>
  <c r="Q159" i="35"/>
  <c r="P159" i="35"/>
  <c r="N159" i="35"/>
  <c r="H159" i="35"/>
  <c r="E160" i="35" s="1" a="1"/>
  <c r="E160" i="35" s="1"/>
  <c r="F160" i="35" s="1" a="1"/>
  <c r="F160" i="35" s="1"/>
  <c r="P211" i="39" l="1"/>
  <c r="N211" i="39"/>
  <c r="M188" i="40"/>
  <c r="I188" i="40" s="1"/>
  <c r="G212" i="39"/>
  <c r="O212" i="39" s="1"/>
  <c r="N212" i="39" s="1"/>
  <c r="H212" i="39"/>
  <c r="E213" i="39" s="1" a="1"/>
  <c r="E213" i="39" s="1"/>
  <c r="F213" i="39" s="1" a="1"/>
  <c r="F213" i="39" s="1"/>
  <c r="M213" i="39" s="1"/>
  <c r="H213" i="39" s="1"/>
  <c r="E214" i="39" s="1" a="1"/>
  <c r="E214" i="39" s="1"/>
  <c r="F214" i="39" s="1" a="1"/>
  <c r="F214" i="39" s="1"/>
  <c r="M160" i="35"/>
  <c r="I160" i="35" s="1"/>
  <c r="H188" i="40" l="1"/>
  <c r="E189" i="40" s="1" a="1"/>
  <c r="E189" i="40" s="1"/>
  <c r="F189" i="40" s="1" a="1"/>
  <c r="F189" i="40" s="1"/>
  <c r="M189" i="40" s="1"/>
  <c r="I189" i="40" s="1"/>
  <c r="G188" i="40"/>
  <c r="O188" i="40" s="1"/>
  <c r="Q212" i="39"/>
  <c r="P212" i="39"/>
  <c r="I213" i="39"/>
  <c r="M214" i="39"/>
  <c r="I214" i="39" s="1"/>
  <c r="G213" i="39"/>
  <c r="O213" i="39" s="1"/>
  <c r="G160" i="35"/>
  <c r="O160" i="35" s="1"/>
  <c r="P160" i="35" s="1"/>
  <c r="H160" i="35"/>
  <c r="E161" i="35" s="1" a="1"/>
  <c r="E161" i="35" s="1"/>
  <c r="F161" i="35" s="1" a="1"/>
  <c r="F161" i="35" s="1"/>
  <c r="M161" i="35" s="1"/>
  <c r="I161" i="35" s="1"/>
  <c r="G189" i="40" l="1"/>
  <c r="O189" i="40" s="1"/>
  <c r="P188" i="40"/>
  <c r="Q188" i="40"/>
  <c r="N188" i="40"/>
  <c r="H189" i="40"/>
  <c r="E190" i="40" s="1" a="1"/>
  <c r="E190" i="40" s="1"/>
  <c r="F190" i="40" s="1" a="1"/>
  <c r="F190" i="40" s="1"/>
  <c r="G214" i="39"/>
  <c r="O214" i="39" s="1"/>
  <c r="N214" i="39" s="1"/>
  <c r="H214" i="39"/>
  <c r="E215" i="39" s="1" a="1"/>
  <c r="E215" i="39" s="1"/>
  <c r="F215" i="39" s="1" a="1"/>
  <c r="F215" i="39" s="1"/>
  <c r="M215" i="39" s="1"/>
  <c r="I215" i="39" s="1"/>
  <c r="Q213" i="39"/>
  <c r="P213" i="39"/>
  <c r="N213" i="39"/>
  <c r="Q160" i="35"/>
  <c r="N160" i="35"/>
  <c r="H161" i="35"/>
  <c r="E162" i="35" s="1" a="1"/>
  <c r="E162" i="35" s="1"/>
  <c r="F162" i="35" s="1" a="1"/>
  <c r="F162" i="35" s="1"/>
  <c r="M162" i="35" s="1"/>
  <c r="I162" i="35" s="1"/>
  <c r="G161" i="35"/>
  <c r="O161" i="35" s="1"/>
  <c r="N161" i="35" s="1"/>
  <c r="P214" i="39" l="1"/>
  <c r="Q214" i="39"/>
  <c r="M190" i="40"/>
  <c r="H190" i="40" s="1"/>
  <c r="E191" i="40" s="1" a="1"/>
  <c r="E191" i="40" s="1"/>
  <c r="F191" i="40" s="1" a="1"/>
  <c r="F191" i="40" s="1"/>
  <c r="N189" i="40"/>
  <c r="Q189" i="40"/>
  <c r="P189" i="40"/>
  <c r="G215" i="39"/>
  <c r="O215" i="39" s="1"/>
  <c r="H215" i="39"/>
  <c r="E216" i="39" s="1" a="1"/>
  <c r="E216" i="39" s="1"/>
  <c r="F216" i="39" s="1" a="1"/>
  <c r="F216" i="39" s="1"/>
  <c r="Q161" i="35"/>
  <c r="P161" i="35"/>
  <c r="G190" i="40" l="1"/>
  <c r="O190" i="40" s="1"/>
  <c r="Q190" i="40" s="1"/>
  <c r="I190" i="40"/>
  <c r="M191" i="40"/>
  <c r="G191" i="40" s="1"/>
  <c r="O191" i="40" s="1"/>
  <c r="M216" i="39"/>
  <c r="I216" i="39" s="1"/>
  <c r="N215" i="39"/>
  <c r="Q215" i="39"/>
  <c r="P215" i="39"/>
  <c r="H162" i="35"/>
  <c r="E163" i="35" s="1" a="1"/>
  <c r="E163" i="35" s="1"/>
  <c r="F163" i="35" s="1" a="1"/>
  <c r="F163" i="35" s="1"/>
  <c r="G162" i="35"/>
  <c r="O162" i="35" s="1"/>
  <c r="I191" i="40" l="1"/>
  <c r="P190" i="40"/>
  <c r="N190" i="40"/>
  <c r="H191" i="40"/>
  <c r="E192" i="40" s="1" a="1"/>
  <c r="E192" i="40" s="1"/>
  <c r="F192" i="40" s="1" a="1"/>
  <c r="F192" i="40" s="1"/>
  <c r="M192" i="40" s="1"/>
  <c r="G192" i="40" s="1"/>
  <c r="O192" i="40" s="1"/>
  <c r="N191" i="40"/>
  <c r="P191" i="40"/>
  <c r="Q191" i="40"/>
  <c r="G216" i="39"/>
  <c r="O216" i="39" s="1"/>
  <c r="N216" i="39" s="1"/>
  <c r="H216" i="39"/>
  <c r="E217" i="39" s="1" a="1"/>
  <c r="E217" i="39" s="1"/>
  <c r="F217" i="39" s="1" a="1"/>
  <c r="F217" i="39" s="1"/>
  <c r="M217" i="39" s="1"/>
  <c r="I217" i="39" s="1"/>
  <c r="M163" i="35"/>
  <c r="I163" i="35" s="1"/>
  <c r="N162" i="35"/>
  <c r="P162" i="35"/>
  <c r="Q162" i="35"/>
  <c r="N192" i="40" l="1"/>
  <c r="Q192" i="40"/>
  <c r="P192" i="40"/>
  <c r="H192" i="40"/>
  <c r="E193" i="40" s="1" a="1"/>
  <c r="E193" i="40" s="1"/>
  <c r="F193" i="40" s="1" a="1"/>
  <c r="F193" i="40" s="1"/>
  <c r="I192" i="40"/>
  <c r="P216" i="39"/>
  <c r="Q216" i="39"/>
  <c r="G217" i="39"/>
  <c r="O217" i="39" s="1"/>
  <c r="H217" i="39"/>
  <c r="E218" i="39" s="1" a="1"/>
  <c r="E218" i="39" s="1"/>
  <c r="F218" i="39" s="1" a="1"/>
  <c r="F218" i="39" s="1"/>
  <c r="H163" i="35"/>
  <c r="E164" i="35" s="1" a="1"/>
  <c r="E164" i="35" s="1"/>
  <c r="F164" i="35" s="1" a="1"/>
  <c r="F164" i="35" s="1"/>
  <c r="M164" i="35" s="1"/>
  <c r="I164" i="35" s="1"/>
  <c r="G163" i="35"/>
  <c r="O163" i="35" s="1"/>
  <c r="M193" i="40" l="1"/>
  <c r="I193" i="40" s="1"/>
  <c r="M218" i="39"/>
  <c r="I218" i="39" s="1"/>
  <c r="Q217" i="39"/>
  <c r="P217" i="39"/>
  <c r="N217" i="39"/>
  <c r="G164" i="35"/>
  <c r="O164" i="35" s="1"/>
  <c r="P164" i="35" s="1"/>
  <c r="H164" i="35"/>
  <c r="E165" i="35" s="1" a="1"/>
  <c r="E165" i="35" s="1"/>
  <c r="F165" i="35" s="1" a="1"/>
  <c r="F165" i="35" s="1"/>
  <c r="M165" i="35" s="1"/>
  <c r="I165" i="35" s="1"/>
  <c r="N163" i="35"/>
  <c r="P163" i="35"/>
  <c r="Q163" i="35"/>
  <c r="G193" i="40" l="1"/>
  <c r="O193" i="40" s="1"/>
  <c r="H193" i="40"/>
  <c r="E194" i="40" s="1" a="1"/>
  <c r="E194" i="40" s="1"/>
  <c r="F194" i="40" s="1" a="1"/>
  <c r="F194" i="40" s="1"/>
  <c r="G218" i="39"/>
  <c r="O218" i="39" s="1"/>
  <c r="N218" i="39" s="1"/>
  <c r="H218" i="39"/>
  <c r="E219" i="39" s="1" a="1"/>
  <c r="E219" i="39" s="1"/>
  <c r="F219" i="39" s="1" a="1"/>
  <c r="F219" i="39" s="1"/>
  <c r="M219" i="39" s="1"/>
  <c r="Q164" i="35"/>
  <c r="N164" i="35"/>
  <c r="H165" i="35"/>
  <c r="E166" i="35" s="1" a="1"/>
  <c r="E166" i="35" s="1"/>
  <c r="F166" i="35" s="1" a="1"/>
  <c r="F166" i="35" s="1"/>
  <c r="P218" i="39" l="1"/>
  <c r="M194" i="40"/>
  <c r="H194" i="40" s="1"/>
  <c r="E195" i="40" s="1" a="1"/>
  <c r="E195" i="40" s="1"/>
  <c r="F195" i="40" s="1" a="1"/>
  <c r="F195" i="40" s="1"/>
  <c r="Q193" i="40"/>
  <c r="P193" i="40"/>
  <c r="N193" i="40"/>
  <c r="Q218" i="39"/>
  <c r="I219" i="39"/>
  <c r="G219" i="39"/>
  <c r="O219" i="39" s="1"/>
  <c r="Q219" i="39" s="1"/>
  <c r="H219" i="39"/>
  <c r="E220" i="39" s="1" a="1"/>
  <c r="E220" i="39" s="1"/>
  <c r="F220" i="39" s="1" a="1"/>
  <c r="F220" i="39" s="1"/>
  <c r="M220" i="39" s="1"/>
  <c r="M166" i="35"/>
  <c r="I166" i="35" s="1"/>
  <c r="G165" i="35"/>
  <c r="O165" i="35" s="1"/>
  <c r="M195" i="40" l="1"/>
  <c r="G195" i="40" s="1"/>
  <c r="O195" i="40" s="1"/>
  <c r="G194" i="40"/>
  <c r="O194" i="40" s="1"/>
  <c r="I194" i="40"/>
  <c r="N219" i="39"/>
  <c r="P219" i="39"/>
  <c r="I220" i="39"/>
  <c r="G220" i="39"/>
  <c r="O220" i="39" s="1"/>
  <c r="N220" i="39" s="1"/>
  <c r="H220" i="39"/>
  <c r="E221" i="39" s="1" a="1"/>
  <c r="E221" i="39" s="1"/>
  <c r="F221" i="39" s="1" a="1"/>
  <c r="F221" i="39" s="1"/>
  <c r="M221" i="39" s="1"/>
  <c r="H221" i="39" s="1"/>
  <c r="E222" i="39" s="1" a="1"/>
  <c r="E222" i="39" s="1"/>
  <c r="F222" i="39" s="1" a="1"/>
  <c r="F222" i="39" s="1"/>
  <c r="P165" i="35"/>
  <c r="N165" i="35"/>
  <c r="Q165" i="35"/>
  <c r="G166" i="35"/>
  <c r="O166" i="35" s="1"/>
  <c r="H166" i="35"/>
  <c r="E167" i="35" s="1" a="1"/>
  <c r="E167" i="35" s="1"/>
  <c r="F167" i="35" s="1" a="1"/>
  <c r="F167" i="35" s="1"/>
  <c r="N195" i="40" l="1"/>
  <c r="Q195" i="40"/>
  <c r="P195" i="40"/>
  <c r="Q194" i="40"/>
  <c r="P194" i="40"/>
  <c r="N194" i="40"/>
  <c r="I195" i="40"/>
  <c r="H195" i="40"/>
  <c r="E196" i="40" s="1" a="1"/>
  <c r="E196" i="40" s="1"/>
  <c r="F196" i="40" s="1" a="1"/>
  <c r="F196" i="40" s="1"/>
  <c r="Q220" i="39"/>
  <c r="P220" i="39"/>
  <c r="M222" i="39"/>
  <c r="I222" i="39" s="1"/>
  <c r="I221" i="39"/>
  <c r="G221" i="39"/>
  <c r="O221" i="39" s="1"/>
  <c r="M167" i="35"/>
  <c r="I167" i="35" s="1"/>
  <c r="Q166" i="35"/>
  <c r="P166" i="35"/>
  <c r="N166" i="35"/>
  <c r="M196" i="40" l="1"/>
  <c r="I196" i="40" s="1"/>
  <c r="G222" i="39"/>
  <c r="O222" i="39" s="1"/>
  <c r="N222" i="39" s="1"/>
  <c r="H222" i="39"/>
  <c r="E223" i="39" s="1" a="1"/>
  <c r="E223" i="39" s="1"/>
  <c r="F223" i="39" s="1" a="1"/>
  <c r="F223" i="39" s="1"/>
  <c r="M223" i="39" s="1"/>
  <c r="I223" i="39" s="1"/>
  <c r="P221" i="39"/>
  <c r="N221" i="39"/>
  <c r="Q221" i="39"/>
  <c r="H167" i="35"/>
  <c r="E168" i="35" s="1" a="1"/>
  <c r="E168" i="35" s="1"/>
  <c r="F168" i="35" s="1" a="1"/>
  <c r="F168" i="35" s="1"/>
  <c r="M168" i="35" s="1"/>
  <c r="H168" i="35" s="1"/>
  <c r="E169" i="35" s="1" a="1"/>
  <c r="E169" i="35" s="1"/>
  <c r="F169" i="35" s="1" a="1"/>
  <c r="F169" i="35" s="1"/>
  <c r="G167" i="35"/>
  <c r="O167" i="35" s="1"/>
  <c r="N167" i="35" s="1"/>
  <c r="P222" i="39" l="1"/>
  <c r="Q222" i="39"/>
  <c r="G196" i="40"/>
  <c r="O196" i="40" s="1"/>
  <c r="H196" i="40"/>
  <c r="E197" i="40" s="1" a="1"/>
  <c r="E197" i="40" s="1"/>
  <c r="F197" i="40" s="1" a="1"/>
  <c r="F197" i="40" s="1"/>
  <c r="G223" i="39"/>
  <c r="O223" i="39" s="1"/>
  <c r="Q223" i="39" s="1"/>
  <c r="H223" i="39"/>
  <c r="E224" i="39" s="1" a="1"/>
  <c r="E224" i="39" s="1"/>
  <c r="F224" i="39" s="1" a="1"/>
  <c r="F224" i="39" s="1"/>
  <c r="M224" i="39" s="1"/>
  <c r="H224" i="39" s="1"/>
  <c r="E225" i="39" s="1" a="1"/>
  <c r="E225" i="39" s="1"/>
  <c r="F225" i="39" s="1" a="1"/>
  <c r="F225" i="39" s="1"/>
  <c r="P167" i="35"/>
  <c r="Q167" i="35"/>
  <c r="M169" i="35"/>
  <c r="I169" i="35" s="1"/>
  <c r="I168" i="35"/>
  <c r="G168" i="35"/>
  <c r="O168" i="35" s="1"/>
  <c r="N168" i="35" s="1"/>
  <c r="N223" i="39" l="1"/>
  <c r="M197" i="40"/>
  <c r="H197" i="40" s="1"/>
  <c r="E198" i="40" s="1" a="1"/>
  <c r="E198" i="40" s="1"/>
  <c r="F198" i="40" s="1" a="1"/>
  <c r="F198" i="40" s="1"/>
  <c r="N196" i="40"/>
  <c r="Q196" i="40"/>
  <c r="P196" i="40"/>
  <c r="P223" i="39"/>
  <c r="M225" i="39"/>
  <c r="H225" i="39" s="1"/>
  <c r="E226" i="39" s="1" a="1"/>
  <c r="E226" i="39" s="1"/>
  <c r="F226" i="39" s="1" a="1"/>
  <c r="F226" i="39" s="1"/>
  <c r="I224" i="39"/>
  <c r="G224" i="39"/>
  <c r="O224" i="39" s="1"/>
  <c r="G169" i="35"/>
  <c r="O169" i="35" s="1"/>
  <c r="Q169" i="35" s="1"/>
  <c r="Q168" i="35"/>
  <c r="P168" i="35"/>
  <c r="H169" i="35"/>
  <c r="E170" i="35" s="1" a="1"/>
  <c r="E170" i="35" s="1"/>
  <c r="F170" i="35" s="1" a="1"/>
  <c r="F170" i="35" s="1"/>
  <c r="I197" i="40" l="1"/>
  <c r="G197" i="40"/>
  <c r="O197" i="40" s="1"/>
  <c r="P197" i="40" s="1"/>
  <c r="M198" i="40"/>
  <c r="I198" i="40" s="1"/>
  <c r="M226" i="39"/>
  <c r="I226" i="39" s="1"/>
  <c r="N224" i="39"/>
  <c r="Q224" i="39"/>
  <c r="P224" i="39"/>
  <c r="I225" i="39"/>
  <c r="G225" i="39"/>
  <c r="O225" i="39" s="1"/>
  <c r="N169" i="35"/>
  <c r="P169" i="35"/>
  <c r="M170" i="35"/>
  <c r="I170" i="35" s="1"/>
  <c r="Q197" i="40" l="1"/>
  <c r="N197" i="40"/>
  <c r="H198" i="40"/>
  <c r="E199" i="40" s="1" a="1"/>
  <c r="E199" i="40" s="1"/>
  <c r="F199" i="40" s="1" a="1"/>
  <c r="F199" i="40" s="1"/>
  <c r="M199" i="40" s="1"/>
  <c r="G199" i="40" s="1"/>
  <c r="O199" i="40" s="1"/>
  <c r="G198" i="40"/>
  <c r="O198" i="40" s="1"/>
  <c r="G226" i="39"/>
  <c r="O226" i="39" s="1"/>
  <c r="N226" i="39" s="1"/>
  <c r="H226" i="39"/>
  <c r="E227" i="39" s="1" a="1"/>
  <c r="E227" i="39" s="1"/>
  <c r="F227" i="39" s="1" a="1"/>
  <c r="F227" i="39" s="1"/>
  <c r="M227" i="39" s="1"/>
  <c r="I227" i="39" s="1"/>
  <c r="N225" i="39"/>
  <c r="Q225" i="39"/>
  <c r="P225" i="39"/>
  <c r="H170" i="35"/>
  <c r="E171" i="35" s="1" a="1"/>
  <c r="E171" i="35" s="1"/>
  <c r="F171" i="35" s="1" a="1"/>
  <c r="F171" i="35" s="1"/>
  <c r="Q226" i="39" l="1"/>
  <c r="P226" i="39"/>
  <c r="H199" i="40"/>
  <c r="E200" i="40" s="1" a="1"/>
  <c r="E200" i="40" s="1"/>
  <c r="F200" i="40" s="1" a="1"/>
  <c r="F200" i="40" s="1"/>
  <c r="P199" i="40"/>
  <c r="N199" i="40"/>
  <c r="Q199" i="40"/>
  <c r="I199" i="40"/>
  <c r="Q198" i="40"/>
  <c r="P198" i="40"/>
  <c r="N198" i="40"/>
  <c r="H227" i="39"/>
  <c r="E228" i="39" s="1" a="1"/>
  <c r="E228" i="39" s="1"/>
  <c r="F228" i="39" s="1" a="1"/>
  <c r="F228" i="39" s="1"/>
  <c r="M228" i="39" s="1"/>
  <c r="I228" i="39" s="1"/>
  <c r="G227" i="39"/>
  <c r="O227" i="39" s="1"/>
  <c r="N227" i="39" s="1"/>
  <c r="M171" i="35"/>
  <c r="I171" i="35" s="1"/>
  <c r="G170" i="35"/>
  <c r="O170" i="35" s="1"/>
  <c r="M200" i="40" l="1"/>
  <c r="H200" i="40" s="1"/>
  <c r="E201" i="40" s="1" a="1"/>
  <c r="E201" i="40" s="1"/>
  <c r="F201" i="40" s="1" a="1"/>
  <c r="F201" i="40" s="1"/>
  <c r="M201" i="40" s="1"/>
  <c r="I201" i="40" s="1"/>
  <c r="Q227" i="39"/>
  <c r="P227" i="39"/>
  <c r="G228" i="39"/>
  <c r="O228" i="39" s="1"/>
  <c r="N228" i="39" s="1"/>
  <c r="H228" i="39"/>
  <c r="E229" i="39" s="1" a="1"/>
  <c r="E229" i="39" s="1"/>
  <c r="F229" i="39" s="1" a="1"/>
  <c r="F229" i="39" s="1"/>
  <c r="M229" i="39" s="1"/>
  <c r="H229" i="39" s="1"/>
  <c r="E230" i="39" s="1" a="1"/>
  <c r="E230" i="39" s="1"/>
  <c r="F230" i="39" s="1" a="1"/>
  <c r="F230" i="39" s="1"/>
  <c r="G171" i="35"/>
  <c r="O171" i="35" s="1"/>
  <c r="N171" i="35" s="1"/>
  <c r="H171" i="35"/>
  <c r="E172" i="35" s="1" a="1"/>
  <c r="E172" i="35" s="1"/>
  <c r="F172" i="35" s="1" a="1"/>
  <c r="F172" i="35" s="1"/>
  <c r="Q170" i="35"/>
  <c r="P170" i="35"/>
  <c r="N170" i="35"/>
  <c r="G200" i="40" l="1"/>
  <c r="O200" i="40" s="1"/>
  <c r="Q200" i="40" s="1"/>
  <c r="I200" i="40"/>
  <c r="G201" i="40"/>
  <c r="O201" i="40" s="1"/>
  <c r="H201" i="40"/>
  <c r="E202" i="40" s="1" a="1"/>
  <c r="E202" i="40" s="1"/>
  <c r="F202" i="40" s="1" a="1"/>
  <c r="F202" i="40" s="1"/>
  <c r="Q228" i="39"/>
  <c r="P228" i="39"/>
  <c r="M230" i="39"/>
  <c r="I230" i="39" s="1"/>
  <c r="I229" i="39"/>
  <c r="G229" i="39"/>
  <c r="O229" i="39" s="1"/>
  <c r="Q171" i="35"/>
  <c r="P171" i="35"/>
  <c r="M172" i="35"/>
  <c r="I172" i="35" s="1"/>
  <c r="N200" i="40" l="1"/>
  <c r="P200" i="40"/>
  <c r="M202" i="40"/>
  <c r="I202" i="40" s="1"/>
  <c r="N201" i="40"/>
  <c r="P201" i="40"/>
  <c r="Q201" i="40"/>
  <c r="G230" i="39"/>
  <c r="O230" i="39" s="1"/>
  <c r="N230" i="39" s="1"/>
  <c r="H230" i="39"/>
  <c r="E231" i="39" s="1" a="1"/>
  <c r="E231" i="39" s="1"/>
  <c r="F231" i="39" s="1" a="1"/>
  <c r="F231" i="39" s="1"/>
  <c r="M231" i="39" s="1"/>
  <c r="I231" i="39" s="1"/>
  <c r="P229" i="39"/>
  <c r="Q229" i="39"/>
  <c r="N229" i="39"/>
  <c r="G172" i="35"/>
  <c r="O172" i="35" s="1"/>
  <c r="P230" i="39" l="1"/>
  <c r="G202" i="40"/>
  <c r="O202" i="40" s="1"/>
  <c r="Q202" i="40" s="1"/>
  <c r="H202" i="40"/>
  <c r="E203" i="40" s="1" a="1"/>
  <c r="E203" i="40" s="1"/>
  <c r="F203" i="40" s="1" a="1"/>
  <c r="F203" i="40" s="1"/>
  <c r="M203" i="40" s="1"/>
  <c r="G203" i="40" s="1"/>
  <c r="O203" i="40" s="1"/>
  <c r="Q230" i="39"/>
  <c r="H231" i="39"/>
  <c r="E232" i="39" s="1" a="1"/>
  <c r="E232" i="39" s="1"/>
  <c r="F232" i="39" s="1" a="1"/>
  <c r="F232" i="39" s="1"/>
  <c r="M232" i="39" s="1"/>
  <c r="G231" i="39"/>
  <c r="O231" i="39" s="1"/>
  <c r="Q172" i="35"/>
  <c r="N172" i="35"/>
  <c r="P172" i="35"/>
  <c r="H172" i="35"/>
  <c r="E173" i="35" s="1" a="1"/>
  <c r="E173" i="35" s="1"/>
  <c r="F173" i="35" s="1" a="1"/>
  <c r="F173" i="35" s="1"/>
  <c r="P202" i="40" l="1"/>
  <c r="N202" i="40"/>
  <c r="P203" i="40"/>
  <c r="Q203" i="40"/>
  <c r="N203" i="40"/>
  <c r="H203" i="40"/>
  <c r="E204" i="40" s="1" a="1"/>
  <c r="E204" i="40" s="1"/>
  <c r="F204" i="40" s="1" a="1"/>
  <c r="F204" i="40" s="1"/>
  <c r="I203" i="40"/>
  <c r="G232" i="39"/>
  <c r="O232" i="39" s="1"/>
  <c r="Q232" i="39" s="1"/>
  <c r="H232" i="39"/>
  <c r="E233" i="39" s="1" a="1"/>
  <c r="E233" i="39" s="1"/>
  <c r="F233" i="39" s="1" a="1"/>
  <c r="F233" i="39" s="1"/>
  <c r="M233" i="39" s="1"/>
  <c r="H233" i="39" s="1"/>
  <c r="E234" i="39" s="1" a="1"/>
  <c r="E234" i="39" s="1"/>
  <c r="F234" i="39" s="1" a="1"/>
  <c r="F234" i="39" s="1"/>
  <c r="I232" i="39"/>
  <c r="N231" i="39"/>
  <c r="P231" i="39"/>
  <c r="Q231" i="39"/>
  <c r="M173" i="35"/>
  <c r="I173" i="35" s="1"/>
  <c r="N232" i="39" l="1"/>
  <c r="P232" i="39"/>
  <c r="M204" i="40"/>
  <c r="I204" i="40" s="1"/>
  <c r="M234" i="39"/>
  <c r="I234" i="39" s="1"/>
  <c r="I233" i="39"/>
  <c r="G233" i="39"/>
  <c r="O233" i="39" s="1"/>
  <c r="G173" i="35"/>
  <c r="O173" i="35" s="1"/>
  <c r="H173" i="35"/>
  <c r="E174" i="35" s="1" a="1"/>
  <c r="E174" i="35" s="1"/>
  <c r="F174" i="35" s="1" a="1"/>
  <c r="F174" i="35" s="1"/>
  <c r="H204" i="40" l="1"/>
  <c r="E205" i="40" s="1" a="1"/>
  <c r="E205" i="40" s="1"/>
  <c r="F205" i="40" s="1" a="1"/>
  <c r="F205" i="40" s="1"/>
  <c r="M205" i="40" s="1"/>
  <c r="H205" i="40" s="1"/>
  <c r="E206" i="40" s="1" a="1"/>
  <c r="E206" i="40" s="1"/>
  <c r="F206" i="40" s="1" a="1"/>
  <c r="F206" i="40" s="1"/>
  <c r="G204" i="40"/>
  <c r="O204" i="40" s="1"/>
  <c r="P204" i="40" s="1"/>
  <c r="G234" i="39"/>
  <c r="O234" i="39" s="1"/>
  <c r="N234" i="39" s="1"/>
  <c r="H234" i="39"/>
  <c r="E235" i="39" s="1" a="1"/>
  <c r="E235" i="39" s="1"/>
  <c r="F235" i="39" s="1" a="1"/>
  <c r="F235" i="39" s="1"/>
  <c r="M235" i="39" s="1"/>
  <c r="H235" i="39" s="1"/>
  <c r="E236" i="39" s="1" a="1"/>
  <c r="E236" i="39" s="1"/>
  <c r="F236" i="39" s="1" a="1"/>
  <c r="F236" i="39" s="1"/>
  <c r="Q233" i="39"/>
  <c r="P233" i="39"/>
  <c r="N233" i="39"/>
  <c r="M174" i="35"/>
  <c r="I174" i="35" s="1"/>
  <c r="Q173" i="35"/>
  <c r="N173" i="35"/>
  <c r="P173" i="35"/>
  <c r="N204" i="40" l="1"/>
  <c r="Q204" i="40"/>
  <c r="I205" i="40"/>
  <c r="M206" i="40"/>
  <c r="G206" i="40" s="1"/>
  <c r="O206" i="40" s="1"/>
  <c r="G205" i="40"/>
  <c r="O205" i="40" s="1"/>
  <c r="P234" i="39"/>
  <c r="Q234" i="39"/>
  <c r="M236" i="39"/>
  <c r="H236" i="39" s="1"/>
  <c r="E237" i="39" s="1" a="1"/>
  <c r="E237" i="39" s="1"/>
  <c r="F237" i="39" s="1" a="1"/>
  <c r="F237" i="39" s="1"/>
  <c r="I235" i="39"/>
  <c r="G235" i="39"/>
  <c r="O235" i="39" s="1"/>
  <c r="H174" i="35"/>
  <c r="E175" i="35" s="1" a="1"/>
  <c r="E175" i="35" s="1"/>
  <c r="F175" i="35" s="1" a="1"/>
  <c r="F175" i="35" s="1"/>
  <c r="M175" i="35" s="1"/>
  <c r="I175" i="35" s="1"/>
  <c r="G174" i="35"/>
  <c r="O174" i="35" s="1"/>
  <c r="N206" i="40" l="1"/>
  <c r="Q206" i="40"/>
  <c r="P206" i="40"/>
  <c r="I206" i="40"/>
  <c r="N205" i="40"/>
  <c r="Q205" i="40"/>
  <c r="P205" i="40"/>
  <c r="H206" i="40"/>
  <c r="E207" i="40" s="1" a="1"/>
  <c r="E207" i="40" s="1"/>
  <c r="F207" i="40" s="1" a="1"/>
  <c r="F207" i="40" s="1"/>
  <c r="I236" i="39"/>
  <c r="M237" i="39"/>
  <c r="H237" i="39" s="1"/>
  <c r="E238" i="39" s="1" a="1"/>
  <c r="E238" i="39" s="1"/>
  <c r="F238" i="39" s="1" a="1"/>
  <c r="F238" i="39" s="1"/>
  <c r="Q235" i="39"/>
  <c r="P235" i="39"/>
  <c r="N235" i="39"/>
  <c r="G236" i="39"/>
  <c r="O236" i="39" s="1"/>
  <c r="H175" i="35"/>
  <c r="E176" i="35" s="1" a="1"/>
  <c r="E176" i="35" s="1"/>
  <c r="F176" i="35" s="1" a="1"/>
  <c r="F176" i="35" s="1"/>
  <c r="M176" i="35" s="1"/>
  <c r="I176" i="35" s="1"/>
  <c r="G175" i="35"/>
  <c r="O175" i="35" s="1"/>
  <c r="Q174" i="35"/>
  <c r="P174" i="35"/>
  <c r="N174" i="35"/>
  <c r="M207" i="40" l="1"/>
  <c r="I207" i="40" s="1"/>
  <c r="M238" i="39"/>
  <c r="I238" i="39" s="1"/>
  <c r="N236" i="39"/>
  <c r="P236" i="39"/>
  <c r="Q236" i="39"/>
  <c r="I237" i="39"/>
  <c r="G237" i="39"/>
  <c r="O237" i="39" s="1"/>
  <c r="G176" i="35"/>
  <c r="O176" i="35" s="1"/>
  <c r="N176" i="35" s="1"/>
  <c r="H176" i="35"/>
  <c r="E177" i="35" s="1" a="1"/>
  <c r="E177" i="35" s="1"/>
  <c r="F177" i="35" s="1" a="1"/>
  <c r="F177" i="35" s="1"/>
  <c r="Q175" i="35"/>
  <c r="N175" i="35"/>
  <c r="P175" i="35"/>
  <c r="G207" i="40" l="1"/>
  <c r="O207" i="40" s="1"/>
  <c r="N207" i="40" s="1"/>
  <c r="H207" i="40"/>
  <c r="E208" i="40" s="1" a="1"/>
  <c r="E208" i="40" s="1"/>
  <c r="F208" i="40" s="1" a="1"/>
  <c r="F208" i="40" s="1"/>
  <c r="M208" i="40" s="1"/>
  <c r="I208" i="40" s="1"/>
  <c r="G238" i="39"/>
  <c r="O238" i="39" s="1"/>
  <c r="Q238" i="39" s="1"/>
  <c r="H238" i="39"/>
  <c r="E239" i="39" s="1" a="1"/>
  <c r="E239" i="39" s="1"/>
  <c r="F239" i="39" s="1" a="1"/>
  <c r="F239" i="39" s="1"/>
  <c r="M239" i="39" s="1"/>
  <c r="H239" i="39" s="1"/>
  <c r="E240" i="39" s="1" a="1"/>
  <c r="E240" i="39" s="1"/>
  <c r="F240" i="39" s="1" a="1"/>
  <c r="F240" i="39" s="1"/>
  <c r="Q237" i="39"/>
  <c r="P237" i="39"/>
  <c r="N237" i="39"/>
  <c r="Q176" i="35"/>
  <c r="P176" i="35"/>
  <c r="M177" i="35"/>
  <c r="I177" i="35" s="1"/>
  <c r="P207" i="40" l="1"/>
  <c r="Q207" i="40"/>
  <c r="G208" i="40"/>
  <c r="O208" i="40" s="1"/>
  <c r="P208" i="40" s="1"/>
  <c r="P238" i="39"/>
  <c r="N238" i="39"/>
  <c r="H208" i="40"/>
  <c r="E209" i="40" s="1" a="1"/>
  <c r="E209" i="40" s="1"/>
  <c r="F209" i="40" s="1" a="1"/>
  <c r="F209" i="40" s="1"/>
  <c r="M209" i="40" s="1"/>
  <c r="I209" i="40" s="1"/>
  <c r="N208" i="40"/>
  <c r="M240" i="39"/>
  <c r="I240" i="39" s="1"/>
  <c r="I239" i="39"/>
  <c r="G239" i="39"/>
  <c r="O239" i="39" s="1"/>
  <c r="G177" i="35"/>
  <c r="O177" i="35" s="1"/>
  <c r="P177" i="35" s="1"/>
  <c r="H177" i="35"/>
  <c r="E178" i="35" s="1" a="1"/>
  <c r="E178" i="35" s="1"/>
  <c r="F178" i="35" s="1" a="1"/>
  <c r="F178" i="35" s="1"/>
  <c r="M178" i="35" s="1"/>
  <c r="G178" i="35" s="1"/>
  <c r="O178" i="35" s="1"/>
  <c r="Q208" i="40" l="1"/>
  <c r="G209" i="40"/>
  <c r="O209" i="40" s="1"/>
  <c r="P209" i="40" s="1"/>
  <c r="H209" i="40"/>
  <c r="E210" i="40" s="1" a="1"/>
  <c r="E210" i="40" s="1"/>
  <c r="F210" i="40" s="1" a="1"/>
  <c r="F210" i="40" s="1"/>
  <c r="G240" i="39"/>
  <c r="O240" i="39" s="1"/>
  <c r="Q240" i="39" s="1"/>
  <c r="H240" i="39"/>
  <c r="E241" i="39" s="1" a="1"/>
  <c r="E241" i="39" s="1"/>
  <c r="F241" i="39" s="1" a="1"/>
  <c r="F241" i="39" s="1"/>
  <c r="M241" i="39" s="1"/>
  <c r="H241" i="39" s="1"/>
  <c r="E242" i="39" s="1" a="1"/>
  <c r="E242" i="39" s="1"/>
  <c r="F242" i="39" s="1" a="1"/>
  <c r="F242" i="39" s="1"/>
  <c r="Q239" i="39"/>
  <c r="P239" i="39"/>
  <c r="N239" i="39"/>
  <c r="Q177" i="35"/>
  <c r="N177" i="35"/>
  <c r="I178" i="35"/>
  <c r="N178" i="35"/>
  <c r="Q178" i="35"/>
  <c r="P178" i="35"/>
  <c r="H178" i="35"/>
  <c r="E179" i="35" s="1" a="1"/>
  <c r="E179" i="35" s="1"/>
  <c r="F179" i="35" s="1" a="1"/>
  <c r="F179" i="35" s="1"/>
  <c r="N240" i="39" l="1"/>
  <c r="P240" i="39"/>
  <c r="N209" i="40"/>
  <c r="Q209" i="40"/>
  <c r="M210" i="40"/>
  <c r="H210" i="40" s="1"/>
  <c r="E211" i="40" s="1" a="1"/>
  <c r="E211" i="40" s="1"/>
  <c r="F211" i="40" s="1" a="1"/>
  <c r="F211" i="40" s="1"/>
  <c r="M242" i="39"/>
  <c r="H242" i="39" s="1"/>
  <c r="E243" i="39" s="1" a="1"/>
  <c r="E243" i="39" s="1"/>
  <c r="F243" i="39" s="1" a="1"/>
  <c r="F243" i="39" s="1"/>
  <c r="I241" i="39"/>
  <c r="G241" i="39"/>
  <c r="O241" i="39" s="1"/>
  <c r="M179" i="35"/>
  <c r="I179" i="35" s="1"/>
  <c r="I210" i="40" l="1"/>
  <c r="G210" i="40"/>
  <c r="O210" i="40" s="1"/>
  <c r="Q210" i="40" s="1"/>
  <c r="M211" i="40"/>
  <c r="H211" i="40" s="1"/>
  <c r="E212" i="40" s="1" a="1"/>
  <c r="E212" i="40" s="1"/>
  <c r="F212" i="40" s="1" a="1"/>
  <c r="F212" i="40" s="1"/>
  <c r="M243" i="39"/>
  <c r="H243" i="39" s="1"/>
  <c r="E244" i="39" s="1" a="1"/>
  <c r="E244" i="39" s="1"/>
  <c r="F244" i="39" s="1" a="1"/>
  <c r="F244" i="39" s="1"/>
  <c r="N241" i="39"/>
  <c r="Q241" i="39"/>
  <c r="P241" i="39"/>
  <c r="I242" i="39"/>
  <c r="G242" i="39"/>
  <c r="O242" i="39" s="1"/>
  <c r="G179" i="35"/>
  <c r="O179" i="35" s="1"/>
  <c r="N210" i="40" l="1"/>
  <c r="P210" i="40"/>
  <c r="M212" i="40"/>
  <c r="G212" i="40" s="1"/>
  <c r="O212" i="40" s="1"/>
  <c r="G211" i="40"/>
  <c r="O211" i="40" s="1"/>
  <c r="I211" i="40"/>
  <c r="M244" i="39"/>
  <c r="I244" i="39" s="1"/>
  <c r="N242" i="39"/>
  <c r="P242" i="39"/>
  <c r="Q242" i="39"/>
  <c r="I243" i="39"/>
  <c r="G243" i="39"/>
  <c r="O243" i="39" s="1"/>
  <c r="P179" i="35"/>
  <c r="Q179" i="35"/>
  <c r="N179" i="35"/>
  <c r="H179" i="35"/>
  <c r="E180" i="35" s="1" a="1"/>
  <c r="E180" i="35" s="1"/>
  <c r="F180" i="35" s="1" a="1"/>
  <c r="F180" i="35" s="1"/>
  <c r="I212" i="40" l="1"/>
  <c r="P212" i="40"/>
  <c r="N212" i="40"/>
  <c r="Q212" i="40"/>
  <c r="H212" i="40"/>
  <c r="E213" i="40" s="1" a="1"/>
  <c r="E213" i="40" s="1"/>
  <c r="F213" i="40" s="1" a="1"/>
  <c r="F213" i="40" s="1"/>
  <c r="P211" i="40"/>
  <c r="N211" i="40"/>
  <c r="Q211" i="40"/>
  <c r="G244" i="39"/>
  <c r="O244" i="39" s="1"/>
  <c r="P244" i="39" s="1"/>
  <c r="H244" i="39"/>
  <c r="E245" i="39" s="1" a="1"/>
  <c r="E245" i="39" s="1"/>
  <c r="F245" i="39" s="1" a="1"/>
  <c r="F245" i="39" s="1"/>
  <c r="M245" i="39" s="1"/>
  <c r="G245" i="39" s="1"/>
  <c r="O245" i="39" s="1"/>
  <c r="Q243" i="39"/>
  <c r="P243" i="39"/>
  <c r="N243" i="39"/>
  <c r="M180" i="35"/>
  <c r="I180" i="35" s="1"/>
  <c r="N244" i="39" l="1"/>
  <c r="M213" i="40"/>
  <c r="H213" i="40" s="1"/>
  <c r="E214" i="40" s="1" a="1"/>
  <c r="E214" i="40" s="1"/>
  <c r="F214" i="40" s="1" a="1"/>
  <c r="F214" i="40" s="1"/>
  <c r="Q244" i="39"/>
  <c r="I245" i="39"/>
  <c r="Q245" i="39"/>
  <c r="P245" i="39"/>
  <c r="N245" i="39"/>
  <c r="H245" i="39"/>
  <c r="E246" i="39" s="1" a="1"/>
  <c r="E246" i="39" s="1"/>
  <c r="F246" i="39" s="1" a="1"/>
  <c r="F246" i="39" s="1"/>
  <c r="H180" i="35"/>
  <c r="E181" i="35" s="1" a="1"/>
  <c r="E181" i="35" s="1"/>
  <c r="F181" i="35" s="1" a="1"/>
  <c r="F181" i="35" s="1"/>
  <c r="M214" i="40" l="1"/>
  <c r="I214" i="40" s="1"/>
  <c r="G213" i="40"/>
  <c r="O213" i="40" s="1"/>
  <c r="I213" i="40"/>
  <c r="M246" i="39"/>
  <c r="H246" i="39" s="1"/>
  <c r="E247" i="39" s="1" a="1"/>
  <c r="E247" i="39" s="1"/>
  <c r="F247" i="39" s="1" a="1"/>
  <c r="F247" i="39" s="1"/>
  <c r="M181" i="35"/>
  <c r="I181" i="35" s="1"/>
  <c r="G180" i="35"/>
  <c r="O180" i="35" s="1"/>
  <c r="G214" i="40" l="1"/>
  <c r="O214" i="40" s="1"/>
  <c r="N214" i="40" s="1"/>
  <c r="H214" i="40"/>
  <c r="E215" i="40" s="1" a="1"/>
  <c r="E215" i="40" s="1"/>
  <c r="F215" i="40" s="1" a="1"/>
  <c r="F215" i="40" s="1"/>
  <c r="M215" i="40" s="1"/>
  <c r="I215" i="40" s="1"/>
  <c r="Q213" i="40"/>
  <c r="P213" i="40"/>
  <c r="N213" i="40"/>
  <c r="M247" i="39"/>
  <c r="I247" i="39" s="1"/>
  <c r="I246" i="39"/>
  <c r="G246" i="39"/>
  <c r="O246" i="39" s="1"/>
  <c r="G181" i="35"/>
  <c r="O181" i="35" s="1"/>
  <c r="P180" i="35"/>
  <c r="N180" i="35"/>
  <c r="Q180" i="35"/>
  <c r="P214" i="40" l="1"/>
  <c r="Q214" i="40"/>
  <c r="H215" i="40"/>
  <c r="E216" i="40" s="1" a="1"/>
  <c r="E216" i="40" s="1"/>
  <c r="F216" i="40" s="1" a="1"/>
  <c r="F216" i="40" s="1"/>
  <c r="G215" i="40"/>
  <c r="O215" i="40" s="1"/>
  <c r="N246" i="39"/>
  <c r="Q246" i="39"/>
  <c r="P246" i="39"/>
  <c r="G247" i="39"/>
  <c r="O247" i="39" s="1"/>
  <c r="H247" i="39"/>
  <c r="E248" i="39" s="1" a="1"/>
  <c r="E248" i="39" s="1"/>
  <c r="F248" i="39" s="1" a="1"/>
  <c r="F248" i="39" s="1"/>
  <c r="Q181" i="35"/>
  <c r="P181" i="35"/>
  <c r="N181" i="35"/>
  <c r="H181" i="35"/>
  <c r="E182" i="35" s="1" a="1"/>
  <c r="E182" i="35" s="1"/>
  <c r="F182" i="35" s="1" a="1"/>
  <c r="F182" i="35" s="1"/>
  <c r="Q215" i="40" l="1"/>
  <c r="P215" i="40"/>
  <c r="N215" i="40"/>
  <c r="M216" i="40"/>
  <c r="G216" i="40" s="1"/>
  <c r="O216" i="40" s="1"/>
  <c r="M248" i="39"/>
  <c r="I248" i="39" s="1"/>
  <c r="Q247" i="39"/>
  <c r="P247" i="39"/>
  <c r="N247" i="39"/>
  <c r="M182" i="35"/>
  <c r="I182" i="35" s="1"/>
  <c r="I216" i="40" l="1"/>
  <c r="H216" i="40"/>
  <c r="E217" i="40" s="1" a="1"/>
  <c r="E217" i="40" s="1"/>
  <c r="F217" i="40" s="1" a="1"/>
  <c r="F217" i="40" s="1"/>
  <c r="M217" i="40" s="1"/>
  <c r="I217" i="40" s="1"/>
  <c r="P216" i="40"/>
  <c r="Q216" i="40"/>
  <c r="N216" i="40"/>
  <c r="G248" i="39"/>
  <c r="O248" i="39" s="1"/>
  <c r="N248" i="39" s="1"/>
  <c r="H248" i="39"/>
  <c r="E249" i="39" s="1" a="1"/>
  <c r="E249" i="39" s="1"/>
  <c r="F249" i="39" s="1" a="1"/>
  <c r="F249" i="39" s="1"/>
  <c r="M249" i="39" s="1"/>
  <c r="H249" i="39" s="1"/>
  <c r="E250" i="39" s="1" a="1"/>
  <c r="E250" i="39" s="1"/>
  <c r="F250" i="39" s="1" a="1"/>
  <c r="F250" i="39" s="1"/>
  <c r="H182" i="35"/>
  <c r="E183" i="35" s="1" a="1"/>
  <c r="E183" i="35" s="1"/>
  <c r="F183" i="35" s="1" a="1"/>
  <c r="F183" i="35" s="1"/>
  <c r="M183" i="35" s="1"/>
  <c r="I183" i="35" s="1"/>
  <c r="G182" i="35"/>
  <c r="O182" i="35" s="1"/>
  <c r="Q182" i="35" s="1"/>
  <c r="G217" i="40" l="1"/>
  <c r="O217" i="40" s="1"/>
  <c r="N217" i="40" s="1"/>
  <c r="H217" i="40"/>
  <c r="E218" i="40" s="1" a="1"/>
  <c r="E218" i="40" s="1"/>
  <c r="F218" i="40" s="1" a="1"/>
  <c r="F218" i="40" s="1"/>
  <c r="M218" i="40" s="1"/>
  <c r="H218" i="40" s="1"/>
  <c r="E219" i="40" s="1" a="1"/>
  <c r="E219" i="40" s="1"/>
  <c r="F219" i="40" s="1" a="1"/>
  <c r="F219" i="40" s="1"/>
  <c r="N182" i="35"/>
  <c r="P248" i="39"/>
  <c r="Q248" i="39"/>
  <c r="M250" i="39"/>
  <c r="H250" i="39" s="1"/>
  <c r="E251" i="39" s="1" a="1"/>
  <c r="E251" i="39" s="1"/>
  <c r="F251" i="39" s="1" a="1"/>
  <c r="F251" i="39" s="1"/>
  <c r="I249" i="39"/>
  <c r="G249" i="39"/>
  <c r="O249" i="39" s="1"/>
  <c r="P182" i="35"/>
  <c r="H183" i="35"/>
  <c r="E184" i="35" s="1" a="1"/>
  <c r="E184" i="35" s="1"/>
  <c r="F184" i="35" s="1" a="1"/>
  <c r="F184" i="35" s="1"/>
  <c r="G183" i="35"/>
  <c r="O183" i="35" s="1"/>
  <c r="Q217" i="40" l="1"/>
  <c r="P217" i="40"/>
  <c r="M219" i="40"/>
  <c r="I219" i="40" s="1"/>
  <c r="I218" i="40"/>
  <c r="G218" i="40"/>
  <c r="O218" i="40" s="1"/>
  <c r="M251" i="39"/>
  <c r="I251" i="39" s="1"/>
  <c r="Q249" i="39"/>
  <c r="P249" i="39"/>
  <c r="N249" i="39"/>
  <c r="I250" i="39"/>
  <c r="G250" i="39"/>
  <c r="O250" i="39" s="1"/>
  <c r="M184" i="35"/>
  <c r="I184" i="35" s="1"/>
  <c r="Q183" i="35"/>
  <c r="P183" i="35"/>
  <c r="N183" i="35"/>
  <c r="G219" i="40" l="1"/>
  <c r="O219" i="40" s="1"/>
  <c r="N219" i="40" s="1"/>
  <c r="N218" i="40"/>
  <c r="Q218" i="40"/>
  <c r="P218" i="40"/>
  <c r="H219" i="40"/>
  <c r="E220" i="40" s="1" a="1"/>
  <c r="E220" i="40" s="1"/>
  <c r="F220" i="40" s="1" a="1"/>
  <c r="F220" i="40" s="1"/>
  <c r="G251" i="39"/>
  <c r="O251" i="39" s="1"/>
  <c r="N251" i="39" s="1"/>
  <c r="H251" i="39"/>
  <c r="E252" i="39" s="1" a="1"/>
  <c r="E252" i="39" s="1"/>
  <c r="F252" i="39" s="1" a="1"/>
  <c r="F252" i="39" s="1"/>
  <c r="M252" i="39" s="1"/>
  <c r="I252" i="39" s="1"/>
  <c r="N250" i="39"/>
  <c r="Q250" i="39"/>
  <c r="P250" i="39"/>
  <c r="H184" i="35"/>
  <c r="E185" i="35" s="1" a="1"/>
  <c r="E185" i="35" s="1"/>
  <c r="F185" i="35" s="1" a="1"/>
  <c r="F185" i="35" s="1"/>
  <c r="G184" i="35"/>
  <c r="O184" i="35" s="1"/>
  <c r="P219" i="40" l="1"/>
  <c r="Q219" i="40"/>
  <c r="M220" i="40"/>
  <c r="I220" i="40" s="1"/>
  <c r="Q251" i="39"/>
  <c r="P251" i="39"/>
  <c r="G252" i="39"/>
  <c r="O252" i="39" s="1"/>
  <c r="N252" i="39" s="1"/>
  <c r="H252" i="39"/>
  <c r="E253" i="39" s="1" a="1"/>
  <c r="E253" i="39" s="1"/>
  <c r="F253" i="39" s="1" a="1"/>
  <c r="F253" i="39" s="1"/>
  <c r="M185" i="35"/>
  <c r="H185" i="35" s="1"/>
  <c r="E186" i="35" s="1" a="1"/>
  <c r="E186" i="35" s="1"/>
  <c r="F186" i="35" s="1" a="1"/>
  <c r="F186" i="35" s="1"/>
  <c r="N184" i="35"/>
  <c r="Q184" i="35"/>
  <c r="P184" i="35"/>
  <c r="G220" i="40" l="1"/>
  <c r="O220" i="40" s="1"/>
  <c r="P220" i="40" s="1"/>
  <c r="H220" i="40"/>
  <c r="E221" i="40" s="1" a="1"/>
  <c r="E221" i="40" s="1"/>
  <c r="F221" i="40" s="1" a="1"/>
  <c r="F221" i="40" s="1"/>
  <c r="M221" i="40" s="1"/>
  <c r="I221" i="40" s="1"/>
  <c r="P252" i="39"/>
  <c r="Q252" i="39"/>
  <c r="M253" i="39"/>
  <c r="H253" i="39" s="1"/>
  <c r="E254" i="39" s="1" a="1"/>
  <c r="E254" i="39" s="1"/>
  <c r="F254" i="39" s="1" a="1"/>
  <c r="F254" i="39" s="1"/>
  <c r="M186" i="35"/>
  <c r="I186" i="35" s="1"/>
  <c r="I185" i="35"/>
  <c r="G185" i="35"/>
  <c r="O185" i="35" s="1"/>
  <c r="Q185" i="35" s="1"/>
  <c r="Q220" i="40" l="1"/>
  <c r="N220" i="40"/>
  <c r="G221" i="40"/>
  <c r="O221" i="40" s="1"/>
  <c r="Q221" i="40" s="1"/>
  <c r="H221" i="40"/>
  <c r="E222" i="40" s="1" a="1"/>
  <c r="E222" i="40" s="1"/>
  <c r="F222" i="40" s="1" a="1"/>
  <c r="F222" i="40" s="1"/>
  <c r="M254" i="39"/>
  <c r="I254" i="39" s="1"/>
  <c r="I253" i="39"/>
  <c r="G253" i="39"/>
  <c r="O253" i="39" s="1"/>
  <c r="N185" i="35"/>
  <c r="P185" i="35"/>
  <c r="H186" i="35"/>
  <c r="E187" i="35" s="1" a="1"/>
  <c r="E187" i="35" s="1"/>
  <c r="F187" i="35" s="1" a="1"/>
  <c r="F187" i="35" s="1"/>
  <c r="N221" i="40" l="1"/>
  <c r="P221" i="40"/>
  <c r="M222" i="40"/>
  <c r="G222" i="40" s="1"/>
  <c r="O222" i="40" s="1"/>
  <c r="G254" i="39"/>
  <c r="O254" i="39" s="1"/>
  <c r="Q254" i="39" s="1"/>
  <c r="H254" i="39"/>
  <c r="E255" i="39" s="1" a="1"/>
  <c r="E255" i="39" s="1"/>
  <c r="F255" i="39" s="1" a="1"/>
  <c r="F255" i="39" s="1"/>
  <c r="M255" i="39" s="1"/>
  <c r="I255" i="39" s="1"/>
  <c r="Q253" i="39"/>
  <c r="P253" i="39"/>
  <c r="N253" i="39"/>
  <c r="M187" i="35"/>
  <c r="I187" i="35" s="1"/>
  <c r="G186" i="35"/>
  <c r="O186" i="35" s="1"/>
  <c r="N254" i="39" l="1"/>
  <c r="P254" i="39"/>
  <c r="P222" i="40"/>
  <c r="Q222" i="40"/>
  <c r="N222" i="40"/>
  <c r="I222" i="40"/>
  <c r="H222" i="40"/>
  <c r="E223" i="40" s="1" a="1"/>
  <c r="E223" i="40" s="1"/>
  <c r="F223" i="40" s="1" a="1"/>
  <c r="F223" i="40" s="1"/>
  <c r="G255" i="39"/>
  <c r="O255" i="39" s="1"/>
  <c r="H255" i="39"/>
  <c r="E256" i="39" s="1" a="1"/>
  <c r="E256" i="39" s="1"/>
  <c r="F256" i="39" s="1" a="1"/>
  <c r="F256" i="39" s="1"/>
  <c r="H187" i="35"/>
  <c r="E188" i="35" s="1" a="1"/>
  <c r="E188" i="35" s="1"/>
  <c r="F188" i="35" s="1" a="1"/>
  <c r="F188" i="35" s="1"/>
  <c r="M188" i="35" s="1"/>
  <c r="G187" i="35"/>
  <c r="O187" i="35" s="1"/>
  <c r="N186" i="35"/>
  <c r="Q186" i="35"/>
  <c r="P186" i="35"/>
  <c r="M223" i="40" l="1"/>
  <c r="I223" i="40" s="1"/>
  <c r="M256" i="39"/>
  <c r="I256" i="39" s="1"/>
  <c r="Q255" i="39"/>
  <c r="P255" i="39"/>
  <c r="N255" i="39"/>
  <c r="I188" i="35"/>
  <c r="G188" i="35"/>
  <c r="O188" i="35" s="1"/>
  <c r="P188" i="35" s="1"/>
  <c r="N187" i="35"/>
  <c r="Q187" i="35"/>
  <c r="P187" i="35"/>
  <c r="H188" i="35"/>
  <c r="E189" i="35" s="1" a="1"/>
  <c r="E189" i="35" s="1"/>
  <c r="F189" i="35" s="1" a="1"/>
  <c r="F189" i="35" s="1"/>
  <c r="H223" i="40" l="1"/>
  <c r="E224" i="40" s="1" a="1"/>
  <c r="E224" i="40" s="1"/>
  <c r="F224" i="40" s="1" a="1"/>
  <c r="F224" i="40" s="1"/>
  <c r="G223" i="40"/>
  <c r="O223" i="40" s="1"/>
  <c r="G256" i="39"/>
  <c r="O256" i="39" s="1"/>
  <c r="N256" i="39" s="1"/>
  <c r="H256" i="39"/>
  <c r="E257" i="39" s="1" a="1"/>
  <c r="E257" i="39" s="1"/>
  <c r="F257" i="39" s="1" a="1"/>
  <c r="F257" i="39" s="1"/>
  <c r="M257" i="39" s="1"/>
  <c r="H257" i="39" s="1"/>
  <c r="E258" i="39" s="1" a="1"/>
  <c r="E258" i="39" s="1"/>
  <c r="F258" i="39" s="1" a="1"/>
  <c r="F258" i="39" s="1"/>
  <c r="Q188" i="35"/>
  <c r="N188" i="35"/>
  <c r="M189" i="35"/>
  <c r="I189" i="35" s="1"/>
  <c r="Q223" i="40" l="1"/>
  <c r="P223" i="40"/>
  <c r="N223" i="40"/>
  <c r="M224" i="40"/>
  <c r="H224" i="40" s="1"/>
  <c r="E225" i="40" s="1" a="1"/>
  <c r="E225" i="40" s="1"/>
  <c r="F225" i="40" s="1" a="1"/>
  <c r="F225" i="40" s="1"/>
  <c r="Q256" i="39"/>
  <c r="P256" i="39"/>
  <c r="I257" i="39"/>
  <c r="M258" i="39"/>
  <c r="H258" i="39" s="1"/>
  <c r="E259" i="39" s="1" a="1"/>
  <c r="E259" i="39" s="1"/>
  <c r="F259" i="39" s="1" a="1"/>
  <c r="F259" i="39" s="1"/>
  <c r="G257" i="39"/>
  <c r="O257" i="39" s="1"/>
  <c r="H189" i="35"/>
  <c r="E190" i="35" s="1" a="1"/>
  <c r="E190" i="35" s="1"/>
  <c r="F190" i="35" s="1" a="1"/>
  <c r="F190" i="35" s="1"/>
  <c r="M190" i="35" s="1"/>
  <c r="I190" i="35" s="1"/>
  <c r="G189" i="35"/>
  <c r="O189" i="35" s="1"/>
  <c r="I224" i="40" l="1"/>
  <c r="M225" i="40"/>
  <c r="G225" i="40" s="1"/>
  <c r="O225" i="40" s="1"/>
  <c r="G224" i="40"/>
  <c r="O224" i="40" s="1"/>
  <c r="M259" i="39"/>
  <c r="I259" i="39" s="1"/>
  <c r="N257" i="39"/>
  <c r="Q257" i="39"/>
  <c r="P257" i="39"/>
  <c r="I258" i="39"/>
  <c r="G258" i="39"/>
  <c r="O258" i="39" s="1"/>
  <c r="H190" i="35"/>
  <c r="E191" i="35" s="1" a="1"/>
  <c r="E191" i="35" s="1"/>
  <c r="F191" i="35" s="1" a="1"/>
  <c r="F191" i="35" s="1"/>
  <c r="G190" i="35"/>
  <c r="O190" i="35" s="1"/>
  <c r="P189" i="35"/>
  <c r="Q189" i="35"/>
  <c r="N189" i="35"/>
  <c r="N225" i="40" l="1"/>
  <c r="Q225" i="40"/>
  <c r="P225" i="40"/>
  <c r="I225" i="40"/>
  <c r="P224" i="40"/>
  <c r="Q224" i="40"/>
  <c r="N224" i="40"/>
  <c r="H225" i="40"/>
  <c r="E226" i="40" s="1" a="1"/>
  <c r="E226" i="40" s="1"/>
  <c r="F226" i="40" s="1" a="1"/>
  <c r="F226" i="40" s="1"/>
  <c r="G259" i="39"/>
  <c r="O259" i="39" s="1"/>
  <c r="N259" i="39" s="1"/>
  <c r="H259" i="39"/>
  <c r="E260" i="39" s="1" a="1"/>
  <c r="E260" i="39" s="1"/>
  <c r="F260" i="39" s="1" a="1"/>
  <c r="F260" i="39" s="1"/>
  <c r="M260" i="39" s="1"/>
  <c r="I260" i="39" s="1"/>
  <c r="N258" i="39"/>
  <c r="P258" i="39"/>
  <c r="Q258" i="39"/>
  <c r="M191" i="35"/>
  <c r="I191" i="35" s="1"/>
  <c r="P190" i="35"/>
  <c r="N190" i="35"/>
  <c r="Q190" i="35"/>
  <c r="M226" i="40" l="1"/>
  <c r="I226" i="40" s="1"/>
  <c r="P259" i="39"/>
  <c r="Q259" i="39"/>
  <c r="G260" i="39"/>
  <c r="O260" i="39" s="1"/>
  <c r="H260" i="39"/>
  <c r="E261" i="39" s="1" a="1"/>
  <c r="E261" i="39" s="1"/>
  <c r="F261" i="39" s="1" a="1"/>
  <c r="F261" i="39" s="1"/>
  <c r="G226" i="40" l="1"/>
  <c r="O226" i="40" s="1"/>
  <c r="P226" i="40" s="1"/>
  <c r="H226" i="40"/>
  <c r="E227" i="40" s="1" a="1"/>
  <c r="E227" i="40" s="1"/>
  <c r="F227" i="40" s="1" a="1"/>
  <c r="F227" i="40" s="1"/>
  <c r="M227" i="40" s="1"/>
  <c r="I227" i="40" s="1"/>
  <c r="M261" i="39"/>
  <c r="H261" i="39" s="1"/>
  <c r="E262" i="39" s="1" a="1"/>
  <c r="E262" i="39" s="1"/>
  <c r="F262" i="39" s="1" a="1"/>
  <c r="F262" i="39" s="1"/>
  <c r="N260" i="39"/>
  <c r="Q260" i="39"/>
  <c r="P260" i="39"/>
  <c r="H191" i="35"/>
  <c r="E192" i="35" s="1" a="1"/>
  <c r="E192" i="35" s="1"/>
  <c r="F192" i="35" s="1" a="1"/>
  <c r="F192" i="35" s="1"/>
  <c r="G191" i="35"/>
  <c r="O191" i="35" s="1"/>
  <c r="Q226" i="40" l="1"/>
  <c r="N226" i="40"/>
  <c r="H227" i="40"/>
  <c r="E228" i="40" s="1" a="1"/>
  <c r="E228" i="40" s="1"/>
  <c r="F228" i="40" s="1" a="1"/>
  <c r="F228" i="40" s="1"/>
  <c r="G227" i="40"/>
  <c r="O227" i="40" s="1"/>
  <c r="M262" i="39"/>
  <c r="I262" i="39" s="1"/>
  <c r="I261" i="39"/>
  <c r="G261" i="39"/>
  <c r="O261" i="39" s="1"/>
  <c r="M192" i="35"/>
  <c r="I192" i="35" s="1"/>
  <c r="N191" i="35"/>
  <c r="P191" i="35"/>
  <c r="Q191" i="35"/>
  <c r="N227" i="40" l="1"/>
  <c r="P227" i="40"/>
  <c r="Q227" i="40"/>
  <c r="M228" i="40"/>
  <c r="G228" i="40" s="1"/>
  <c r="O228" i="40" s="1"/>
  <c r="G262" i="39"/>
  <c r="O262" i="39" s="1"/>
  <c r="P262" i="39" s="1"/>
  <c r="H262" i="39"/>
  <c r="E263" i="39" s="1" a="1"/>
  <c r="E263" i="39" s="1"/>
  <c r="F263" i="39" s="1" a="1"/>
  <c r="F263" i="39" s="1"/>
  <c r="M263" i="39" s="1"/>
  <c r="I263" i="39" s="1"/>
  <c r="Q261" i="39"/>
  <c r="P261" i="39"/>
  <c r="N261" i="39"/>
  <c r="G192" i="35"/>
  <c r="O192" i="35" s="1"/>
  <c r="Q192" i="35" s="1"/>
  <c r="H192" i="35"/>
  <c r="E193" i="35" s="1" a="1"/>
  <c r="E193" i="35" s="1"/>
  <c r="F193" i="35" s="1" a="1"/>
  <c r="F193" i="35" s="1"/>
  <c r="Q262" i="39" l="1"/>
  <c r="N262" i="39"/>
  <c r="P228" i="40"/>
  <c r="Q228" i="40"/>
  <c r="N228" i="40"/>
  <c r="I228" i="40"/>
  <c r="H228" i="40"/>
  <c r="E229" i="40" s="1" a="1"/>
  <c r="E229" i="40" s="1"/>
  <c r="F229" i="40" s="1" a="1"/>
  <c r="F229" i="40" s="1"/>
  <c r="H263" i="39"/>
  <c r="E264" i="39" s="1" a="1"/>
  <c r="E264" i="39" s="1"/>
  <c r="F264" i="39" s="1" a="1"/>
  <c r="F264" i="39" s="1"/>
  <c r="M264" i="39" s="1"/>
  <c r="H264" i="39" s="1"/>
  <c r="E265" i="39" s="1" a="1"/>
  <c r="E265" i="39" s="1"/>
  <c r="F265" i="39" s="1" a="1"/>
  <c r="F265" i="39" s="1"/>
  <c r="G263" i="39"/>
  <c r="O263" i="39" s="1"/>
  <c r="P192" i="35"/>
  <c r="N192" i="35"/>
  <c r="M193" i="35"/>
  <c r="I193" i="35" s="1"/>
  <c r="M229" i="40" l="1"/>
  <c r="H229" i="40" s="1"/>
  <c r="E230" i="40" s="1" a="1"/>
  <c r="E230" i="40" s="1"/>
  <c r="F230" i="40" s="1" a="1"/>
  <c r="F230" i="40" s="1"/>
  <c r="I264" i="39"/>
  <c r="M265" i="39"/>
  <c r="H265" i="39" s="1"/>
  <c r="E266" i="39" s="1" a="1"/>
  <c r="E266" i="39" s="1"/>
  <c r="F266" i="39" s="1" a="1"/>
  <c r="F266" i="39" s="1"/>
  <c r="G264" i="39"/>
  <c r="O264" i="39" s="1"/>
  <c r="N263" i="39"/>
  <c r="Q263" i="39"/>
  <c r="P263" i="39"/>
  <c r="G193" i="35"/>
  <c r="O193" i="35" s="1"/>
  <c r="P193" i="35" s="1"/>
  <c r="H193" i="35"/>
  <c r="E194" i="35" s="1" a="1"/>
  <c r="E194" i="35" s="1"/>
  <c r="F194" i="35" s="1" a="1"/>
  <c r="F194" i="35" s="1"/>
  <c r="M230" i="40" l="1"/>
  <c r="I230" i="40" s="1"/>
  <c r="I229" i="40"/>
  <c r="G229" i="40"/>
  <c r="O229" i="40" s="1"/>
  <c r="M266" i="39"/>
  <c r="H266" i="39" s="1"/>
  <c r="E267" i="39" s="1" a="1"/>
  <c r="E267" i="39" s="1"/>
  <c r="F267" i="39" s="1" a="1"/>
  <c r="F267" i="39" s="1"/>
  <c r="Q264" i="39"/>
  <c r="P264" i="39"/>
  <c r="N264" i="39"/>
  <c r="I265" i="39"/>
  <c r="G265" i="39"/>
  <c r="O265" i="39" s="1"/>
  <c r="N193" i="35"/>
  <c r="Q193" i="35"/>
  <c r="M194" i="35"/>
  <c r="I194" i="35" s="1"/>
  <c r="N229" i="40" l="1"/>
  <c r="Q229" i="40"/>
  <c r="P229" i="40"/>
  <c r="G230" i="40"/>
  <c r="O230" i="40" s="1"/>
  <c r="H230" i="40"/>
  <c r="E231" i="40" s="1" a="1"/>
  <c r="E231" i="40" s="1"/>
  <c r="F231" i="40" s="1" a="1"/>
  <c r="F231" i="40" s="1"/>
  <c r="M267" i="39"/>
  <c r="I267" i="39" s="1"/>
  <c r="I266" i="39"/>
  <c r="G266" i="39"/>
  <c r="O266" i="39" s="1"/>
  <c r="P265" i="39"/>
  <c r="N265" i="39"/>
  <c r="Q265" i="39"/>
  <c r="H194" i="35"/>
  <c r="E195" i="35" s="1" a="1"/>
  <c r="E195" i="35" s="1"/>
  <c r="F195" i="35" s="1" a="1"/>
  <c r="F195" i="35" s="1"/>
  <c r="M195" i="35" s="1"/>
  <c r="I195" i="35" s="1"/>
  <c r="G194" i="35"/>
  <c r="O194" i="35" s="1"/>
  <c r="P194" i="35" s="1"/>
  <c r="G267" i="39" l="1"/>
  <c r="O267" i="39" s="1"/>
  <c r="H267" i="39"/>
  <c r="E268" i="39" s="1" a="1"/>
  <c r="E268" i="39" s="1"/>
  <c r="F268" i="39" s="1" a="1"/>
  <c r="F268" i="39" s="1"/>
  <c r="M268" i="39" s="1"/>
  <c r="I268" i="39" s="1"/>
  <c r="M231" i="40"/>
  <c r="I231" i="40" s="1"/>
  <c r="P230" i="40"/>
  <c r="N230" i="40"/>
  <c r="Q230" i="40"/>
  <c r="N267" i="39"/>
  <c r="Q267" i="39"/>
  <c r="P267" i="39"/>
  <c r="N266" i="39"/>
  <c r="Q266" i="39"/>
  <c r="P266" i="39"/>
  <c r="N194" i="35"/>
  <c r="Q194" i="35"/>
  <c r="G195" i="35"/>
  <c r="O195" i="35" s="1"/>
  <c r="N195" i="35" s="1"/>
  <c r="H195" i="35"/>
  <c r="E196" i="35" s="1" a="1"/>
  <c r="E196" i="35" s="1"/>
  <c r="F196" i="35" s="1" a="1"/>
  <c r="F196" i="35" s="1"/>
  <c r="M196" i="35" s="1"/>
  <c r="I196" i="35" s="1"/>
  <c r="H231" i="40" l="1"/>
  <c r="E232" i="40" s="1" a="1"/>
  <c r="E232" i="40" s="1"/>
  <c r="F232" i="40" s="1" a="1"/>
  <c r="F232" i="40" s="1"/>
  <c r="M232" i="40" s="1"/>
  <c r="G231" i="40"/>
  <c r="O231" i="40" s="1"/>
  <c r="G268" i="39"/>
  <c r="O268" i="39" s="1"/>
  <c r="H268" i="39"/>
  <c r="E269" i="39" s="1" a="1"/>
  <c r="E269" i="39" s="1"/>
  <c r="F269" i="39" s="1" a="1"/>
  <c r="F269" i="39" s="1"/>
  <c r="P195" i="35"/>
  <c r="Q195" i="35"/>
  <c r="G196" i="35"/>
  <c r="O196" i="35" s="1"/>
  <c r="G232" i="40" l="1"/>
  <c r="O232" i="40" s="1"/>
  <c r="P232" i="40" s="1"/>
  <c r="I232" i="40"/>
  <c r="H232" i="40"/>
  <c r="E233" i="40" s="1" a="1"/>
  <c r="E233" i="40" s="1"/>
  <c r="F233" i="40" s="1" a="1"/>
  <c r="F233" i="40" s="1"/>
  <c r="M233" i="40" s="1"/>
  <c r="G233" i="40" s="1"/>
  <c r="O233" i="40" s="1"/>
  <c r="Q231" i="40"/>
  <c r="P231" i="40"/>
  <c r="N231" i="40"/>
  <c r="M269" i="39"/>
  <c r="H269" i="39" s="1"/>
  <c r="E270" i="39" s="1" a="1"/>
  <c r="E270" i="39" s="1"/>
  <c r="F270" i="39" s="1" a="1"/>
  <c r="F270" i="39" s="1"/>
  <c r="N268" i="39"/>
  <c r="P268" i="39"/>
  <c r="Q268" i="39"/>
  <c r="H196" i="35"/>
  <c r="E197" i="35" s="1" a="1"/>
  <c r="E197" i="35" s="1"/>
  <c r="F197" i="35" s="1" a="1"/>
  <c r="F197" i="35" s="1"/>
  <c r="P196" i="35"/>
  <c r="N196" i="35"/>
  <c r="Q196" i="35"/>
  <c r="N232" i="40" l="1"/>
  <c r="Q232" i="40"/>
  <c r="N233" i="40"/>
  <c r="Q233" i="40"/>
  <c r="P233" i="40"/>
  <c r="I233" i="40"/>
  <c r="H233" i="40"/>
  <c r="E234" i="40" s="1" a="1"/>
  <c r="E234" i="40" s="1"/>
  <c r="F234" i="40" s="1" a="1"/>
  <c r="F234" i="40" s="1"/>
  <c r="M270" i="39"/>
  <c r="H270" i="39" s="1"/>
  <c r="E271" i="39" s="1" a="1"/>
  <c r="E271" i="39" s="1"/>
  <c r="F271" i="39" s="1" a="1"/>
  <c r="F271" i="39" s="1"/>
  <c r="I269" i="39"/>
  <c r="G269" i="39"/>
  <c r="O269" i="39" s="1"/>
  <c r="M197" i="35"/>
  <c r="I197" i="35" s="1"/>
  <c r="I270" i="39" l="1"/>
  <c r="M234" i="40"/>
  <c r="I234" i="40" s="1"/>
  <c r="M271" i="39"/>
  <c r="H271" i="39" s="1"/>
  <c r="E272" i="39" s="1" a="1"/>
  <c r="E272" i="39" s="1"/>
  <c r="F272" i="39" s="1" a="1"/>
  <c r="F272" i="39" s="1"/>
  <c r="Q269" i="39"/>
  <c r="P269" i="39"/>
  <c r="N269" i="39"/>
  <c r="G270" i="39"/>
  <c r="O270" i="39" s="1"/>
  <c r="G197" i="35"/>
  <c r="O197" i="35" s="1"/>
  <c r="N197" i="35" s="1"/>
  <c r="H197" i="35"/>
  <c r="E198" i="35" s="1" a="1"/>
  <c r="E198" i="35" s="1"/>
  <c r="F198" i="35" s="1" a="1"/>
  <c r="F198" i="35" s="1"/>
  <c r="M198" i="35" s="1"/>
  <c r="I198" i="35" s="1"/>
  <c r="G234" i="40" l="1"/>
  <c r="O234" i="40" s="1"/>
  <c r="N234" i="40" s="1"/>
  <c r="H234" i="40"/>
  <c r="E235" i="40" s="1" a="1"/>
  <c r="E235" i="40" s="1"/>
  <c r="F235" i="40" s="1" a="1"/>
  <c r="F235" i="40" s="1"/>
  <c r="M235" i="40" s="1"/>
  <c r="I235" i="40" s="1"/>
  <c r="M272" i="39"/>
  <c r="H272" i="39" s="1"/>
  <c r="E273" i="39" s="1" a="1"/>
  <c r="E273" i="39" s="1"/>
  <c r="F273" i="39" s="1" a="1"/>
  <c r="F273" i="39" s="1"/>
  <c r="N270" i="39"/>
  <c r="Q270" i="39"/>
  <c r="P270" i="39"/>
  <c r="G271" i="39"/>
  <c r="O271" i="39" s="1"/>
  <c r="I271" i="39"/>
  <c r="P197" i="35"/>
  <c r="Q197" i="35"/>
  <c r="G198" i="35"/>
  <c r="O198" i="35" s="1"/>
  <c r="P198" i="35" s="1"/>
  <c r="H198" i="35"/>
  <c r="E199" i="35" s="1" a="1"/>
  <c r="E199" i="35" s="1"/>
  <c r="F199" i="35" s="1" a="1"/>
  <c r="F199" i="35" s="1"/>
  <c r="P234" i="40" l="1"/>
  <c r="Q234" i="40"/>
  <c r="G235" i="40"/>
  <c r="O235" i="40" s="1"/>
  <c r="P235" i="40" s="1"/>
  <c r="H235" i="40"/>
  <c r="E236" i="40" s="1" a="1"/>
  <c r="E236" i="40" s="1"/>
  <c r="F236" i="40" s="1" a="1"/>
  <c r="F236" i="40" s="1"/>
  <c r="M273" i="39"/>
  <c r="H273" i="39" s="1"/>
  <c r="E274" i="39" s="1" a="1"/>
  <c r="E274" i="39" s="1"/>
  <c r="F274" i="39" s="1" a="1"/>
  <c r="F274" i="39" s="1"/>
  <c r="P271" i="39"/>
  <c r="N271" i="39"/>
  <c r="Q271" i="39"/>
  <c r="I272" i="39"/>
  <c r="G272" i="39"/>
  <c r="O272" i="39" s="1"/>
  <c r="N198" i="35"/>
  <c r="Q198" i="35"/>
  <c r="M199" i="35"/>
  <c r="I199" i="35" s="1"/>
  <c r="N235" i="40" l="1"/>
  <c r="Q235" i="40"/>
  <c r="M236" i="40"/>
  <c r="I236" i="40" s="1"/>
  <c r="M274" i="39"/>
  <c r="H274" i="39" s="1"/>
  <c r="E275" i="39" s="1" a="1"/>
  <c r="E275" i="39" s="1"/>
  <c r="F275" i="39" s="1" a="1"/>
  <c r="F275" i="39" s="1"/>
  <c r="Q272" i="39"/>
  <c r="P272" i="39"/>
  <c r="N272" i="39"/>
  <c r="G273" i="39"/>
  <c r="O273" i="39" s="1"/>
  <c r="I273" i="39"/>
  <c r="H199" i="35"/>
  <c r="E200" i="35" s="1" a="1"/>
  <c r="E200" i="35" s="1"/>
  <c r="F200" i="35" s="1" a="1"/>
  <c r="F200" i="35" s="1"/>
  <c r="M200" i="35" s="1"/>
  <c r="G199" i="35"/>
  <c r="O199" i="35" s="1"/>
  <c r="Q199" i="35" s="1"/>
  <c r="G236" i="40" l="1"/>
  <c r="O236" i="40" s="1"/>
  <c r="H236" i="40"/>
  <c r="E237" i="40" s="1" a="1"/>
  <c r="E237" i="40" s="1"/>
  <c r="F237" i="40" s="1" a="1"/>
  <c r="F237" i="40" s="1"/>
  <c r="M275" i="39"/>
  <c r="I275" i="39" s="1"/>
  <c r="Q273" i="39"/>
  <c r="P273" i="39"/>
  <c r="N273" i="39"/>
  <c r="I274" i="39"/>
  <c r="G274" i="39"/>
  <c r="O274" i="39" s="1"/>
  <c r="P199" i="35"/>
  <c r="N199" i="35"/>
  <c r="I200" i="35"/>
  <c r="G200" i="35"/>
  <c r="O200" i="35" s="1"/>
  <c r="P200" i="35" s="1"/>
  <c r="H200" i="35"/>
  <c r="E201" i="35" s="1" a="1"/>
  <c r="E201" i="35" s="1"/>
  <c r="F201" i="35" s="1" a="1"/>
  <c r="F201" i="35" s="1"/>
  <c r="M201" i="35" s="1"/>
  <c r="I201" i="35" s="1"/>
  <c r="G275" i="39" l="1"/>
  <c r="O275" i="39" s="1"/>
  <c r="P275" i="39" s="1"/>
  <c r="H275" i="39"/>
  <c r="E276" i="39" s="1" a="1"/>
  <c r="E276" i="39" s="1"/>
  <c r="F276" i="39" s="1" a="1"/>
  <c r="F276" i="39" s="1"/>
  <c r="M276" i="39" s="1"/>
  <c r="I276" i="39" s="1"/>
  <c r="M237" i="40"/>
  <c r="H237" i="40" s="1"/>
  <c r="E238" i="40" s="1" a="1"/>
  <c r="E238" i="40" s="1"/>
  <c r="F238" i="40" s="1" a="1"/>
  <c r="F238" i="40" s="1"/>
  <c r="P236" i="40"/>
  <c r="Q236" i="40"/>
  <c r="N236" i="40"/>
  <c r="N274" i="39"/>
  <c r="Q274" i="39"/>
  <c r="P274" i="39"/>
  <c r="Q200" i="35"/>
  <c r="N200" i="35"/>
  <c r="G201" i="35"/>
  <c r="O201" i="35" s="1"/>
  <c r="N275" i="39" l="1"/>
  <c r="Q275" i="39"/>
  <c r="I237" i="40"/>
  <c r="G237" i="40"/>
  <c r="O237" i="40" s="1"/>
  <c r="Q237" i="40" s="1"/>
  <c r="M238" i="40"/>
  <c r="I238" i="40" s="1"/>
  <c r="H276" i="39"/>
  <c r="E277" i="39" s="1" a="1"/>
  <c r="E277" i="39" s="1"/>
  <c r="F277" i="39" s="1" a="1"/>
  <c r="F277" i="39" s="1"/>
  <c r="M277" i="39" s="1"/>
  <c r="H277" i="39" s="1"/>
  <c r="E278" i="39" s="1" a="1"/>
  <c r="E278" i="39" s="1"/>
  <c r="F278" i="39" s="1" a="1"/>
  <c r="F278" i="39" s="1"/>
  <c r="G276" i="39"/>
  <c r="O276" i="39" s="1"/>
  <c r="Q276" i="39" s="1"/>
  <c r="Q201" i="35"/>
  <c r="P201" i="35"/>
  <c r="N201" i="35"/>
  <c r="H201" i="35"/>
  <c r="E202" i="35" s="1" a="1"/>
  <c r="E202" i="35" s="1"/>
  <c r="F202" i="35" s="1" a="1"/>
  <c r="F202" i="35" s="1"/>
  <c r="P237" i="40" l="1"/>
  <c r="N237" i="40"/>
  <c r="H238" i="40"/>
  <c r="E239" i="40" s="1" a="1"/>
  <c r="E239" i="40" s="1"/>
  <c r="F239" i="40" s="1" a="1"/>
  <c r="F239" i="40" s="1"/>
  <c r="G238" i="40"/>
  <c r="O238" i="40" s="1"/>
  <c r="P276" i="39"/>
  <c r="N276" i="39"/>
  <c r="I277" i="39"/>
  <c r="M278" i="39"/>
  <c r="H278" i="39" s="1"/>
  <c r="E279" i="39" s="1" a="1"/>
  <c r="E279" i="39" s="1"/>
  <c r="F279" i="39" s="1" a="1"/>
  <c r="F279" i="39" s="1"/>
  <c r="G277" i="39"/>
  <c r="O277" i="39" s="1"/>
  <c r="M202" i="35"/>
  <c r="I202" i="35" s="1"/>
  <c r="N238" i="40" l="1"/>
  <c r="Q238" i="40"/>
  <c r="P238" i="40"/>
  <c r="M239" i="40"/>
  <c r="I239" i="40" s="1"/>
  <c r="M279" i="39"/>
  <c r="I279" i="39" s="1"/>
  <c r="Q277" i="39"/>
  <c r="P277" i="39"/>
  <c r="N277" i="39"/>
  <c r="G278" i="39"/>
  <c r="O278" i="39" s="1"/>
  <c r="I278" i="39"/>
  <c r="H202" i="35"/>
  <c r="E203" i="35" s="1" a="1"/>
  <c r="E203" i="35" s="1"/>
  <c r="F203" i="35" s="1" a="1"/>
  <c r="F203" i="35" s="1"/>
  <c r="G239" i="40" l="1"/>
  <c r="O239" i="40" s="1"/>
  <c r="H239" i="40"/>
  <c r="E240" i="40" s="1" a="1"/>
  <c r="E240" i="40" s="1"/>
  <c r="F240" i="40" s="1" a="1"/>
  <c r="F240" i="40" s="1"/>
  <c r="G279" i="39"/>
  <c r="O279" i="39" s="1"/>
  <c r="Q279" i="39" s="1"/>
  <c r="H279" i="39"/>
  <c r="E280" i="39" s="1" a="1"/>
  <c r="E280" i="39" s="1"/>
  <c r="F280" i="39" s="1" a="1"/>
  <c r="F280" i="39" s="1"/>
  <c r="M280" i="39" s="1"/>
  <c r="H280" i="39" s="1"/>
  <c r="E281" i="39" s="1" a="1"/>
  <c r="E281" i="39" s="1"/>
  <c r="F281" i="39" s="1" a="1"/>
  <c r="F281" i="39" s="1"/>
  <c r="N278" i="39"/>
  <c r="Q278" i="39"/>
  <c r="P278" i="39"/>
  <c r="M203" i="35"/>
  <c r="I203" i="35" s="1"/>
  <c r="G202" i="35"/>
  <c r="O202" i="35" s="1"/>
  <c r="N279" i="39" l="1"/>
  <c r="P279" i="39"/>
  <c r="M240" i="40"/>
  <c r="H240" i="40" s="1"/>
  <c r="E241" i="40" s="1" a="1"/>
  <c r="E241" i="40" s="1"/>
  <c r="F241" i="40" s="1" a="1"/>
  <c r="F241" i="40" s="1"/>
  <c r="N239" i="40"/>
  <c r="P239" i="40"/>
  <c r="Q239" i="40"/>
  <c r="G280" i="39"/>
  <c r="O280" i="39" s="1"/>
  <c r="P280" i="39" s="1"/>
  <c r="M281" i="39"/>
  <c r="H281" i="39" s="1"/>
  <c r="E282" i="39" s="1" a="1"/>
  <c r="E282" i="39" s="1"/>
  <c r="F282" i="39" s="1" a="1"/>
  <c r="F282" i="39" s="1"/>
  <c r="I280" i="39"/>
  <c r="H203" i="35"/>
  <c r="E204" i="35" s="1" a="1"/>
  <c r="E204" i="35" s="1"/>
  <c r="F204" i="35" s="1" a="1"/>
  <c r="F204" i="35" s="1"/>
  <c r="M204" i="35" s="1"/>
  <c r="I204" i="35" s="1"/>
  <c r="G203" i="35"/>
  <c r="O203" i="35" s="1"/>
  <c r="N203" i="35" s="1"/>
  <c r="Q202" i="35"/>
  <c r="P202" i="35"/>
  <c r="N202" i="35"/>
  <c r="G240" i="40" l="1"/>
  <c r="O240" i="40" s="1"/>
  <c r="M241" i="40"/>
  <c r="H241" i="40" s="1"/>
  <c r="E242" i="40" s="1" a="1"/>
  <c r="E242" i="40" s="1"/>
  <c r="F242" i="40" s="1" a="1"/>
  <c r="F242" i="40" s="1"/>
  <c r="Q280" i="39"/>
  <c r="N280" i="39"/>
  <c r="I240" i="40"/>
  <c r="P240" i="40"/>
  <c r="N240" i="40"/>
  <c r="Q240" i="40"/>
  <c r="I281" i="39"/>
  <c r="M282" i="39"/>
  <c r="H282" i="39" s="1"/>
  <c r="E283" i="39" s="1" a="1"/>
  <c r="E283" i="39" s="1"/>
  <c r="F283" i="39" s="1" a="1"/>
  <c r="F283" i="39" s="1"/>
  <c r="G281" i="39"/>
  <c r="O281" i="39" s="1"/>
  <c r="Q203" i="35"/>
  <c r="P203" i="35"/>
  <c r="M242" i="40" l="1"/>
  <c r="H242" i="40" s="1"/>
  <c r="E243" i="40" s="1" a="1"/>
  <c r="E243" i="40" s="1"/>
  <c r="F243" i="40" s="1" a="1"/>
  <c r="F243" i="40" s="1"/>
  <c r="I241" i="40"/>
  <c r="G241" i="40"/>
  <c r="O241" i="40" s="1"/>
  <c r="M283" i="39"/>
  <c r="I283" i="39" s="1"/>
  <c r="N281" i="39"/>
  <c r="P281" i="39"/>
  <c r="Q281" i="39"/>
  <c r="I282" i="39"/>
  <c r="G282" i="39"/>
  <c r="O282" i="39" s="1"/>
  <c r="G204" i="35"/>
  <c r="O204" i="35" s="1"/>
  <c r="H204" i="35"/>
  <c r="E205" i="35" s="1" a="1"/>
  <c r="E205" i="35" s="1"/>
  <c r="F205" i="35" s="1" a="1"/>
  <c r="F205" i="35" s="1"/>
  <c r="M243" i="40" l="1"/>
  <c r="I243" i="40" s="1"/>
  <c r="I242" i="40"/>
  <c r="P241" i="40"/>
  <c r="Q241" i="40"/>
  <c r="N241" i="40"/>
  <c r="G242" i="40"/>
  <c r="O242" i="40" s="1"/>
  <c r="G283" i="39"/>
  <c r="O283" i="39" s="1"/>
  <c r="Q283" i="39" s="1"/>
  <c r="H283" i="39"/>
  <c r="E284" i="39" s="1" a="1"/>
  <c r="E284" i="39" s="1"/>
  <c r="F284" i="39" s="1" a="1"/>
  <c r="F284" i="39" s="1"/>
  <c r="M284" i="39" s="1"/>
  <c r="I284" i="39" s="1"/>
  <c r="N282" i="39"/>
  <c r="Q282" i="39"/>
  <c r="P282" i="39"/>
  <c r="M205" i="35"/>
  <c r="I205" i="35" s="1"/>
  <c r="P204" i="35"/>
  <c r="N204" i="35"/>
  <c r="Q204" i="35"/>
  <c r="G243" i="40" l="1"/>
  <c r="O243" i="40" s="1"/>
  <c r="N283" i="39"/>
  <c r="P283" i="39"/>
  <c r="N243" i="40"/>
  <c r="P243" i="40"/>
  <c r="Q243" i="40"/>
  <c r="H243" i="40"/>
  <c r="E244" i="40" s="1" a="1"/>
  <c r="E244" i="40" s="1"/>
  <c r="F244" i="40" s="1" a="1"/>
  <c r="F244" i="40" s="1"/>
  <c r="N242" i="40"/>
  <c r="Q242" i="40"/>
  <c r="P242" i="40"/>
  <c r="G284" i="39"/>
  <c r="O284" i="39" s="1"/>
  <c r="H284" i="39"/>
  <c r="E285" i="39" s="1" a="1"/>
  <c r="E285" i="39" s="1"/>
  <c r="F285" i="39" s="1" a="1"/>
  <c r="F285" i="39" s="1"/>
  <c r="G205" i="35"/>
  <c r="O205" i="35" s="1"/>
  <c r="N205" i="35" s="1"/>
  <c r="H205" i="35"/>
  <c r="E206" i="35" s="1" a="1"/>
  <c r="E206" i="35" s="1"/>
  <c r="F206" i="35" s="1" a="1"/>
  <c r="F206" i="35" s="1"/>
  <c r="M206" i="35" s="1"/>
  <c r="I206" i="35" s="1"/>
  <c r="M244" i="40" l="1"/>
  <c r="G244" i="40" s="1"/>
  <c r="O244" i="40" s="1"/>
  <c r="M285" i="39"/>
  <c r="H285" i="39" s="1"/>
  <c r="E286" i="39" s="1" a="1"/>
  <c r="E286" i="39" s="1"/>
  <c r="F286" i="39" s="1" a="1"/>
  <c r="F286" i="39" s="1"/>
  <c r="Q284" i="39"/>
  <c r="P284" i="39"/>
  <c r="N284" i="39"/>
  <c r="Q205" i="35"/>
  <c r="P205" i="35"/>
  <c r="G206" i="35"/>
  <c r="O206" i="35" s="1"/>
  <c r="P244" i="40" l="1"/>
  <c r="N244" i="40"/>
  <c r="Q244" i="40"/>
  <c r="H244" i="40"/>
  <c r="E245" i="40" s="1" a="1"/>
  <c r="E245" i="40" s="1"/>
  <c r="F245" i="40" s="1" a="1"/>
  <c r="F245" i="40" s="1"/>
  <c r="I244" i="40"/>
  <c r="I285" i="39"/>
  <c r="M286" i="39"/>
  <c r="I286" i="39" s="1"/>
  <c r="G285" i="39"/>
  <c r="O285" i="39" s="1"/>
  <c r="Q206" i="35"/>
  <c r="N206" i="35"/>
  <c r="P206" i="35"/>
  <c r="H206" i="35"/>
  <c r="E207" i="35" s="1" a="1"/>
  <c r="E207" i="35" s="1"/>
  <c r="F207" i="35" s="1" a="1"/>
  <c r="F207" i="35" s="1"/>
  <c r="M245" i="40" l="1"/>
  <c r="I245" i="40" s="1"/>
  <c r="G286" i="39"/>
  <c r="O286" i="39" s="1"/>
  <c r="N286" i="39" s="1"/>
  <c r="H286" i="39"/>
  <c r="E287" i="39" s="1" a="1"/>
  <c r="E287" i="39" s="1"/>
  <c r="F287" i="39" s="1" a="1"/>
  <c r="F287" i="39" s="1"/>
  <c r="M287" i="39" s="1"/>
  <c r="I287" i="39" s="1"/>
  <c r="N285" i="39"/>
  <c r="P285" i="39"/>
  <c r="Q285" i="39"/>
  <c r="M207" i="35"/>
  <c r="I207" i="35" s="1"/>
  <c r="G245" i="40" l="1"/>
  <c r="O245" i="40" s="1"/>
  <c r="H245" i="40"/>
  <c r="E246" i="40" s="1" a="1"/>
  <c r="E246" i="40" s="1"/>
  <c r="F246" i="40" s="1" a="1"/>
  <c r="F246" i="40" s="1"/>
  <c r="M246" i="40" s="1"/>
  <c r="I246" i="40" s="1"/>
  <c r="P286" i="39"/>
  <c r="Q286" i="39"/>
  <c r="Q245" i="40"/>
  <c r="N245" i="40"/>
  <c r="P245" i="40"/>
  <c r="G287" i="39"/>
  <c r="O287" i="39" s="1"/>
  <c r="H287" i="39"/>
  <c r="E288" i="39" s="1" a="1"/>
  <c r="E288" i="39" s="1"/>
  <c r="F288" i="39" s="1" a="1"/>
  <c r="F288" i="39" s="1"/>
  <c r="G207" i="35"/>
  <c r="O207" i="35" s="1"/>
  <c r="G246" i="40" l="1"/>
  <c r="O246" i="40" s="1"/>
  <c r="H246" i="40"/>
  <c r="E247" i="40" s="1" a="1"/>
  <c r="E247" i="40" s="1"/>
  <c r="F247" i="40" s="1" a="1"/>
  <c r="F247" i="40" s="1"/>
  <c r="M288" i="39"/>
  <c r="H288" i="39" s="1"/>
  <c r="E289" i="39" s="1" a="1"/>
  <c r="E289" i="39" s="1"/>
  <c r="F289" i="39" s="1" a="1"/>
  <c r="F289" i="39" s="1"/>
  <c r="Q287" i="39"/>
  <c r="N287" i="39"/>
  <c r="P287" i="39"/>
  <c r="Q207" i="35"/>
  <c r="P207" i="35"/>
  <c r="N207" i="35"/>
  <c r="H207" i="35"/>
  <c r="E208" i="35" s="1" a="1"/>
  <c r="E208" i="35" s="1"/>
  <c r="F208" i="35" s="1" a="1"/>
  <c r="F208" i="35" s="1"/>
  <c r="M247" i="40" l="1"/>
  <c r="I247" i="40" s="1"/>
  <c r="N246" i="40"/>
  <c r="Q246" i="40"/>
  <c r="P246" i="40"/>
  <c r="I288" i="39"/>
  <c r="M289" i="39"/>
  <c r="H289" i="39" s="1"/>
  <c r="E290" i="39" s="1" a="1"/>
  <c r="E290" i="39" s="1"/>
  <c r="F290" i="39" s="1" a="1"/>
  <c r="F290" i="39" s="1"/>
  <c r="G288" i="39"/>
  <c r="O288" i="39" s="1"/>
  <c r="M208" i="35"/>
  <c r="I208" i="35" s="1"/>
  <c r="G247" i="40" l="1"/>
  <c r="O247" i="40" s="1"/>
  <c r="Q247" i="40" s="1"/>
  <c r="H247" i="40"/>
  <c r="E248" i="40" s="1" a="1"/>
  <c r="E248" i="40" s="1"/>
  <c r="F248" i="40" s="1" a="1"/>
  <c r="F248" i="40" s="1"/>
  <c r="M248" i="40" s="1"/>
  <c r="G248" i="40" s="1"/>
  <c r="O248" i="40" s="1"/>
  <c r="I289" i="39"/>
  <c r="M290" i="39"/>
  <c r="H290" i="39" s="1"/>
  <c r="E291" i="39" s="1" a="1"/>
  <c r="E291" i="39" s="1"/>
  <c r="F291" i="39" s="1" a="1"/>
  <c r="F291" i="39" s="1"/>
  <c r="G289" i="39"/>
  <c r="O289" i="39" s="1"/>
  <c r="N288" i="39"/>
  <c r="P288" i="39"/>
  <c r="Q288" i="39"/>
  <c r="H208" i="35"/>
  <c r="E209" i="35" s="1" a="1"/>
  <c r="E209" i="35" s="1"/>
  <c r="F209" i="35" s="1" a="1"/>
  <c r="F209" i="35" s="1"/>
  <c r="M209" i="35" s="1"/>
  <c r="I209" i="35" s="1"/>
  <c r="G208" i="35"/>
  <c r="O208" i="35" s="1"/>
  <c r="N208" i="35" s="1"/>
  <c r="P247" i="40" l="1"/>
  <c r="N247" i="40"/>
  <c r="I248" i="40"/>
  <c r="P248" i="40"/>
  <c r="N248" i="40"/>
  <c r="Q248" i="40"/>
  <c r="H248" i="40"/>
  <c r="E249" i="40" s="1" a="1"/>
  <c r="E249" i="40" s="1"/>
  <c r="F249" i="40" s="1" a="1"/>
  <c r="F249" i="40" s="1"/>
  <c r="M291" i="39"/>
  <c r="I291" i="39" s="1"/>
  <c r="N289" i="39"/>
  <c r="Q289" i="39"/>
  <c r="P289" i="39"/>
  <c r="I290" i="39"/>
  <c r="G290" i="39"/>
  <c r="O290" i="39" s="1"/>
  <c r="P208" i="35"/>
  <c r="Q208" i="35"/>
  <c r="G209" i="35"/>
  <c r="O209" i="35" s="1"/>
  <c r="M249" i="40" l="1"/>
  <c r="G249" i="40" s="1"/>
  <c r="O249" i="40" s="1"/>
  <c r="G291" i="39"/>
  <c r="O291" i="39" s="1"/>
  <c r="Q291" i="39" s="1"/>
  <c r="H291" i="39"/>
  <c r="E292" i="39" s="1" a="1"/>
  <c r="E292" i="39" s="1"/>
  <c r="F292" i="39" s="1" a="1"/>
  <c r="F292" i="39" s="1"/>
  <c r="M292" i="39" s="1"/>
  <c r="G292" i="39" s="1"/>
  <c r="O292" i="39" s="1"/>
  <c r="N290" i="39"/>
  <c r="Q290" i="39"/>
  <c r="P290" i="39"/>
  <c r="N209" i="35"/>
  <c r="Q209" i="35"/>
  <c r="P209" i="35"/>
  <c r="H209" i="35"/>
  <c r="E210" i="35" s="1" a="1"/>
  <c r="E210" i="35" s="1"/>
  <c r="F210" i="35" s="1" a="1"/>
  <c r="F210" i="35" s="1"/>
  <c r="N291" i="39" l="1"/>
  <c r="P291" i="39"/>
  <c r="P249" i="40"/>
  <c r="Q249" i="40"/>
  <c r="N249" i="40"/>
  <c r="H249" i="40"/>
  <c r="E250" i="40" s="1" a="1"/>
  <c r="E250" i="40" s="1"/>
  <c r="F250" i="40" s="1" a="1"/>
  <c r="F250" i="40" s="1"/>
  <c r="I249" i="40"/>
  <c r="I292" i="39"/>
  <c r="N292" i="39"/>
  <c r="Q292" i="39"/>
  <c r="P292" i="39"/>
  <c r="H292" i="39"/>
  <c r="E293" i="39" s="1" a="1"/>
  <c r="E293" i="39" s="1"/>
  <c r="F293" i="39" s="1" a="1"/>
  <c r="F293" i="39" s="1"/>
  <c r="M210" i="35"/>
  <c r="I210" i="35" s="1"/>
  <c r="M250" i="40" l="1"/>
  <c r="H250" i="40" s="1"/>
  <c r="E251" i="40" s="1" a="1"/>
  <c r="E251" i="40" s="1"/>
  <c r="F251" i="40" s="1" a="1"/>
  <c r="F251" i="40" s="1"/>
  <c r="M293" i="39"/>
  <c r="H293" i="39" s="1"/>
  <c r="E294" i="39" s="1" a="1"/>
  <c r="E294" i="39" s="1"/>
  <c r="F294" i="39" s="1" a="1"/>
  <c r="F294" i="39" s="1"/>
  <c r="H210" i="35"/>
  <c r="E211" i="35" s="1" a="1"/>
  <c r="E211" i="35" s="1"/>
  <c r="F211" i="35" s="1" a="1"/>
  <c r="F211" i="35" s="1"/>
  <c r="M211" i="35" s="1"/>
  <c r="I211" i="35" s="1"/>
  <c r="G210" i="35"/>
  <c r="O210" i="35" s="1"/>
  <c r="P210" i="35" s="1"/>
  <c r="M251" i="40" l="1"/>
  <c r="I251" i="40" s="1"/>
  <c r="G250" i="40"/>
  <c r="O250" i="40" s="1"/>
  <c r="I250" i="40"/>
  <c r="M294" i="39"/>
  <c r="H294" i="39" s="1"/>
  <c r="E295" i="39" s="1" a="1"/>
  <c r="E295" i="39" s="1"/>
  <c r="F295" i="39" s="1" a="1"/>
  <c r="F295" i="39" s="1"/>
  <c r="G293" i="39"/>
  <c r="O293" i="39" s="1"/>
  <c r="I293" i="39"/>
  <c r="N210" i="35"/>
  <c r="Q210" i="35"/>
  <c r="G211" i="35"/>
  <c r="O211" i="35" s="1"/>
  <c r="N211" i="35" s="1"/>
  <c r="H211" i="35"/>
  <c r="E212" i="35" s="1" a="1"/>
  <c r="E212" i="35" s="1"/>
  <c r="F212" i="35" s="1" a="1"/>
  <c r="F212" i="35" s="1"/>
  <c r="M212" i="35" s="1"/>
  <c r="G251" i="40" l="1"/>
  <c r="O251" i="40" s="1"/>
  <c r="Q250" i="40"/>
  <c r="N250" i="40"/>
  <c r="P250" i="40"/>
  <c r="H251" i="40"/>
  <c r="E252" i="40" s="1" a="1"/>
  <c r="E252" i="40" s="1"/>
  <c r="F252" i="40" s="1" a="1"/>
  <c r="F252" i="40" s="1"/>
  <c r="P251" i="40"/>
  <c r="N251" i="40"/>
  <c r="Q251" i="40"/>
  <c r="M295" i="39"/>
  <c r="I295" i="39" s="1"/>
  <c r="Q293" i="39"/>
  <c r="P293" i="39"/>
  <c r="N293" i="39"/>
  <c r="I294" i="39"/>
  <c r="G294" i="39"/>
  <c r="O294" i="39" s="1"/>
  <c r="P211" i="35"/>
  <c r="Q211" i="35"/>
  <c r="H212" i="35"/>
  <c r="E213" i="35" s="1" a="1"/>
  <c r="E213" i="35" s="1"/>
  <c r="F213" i="35" s="1" a="1"/>
  <c r="F213" i="35" s="1"/>
  <c r="M213" i="35" s="1"/>
  <c r="I213" i="35" s="1"/>
  <c r="G212" i="35"/>
  <c r="O212" i="35" s="1"/>
  <c r="Q212" i="35" s="1"/>
  <c r="I212" i="35"/>
  <c r="G295" i="39" l="1"/>
  <c r="O295" i="39" s="1"/>
  <c r="N295" i="39" s="1"/>
  <c r="H295" i="39"/>
  <c r="E296" i="39" s="1" a="1"/>
  <c r="E296" i="39" s="1"/>
  <c r="F296" i="39" s="1" a="1"/>
  <c r="F296" i="39" s="1"/>
  <c r="M296" i="39" s="1"/>
  <c r="G296" i="39" s="1"/>
  <c r="O296" i="39" s="1"/>
  <c r="M252" i="40"/>
  <c r="I252" i="40" s="1"/>
  <c r="P295" i="39"/>
  <c r="Q295" i="39"/>
  <c r="N294" i="39"/>
  <c r="Q294" i="39"/>
  <c r="P294" i="39"/>
  <c r="N212" i="35"/>
  <c r="P212" i="35"/>
  <c r="H213" i="35"/>
  <c r="E214" i="35" s="1" a="1"/>
  <c r="E214" i="35" s="1"/>
  <c r="F214" i="35" s="1" a="1"/>
  <c r="F214" i="35" s="1"/>
  <c r="H252" i="40" l="1"/>
  <c r="E253" i="40" s="1" a="1"/>
  <c r="E253" i="40" s="1"/>
  <c r="F253" i="40" s="1" a="1"/>
  <c r="F253" i="40" s="1"/>
  <c r="G252" i="40"/>
  <c r="O252" i="40" s="1"/>
  <c r="I296" i="39"/>
  <c r="P296" i="39"/>
  <c r="Q296" i="39"/>
  <c r="N296" i="39"/>
  <c r="H296" i="39"/>
  <c r="E297" i="39" s="1" a="1"/>
  <c r="E297" i="39" s="1"/>
  <c r="F297" i="39" s="1" a="1"/>
  <c r="F297" i="39" s="1"/>
  <c r="M214" i="35"/>
  <c r="I214" i="35" s="1"/>
  <c r="G213" i="35"/>
  <c r="O213" i="35" s="1"/>
  <c r="P252" i="40" l="1"/>
  <c r="N252" i="40"/>
  <c r="Q252" i="40"/>
  <c r="M253" i="40"/>
  <c r="I253" i="40" s="1"/>
  <c r="M297" i="39"/>
  <c r="H297" i="39" s="1"/>
  <c r="E298" i="39" s="1" a="1"/>
  <c r="E298" i="39" s="1"/>
  <c r="F298" i="39" s="1" a="1"/>
  <c r="F298" i="39" s="1"/>
  <c r="N213" i="35"/>
  <c r="P213" i="35"/>
  <c r="Q213" i="35"/>
  <c r="G253" i="40" l="1"/>
  <c r="O253" i="40" s="1"/>
  <c r="Q253" i="40" s="1"/>
  <c r="H253" i="40"/>
  <c r="E254" i="40" s="1" a="1"/>
  <c r="E254" i="40" s="1"/>
  <c r="F254" i="40" s="1" a="1"/>
  <c r="F254" i="40" s="1"/>
  <c r="M298" i="39"/>
  <c r="I298" i="39" s="1"/>
  <c r="G297" i="39"/>
  <c r="O297" i="39" s="1"/>
  <c r="I297" i="39"/>
  <c r="H214" i="35"/>
  <c r="E215" i="35" s="1" a="1"/>
  <c r="E215" i="35" s="1"/>
  <c r="F215" i="35" s="1" a="1"/>
  <c r="F215" i="35" s="1"/>
  <c r="G214" i="35"/>
  <c r="O214" i="35" s="1"/>
  <c r="N253" i="40" l="1"/>
  <c r="P253" i="40"/>
  <c r="G298" i="39"/>
  <c r="O298" i="39" s="1"/>
  <c r="N298" i="39" s="1"/>
  <c r="M254" i="40"/>
  <c r="H254" i="40" s="1"/>
  <c r="E255" i="40" s="1" a="1"/>
  <c r="E255" i="40" s="1"/>
  <c r="F255" i="40" s="1" a="1"/>
  <c r="F255" i="40" s="1"/>
  <c r="H298" i="39"/>
  <c r="E299" i="39" s="1" a="1"/>
  <c r="E299" i="39" s="1"/>
  <c r="F299" i="39" s="1" a="1"/>
  <c r="F299" i="39" s="1"/>
  <c r="M299" i="39" s="1"/>
  <c r="G299" i="39" s="1"/>
  <c r="O299" i="39" s="1"/>
  <c r="P297" i="39"/>
  <c r="N297" i="39"/>
  <c r="Q297" i="39"/>
  <c r="M215" i="35"/>
  <c r="I215" i="35" s="1"/>
  <c r="Q214" i="35"/>
  <c r="P214" i="35"/>
  <c r="N214" i="35"/>
  <c r="Q298" i="39" l="1"/>
  <c r="P298" i="39"/>
  <c r="M255" i="40"/>
  <c r="I255" i="40" s="1"/>
  <c r="I254" i="40"/>
  <c r="G254" i="40"/>
  <c r="O254" i="40" s="1"/>
  <c r="H299" i="39"/>
  <c r="E300" i="39" s="1" a="1"/>
  <c r="E300" i="39" s="1"/>
  <c r="F300" i="39" s="1" a="1"/>
  <c r="F300" i="39" s="1"/>
  <c r="M300" i="39" s="1"/>
  <c r="H300" i="39" s="1"/>
  <c r="E301" i="39" s="1" a="1"/>
  <c r="E301" i="39" s="1"/>
  <c r="F301" i="39" s="1" a="1"/>
  <c r="F301" i="39" s="1"/>
  <c r="I299" i="39"/>
  <c r="Q299" i="39"/>
  <c r="P299" i="39"/>
  <c r="N299" i="39"/>
  <c r="G215" i="35"/>
  <c r="O215" i="35" s="1"/>
  <c r="N215" i="35" s="1"/>
  <c r="H215" i="35"/>
  <c r="E216" i="35" s="1" a="1"/>
  <c r="E216" i="35" s="1"/>
  <c r="F216" i="35" s="1" a="1"/>
  <c r="F216" i="35" s="1"/>
  <c r="M216" i="35" s="1"/>
  <c r="I216" i="35" s="1"/>
  <c r="H255" i="40" l="1"/>
  <c r="E256" i="40" s="1" a="1"/>
  <c r="E256" i="40" s="1"/>
  <c r="F256" i="40" s="1" a="1"/>
  <c r="F256" i="40" s="1"/>
  <c r="G255" i="40"/>
  <c r="O255" i="40" s="1"/>
  <c r="N254" i="40"/>
  <c r="Q254" i="40"/>
  <c r="P254" i="40"/>
  <c r="M301" i="39"/>
  <c r="H301" i="39" s="1"/>
  <c r="E302" i="39" s="1" a="1"/>
  <c r="E302" i="39" s="1"/>
  <c r="F302" i="39" s="1" a="1"/>
  <c r="F302" i="39" s="1"/>
  <c r="I300" i="39"/>
  <c r="G300" i="39"/>
  <c r="O300" i="39" s="1"/>
  <c r="Q215" i="35"/>
  <c r="P215" i="35"/>
  <c r="H216" i="35"/>
  <c r="E217" i="35" s="1" a="1"/>
  <c r="E217" i="35" s="1"/>
  <c r="F217" i="35" s="1" a="1"/>
  <c r="F217" i="35" s="1"/>
  <c r="G216" i="35"/>
  <c r="O216" i="35" s="1"/>
  <c r="P255" i="40" l="1"/>
  <c r="N255" i="40"/>
  <c r="Q255" i="40"/>
  <c r="M256" i="40"/>
  <c r="H256" i="40" s="1"/>
  <c r="E257" i="40" s="1" a="1"/>
  <c r="E257" i="40" s="1"/>
  <c r="F257" i="40" s="1" a="1"/>
  <c r="F257" i="40" s="1"/>
  <c r="M302" i="39"/>
  <c r="I302" i="39" s="1"/>
  <c r="Q300" i="39"/>
  <c r="P300" i="39"/>
  <c r="N300" i="39"/>
  <c r="I301" i="39"/>
  <c r="G301" i="39"/>
  <c r="O301" i="39" s="1"/>
  <c r="M217" i="35"/>
  <c r="I217" i="35" s="1"/>
  <c r="N216" i="35"/>
  <c r="P216" i="35"/>
  <c r="Q216" i="35"/>
  <c r="H302" i="39" l="1"/>
  <c r="E303" i="39" s="1" a="1"/>
  <c r="E303" i="39" s="1"/>
  <c r="F303" i="39" s="1" a="1"/>
  <c r="F303" i="39" s="1"/>
  <c r="M303" i="39" s="1"/>
  <c r="G303" i="39" s="1"/>
  <c r="O303" i="39" s="1"/>
  <c r="G302" i="39"/>
  <c r="O302" i="39" s="1"/>
  <c r="N302" i="39" s="1"/>
  <c r="G256" i="40"/>
  <c r="O256" i="40" s="1"/>
  <c r="P256" i="40" s="1"/>
  <c r="M257" i="40"/>
  <c r="I257" i="40" s="1"/>
  <c r="I256" i="40"/>
  <c r="Q301" i="39"/>
  <c r="P301" i="39"/>
  <c r="N301" i="39"/>
  <c r="Q256" i="40" l="1"/>
  <c r="N256" i="40"/>
  <c r="P302" i="39"/>
  <c r="Q302" i="39"/>
  <c r="H257" i="40"/>
  <c r="E258" i="40" s="1" a="1"/>
  <c r="E258" i="40" s="1"/>
  <c r="F258" i="40" s="1" a="1"/>
  <c r="F258" i="40" s="1"/>
  <c r="G257" i="40"/>
  <c r="O257" i="40" s="1"/>
  <c r="Q303" i="39"/>
  <c r="P303" i="39"/>
  <c r="N303" i="39"/>
  <c r="H303" i="39"/>
  <c r="E304" i="39" s="1" a="1"/>
  <c r="E304" i="39" s="1"/>
  <c r="F304" i="39" s="1" a="1"/>
  <c r="F304" i="39" s="1"/>
  <c r="I303" i="39"/>
  <c r="H217" i="35"/>
  <c r="E218" i="35" s="1" a="1"/>
  <c r="E218" i="35" s="1"/>
  <c r="F218" i="35" s="1" a="1"/>
  <c r="F218" i="35" s="1"/>
  <c r="G217" i="35"/>
  <c r="O217" i="35" s="1"/>
  <c r="P257" i="40" l="1"/>
  <c r="Q257" i="40"/>
  <c r="N257" i="40"/>
  <c r="M258" i="40"/>
  <c r="I258" i="40" s="1"/>
  <c r="M304" i="39"/>
  <c r="H304" i="39" s="1"/>
  <c r="E305" i="39" s="1" a="1"/>
  <c r="E305" i="39" s="1"/>
  <c r="F305" i="39" s="1" a="1"/>
  <c r="F305" i="39" s="1"/>
  <c r="M218" i="35"/>
  <c r="I218" i="35" s="1"/>
  <c r="Q217" i="35"/>
  <c r="P217" i="35"/>
  <c r="N217" i="35"/>
  <c r="G258" i="40" l="1"/>
  <c r="O258" i="40" s="1"/>
  <c r="Q258" i="40" s="1"/>
  <c r="H258" i="40"/>
  <c r="E259" i="40" s="1" a="1"/>
  <c r="E259" i="40" s="1"/>
  <c r="F259" i="40" s="1" a="1"/>
  <c r="F259" i="40" s="1"/>
  <c r="M259" i="40" s="1"/>
  <c r="I259" i="40" s="1"/>
  <c r="M305" i="39"/>
  <c r="H305" i="39" s="1"/>
  <c r="E306" i="39" s="1" a="1"/>
  <c r="E306" i="39" s="1"/>
  <c r="F306" i="39" s="1" a="1"/>
  <c r="F306" i="39" s="1"/>
  <c r="G304" i="39"/>
  <c r="O304" i="39" s="1"/>
  <c r="I304" i="39"/>
  <c r="H218" i="35"/>
  <c r="E219" i="35" s="1" a="1"/>
  <c r="E219" i="35" s="1"/>
  <c r="F219" i="35" s="1" a="1"/>
  <c r="F219" i="35" s="1"/>
  <c r="G218" i="35"/>
  <c r="O218" i="35" s="1"/>
  <c r="P258" i="40" l="1"/>
  <c r="N258" i="40"/>
  <c r="G259" i="40"/>
  <c r="O259" i="40" s="1"/>
  <c r="P259" i="40" s="1"/>
  <c r="H259" i="40"/>
  <c r="E260" i="40" s="1" a="1"/>
  <c r="E260" i="40" s="1"/>
  <c r="F260" i="40" s="1" a="1"/>
  <c r="F260" i="40" s="1"/>
  <c r="M306" i="39"/>
  <c r="H306" i="39" s="1"/>
  <c r="E307" i="39" s="1" a="1"/>
  <c r="E307" i="39" s="1"/>
  <c r="F307" i="39" s="1" a="1"/>
  <c r="F307" i="39" s="1"/>
  <c r="I305" i="39"/>
  <c r="G305" i="39"/>
  <c r="O305" i="39" s="1"/>
  <c r="Q304" i="39"/>
  <c r="P304" i="39"/>
  <c r="N304" i="39"/>
  <c r="M219" i="35"/>
  <c r="I219" i="35" s="1"/>
  <c r="Q218" i="35"/>
  <c r="N218" i="35"/>
  <c r="P218" i="35"/>
  <c r="N259" i="40" l="1"/>
  <c r="Q259" i="40"/>
  <c r="I306" i="39"/>
  <c r="M260" i="40"/>
  <c r="G260" i="40" s="1"/>
  <c r="O260" i="40" s="1"/>
  <c r="M307" i="39"/>
  <c r="H307" i="39" s="1"/>
  <c r="E308" i="39" s="1" a="1"/>
  <c r="E308" i="39" s="1"/>
  <c r="F308" i="39" s="1" a="1"/>
  <c r="F308" i="39" s="1"/>
  <c r="Q305" i="39"/>
  <c r="P305" i="39"/>
  <c r="N305" i="39"/>
  <c r="G306" i="39"/>
  <c r="O306" i="39" s="1"/>
  <c r="G219" i="35"/>
  <c r="O219" i="35" s="1"/>
  <c r="H219" i="35"/>
  <c r="E220" i="35" s="1" a="1"/>
  <c r="E220" i="35" s="1"/>
  <c r="F220" i="35" s="1" a="1"/>
  <c r="F220" i="35" s="1"/>
  <c r="H260" i="40" l="1"/>
  <c r="E261" i="40" s="1" a="1"/>
  <c r="E261" i="40" s="1"/>
  <c r="F261" i="40" s="1" a="1"/>
  <c r="F261" i="40" s="1"/>
  <c r="M261" i="40" s="1"/>
  <c r="G261" i="40" s="1"/>
  <c r="O261" i="40" s="1"/>
  <c r="P260" i="40"/>
  <c r="N260" i="40"/>
  <c r="Q260" i="40"/>
  <c r="I260" i="40"/>
  <c r="I307" i="39"/>
  <c r="M308" i="39"/>
  <c r="H308" i="39" s="1"/>
  <c r="E309" i="39" s="1" a="1"/>
  <c r="E309" i="39" s="1"/>
  <c r="F309" i="39" s="1" a="1"/>
  <c r="F309" i="39" s="1"/>
  <c r="N306" i="39"/>
  <c r="Q306" i="39"/>
  <c r="P306" i="39"/>
  <c r="G307" i="39"/>
  <c r="O307" i="39" s="1"/>
  <c r="M220" i="35"/>
  <c r="I220" i="35" s="1"/>
  <c r="P219" i="35"/>
  <c r="N219" i="35"/>
  <c r="Q219" i="35"/>
  <c r="H261" i="40" l="1"/>
  <c r="E262" i="40" s="1" a="1"/>
  <c r="E262" i="40" s="1"/>
  <c r="F262" i="40" s="1" a="1"/>
  <c r="F262" i="40" s="1"/>
  <c r="M262" i="40" s="1"/>
  <c r="H262" i="40" s="1"/>
  <c r="E263" i="40" s="1" a="1"/>
  <c r="E263" i="40" s="1"/>
  <c r="F263" i="40" s="1" a="1"/>
  <c r="F263" i="40" s="1"/>
  <c r="I261" i="40"/>
  <c r="P261" i="40"/>
  <c r="Q261" i="40"/>
  <c r="N261" i="40"/>
  <c r="M309" i="39"/>
  <c r="H309" i="39" s="1"/>
  <c r="E310" i="39" s="1" a="1"/>
  <c r="E310" i="39" s="1"/>
  <c r="F310" i="39" s="1" a="1"/>
  <c r="F310" i="39" s="1"/>
  <c r="Q307" i="39"/>
  <c r="P307" i="39"/>
  <c r="N307" i="39"/>
  <c r="G308" i="39"/>
  <c r="O308" i="39" s="1"/>
  <c r="I308" i="39"/>
  <c r="H220" i="35"/>
  <c r="E221" i="35" s="1" a="1"/>
  <c r="E221" i="35" s="1"/>
  <c r="F221" i="35" s="1" a="1"/>
  <c r="F221" i="35" s="1"/>
  <c r="M263" i="40" l="1"/>
  <c r="I263" i="40" s="1"/>
  <c r="I262" i="40"/>
  <c r="G262" i="40"/>
  <c r="O262" i="40" s="1"/>
  <c r="I309" i="39"/>
  <c r="M310" i="39"/>
  <c r="I310" i="39" s="1"/>
  <c r="G309" i="39"/>
  <c r="O309" i="39" s="1"/>
  <c r="N308" i="39"/>
  <c r="Q308" i="39"/>
  <c r="P308" i="39"/>
  <c r="M221" i="35"/>
  <c r="I221" i="35" s="1"/>
  <c r="G220" i="35"/>
  <c r="O220" i="35" s="1"/>
  <c r="P262" i="40" l="1"/>
  <c r="N262" i="40"/>
  <c r="Q262" i="40"/>
  <c r="G263" i="40"/>
  <c r="O263" i="40" s="1"/>
  <c r="H263" i="40"/>
  <c r="E264" i="40" s="1" a="1"/>
  <c r="E264" i="40" s="1"/>
  <c r="F264" i="40" s="1" a="1"/>
  <c r="F264" i="40" s="1"/>
  <c r="G310" i="39"/>
  <c r="O310" i="39" s="1"/>
  <c r="N310" i="39" s="1"/>
  <c r="H310" i="39"/>
  <c r="E311" i="39" s="1" a="1"/>
  <c r="E311" i="39" s="1"/>
  <c r="F311" i="39" s="1" a="1"/>
  <c r="F311" i="39" s="1"/>
  <c r="M311" i="39" s="1"/>
  <c r="H311" i="39" s="1"/>
  <c r="E312" i="39" s="1" a="1"/>
  <c r="E312" i="39" s="1"/>
  <c r="F312" i="39" s="1" a="1"/>
  <c r="F312" i="39" s="1"/>
  <c r="N309" i="39"/>
  <c r="Q309" i="39"/>
  <c r="P309" i="39"/>
  <c r="G221" i="35"/>
  <c r="O221" i="35" s="1"/>
  <c r="P221" i="35" s="1"/>
  <c r="H221" i="35"/>
  <c r="E222" i="35" s="1" a="1"/>
  <c r="E222" i="35" s="1"/>
  <c r="F222" i="35" s="1" a="1"/>
  <c r="F222" i="35" s="1"/>
  <c r="M222" i="35" s="1"/>
  <c r="P220" i="35"/>
  <c r="Q220" i="35"/>
  <c r="N220" i="35"/>
  <c r="P310" i="39" l="1"/>
  <c r="Q310" i="39"/>
  <c r="M264" i="40"/>
  <c r="G264" i="40" s="1"/>
  <c r="O264" i="40" s="1"/>
  <c r="Q263" i="40"/>
  <c r="N263" i="40"/>
  <c r="P263" i="40"/>
  <c r="I311" i="39"/>
  <c r="M312" i="39"/>
  <c r="I312" i="39" s="1"/>
  <c r="G311" i="39"/>
  <c r="O311" i="39" s="1"/>
  <c r="Q221" i="35"/>
  <c r="N221" i="35"/>
  <c r="G222" i="35"/>
  <c r="O222" i="35" s="1"/>
  <c r="Q222" i="35" s="1"/>
  <c r="H222" i="35"/>
  <c r="E223" i="35" s="1" a="1"/>
  <c r="E223" i="35" s="1"/>
  <c r="F223" i="35" s="1" a="1"/>
  <c r="F223" i="35" s="1"/>
  <c r="I222" i="35"/>
  <c r="H264" i="40" l="1"/>
  <c r="E265" i="40" s="1" a="1"/>
  <c r="E265" i="40" s="1"/>
  <c r="F265" i="40" s="1" a="1"/>
  <c r="F265" i="40" s="1"/>
  <c r="M265" i="40" s="1"/>
  <c r="I265" i="40" s="1"/>
  <c r="I264" i="40"/>
  <c r="H312" i="39"/>
  <c r="E313" i="39" s="1" a="1"/>
  <c r="E313" i="39" s="1"/>
  <c r="F313" i="39" s="1" a="1"/>
  <c r="F313" i="39" s="1"/>
  <c r="M313" i="39" s="1"/>
  <c r="I313" i="39" s="1"/>
  <c r="G312" i="39"/>
  <c r="O312" i="39" s="1"/>
  <c r="Q312" i="39" s="1"/>
  <c r="P264" i="40"/>
  <c r="N264" i="40"/>
  <c r="Q264" i="40"/>
  <c r="N312" i="39"/>
  <c r="P312" i="39"/>
  <c r="Q311" i="39"/>
  <c r="P311" i="39"/>
  <c r="N311" i="39"/>
  <c r="N222" i="35"/>
  <c r="P222" i="35"/>
  <c r="M223" i="35"/>
  <c r="I223" i="35" s="1"/>
  <c r="H265" i="40" l="1"/>
  <c r="E266" i="40" s="1" a="1"/>
  <c r="E266" i="40" s="1"/>
  <c r="F266" i="40" s="1" a="1"/>
  <c r="F266" i="40" s="1"/>
  <c r="G265" i="40"/>
  <c r="O265" i="40" s="1"/>
  <c r="H313" i="39"/>
  <c r="E314" i="39" s="1" a="1"/>
  <c r="E314" i="39" s="1"/>
  <c r="F314" i="39" s="1" a="1"/>
  <c r="F314" i="39" s="1"/>
  <c r="G313" i="39"/>
  <c r="O313" i="39" s="1"/>
  <c r="G223" i="35"/>
  <c r="O223" i="35" s="1"/>
  <c r="N223" i="35" s="1"/>
  <c r="H223" i="35"/>
  <c r="E224" i="35" s="1" a="1"/>
  <c r="E224" i="35" s="1"/>
  <c r="F224" i="35" s="1" a="1"/>
  <c r="F224" i="35" s="1"/>
  <c r="Q265" i="40" l="1"/>
  <c r="N265" i="40"/>
  <c r="P265" i="40"/>
  <c r="M266" i="40"/>
  <c r="I266" i="40" s="1"/>
  <c r="Q313" i="39"/>
  <c r="P313" i="39"/>
  <c r="N313" i="39"/>
  <c r="M314" i="39"/>
  <c r="I314" i="39" s="1"/>
  <c r="Q223" i="35"/>
  <c r="P223" i="35"/>
  <c r="M224" i="35"/>
  <c r="I224" i="35" s="1"/>
  <c r="G266" i="40" l="1"/>
  <c r="O266" i="40" s="1"/>
  <c r="N266" i="40" s="1"/>
  <c r="H266" i="40"/>
  <c r="E267" i="40" s="1" a="1"/>
  <c r="E267" i="40" s="1"/>
  <c r="F267" i="40" s="1" a="1"/>
  <c r="F267" i="40" s="1"/>
  <c r="G314" i="39"/>
  <c r="O314" i="39" s="1"/>
  <c r="N314" i="39" s="1"/>
  <c r="H314" i="39"/>
  <c r="E315" i="39" s="1" a="1"/>
  <c r="E315" i="39" s="1"/>
  <c r="F315" i="39" s="1" a="1"/>
  <c r="F315" i="39" s="1"/>
  <c r="M315" i="39" s="1"/>
  <c r="G315" i="39" s="1"/>
  <c r="O315" i="39" s="1"/>
  <c r="H224" i="35"/>
  <c r="E225" i="35" s="1" a="1"/>
  <c r="E225" i="35" s="1"/>
  <c r="F225" i="35" s="1" a="1"/>
  <c r="F225" i="35" s="1"/>
  <c r="M225" i="35" s="1"/>
  <c r="I225" i="35" s="1"/>
  <c r="G224" i="35"/>
  <c r="O224" i="35" s="1"/>
  <c r="P314" i="39" l="1"/>
  <c r="Q266" i="40"/>
  <c r="P266" i="40"/>
  <c r="Q314" i="39"/>
  <c r="M267" i="40"/>
  <c r="I267" i="40" s="1"/>
  <c r="Q315" i="39"/>
  <c r="N315" i="39"/>
  <c r="P315" i="39"/>
  <c r="I315" i="39"/>
  <c r="H315" i="39"/>
  <c r="E316" i="39" s="1" a="1"/>
  <c r="E316" i="39" s="1"/>
  <c r="F316" i="39" s="1" a="1"/>
  <c r="F316" i="39" s="1"/>
  <c r="G225" i="35"/>
  <c r="O225" i="35" s="1"/>
  <c r="Q225" i="35" s="1"/>
  <c r="H225" i="35"/>
  <c r="E226" i="35" s="1" a="1"/>
  <c r="E226" i="35" s="1"/>
  <c r="F226" i="35" s="1" a="1"/>
  <c r="F226" i="35" s="1"/>
  <c r="M226" i="35" s="1"/>
  <c r="I226" i="35" s="1"/>
  <c r="P224" i="35"/>
  <c r="N224" i="35"/>
  <c r="Q224" i="35"/>
  <c r="G267" i="40" l="1"/>
  <c r="O267" i="40" s="1"/>
  <c r="H267" i="40"/>
  <c r="E268" i="40" s="1" a="1"/>
  <c r="E268" i="40" s="1"/>
  <c r="F268" i="40" s="1" a="1"/>
  <c r="F268" i="40" s="1"/>
  <c r="M316" i="39"/>
  <c r="I316" i="39" s="1"/>
  <c r="N225" i="35"/>
  <c r="P225" i="35"/>
  <c r="G226" i="35"/>
  <c r="O226" i="35" s="1"/>
  <c r="Q226" i="35" s="1"/>
  <c r="H226" i="35"/>
  <c r="E227" i="35" s="1" a="1"/>
  <c r="E227" i="35" s="1"/>
  <c r="F227" i="35" s="1" a="1"/>
  <c r="F227" i="35" s="1"/>
  <c r="M268" i="40" l="1"/>
  <c r="G268" i="40" s="1"/>
  <c r="O268" i="40" s="1"/>
  <c r="P267" i="40"/>
  <c r="Q267" i="40"/>
  <c r="N267" i="40"/>
  <c r="G316" i="39"/>
  <c r="O316" i="39" s="1"/>
  <c r="Q316" i="39" s="1"/>
  <c r="H316" i="39"/>
  <c r="E317" i="39" s="1" a="1"/>
  <c r="E317" i="39" s="1"/>
  <c r="F317" i="39" s="1" a="1"/>
  <c r="F317" i="39" s="1"/>
  <c r="M317" i="39" s="1"/>
  <c r="H317" i="39" s="1"/>
  <c r="E318" i="39" s="1" a="1"/>
  <c r="E318" i="39" s="1"/>
  <c r="F318" i="39" s="1" a="1"/>
  <c r="F318" i="39" s="1"/>
  <c r="N226" i="35"/>
  <c r="P226" i="35"/>
  <c r="M227" i="35"/>
  <c r="G227" i="35" s="1"/>
  <c r="O227" i="35" s="1"/>
  <c r="N316" i="39" l="1"/>
  <c r="P316" i="39"/>
  <c r="P268" i="40"/>
  <c r="Q268" i="40"/>
  <c r="N268" i="40"/>
  <c r="I268" i="40"/>
  <c r="H268" i="40"/>
  <c r="E269" i="40" s="1" a="1"/>
  <c r="E269" i="40" s="1"/>
  <c r="F269" i="40" s="1" a="1"/>
  <c r="F269" i="40" s="1"/>
  <c r="M318" i="39"/>
  <c r="I318" i="39" s="1"/>
  <c r="I317" i="39"/>
  <c r="G317" i="39"/>
  <c r="O317" i="39" s="1"/>
  <c r="N227" i="35"/>
  <c r="Q227" i="35"/>
  <c r="P227" i="35"/>
  <c r="I227" i="35"/>
  <c r="H227" i="35"/>
  <c r="E228" i="35" s="1" a="1"/>
  <c r="E228" i="35" s="1"/>
  <c r="F228" i="35" s="1" a="1"/>
  <c r="F228" i="35" s="1"/>
  <c r="H318" i="39" l="1"/>
  <c r="E319" i="39" s="1" a="1"/>
  <c r="E319" i="39" s="1"/>
  <c r="F319" i="39" s="1" a="1"/>
  <c r="F319" i="39" s="1"/>
  <c r="M319" i="39" s="1"/>
  <c r="G319" i="39" s="1"/>
  <c r="O319" i="39" s="1"/>
  <c r="G318" i="39"/>
  <c r="O318" i="39" s="1"/>
  <c r="N318" i="39" s="1"/>
  <c r="M269" i="40"/>
  <c r="H269" i="40" s="1"/>
  <c r="E270" i="40" s="1" a="1"/>
  <c r="E270" i="40" s="1"/>
  <c r="F270" i="40" s="1" a="1"/>
  <c r="F270" i="40" s="1"/>
  <c r="Q317" i="39"/>
  <c r="P317" i="39"/>
  <c r="N317" i="39"/>
  <c r="M228" i="35"/>
  <c r="H228" i="35" s="1"/>
  <c r="E229" i="35" s="1" a="1"/>
  <c r="E229" i="35" s="1"/>
  <c r="F229" i="35" s="1" a="1"/>
  <c r="F229" i="35" s="1"/>
  <c r="P318" i="39" l="1"/>
  <c r="Q318" i="39"/>
  <c r="H319" i="39"/>
  <c r="E320" i="39" s="1" a="1"/>
  <c r="E320" i="39" s="1"/>
  <c r="F320" i="39" s="1" a="1"/>
  <c r="F320" i="39" s="1"/>
  <c r="M320" i="39" s="1"/>
  <c r="H320" i="39" s="1"/>
  <c r="E321" i="39" s="1" a="1"/>
  <c r="E321" i="39" s="1"/>
  <c r="F321" i="39" s="1" a="1"/>
  <c r="F321" i="39" s="1"/>
  <c r="I319" i="39"/>
  <c r="M270" i="40"/>
  <c r="G270" i="40" s="1"/>
  <c r="O270" i="40" s="1"/>
  <c r="G269" i="40"/>
  <c r="O269" i="40" s="1"/>
  <c r="I269" i="40"/>
  <c r="Q319" i="39"/>
  <c r="P319" i="39"/>
  <c r="N319" i="39"/>
  <c r="G228" i="35"/>
  <c r="O228" i="35" s="1"/>
  <c r="Q228" i="35" s="1"/>
  <c r="I228" i="35"/>
  <c r="M229" i="35"/>
  <c r="I229" i="35" s="1"/>
  <c r="N270" i="40" l="1"/>
  <c r="Q270" i="40"/>
  <c r="P270" i="40"/>
  <c r="Q269" i="40"/>
  <c r="N269" i="40"/>
  <c r="P269" i="40"/>
  <c r="I270" i="40"/>
  <c r="H270" i="40"/>
  <c r="E271" i="40" s="1" a="1"/>
  <c r="E271" i="40" s="1"/>
  <c r="F271" i="40" s="1" a="1"/>
  <c r="F271" i="40" s="1"/>
  <c r="M321" i="39"/>
  <c r="H321" i="39" s="1"/>
  <c r="E322" i="39" s="1" a="1"/>
  <c r="E322" i="39" s="1"/>
  <c r="F322" i="39" s="1" a="1"/>
  <c r="F322" i="39" s="1"/>
  <c r="I320" i="39"/>
  <c r="G320" i="39"/>
  <c r="O320" i="39" s="1"/>
  <c r="P228" i="35"/>
  <c r="N228" i="35"/>
  <c r="H229" i="35"/>
  <c r="E230" i="35" s="1" a="1"/>
  <c r="E230" i="35" s="1"/>
  <c r="F230" i="35" s="1" a="1"/>
  <c r="F230" i="35" s="1"/>
  <c r="M230" i="35" s="1"/>
  <c r="G229" i="35"/>
  <c r="O229" i="35" s="1"/>
  <c r="M271" i="40" l="1"/>
  <c r="I271" i="40" s="1"/>
  <c r="M322" i="39"/>
  <c r="H322" i="39" s="1"/>
  <c r="E323" i="39" s="1" a="1"/>
  <c r="E323" i="39" s="1"/>
  <c r="F323" i="39" s="1" a="1"/>
  <c r="F323" i="39" s="1"/>
  <c r="N320" i="39"/>
  <c r="Q320" i="39"/>
  <c r="P320" i="39"/>
  <c r="I321" i="39"/>
  <c r="G321" i="39"/>
  <c r="O321" i="39" s="1"/>
  <c r="I230" i="35"/>
  <c r="H230" i="35"/>
  <c r="E231" i="35" s="1" a="1"/>
  <c r="E231" i="35" s="1"/>
  <c r="F231" i="35" s="1" a="1"/>
  <c r="F231" i="35" s="1"/>
  <c r="M231" i="35" s="1"/>
  <c r="I231" i="35" s="1"/>
  <c r="G230" i="35"/>
  <c r="O230" i="35" s="1"/>
  <c r="Q230" i="35" s="1"/>
  <c r="P229" i="35"/>
  <c r="Q229" i="35"/>
  <c r="N229" i="35"/>
  <c r="G271" i="40" l="1"/>
  <c r="O271" i="40" s="1"/>
  <c r="N271" i="40" s="1"/>
  <c r="H271" i="40"/>
  <c r="E272" i="40" s="1" a="1"/>
  <c r="E272" i="40" s="1"/>
  <c r="F272" i="40" s="1" a="1"/>
  <c r="F272" i="40" s="1"/>
  <c r="M323" i="39"/>
  <c r="I323" i="39" s="1"/>
  <c r="N321" i="39"/>
  <c r="Q321" i="39"/>
  <c r="P321" i="39"/>
  <c r="I322" i="39"/>
  <c r="G322" i="39"/>
  <c r="O322" i="39" s="1"/>
  <c r="P230" i="35"/>
  <c r="N230" i="35"/>
  <c r="G231" i="35"/>
  <c r="O231" i="35" s="1"/>
  <c r="Q231" i="35" s="1"/>
  <c r="H231" i="35"/>
  <c r="E232" i="35" s="1" a="1"/>
  <c r="E232" i="35" s="1"/>
  <c r="F232" i="35" s="1" a="1"/>
  <c r="F232" i="35" s="1"/>
  <c r="M232" i="35" s="1"/>
  <c r="I232" i="35" s="1"/>
  <c r="Q271" i="40" l="1"/>
  <c r="P271" i="40"/>
  <c r="G323" i="39"/>
  <c r="O323" i="39" s="1"/>
  <c r="N323" i="39" s="1"/>
  <c r="H323" i="39"/>
  <c r="E324" i="39" s="1" a="1"/>
  <c r="E324" i="39" s="1"/>
  <c r="F324" i="39" s="1" a="1"/>
  <c r="F324" i="39" s="1"/>
  <c r="M324" i="39" s="1"/>
  <c r="I324" i="39" s="1"/>
  <c r="M272" i="40"/>
  <c r="G272" i="40" s="1"/>
  <c r="O272" i="40" s="1"/>
  <c r="N322" i="39"/>
  <c r="Q322" i="39"/>
  <c r="P322" i="39"/>
  <c r="Q323" i="39"/>
  <c r="N231" i="35"/>
  <c r="P231" i="35"/>
  <c r="G232" i="35"/>
  <c r="O232" i="35" s="1"/>
  <c r="N232" i="35" s="1"/>
  <c r="H232" i="35"/>
  <c r="E233" i="35" s="1" a="1"/>
  <c r="E233" i="35" s="1"/>
  <c r="F233" i="35" s="1" a="1"/>
  <c r="F233" i="35" s="1"/>
  <c r="M233" i="35" s="1"/>
  <c r="I233" i="35" s="1"/>
  <c r="P323" i="39" l="1"/>
  <c r="I272" i="40"/>
  <c r="P272" i="40"/>
  <c r="N272" i="40"/>
  <c r="Q272" i="40"/>
  <c r="H272" i="40"/>
  <c r="E273" i="40" s="1" a="1"/>
  <c r="E273" i="40" s="1"/>
  <c r="F273" i="40" s="1" a="1"/>
  <c r="F273" i="40" s="1"/>
  <c r="G324" i="39"/>
  <c r="O324" i="39" s="1"/>
  <c r="N324" i="39" s="1"/>
  <c r="H324" i="39"/>
  <c r="E325" i="39" s="1" a="1"/>
  <c r="E325" i="39" s="1"/>
  <c r="F325" i="39" s="1" a="1"/>
  <c r="F325" i="39" s="1"/>
  <c r="Q232" i="35"/>
  <c r="P232" i="35"/>
  <c r="G233" i="35"/>
  <c r="O233" i="35" s="1"/>
  <c r="H233" i="35"/>
  <c r="E234" i="35" s="1" a="1"/>
  <c r="E234" i="35" s="1"/>
  <c r="F234" i="35" s="1" a="1"/>
  <c r="F234" i="35" s="1"/>
  <c r="Q324" i="39" l="1"/>
  <c r="P324" i="39"/>
  <c r="M273" i="40"/>
  <c r="I273" i="40" s="1"/>
  <c r="M325" i="39"/>
  <c r="H325" i="39" s="1"/>
  <c r="E326" i="39" s="1" a="1"/>
  <c r="E326" i="39" s="1"/>
  <c r="F326" i="39" s="1" a="1"/>
  <c r="F326" i="39" s="1"/>
  <c r="M234" i="35"/>
  <c r="I234" i="35" s="1"/>
  <c r="P233" i="35"/>
  <c r="N233" i="35"/>
  <c r="Q233" i="35"/>
  <c r="G273" i="40" l="1"/>
  <c r="O273" i="40" s="1"/>
  <c r="N273" i="40" s="1"/>
  <c r="H273" i="40"/>
  <c r="E274" i="40" s="1" a="1"/>
  <c r="E274" i="40" s="1"/>
  <c r="F274" i="40" s="1" a="1"/>
  <c r="F274" i="40" s="1"/>
  <c r="M326" i="39"/>
  <c r="H326" i="39" s="1"/>
  <c r="E327" i="39" s="1" a="1"/>
  <c r="E327" i="39" s="1"/>
  <c r="F327" i="39" s="1" a="1"/>
  <c r="F327" i="39" s="1"/>
  <c r="I325" i="39"/>
  <c r="G325" i="39"/>
  <c r="O325" i="39" s="1"/>
  <c r="G234" i="35"/>
  <c r="O234" i="35" s="1"/>
  <c r="N234" i="35" s="1"/>
  <c r="H234" i="35"/>
  <c r="E235" i="35" s="1" a="1"/>
  <c r="E235" i="35" s="1"/>
  <c r="F235" i="35" s="1" a="1"/>
  <c r="F235" i="35" s="1"/>
  <c r="P273" i="40" l="1"/>
  <c r="Q273" i="40"/>
  <c r="G326" i="39"/>
  <c r="O326" i="39" s="1"/>
  <c r="P326" i="39" s="1"/>
  <c r="I326" i="39"/>
  <c r="M274" i="40"/>
  <c r="I274" i="40" s="1"/>
  <c r="Q325" i="39"/>
  <c r="N325" i="39"/>
  <c r="P325" i="39"/>
  <c r="M327" i="39"/>
  <c r="I327" i="39" s="1"/>
  <c r="P234" i="35"/>
  <c r="Q234" i="35"/>
  <c r="M235" i="35"/>
  <c r="I235" i="35" s="1"/>
  <c r="N326" i="39" l="1"/>
  <c r="Q326" i="39"/>
  <c r="G274" i="40"/>
  <c r="O274" i="40" s="1"/>
  <c r="Q274" i="40" s="1"/>
  <c r="H274" i="40"/>
  <c r="E275" i="40" s="1" a="1"/>
  <c r="E275" i="40" s="1"/>
  <c r="F275" i="40" s="1" a="1"/>
  <c r="F275" i="40" s="1"/>
  <c r="M275" i="40" s="1"/>
  <c r="G275" i="40" s="1"/>
  <c r="O275" i="40" s="1"/>
  <c r="G327" i="39"/>
  <c r="O327" i="39" s="1"/>
  <c r="N327" i="39" s="1"/>
  <c r="H327" i="39"/>
  <c r="E328" i="39" s="1" a="1"/>
  <c r="E328" i="39" s="1"/>
  <c r="F328" i="39" s="1" a="1"/>
  <c r="F328" i="39" s="1"/>
  <c r="G235" i="35"/>
  <c r="O235" i="35" s="1"/>
  <c r="P235" i="35" s="1"/>
  <c r="H235" i="35"/>
  <c r="E236" i="35" s="1" a="1"/>
  <c r="E236" i="35" s="1"/>
  <c r="F236" i="35" s="1" a="1"/>
  <c r="F236" i="35" s="1"/>
  <c r="M236" i="35" s="1"/>
  <c r="G236" i="35" s="1"/>
  <c r="O236" i="35" s="1"/>
  <c r="N274" i="40" l="1"/>
  <c r="P274" i="40"/>
  <c r="P275" i="40"/>
  <c r="N275" i="40"/>
  <c r="Q275" i="40"/>
  <c r="I275" i="40"/>
  <c r="H275" i="40"/>
  <c r="E276" i="40" s="1" a="1"/>
  <c r="E276" i="40" s="1"/>
  <c r="F276" i="40" s="1" a="1"/>
  <c r="F276" i="40" s="1"/>
  <c r="P327" i="39"/>
  <c r="Q327" i="39"/>
  <c r="M328" i="39"/>
  <c r="H328" i="39" s="1"/>
  <c r="E329" i="39" s="1" a="1"/>
  <c r="E329" i="39" s="1"/>
  <c r="F329" i="39" s="1" a="1"/>
  <c r="F329" i="39" s="1"/>
  <c r="Q235" i="35"/>
  <c r="N235" i="35"/>
  <c r="I236" i="35"/>
  <c r="H236" i="35"/>
  <c r="E237" i="35" s="1" a="1"/>
  <c r="E237" i="35" s="1"/>
  <c r="F237" i="35" s="1" a="1"/>
  <c r="F237" i="35" s="1"/>
  <c r="M237" i="35" s="1"/>
  <c r="I237" i="35" s="1"/>
  <c r="N236" i="35"/>
  <c r="Q236" i="35"/>
  <c r="P236" i="35"/>
  <c r="M276" i="40" l="1"/>
  <c r="G276" i="40" s="1"/>
  <c r="O276" i="40" s="1"/>
  <c r="M329" i="39"/>
  <c r="H329" i="39" s="1"/>
  <c r="E330" i="39" s="1" a="1"/>
  <c r="E330" i="39" s="1"/>
  <c r="F330" i="39" s="1" a="1"/>
  <c r="F330" i="39" s="1"/>
  <c r="I328" i="39"/>
  <c r="G328" i="39"/>
  <c r="O328" i="39" s="1"/>
  <c r="G237" i="35"/>
  <c r="O237" i="35" s="1"/>
  <c r="H237" i="35"/>
  <c r="E238" i="35" s="1" a="1"/>
  <c r="E238" i="35" s="1"/>
  <c r="F238" i="35" s="1" a="1"/>
  <c r="F238" i="35" s="1"/>
  <c r="H276" i="40" l="1"/>
  <c r="E277" i="40" s="1" a="1"/>
  <c r="E277" i="40" s="1"/>
  <c r="F277" i="40" s="1" a="1"/>
  <c r="F277" i="40" s="1"/>
  <c r="P276" i="40"/>
  <c r="Q276" i="40"/>
  <c r="N276" i="40"/>
  <c r="I276" i="40"/>
  <c r="M330" i="39"/>
  <c r="H330" i="39" s="1"/>
  <c r="E331" i="39" s="1" a="1"/>
  <c r="E331" i="39" s="1"/>
  <c r="F331" i="39" s="1" a="1"/>
  <c r="F331" i="39" s="1"/>
  <c r="I329" i="39"/>
  <c r="N328" i="39"/>
  <c r="P328" i="39"/>
  <c r="Q328" i="39"/>
  <c r="G329" i="39"/>
  <c r="O329" i="39" s="1"/>
  <c r="M238" i="35"/>
  <c r="G238" i="35" s="1"/>
  <c r="O238" i="35" s="1"/>
  <c r="Q237" i="35"/>
  <c r="N237" i="35"/>
  <c r="P237" i="35"/>
  <c r="M277" i="40" l="1"/>
  <c r="H277" i="40" s="1"/>
  <c r="E278" i="40" s="1" a="1"/>
  <c r="E278" i="40" s="1"/>
  <c r="F278" i="40" s="1" a="1"/>
  <c r="F278" i="40" s="1"/>
  <c r="M278" i="40" s="1"/>
  <c r="I278" i="40" s="1"/>
  <c r="M331" i="39"/>
  <c r="I331" i="39" s="1"/>
  <c r="Q329" i="39"/>
  <c r="N329" i="39"/>
  <c r="P329" i="39"/>
  <c r="I330" i="39"/>
  <c r="G330" i="39"/>
  <c r="O330" i="39" s="1"/>
  <c r="I238" i="35"/>
  <c r="H238" i="35"/>
  <c r="E239" i="35" s="1" a="1"/>
  <c r="E239" i="35" s="1"/>
  <c r="F239" i="35" s="1" a="1"/>
  <c r="F239" i="35" s="1"/>
  <c r="P238" i="35"/>
  <c r="Q238" i="35"/>
  <c r="N238" i="35"/>
  <c r="G277" i="40" l="1"/>
  <c r="O277" i="40" s="1"/>
  <c r="N277" i="40" s="1"/>
  <c r="G331" i="39"/>
  <c r="O331" i="39" s="1"/>
  <c r="Q331" i="39" s="1"/>
  <c r="I277" i="40"/>
  <c r="H331" i="39"/>
  <c r="E332" i="39" s="1" a="1"/>
  <c r="E332" i="39" s="1"/>
  <c r="F332" i="39" s="1" a="1"/>
  <c r="F332" i="39" s="1"/>
  <c r="M332" i="39" s="1"/>
  <c r="G332" i="39" s="1"/>
  <c r="O332" i="39" s="1"/>
  <c r="H278" i="40"/>
  <c r="E279" i="40" s="1" a="1"/>
  <c r="E279" i="40" s="1"/>
  <c r="F279" i="40" s="1" a="1"/>
  <c r="F279" i="40" s="1"/>
  <c r="G278" i="40"/>
  <c r="O278" i="40" s="1"/>
  <c r="N330" i="39"/>
  <c r="Q330" i="39"/>
  <c r="P330" i="39"/>
  <c r="M239" i="35"/>
  <c r="I239" i="35" s="1"/>
  <c r="P331" i="39" l="1"/>
  <c r="N331" i="39"/>
  <c r="Q277" i="40"/>
  <c r="P277" i="40"/>
  <c r="P278" i="40"/>
  <c r="Q278" i="40"/>
  <c r="N278" i="40"/>
  <c r="M279" i="40"/>
  <c r="I279" i="40" s="1"/>
  <c r="N332" i="39"/>
  <c r="Q332" i="39"/>
  <c r="P332" i="39"/>
  <c r="I332" i="39"/>
  <c r="H332" i="39"/>
  <c r="E333" i="39" s="1" a="1"/>
  <c r="E333" i="39" s="1"/>
  <c r="F333" i="39" s="1" a="1"/>
  <c r="F333" i="39" s="1"/>
  <c r="H239" i="35"/>
  <c r="E240" i="35" s="1" a="1"/>
  <c r="E240" i="35" s="1"/>
  <c r="F240" i="35" s="1" a="1"/>
  <c r="F240" i="35" s="1"/>
  <c r="G239" i="35"/>
  <c r="O239" i="35" s="1"/>
  <c r="G279" i="40" l="1"/>
  <c r="O279" i="40" s="1"/>
  <c r="Q279" i="40" s="1"/>
  <c r="H279" i="40"/>
  <c r="E280" i="40" s="1" a="1"/>
  <c r="E280" i="40" s="1"/>
  <c r="F280" i="40" s="1" a="1"/>
  <c r="F280" i="40" s="1"/>
  <c r="M333" i="39"/>
  <c r="H333" i="39" s="1"/>
  <c r="E334" i="39" s="1" a="1"/>
  <c r="E334" i="39" s="1"/>
  <c r="F334" i="39" s="1" a="1"/>
  <c r="F334" i="39" s="1"/>
  <c r="Q239" i="35"/>
  <c r="P239" i="35"/>
  <c r="N239" i="35"/>
  <c r="M240" i="35"/>
  <c r="I240" i="35" s="1"/>
  <c r="N279" i="40" l="1"/>
  <c r="P279" i="40"/>
  <c r="M280" i="40"/>
  <c r="I280" i="40" s="1"/>
  <c r="M334" i="39"/>
  <c r="G334" i="39" s="1"/>
  <c r="O334" i="39" s="1"/>
  <c r="I333" i="39"/>
  <c r="G333" i="39"/>
  <c r="O333" i="39" s="1"/>
  <c r="H240" i="35"/>
  <c r="E241" i="35" s="1" a="1"/>
  <c r="E241" i="35" s="1"/>
  <c r="F241" i="35" s="1" a="1"/>
  <c r="F241" i="35" s="1"/>
  <c r="M241" i="35" s="1"/>
  <c r="I241" i="35" s="1"/>
  <c r="G240" i="35"/>
  <c r="O240" i="35" s="1"/>
  <c r="H280" i="40" l="1"/>
  <c r="E281" i="40" s="1" a="1"/>
  <c r="E281" i="40" s="1"/>
  <c r="F281" i="40" s="1" a="1"/>
  <c r="F281" i="40" s="1"/>
  <c r="M281" i="40" s="1"/>
  <c r="G281" i="40" s="1"/>
  <c r="O281" i="40" s="1"/>
  <c r="G280" i="40"/>
  <c r="O280" i="40" s="1"/>
  <c r="H334" i="39"/>
  <c r="E335" i="39" s="1" a="1"/>
  <c r="E335" i="39" s="1"/>
  <c r="F335" i="39" s="1" a="1"/>
  <c r="F335" i="39" s="1"/>
  <c r="M335" i="39" s="1"/>
  <c r="H335" i="39" s="1"/>
  <c r="E336" i="39" s="1" a="1"/>
  <c r="E336" i="39" s="1"/>
  <c r="F336" i="39" s="1" a="1"/>
  <c r="F336" i="39" s="1"/>
  <c r="I334" i="39"/>
  <c r="P280" i="40"/>
  <c r="Q280" i="40"/>
  <c r="N280" i="40"/>
  <c r="Q333" i="39"/>
  <c r="P333" i="39"/>
  <c r="N333" i="39"/>
  <c r="N334" i="39"/>
  <c r="Q334" i="39"/>
  <c r="P334" i="39"/>
  <c r="H241" i="35"/>
  <c r="E242" i="35" s="1" a="1"/>
  <c r="E242" i="35" s="1"/>
  <c r="F242" i="35" s="1" a="1"/>
  <c r="F242" i="35" s="1"/>
  <c r="M242" i="35" s="1"/>
  <c r="I242" i="35" s="1"/>
  <c r="G241" i="35"/>
  <c r="O241" i="35" s="1"/>
  <c r="N240" i="35"/>
  <c r="Q240" i="35"/>
  <c r="P240" i="35"/>
  <c r="I281" i="40" l="1"/>
  <c r="H281" i="40"/>
  <c r="E282" i="40" s="1" a="1"/>
  <c r="E282" i="40" s="1"/>
  <c r="F282" i="40" s="1" a="1"/>
  <c r="F282" i="40" s="1"/>
  <c r="N281" i="40"/>
  <c r="Q281" i="40"/>
  <c r="P281" i="40"/>
  <c r="M336" i="39"/>
  <c r="I336" i="39" s="1"/>
  <c r="I335" i="39"/>
  <c r="G335" i="39"/>
  <c r="O335" i="39" s="1"/>
  <c r="G242" i="35"/>
  <c r="O242" i="35" s="1"/>
  <c r="H242" i="35"/>
  <c r="E243" i="35" s="1" a="1"/>
  <c r="E243" i="35" s="1"/>
  <c r="F243" i="35" s="1" a="1"/>
  <c r="F243" i="35" s="1"/>
  <c r="M243" i="35" s="1"/>
  <c r="I243" i="35" s="1"/>
  <c r="P241" i="35"/>
  <c r="N241" i="35"/>
  <c r="Q241" i="35"/>
  <c r="M282" i="40" l="1"/>
  <c r="I282" i="40" s="1"/>
  <c r="H336" i="39"/>
  <c r="E337" i="39" s="1" a="1"/>
  <c r="E337" i="39" s="1"/>
  <c r="F337" i="39" s="1" a="1"/>
  <c r="F337" i="39" s="1"/>
  <c r="M337" i="39" s="1"/>
  <c r="H337" i="39" s="1"/>
  <c r="E338" i="39" s="1" a="1"/>
  <c r="E338" i="39" s="1"/>
  <c r="F338" i="39" s="1" a="1"/>
  <c r="F338" i="39" s="1"/>
  <c r="G336" i="39"/>
  <c r="O336" i="39" s="1"/>
  <c r="Q336" i="39" s="1"/>
  <c r="N335" i="39"/>
  <c r="Q335" i="39"/>
  <c r="P335" i="39"/>
  <c r="H243" i="35"/>
  <c r="E244" i="35" s="1" a="1"/>
  <c r="E244" i="35" s="1"/>
  <c r="F244" i="35" s="1" a="1"/>
  <c r="F244" i="35" s="1"/>
  <c r="M244" i="35" s="1"/>
  <c r="I244" i="35" s="1"/>
  <c r="G243" i="35"/>
  <c r="O243" i="35" s="1"/>
  <c r="Q243" i="35" s="1"/>
  <c r="Q242" i="35"/>
  <c r="N242" i="35"/>
  <c r="P242" i="35"/>
  <c r="H282" i="40" l="1"/>
  <c r="E283" i="40" s="1" a="1"/>
  <c r="E283" i="40" s="1"/>
  <c r="F283" i="40" s="1" a="1"/>
  <c r="F283" i="40" s="1"/>
  <c r="M283" i="40" s="1"/>
  <c r="I283" i="40" s="1"/>
  <c r="N336" i="39"/>
  <c r="P336" i="39"/>
  <c r="I337" i="39"/>
  <c r="G282" i="40"/>
  <c r="O282" i="40" s="1"/>
  <c r="M338" i="39"/>
  <c r="H338" i="39" s="1"/>
  <c r="E339" i="39" s="1" a="1"/>
  <c r="E339" i="39" s="1"/>
  <c r="F339" i="39" s="1" a="1"/>
  <c r="F339" i="39" s="1"/>
  <c r="G337" i="39"/>
  <c r="O337" i="39" s="1"/>
  <c r="P243" i="35"/>
  <c r="N243" i="35"/>
  <c r="G244" i="35"/>
  <c r="O244" i="35" s="1"/>
  <c r="H244" i="35"/>
  <c r="E245" i="35" s="1" a="1"/>
  <c r="E245" i="35" s="1"/>
  <c r="F245" i="35" s="1" a="1"/>
  <c r="F245" i="35" s="1"/>
  <c r="M245" i="35" s="1"/>
  <c r="P282" i="40" l="1"/>
  <c r="Q282" i="40"/>
  <c r="N282" i="40"/>
  <c r="G283" i="40"/>
  <c r="O283" i="40" s="1"/>
  <c r="H283" i="40"/>
  <c r="E284" i="40" s="1" a="1"/>
  <c r="E284" i="40" s="1"/>
  <c r="F284" i="40" s="1" a="1"/>
  <c r="F284" i="40" s="1"/>
  <c r="M339" i="39"/>
  <c r="H339" i="39" s="1"/>
  <c r="E340" i="39" s="1" a="1"/>
  <c r="E340" i="39" s="1"/>
  <c r="F340" i="39" s="1" a="1"/>
  <c r="F340" i="39" s="1"/>
  <c r="Q337" i="39"/>
  <c r="P337" i="39"/>
  <c r="N337" i="39"/>
  <c r="G338" i="39"/>
  <c r="O338" i="39" s="1"/>
  <c r="I338" i="39"/>
  <c r="G245" i="35"/>
  <c r="O245" i="35" s="1"/>
  <c r="Q245" i="35" s="1"/>
  <c r="I245" i="35"/>
  <c r="H245" i="35"/>
  <c r="E246" i="35" s="1" a="1"/>
  <c r="E246" i="35" s="1"/>
  <c r="F246" i="35" s="1" a="1"/>
  <c r="F246" i="35" s="1"/>
  <c r="M246" i="35" s="1"/>
  <c r="I246" i="35" s="1"/>
  <c r="P244" i="35"/>
  <c r="Q244" i="35"/>
  <c r="N244" i="35"/>
  <c r="I339" i="39" l="1"/>
  <c r="M284" i="40"/>
  <c r="I284" i="40" s="1"/>
  <c r="Q283" i="40"/>
  <c r="P283" i="40"/>
  <c r="N283" i="40"/>
  <c r="M340" i="39"/>
  <c r="I340" i="39" s="1"/>
  <c r="N338" i="39"/>
  <c r="Q338" i="39"/>
  <c r="P338" i="39"/>
  <c r="G339" i="39"/>
  <c r="O339" i="39" s="1"/>
  <c r="H246" i="35"/>
  <c r="E247" i="35" s="1" a="1"/>
  <c r="E247" i="35" s="1"/>
  <c r="F247" i="35" s="1" a="1"/>
  <c r="F247" i="35" s="1"/>
  <c r="M247" i="35" s="1"/>
  <c r="I247" i="35" s="1"/>
  <c r="G246" i="35"/>
  <c r="O246" i="35" s="1"/>
  <c r="N245" i="35"/>
  <c r="P245" i="35"/>
  <c r="G284" i="40" l="1"/>
  <c r="O284" i="40" s="1"/>
  <c r="P284" i="40" s="1"/>
  <c r="H340" i="39"/>
  <c r="E341" i="39" s="1" a="1"/>
  <c r="E341" i="39" s="1"/>
  <c r="F341" i="39" s="1" a="1"/>
  <c r="F341" i="39" s="1"/>
  <c r="M341" i="39" s="1"/>
  <c r="G341" i="39" s="1"/>
  <c r="O341" i="39" s="1"/>
  <c r="H284" i="40"/>
  <c r="E285" i="40" s="1" a="1"/>
  <c r="E285" i="40" s="1"/>
  <c r="F285" i="40" s="1" a="1"/>
  <c r="F285" i="40" s="1"/>
  <c r="M285" i="40" s="1"/>
  <c r="G285" i="40" s="1"/>
  <c r="O285" i="40" s="1"/>
  <c r="Q339" i="39"/>
  <c r="P339" i="39"/>
  <c r="N339" i="39"/>
  <c r="G340" i="39"/>
  <c r="O340" i="39" s="1"/>
  <c r="P246" i="35"/>
  <c r="Q246" i="35"/>
  <c r="N246" i="35"/>
  <c r="G247" i="35"/>
  <c r="O247" i="35" s="1"/>
  <c r="H247" i="35"/>
  <c r="E248" i="35" s="1" a="1"/>
  <c r="E248" i="35" s="1"/>
  <c r="F248" i="35" s="1" a="1"/>
  <c r="F248" i="35" s="1"/>
  <c r="N284" i="40" l="1"/>
  <c r="Q284" i="40"/>
  <c r="Q285" i="40"/>
  <c r="P285" i="40"/>
  <c r="N285" i="40"/>
  <c r="I285" i="40"/>
  <c r="H285" i="40"/>
  <c r="E286" i="40" s="1" a="1"/>
  <c r="E286" i="40" s="1"/>
  <c r="F286" i="40" s="1" a="1"/>
  <c r="F286" i="40" s="1"/>
  <c r="Q341" i="39"/>
  <c r="P341" i="39"/>
  <c r="N341" i="39"/>
  <c r="Q340" i="39"/>
  <c r="P340" i="39"/>
  <c r="N340" i="39"/>
  <c r="H341" i="39"/>
  <c r="E342" i="39" s="1" a="1"/>
  <c r="E342" i="39" s="1"/>
  <c r="F342" i="39" s="1" a="1"/>
  <c r="F342" i="39" s="1"/>
  <c r="I341" i="39"/>
  <c r="M248" i="35"/>
  <c r="I248" i="35" s="1"/>
  <c r="Q247" i="35"/>
  <c r="P247" i="35"/>
  <c r="N247" i="35"/>
  <c r="M286" i="40" l="1"/>
  <c r="G286" i="40" s="1"/>
  <c r="O286" i="40" s="1"/>
  <c r="M342" i="39"/>
  <c r="I342" i="39" s="1"/>
  <c r="G248" i="35"/>
  <c r="O248" i="35" s="1"/>
  <c r="N248" i="35" s="1"/>
  <c r="H248" i="35"/>
  <c r="E249" i="35" s="1" a="1"/>
  <c r="E249" i="35" s="1"/>
  <c r="F249" i="35" s="1" a="1"/>
  <c r="F249" i="35" s="1"/>
  <c r="M249" i="35" s="1"/>
  <c r="I249" i="35" s="1"/>
  <c r="H286" i="40" l="1"/>
  <c r="E287" i="40" s="1" a="1"/>
  <c r="E287" i="40" s="1"/>
  <c r="F287" i="40" s="1" a="1"/>
  <c r="F287" i="40" s="1"/>
  <c r="M287" i="40" s="1"/>
  <c r="I287" i="40" s="1"/>
  <c r="I286" i="40"/>
  <c r="N286" i="40"/>
  <c r="Q286" i="40"/>
  <c r="P286" i="40"/>
  <c r="H342" i="39"/>
  <c r="E343" i="39" s="1" a="1"/>
  <c r="E343" i="39" s="1"/>
  <c r="F343" i="39" s="1" a="1"/>
  <c r="F343" i="39" s="1"/>
  <c r="M343" i="39" s="1"/>
  <c r="I343" i="39" s="1"/>
  <c r="G342" i="39"/>
  <c r="O342" i="39" s="1"/>
  <c r="N342" i="39" s="1"/>
  <c r="Q248" i="35"/>
  <c r="P248" i="35"/>
  <c r="G287" i="40" l="1"/>
  <c r="O287" i="40" s="1"/>
  <c r="H287" i="40"/>
  <c r="E288" i="40" s="1" a="1"/>
  <c r="E288" i="40" s="1"/>
  <c r="F288" i="40" s="1" a="1"/>
  <c r="F288" i="40" s="1"/>
  <c r="P342" i="39"/>
  <c r="Q342" i="39"/>
  <c r="G343" i="39"/>
  <c r="O343" i="39" s="1"/>
  <c r="Q343" i="39" s="1"/>
  <c r="H343" i="39"/>
  <c r="E344" i="39" s="1" a="1"/>
  <c r="E344" i="39" s="1"/>
  <c r="F344" i="39" s="1" a="1"/>
  <c r="F344" i="39" s="1"/>
  <c r="H249" i="35"/>
  <c r="E250" i="35" s="1" a="1"/>
  <c r="E250" i="35" s="1"/>
  <c r="F250" i="35" s="1" a="1"/>
  <c r="F250" i="35" s="1"/>
  <c r="G249" i="35"/>
  <c r="O249" i="35" s="1"/>
  <c r="M288" i="40" l="1"/>
  <c r="H288" i="40" s="1"/>
  <c r="E289" i="40" s="1" a="1"/>
  <c r="E289" i="40" s="1"/>
  <c r="F289" i="40" s="1" a="1"/>
  <c r="F289" i="40" s="1"/>
  <c r="Q287" i="40"/>
  <c r="N287" i="40"/>
  <c r="P287" i="40"/>
  <c r="N343" i="39"/>
  <c r="P343" i="39"/>
  <c r="M344" i="39"/>
  <c r="I344" i="39" s="1"/>
  <c r="M250" i="35"/>
  <c r="I250" i="35" s="1"/>
  <c r="Q249" i="35"/>
  <c r="N249" i="35"/>
  <c r="P249" i="35"/>
  <c r="M289" i="40" l="1"/>
  <c r="I289" i="40" s="1"/>
  <c r="I288" i="40"/>
  <c r="G288" i="40"/>
  <c r="O288" i="40" s="1"/>
  <c r="H344" i="39"/>
  <c r="E345" i="39" s="1" a="1"/>
  <c r="E345" i="39" s="1"/>
  <c r="F345" i="39" s="1" a="1"/>
  <c r="F345" i="39" s="1"/>
  <c r="M345" i="39" s="1"/>
  <c r="H345" i="39" s="1"/>
  <c r="E346" i="39" s="1" a="1"/>
  <c r="E346" i="39" s="1"/>
  <c r="F346" i="39" s="1" a="1"/>
  <c r="F346" i="39" s="1"/>
  <c r="G344" i="39"/>
  <c r="O344" i="39" s="1"/>
  <c r="N344" i="39" s="1"/>
  <c r="H250" i="35"/>
  <c r="E251" i="35" s="1" a="1"/>
  <c r="E251" i="35" s="1"/>
  <c r="F251" i="35" s="1" a="1"/>
  <c r="F251" i="35" s="1"/>
  <c r="P288" i="40" l="1"/>
  <c r="Q288" i="40"/>
  <c r="N288" i="40"/>
  <c r="G289" i="40"/>
  <c r="O289" i="40" s="1"/>
  <c r="H289" i="40"/>
  <c r="E290" i="40" s="1" a="1"/>
  <c r="E290" i="40" s="1"/>
  <c r="F290" i="40" s="1" a="1"/>
  <c r="F290" i="40" s="1"/>
  <c r="P344" i="39"/>
  <c r="Q344" i="39"/>
  <c r="M346" i="39"/>
  <c r="I346" i="39" s="1"/>
  <c r="I345" i="39"/>
  <c r="G345" i="39"/>
  <c r="O345" i="39" s="1"/>
  <c r="M251" i="35"/>
  <c r="I251" i="35" s="1"/>
  <c r="G250" i="35"/>
  <c r="O250" i="35" s="1"/>
  <c r="M290" i="40" l="1"/>
  <c r="G290" i="40" s="1"/>
  <c r="O290" i="40" s="1"/>
  <c r="P289" i="40"/>
  <c r="Q289" i="40"/>
  <c r="N289" i="40"/>
  <c r="G346" i="39"/>
  <c r="O346" i="39" s="1"/>
  <c r="N346" i="39" s="1"/>
  <c r="Q345" i="39"/>
  <c r="P345" i="39"/>
  <c r="N345" i="39"/>
  <c r="H346" i="39"/>
  <c r="E347" i="39" s="1" a="1"/>
  <c r="E347" i="39" s="1"/>
  <c r="F347" i="39" s="1" a="1"/>
  <c r="F347" i="39" s="1"/>
  <c r="G251" i="35"/>
  <c r="O251" i="35" s="1"/>
  <c r="N251" i="35" s="1"/>
  <c r="H251" i="35"/>
  <c r="E252" i="35" s="1" a="1"/>
  <c r="E252" i="35" s="1"/>
  <c r="F252" i="35" s="1" a="1"/>
  <c r="F252" i="35" s="1"/>
  <c r="M252" i="35" s="1"/>
  <c r="I252" i="35" s="1"/>
  <c r="N250" i="35"/>
  <c r="Q250" i="35"/>
  <c r="P250" i="35"/>
  <c r="H290" i="40" l="1"/>
  <c r="E291" i="40" s="1" a="1"/>
  <c r="E291" i="40" s="1"/>
  <c r="F291" i="40" s="1" a="1"/>
  <c r="F291" i="40" s="1"/>
  <c r="M291" i="40" s="1"/>
  <c r="I291" i="40" s="1"/>
  <c r="I290" i="40"/>
  <c r="Q290" i="40"/>
  <c r="P290" i="40"/>
  <c r="N290" i="40"/>
  <c r="P346" i="39"/>
  <c r="Q346" i="39"/>
  <c r="M347" i="39"/>
  <c r="I347" i="39" s="1"/>
  <c r="Q251" i="35"/>
  <c r="P251" i="35"/>
  <c r="H252" i="35"/>
  <c r="E253" i="35" s="1" a="1"/>
  <c r="E253" i="35" s="1"/>
  <c r="F253" i="35" s="1" a="1"/>
  <c r="F253" i="35" s="1"/>
  <c r="M253" i="35" s="1"/>
  <c r="I253" i="35" s="1"/>
  <c r="G252" i="35"/>
  <c r="O252" i="35" s="1"/>
  <c r="N252" i="35" s="1"/>
  <c r="G291" i="40" l="1"/>
  <c r="O291" i="40" s="1"/>
  <c r="N291" i="40" s="1"/>
  <c r="H291" i="40"/>
  <c r="E292" i="40" s="1" a="1"/>
  <c r="E292" i="40" s="1"/>
  <c r="F292" i="40" s="1" a="1"/>
  <c r="F292" i="40" s="1"/>
  <c r="G347" i="39"/>
  <c r="O347" i="39" s="1"/>
  <c r="P347" i="39" s="1"/>
  <c r="H347" i="39"/>
  <c r="E348" i="39" s="1" a="1"/>
  <c r="E348" i="39" s="1"/>
  <c r="F348" i="39" s="1" a="1"/>
  <c r="F348" i="39" s="1"/>
  <c r="M348" i="39" s="1"/>
  <c r="H348" i="39" s="1"/>
  <c r="E349" i="39" s="1" a="1"/>
  <c r="E349" i="39" s="1"/>
  <c r="F349" i="39" s="1" a="1"/>
  <c r="F349" i="39" s="1"/>
  <c r="Q252" i="35"/>
  <c r="P252" i="35"/>
  <c r="G253" i="35"/>
  <c r="O253" i="35" s="1"/>
  <c r="N253" i="35" s="1"/>
  <c r="H253" i="35"/>
  <c r="E254" i="35" s="1" a="1"/>
  <c r="E254" i="35" s="1"/>
  <c r="F254" i="35" s="1" a="1"/>
  <c r="F254" i="35" s="1"/>
  <c r="P291" i="40" l="1"/>
  <c r="N347" i="39"/>
  <c r="Q347" i="39"/>
  <c r="Q291" i="40"/>
  <c r="M292" i="40"/>
  <c r="I292" i="40" s="1"/>
  <c r="G348" i="39"/>
  <c r="O348" i="39" s="1"/>
  <c r="N348" i="39" s="1"/>
  <c r="I348" i="39"/>
  <c r="M349" i="39"/>
  <c r="H349" i="39" s="1"/>
  <c r="E350" i="39" s="1" a="1"/>
  <c r="E350" i="39" s="1"/>
  <c r="F350" i="39" s="1" a="1"/>
  <c r="F350" i="39" s="1"/>
  <c r="Q253" i="35"/>
  <c r="P253" i="35"/>
  <c r="M254" i="35"/>
  <c r="I254" i="35" s="1"/>
  <c r="Q348" i="39" l="1"/>
  <c r="P348" i="39"/>
  <c r="H292" i="40"/>
  <c r="E293" i="40" s="1" a="1"/>
  <c r="E293" i="40" s="1"/>
  <c r="F293" i="40" s="1" a="1"/>
  <c r="F293" i="40" s="1"/>
  <c r="M293" i="40" s="1"/>
  <c r="H293" i="40" s="1"/>
  <c r="E294" i="40" s="1" a="1"/>
  <c r="E294" i="40" s="1"/>
  <c r="F294" i="40" s="1" a="1"/>
  <c r="F294" i="40" s="1"/>
  <c r="G292" i="40"/>
  <c r="O292" i="40" s="1"/>
  <c r="I349" i="39"/>
  <c r="M350" i="39"/>
  <c r="I350" i="39" s="1"/>
  <c r="G349" i="39"/>
  <c r="O349" i="39" s="1"/>
  <c r="H254" i="35"/>
  <c r="E255" i="35" s="1" a="1"/>
  <c r="E255" i="35" s="1"/>
  <c r="F255" i="35" s="1" a="1"/>
  <c r="F255" i="35" s="1"/>
  <c r="M255" i="35" s="1"/>
  <c r="I255" i="35" s="1"/>
  <c r="G254" i="35"/>
  <c r="O254" i="35" s="1"/>
  <c r="M294" i="40" l="1"/>
  <c r="I294" i="40" s="1"/>
  <c r="G293" i="40"/>
  <c r="O293" i="40" s="1"/>
  <c r="P292" i="40"/>
  <c r="N292" i="40"/>
  <c r="Q292" i="40"/>
  <c r="I293" i="40"/>
  <c r="G350" i="39"/>
  <c r="O350" i="39" s="1"/>
  <c r="N350" i="39" s="1"/>
  <c r="H350" i="39"/>
  <c r="E351" i="39" s="1" a="1"/>
  <c r="E351" i="39" s="1"/>
  <c r="F351" i="39" s="1" a="1"/>
  <c r="F351" i="39" s="1"/>
  <c r="M351" i="39" s="1"/>
  <c r="H351" i="39" s="1"/>
  <c r="E352" i="39" s="1" a="1"/>
  <c r="E352" i="39" s="1"/>
  <c r="F352" i="39" s="1" a="1"/>
  <c r="F352" i="39" s="1"/>
  <c r="N349" i="39"/>
  <c r="Q349" i="39"/>
  <c r="P349" i="39"/>
  <c r="P254" i="35"/>
  <c r="N254" i="35"/>
  <c r="Q254" i="35"/>
  <c r="G255" i="35"/>
  <c r="O255" i="35" s="1"/>
  <c r="H255" i="35"/>
  <c r="E256" i="35" s="1" a="1"/>
  <c r="E256" i="35" s="1"/>
  <c r="F256" i="35" s="1" a="1"/>
  <c r="F256" i="35" s="1"/>
  <c r="Q293" i="40" l="1"/>
  <c r="P293" i="40"/>
  <c r="N293" i="40"/>
  <c r="H294" i="40"/>
  <c r="E295" i="40" s="1" a="1"/>
  <c r="E295" i="40" s="1"/>
  <c r="F295" i="40" s="1" a="1"/>
  <c r="F295" i="40" s="1"/>
  <c r="G294" i="40"/>
  <c r="O294" i="40" s="1"/>
  <c r="Q350" i="39"/>
  <c r="P350" i="39"/>
  <c r="M352" i="39"/>
  <c r="I352" i="39" s="1"/>
  <c r="G351" i="39"/>
  <c r="O351" i="39" s="1"/>
  <c r="I351" i="39"/>
  <c r="M256" i="35"/>
  <c r="I256" i="35" s="1"/>
  <c r="P255" i="35"/>
  <c r="Q255" i="35"/>
  <c r="N255" i="35"/>
  <c r="M295" i="40" l="1"/>
  <c r="I295" i="40" s="1"/>
  <c r="P294" i="40"/>
  <c r="N294" i="40"/>
  <c r="Q294" i="40"/>
  <c r="G352" i="39"/>
  <c r="O352" i="39" s="1"/>
  <c r="Q352" i="39" s="1"/>
  <c r="H352" i="39"/>
  <c r="E353" i="39" s="1" a="1"/>
  <c r="E353" i="39" s="1"/>
  <c r="F353" i="39" s="1" a="1"/>
  <c r="F353" i="39" s="1"/>
  <c r="M353" i="39" s="1"/>
  <c r="H353" i="39" s="1"/>
  <c r="E354" i="39" s="1" a="1"/>
  <c r="E354" i="39" s="1"/>
  <c r="F354" i="39" s="1" a="1"/>
  <c r="F354" i="39" s="1"/>
  <c r="Q351" i="39"/>
  <c r="P351" i="39"/>
  <c r="N351" i="39"/>
  <c r="H256" i="35"/>
  <c r="E257" i="35" s="1" a="1"/>
  <c r="E257" i="35" s="1"/>
  <c r="F257" i="35" s="1" a="1"/>
  <c r="F257" i="35" s="1"/>
  <c r="M257" i="35" s="1"/>
  <c r="I257" i="35" s="1"/>
  <c r="G256" i="35"/>
  <c r="O256" i="35" s="1"/>
  <c r="G295" i="40" l="1"/>
  <c r="O295" i="40" s="1"/>
  <c r="Q295" i="40" s="1"/>
  <c r="N352" i="39"/>
  <c r="H295" i="40"/>
  <c r="E296" i="40" s="1" a="1"/>
  <c r="E296" i="40" s="1"/>
  <c r="F296" i="40" s="1" a="1"/>
  <c r="F296" i="40" s="1"/>
  <c r="P352" i="39"/>
  <c r="M354" i="39"/>
  <c r="H354" i="39" s="1"/>
  <c r="E355" i="39" s="1" a="1"/>
  <c r="E355" i="39" s="1"/>
  <c r="F355" i="39" s="1" a="1"/>
  <c r="F355" i="39" s="1"/>
  <c r="I353" i="39"/>
  <c r="G353" i="39"/>
  <c r="O353" i="39" s="1"/>
  <c r="Q256" i="35"/>
  <c r="N256" i="35"/>
  <c r="P256" i="35"/>
  <c r="H257" i="35"/>
  <c r="E258" i="35" s="1" a="1"/>
  <c r="E258" i="35" s="1"/>
  <c r="F258" i="35" s="1" a="1"/>
  <c r="F258" i="35" s="1"/>
  <c r="P295" i="40" l="1"/>
  <c r="N295" i="40"/>
  <c r="M296" i="40"/>
  <c r="H296" i="40" s="1"/>
  <c r="E297" i="40" s="1" a="1"/>
  <c r="E297" i="40" s="1"/>
  <c r="F297" i="40" s="1" a="1"/>
  <c r="F297" i="40" s="1"/>
  <c r="I354" i="39"/>
  <c r="M355" i="39"/>
  <c r="I355" i="39" s="1"/>
  <c r="G354" i="39"/>
  <c r="O354" i="39" s="1"/>
  <c r="N353" i="39"/>
  <c r="Q353" i="39"/>
  <c r="P353" i="39"/>
  <c r="M258" i="35"/>
  <c r="I258" i="35" s="1"/>
  <c r="G257" i="35"/>
  <c r="O257" i="35" s="1"/>
  <c r="M297" i="40" l="1"/>
  <c r="G297" i="40" s="1"/>
  <c r="O297" i="40" s="1"/>
  <c r="I296" i="40"/>
  <c r="G296" i="40"/>
  <c r="O296" i="40" s="1"/>
  <c r="H355" i="39"/>
  <c r="E356" i="39" s="1" a="1"/>
  <c r="E356" i="39" s="1"/>
  <c r="F356" i="39" s="1" a="1"/>
  <c r="F356" i="39" s="1"/>
  <c r="G355" i="39"/>
  <c r="O355" i="39" s="1"/>
  <c r="P355" i="39" s="1"/>
  <c r="N354" i="39"/>
  <c r="Q354" i="39"/>
  <c r="P354" i="39"/>
  <c r="G258" i="35"/>
  <c r="O258" i="35" s="1"/>
  <c r="Q258" i="35" s="1"/>
  <c r="H258" i="35"/>
  <c r="E259" i="35" s="1" a="1"/>
  <c r="E259" i="35" s="1"/>
  <c r="F259" i="35" s="1" a="1"/>
  <c r="F259" i="35" s="1"/>
  <c r="M259" i="35" s="1"/>
  <c r="I259" i="35" s="1"/>
  <c r="Q257" i="35"/>
  <c r="P257" i="35"/>
  <c r="N257" i="35"/>
  <c r="N355" i="39" l="1"/>
  <c r="Q355" i="39"/>
  <c r="N297" i="40"/>
  <c r="P297" i="40"/>
  <c r="Q297" i="40"/>
  <c r="P296" i="40"/>
  <c r="Q296" i="40"/>
  <c r="N296" i="40"/>
  <c r="I297" i="40"/>
  <c r="H297" i="40"/>
  <c r="E298" i="40" s="1" a="1"/>
  <c r="E298" i="40" s="1"/>
  <c r="F298" i="40" s="1" a="1"/>
  <c r="F298" i="40" s="1"/>
  <c r="M356" i="39"/>
  <c r="G356" i="39" s="1"/>
  <c r="O356" i="39" s="1"/>
  <c r="N258" i="35"/>
  <c r="P258" i="35"/>
  <c r="H259" i="35"/>
  <c r="E260" i="35" s="1" a="1"/>
  <c r="E260" i="35" s="1"/>
  <c r="F260" i="35" s="1" a="1"/>
  <c r="F260" i="35" s="1"/>
  <c r="G259" i="35"/>
  <c r="O259" i="35" s="1"/>
  <c r="M298" i="40" l="1"/>
  <c r="I298" i="40" s="1"/>
  <c r="P356" i="39"/>
  <c r="N356" i="39"/>
  <c r="Q356" i="39"/>
  <c r="I356" i="39"/>
  <c r="H356" i="39"/>
  <c r="E357" i="39" s="1" a="1"/>
  <c r="E357" i="39" s="1"/>
  <c r="F357" i="39" s="1" a="1"/>
  <c r="F357" i="39" s="1"/>
  <c r="M357" i="39" s="1"/>
  <c r="I357" i="39" s="1"/>
  <c r="M260" i="35"/>
  <c r="I260" i="35" s="1"/>
  <c r="N259" i="35"/>
  <c r="Q259" i="35"/>
  <c r="P259" i="35"/>
  <c r="H298" i="40" l="1"/>
  <c r="E299" i="40" s="1" a="1"/>
  <c r="E299" i="40" s="1"/>
  <c r="F299" i="40" s="1" a="1"/>
  <c r="F299" i="40" s="1"/>
  <c r="M299" i="40" s="1"/>
  <c r="I299" i="40" s="1"/>
  <c r="G298" i="40"/>
  <c r="O298" i="40" s="1"/>
  <c r="Q298" i="40" s="1"/>
  <c r="G357" i="39"/>
  <c r="O357" i="39" s="1"/>
  <c r="P357" i="39" s="1"/>
  <c r="H357" i="39"/>
  <c r="E358" i="39" s="1" a="1"/>
  <c r="E358" i="39" s="1"/>
  <c r="F358" i="39" s="1" a="1"/>
  <c r="F358" i="39" s="1"/>
  <c r="H260" i="35"/>
  <c r="E261" i="35" s="1" a="1"/>
  <c r="E261" i="35" s="1"/>
  <c r="F261" i="35" s="1" a="1"/>
  <c r="F261" i="35" s="1"/>
  <c r="M261" i="35" s="1"/>
  <c r="I261" i="35" s="1"/>
  <c r="G260" i="35"/>
  <c r="O260" i="35" s="1"/>
  <c r="Q260" i="35" s="1"/>
  <c r="N298" i="40" l="1"/>
  <c r="P298" i="40"/>
  <c r="N357" i="39"/>
  <c r="Q357" i="39"/>
  <c r="H299" i="40"/>
  <c r="E300" i="40" s="1" a="1"/>
  <c r="E300" i="40" s="1"/>
  <c r="F300" i="40" s="1" a="1"/>
  <c r="F300" i="40" s="1"/>
  <c r="G299" i="40"/>
  <c r="O299" i="40" s="1"/>
  <c r="M358" i="39"/>
  <c r="G358" i="39" s="1"/>
  <c r="O358" i="39" s="1"/>
  <c r="N358" i="39" s="1"/>
  <c r="N260" i="35"/>
  <c r="P260" i="35"/>
  <c r="H261" i="35"/>
  <c r="E262" i="35" s="1" a="1"/>
  <c r="E262" i="35" s="1"/>
  <c r="F262" i="35" s="1" a="1"/>
  <c r="F262" i="35" s="1"/>
  <c r="G261" i="35"/>
  <c r="O261" i="35" s="1"/>
  <c r="N299" i="40" l="1"/>
  <c r="Q299" i="40"/>
  <c r="P299" i="40"/>
  <c r="M300" i="40"/>
  <c r="H300" i="40" s="1"/>
  <c r="E301" i="40" s="1" a="1"/>
  <c r="E301" i="40" s="1"/>
  <c r="F301" i="40" s="1" a="1"/>
  <c r="F301" i="40" s="1"/>
  <c r="H358" i="39"/>
  <c r="E359" i="39" s="1" a="1"/>
  <c r="E359" i="39" s="1"/>
  <c r="F359" i="39" s="1" a="1"/>
  <c r="F359" i="39" s="1"/>
  <c r="M359" i="39" s="1"/>
  <c r="H359" i="39" s="1"/>
  <c r="E360" i="39" s="1" a="1"/>
  <c r="E360" i="39" s="1"/>
  <c r="F360" i="39" s="1" a="1"/>
  <c r="F360" i="39" s="1"/>
  <c r="P358" i="39"/>
  <c r="Q358" i="39"/>
  <c r="I358" i="39"/>
  <c r="M262" i="35"/>
  <c r="G262" i="35" s="1"/>
  <c r="O262" i="35" s="1"/>
  <c r="N261" i="35"/>
  <c r="Q261" i="35"/>
  <c r="P261" i="35"/>
  <c r="G300" i="40" l="1"/>
  <c r="O300" i="40" s="1"/>
  <c r="P300" i="40" s="1"/>
  <c r="M301" i="40"/>
  <c r="H301" i="40" s="1"/>
  <c r="E302" i="40" s="1" a="1"/>
  <c r="E302" i="40" s="1"/>
  <c r="F302" i="40" s="1" a="1"/>
  <c r="F302" i="40" s="1"/>
  <c r="I300" i="40"/>
  <c r="I359" i="39"/>
  <c r="G359" i="39"/>
  <c r="O359" i="39" s="1"/>
  <c r="N359" i="39" s="1"/>
  <c r="M360" i="39"/>
  <c r="I360" i="39" s="1"/>
  <c r="H262" i="35"/>
  <c r="E263" i="35" s="1" a="1"/>
  <c r="E263" i="35" s="1"/>
  <c r="F263" i="35" s="1" a="1"/>
  <c r="F263" i="35" s="1"/>
  <c r="M263" i="35" s="1"/>
  <c r="I263" i="35" s="1"/>
  <c r="Q262" i="35"/>
  <c r="N262" i="35"/>
  <c r="P262" i="35"/>
  <c r="I262" i="35"/>
  <c r="N300" i="40" l="1"/>
  <c r="Q300" i="40"/>
  <c r="G301" i="40"/>
  <c r="O301" i="40" s="1"/>
  <c r="Q301" i="40" s="1"/>
  <c r="I301" i="40"/>
  <c r="M302" i="40"/>
  <c r="I302" i="40" s="1"/>
  <c r="P359" i="39"/>
  <c r="Q359" i="39"/>
  <c r="H360" i="39"/>
  <c r="E361" i="39" s="1" a="1"/>
  <c r="E361" i="39" s="1"/>
  <c r="F361" i="39" s="1" a="1"/>
  <c r="F361" i="39" s="1"/>
  <c r="G360" i="39"/>
  <c r="O360" i="39" s="1"/>
  <c r="H263" i="35"/>
  <c r="E264" i="35" s="1" a="1"/>
  <c r="E264" i="35" s="1"/>
  <c r="F264" i="35" s="1" a="1"/>
  <c r="F264" i="35" s="1"/>
  <c r="M264" i="35" s="1"/>
  <c r="I264" i="35" s="1"/>
  <c r="G263" i="35"/>
  <c r="O263" i="35" s="1"/>
  <c r="N301" i="40" l="1"/>
  <c r="P301" i="40"/>
  <c r="G302" i="40"/>
  <c r="O302" i="40" s="1"/>
  <c r="H302" i="40"/>
  <c r="E303" i="40" s="1" a="1"/>
  <c r="E303" i="40" s="1"/>
  <c r="F303" i="40" s="1" a="1"/>
  <c r="F303" i="40" s="1"/>
  <c r="Q360" i="39"/>
  <c r="P360" i="39"/>
  <c r="N360" i="39"/>
  <c r="M361" i="39"/>
  <c r="G361" i="39" s="1"/>
  <c r="O361" i="39" s="1"/>
  <c r="G264" i="35"/>
  <c r="O264" i="35" s="1"/>
  <c r="P264" i="35" s="1"/>
  <c r="H264" i="35"/>
  <c r="E265" i="35" s="1" a="1"/>
  <c r="E265" i="35" s="1"/>
  <c r="F265" i="35" s="1" a="1"/>
  <c r="F265" i="35" s="1"/>
  <c r="N263" i="35"/>
  <c r="Q263" i="35"/>
  <c r="P263" i="35"/>
  <c r="M303" i="40" l="1"/>
  <c r="I303" i="40" s="1"/>
  <c r="P302" i="40"/>
  <c r="Q302" i="40"/>
  <c r="N302" i="40"/>
  <c r="Q361" i="39"/>
  <c r="P361" i="39"/>
  <c r="N361" i="39"/>
  <c r="I361" i="39"/>
  <c r="H361" i="39"/>
  <c r="E362" i="39" s="1" a="1"/>
  <c r="E362" i="39" s="1"/>
  <c r="F362" i="39" s="1" a="1"/>
  <c r="F362" i="39" s="1"/>
  <c r="N264" i="35"/>
  <c r="Q264" i="35"/>
  <c r="M265" i="35"/>
  <c r="I265" i="35" s="1"/>
  <c r="H303" i="40" l="1"/>
  <c r="E304" i="40" s="1" a="1"/>
  <c r="E304" i="40" s="1"/>
  <c r="F304" i="40" s="1" a="1"/>
  <c r="F304" i="40" s="1"/>
  <c r="G303" i="40"/>
  <c r="O303" i="40" s="1"/>
  <c r="M362" i="39"/>
  <c r="G362" i="39" s="1"/>
  <c r="O362" i="39" s="1"/>
  <c r="G265" i="35"/>
  <c r="O265" i="35" s="1"/>
  <c r="Q265" i="35" s="1"/>
  <c r="H265" i="35"/>
  <c r="E266" i="35" s="1" a="1"/>
  <c r="E266" i="35" s="1"/>
  <c r="F266" i="35" s="1" a="1"/>
  <c r="F266" i="35" s="1"/>
  <c r="N303" i="40" l="1"/>
  <c r="Q303" i="40"/>
  <c r="P303" i="40"/>
  <c r="M304" i="40"/>
  <c r="H304" i="40" s="1"/>
  <c r="E305" i="40" s="1" a="1"/>
  <c r="E305" i="40" s="1"/>
  <c r="F305" i="40" s="1" a="1"/>
  <c r="F305" i="40" s="1"/>
  <c r="H362" i="39"/>
  <c r="E363" i="39" s="1" a="1"/>
  <c r="E363" i="39" s="1"/>
  <c r="F363" i="39" s="1" a="1"/>
  <c r="F363" i="39" s="1"/>
  <c r="M363" i="39" s="1"/>
  <c r="I363" i="39" s="1"/>
  <c r="I362" i="39"/>
  <c r="N362" i="39"/>
  <c r="Q362" i="39"/>
  <c r="P362" i="39"/>
  <c r="N265" i="35"/>
  <c r="P265" i="35"/>
  <c r="M266" i="35"/>
  <c r="I266" i="35" s="1"/>
  <c r="G304" i="40" l="1"/>
  <c r="O304" i="40" s="1"/>
  <c r="P304" i="40" s="1"/>
  <c r="M305" i="40"/>
  <c r="I305" i="40" s="1"/>
  <c r="I304" i="40"/>
  <c r="H363" i="39"/>
  <c r="E364" i="39" s="1" a="1"/>
  <c r="E364" i="39" s="1"/>
  <c r="F364" i="39" s="1" a="1"/>
  <c r="F364" i="39" s="1"/>
  <c r="G363" i="39"/>
  <c r="O363" i="39" s="1"/>
  <c r="G266" i="35"/>
  <c r="O266" i="35" s="1"/>
  <c r="H266" i="35"/>
  <c r="E267" i="35" s="1" a="1"/>
  <c r="E267" i="35" s="1"/>
  <c r="F267" i="35" s="1" a="1"/>
  <c r="F267" i="35" s="1"/>
  <c r="N304" i="40" l="1"/>
  <c r="Q304" i="40"/>
  <c r="G305" i="40"/>
  <c r="O305" i="40" s="1"/>
  <c r="P305" i="40" s="1"/>
  <c r="H305" i="40"/>
  <c r="E306" i="40" s="1" a="1"/>
  <c r="E306" i="40" s="1"/>
  <c r="F306" i="40" s="1" a="1"/>
  <c r="F306" i="40" s="1"/>
  <c r="Q363" i="39"/>
  <c r="P363" i="39"/>
  <c r="N363" i="39"/>
  <c r="M364" i="39"/>
  <c r="H364" i="39" s="1"/>
  <c r="E365" i="39" s="1" a="1"/>
  <c r="E365" i="39" s="1"/>
  <c r="F365" i="39" s="1" a="1"/>
  <c r="F365" i="39" s="1"/>
  <c r="M267" i="35"/>
  <c r="I267" i="35" s="1"/>
  <c r="N266" i="35"/>
  <c r="Q266" i="35"/>
  <c r="P266" i="35"/>
  <c r="Q305" i="40" l="1"/>
  <c r="N305" i="40"/>
  <c r="M306" i="40"/>
  <c r="I306" i="40" s="1"/>
  <c r="M365" i="39"/>
  <c r="H365" i="39" s="1"/>
  <c r="E366" i="39" s="1" a="1"/>
  <c r="E366" i="39" s="1"/>
  <c r="F366" i="39" s="1" a="1"/>
  <c r="F366" i="39" s="1"/>
  <c r="G364" i="39"/>
  <c r="O364" i="39" s="1"/>
  <c r="I364" i="39"/>
  <c r="G267" i="35"/>
  <c r="O267" i="35" s="1"/>
  <c r="G306" i="40" l="1"/>
  <c r="O306" i="40" s="1"/>
  <c r="Q306" i="40" s="1"/>
  <c r="H306" i="40"/>
  <c r="E307" i="40" s="1" a="1"/>
  <c r="E307" i="40" s="1"/>
  <c r="F307" i="40" s="1" a="1"/>
  <c r="F307" i="40" s="1"/>
  <c r="M366" i="39"/>
  <c r="H366" i="39" s="1"/>
  <c r="E367" i="39" s="1" a="1"/>
  <c r="E367" i="39" s="1"/>
  <c r="F367" i="39" s="1" a="1"/>
  <c r="F367" i="39" s="1"/>
  <c r="I365" i="39"/>
  <c r="G365" i="39"/>
  <c r="O365" i="39" s="1"/>
  <c r="P364" i="39"/>
  <c r="Q364" i="39"/>
  <c r="N364" i="39"/>
  <c r="N267" i="35"/>
  <c r="Q267" i="35"/>
  <c r="P267" i="35"/>
  <c r="H267" i="35"/>
  <c r="E268" i="35" s="1" a="1"/>
  <c r="E268" i="35" s="1"/>
  <c r="F268" i="35" s="1" a="1"/>
  <c r="F268" i="35" s="1"/>
  <c r="N306" i="40" l="1"/>
  <c r="P306" i="40"/>
  <c r="I366" i="39"/>
  <c r="M307" i="40"/>
  <c r="G307" i="40" s="1"/>
  <c r="O307" i="40" s="1"/>
  <c r="M367" i="39"/>
  <c r="H367" i="39" s="1"/>
  <c r="E368" i="39" s="1" a="1"/>
  <c r="E368" i="39" s="1"/>
  <c r="F368" i="39" s="1" a="1"/>
  <c r="F368" i="39" s="1"/>
  <c r="G366" i="39"/>
  <c r="O366" i="39" s="1"/>
  <c r="Q365" i="39"/>
  <c r="P365" i="39"/>
  <c r="N365" i="39"/>
  <c r="M268" i="35"/>
  <c r="I268" i="35" s="1"/>
  <c r="N307" i="40" l="1"/>
  <c r="P307" i="40"/>
  <c r="Q307" i="40"/>
  <c r="I367" i="39"/>
  <c r="I307" i="40"/>
  <c r="H307" i="40"/>
  <c r="E308" i="40" s="1" a="1"/>
  <c r="E308" i="40" s="1"/>
  <c r="F308" i="40" s="1" a="1"/>
  <c r="F308" i="40" s="1"/>
  <c r="M368" i="39"/>
  <c r="H368" i="39" s="1"/>
  <c r="E369" i="39" s="1" a="1"/>
  <c r="E369" i="39" s="1"/>
  <c r="F369" i="39" s="1" a="1"/>
  <c r="F369" i="39" s="1"/>
  <c r="N366" i="39"/>
  <c r="P366" i="39"/>
  <c r="Q366" i="39"/>
  <c r="G367" i="39"/>
  <c r="O367" i="39" s="1"/>
  <c r="M308" i="40" l="1"/>
  <c r="I308" i="40" s="1"/>
  <c r="G368" i="39"/>
  <c r="O368" i="39" s="1"/>
  <c r="Q368" i="39" s="1"/>
  <c r="M369" i="39"/>
  <c r="H369" i="39" s="1"/>
  <c r="E370" i="39" s="1" a="1"/>
  <c r="E370" i="39" s="1"/>
  <c r="F370" i="39" s="1" a="1"/>
  <c r="F370" i="39" s="1"/>
  <c r="I368" i="39"/>
  <c r="Q367" i="39"/>
  <c r="P367" i="39"/>
  <c r="N367" i="39"/>
  <c r="G268" i="35"/>
  <c r="O268" i="35" s="1"/>
  <c r="H268" i="35"/>
  <c r="E269" i="35" s="1" a="1"/>
  <c r="E269" i="35" s="1"/>
  <c r="F269" i="35" s="1" a="1"/>
  <c r="F269" i="35" s="1"/>
  <c r="G308" i="40" l="1"/>
  <c r="O308" i="40" s="1"/>
  <c r="P308" i="40" s="1"/>
  <c r="H308" i="40"/>
  <c r="E309" i="40" s="1" a="1"/>
  <c r="E309" i="40" s="1"/>
  <c r="F309" i="40" s="1" a="1"/>
  <c r="F309" i="40" s="1"/>
  <c r="M309" i="40" s="1"/>
  <c r="I309" i="40" s="1"/>
  <c r="N368" i="39"/>
  <c r="P368" i="39"/>
  <c r="I369" i="39"/>
  <c r="M370" i="39"/>
  <c r="H370" i="39" s="1"/>
  <c r="E371" i="39" s="1" a="1"/>
  <c r="E371" i="39" s="1"/>
  <c r="F371" i="39" s="1" a="1"/>
  <c r="F371" i="39" s="1"/>
  <c r="G369" i="39"/>
  <c r="O369" i="39" s="1"/>
  <c r="M269" i="35"/>
  <c r="I269" i="35" s="1"/>
  <c r="Q268" i="35"/>
  <c r="N268" i="35"/>
  <c r="P268" i="35"/>
  <c r="N308" i="40" l="1"/>
  <c r="Q308" i="40"/>
  <c r="G309" i="40"/>
  <c r="O309" i="40" s="1"/>
  <c r="H309" i="40"/>
  <c r="E310" i="40" s="1" a="1"/>
  <c r="E310" i="40" s="1"/>
  <c r="F310" i="40" s="1" a="1"/>
  <c r="F310" i="40" s="1"/>
  <c r="M371" i="39"/>
  <c r="I371" i="39" s="1"/>
  <c r="G370" i="39"/>
  <c r="O370" i="39" s="1"/>
  <c r="Q369" i="39"/>
  <c r="P369" i="39"/>
  <c r="N369" i="39"/>
  <c r="I370" i="39"/>
  <c r="H269" i="35"/>
  <c r="E270" i="35" s="1" a="1"/>
  <c r="E270" i="35" s="1"/>
  <c r="F270" i="35" s="1" a="1"/>
  <c r="F270" i="35" s="1"/>
  <c r="M310" i="40" l="1"/>
  <c r="I310" i="40" s="1"/>
  <c r="Q309" i="40"/>
  <c r="P309" i="40"/>
  <c r="N309" i="40"/>
  <c r="H371" i="39"/>
  <c r="E372" i="39" s="1" a="1"/>
  <c r="E372" i="39" s="1"/>
  <c r="F372" i="39" s="1" a="1"/>
  <c r="F372" i="39" s="1"/>
  <c r="M372" i="39" s="1"/>
  <c r="H372" i="39" s="1"/>
  <c r="E373" i="39" s="1" a="1"/>
  <c r="E373" i="39" s="1"/>
  <c r="F373" i="39" s="1" a="1"/>
  <c r="F373" i="39" s="1"/>
  <c r="G371" i="39"/>
  <c r="O371" i="39" s="1"/>
  <c r="Q371" i="39" s="1"/>
  <c r="N370" i="39"/>
  <c r="Q370" i="39"/>
  <c r="P370" i="39"/>
  <c r="M270" i="35"/>
  <c r="I270" i="35" s="1"/>
  <c r="G269" i="35"/>
  <c r="O269" i="35" s="1"/>
  <c r="G310" i="40" l="1"/>
  <c r="O310" i="40" s="1"/>
  <c r="N310" i="40" s="1"/>
  <c r="P371" i="39"/>
  <c r="N371" i="39"/>
  <c r="H310" i="40"/>
  <c r="E311" i="40" s="1" a="1"/>
  <c r="E311" i="40" s="1"/>
  <c r="F311" i="40" s="1" a="1"/>
  <c r="F311" i="40" s="1"/>
  <c r="M311" i="40" s="1"/>
  <c r="I311" i="40" s="1"/>
  <c r="M373" i="39"/>
  <c r="H373" i="39" s="1"/>
  <c r="E374" i="39" s="1" a="1"/>
  <c r="E374" i="39" s="1"/>
  <c r="F374" i="39" s="1" a="1"/>
  <c r="F374" i="39" s="1"/>
  <c r="I372" i="39"/>
  <c r="G372" i="39"/>
  <c r="O372" i="39" s="1"/>
  <c r="G270" i="35"/>
  <c r="O270" i="35" s="1"/>
  <c r="P270" i="35" s="1"/>
  <c r="H270" i="35"/>
  <c r="E271" i="35" s="1" a="1"/>
  <c r="E271" i="35" s="1"/>
  <c r="F271" i="35" s="1" a="1"/>
  <c r="F271" i="35" s="1"/>
  <c r="M271" i="35" s="1"/>
  <c r="I271" i="35" s="1"/>
  <c r="N269" i="35"/>
  <c r="Q269" i="35"/>
  <c r="P269" i="35"/>
  <c r="P310" i="40" l="1"/>
  <c r="Q310" i="40"/>
  <c r="G311" i="40"/>
  <c r="O311" i="40" s="1"/>
  <c r="Q311" i="40" s="1"/>
  <c r="H311" i="40"/>
  <c r="E312" i="40" s="1" a="1"/>
  <c r="E312" i="40" s="1"/>
  <c r="F312" i="40" s="1" a="1"/>
  <c r="F312" i="40" s="1"/>
  <c r="I373" i="39"/>
  <c r="M374" i="39"/>
  <c r="G374" i="39" s="1"/>
  <c r="O374" i="39" s="1"/>
  <c r="N372" i="39"/>
  <c r="Q372" i="39"/>
  <c r="P372" i="39"/>
  <c r="G373" i="39"/>
  <c r="O373" i="39" s="1"/>
  <c r="Q270" i="35"/>
  <c r="N270" i="35"/>
  <c r="G271" i="35"/>
  <c r="O271" i="35" s="1"/>
  <c r="H271" i="35"/>
  <c r="E272" i="35" s="1" a="1"/>
  <c r="E272" i="35" s="1"/>
  <c r="F272" i="35" s="1" a="1"/>
  <c r="F272" i="35" s="1"/>
  <c r="N311" i="40" l="1"/>
  <c r="P311" i="40"/>
  <c r="M312" i="40"/>
  <c r="G312" i="40" s="1"/>
  <c r="O312" i="40" s="1"/>
  <c r="N374" i="39"/>
  <c r="Q374" i="39"/>
  <c r="P374" i="39"/>
  <c r="Q373" i="39"/>
  <c r="P373" i="39"/>
  <c r="N373" i="39"/>
  <c r="I374" i="39"/>
  <c r="H374" i="39"/>
  <c r="E375" i="39" s="1" a="1"/>
  <c r="E375" i="39" s="1"/>
  <c r="F375" i="39" s="1" a="1"/>
  <c r="F375" i="39" s="1"/>
  <c r="M272" i="35"/>
  <c r="I272" i="35" s="1"/>
  <c r="N271" i="35"/>
  <c r="P271" i="35"/>
  <c r="Q271" i="35"/>
  <c r="P312" i="40" l="1"/>
  <c r="Q312" i="40"/>
  <c r="N312" i="40"/>
  <c r="I312" i="40"/>
  <c r="H312" i="40"/>
  <c r="E313" i="40" s="1" a="1"/>
  <c r="E313" i="40" s="1"/>
  <c r="F313" i="40" s="1" a="1"/>
  <c r="F313" i="40" s="1"/>
  <c r="M313" i="40" s="1"/>
  <c r="G313" i="40" s="1"/>
  <c r="O313" i="40" s="1"/>
  <c r="N313" i="40" s="1"/>
  <c r="M375" i="39"/>
  <c r="I375" i="39" s="1"/>
  <c r="H272" i="35"/>
  <c r="E273" i="35" s="1" a="1"/>
  <c r="E273" i="35" s="1"/>
  <c r="F273" i="35" s="1" a="1"/>
  <c r="F273" i="35" s="1"/>
  <c r="M273" i="35" s="1"/>
  <c r="G272" i="35"/>
  <c r="O272" i="35" s="1"/>
  <c r="P313" i="40" l="1"/>
  <c r="I313" i="40"/>
  <c r="H313" i="40"/>
  <c r="E314" i="40" s="1" a="1"/>
  <c r="E314" i="40" s="1"/>
  <c r="F314" i="40" s="1" a="1"/>
  <c r="F314" i="40" s="1"/>
  <c r="M314" i="40" s="1"/>
  <c r="H314" i="40" s="1"/>
  <c r="E315" i="40" s="1" a="1"/>
  <c r="E315" i="40" s="1"/>
  <c r="F315" i="40" s="1" a="1"/>
  <c r="F315" i="40" s="1"/>
  <c r="Q313" i="40"/>
  <c r="G375" i="39"/>
  <c r="O375" i="39" s="1"/>
  <c r="N375" i="39" s="1"/>
  <c r="H375" i="39"/>
  <c r="E376" i="39" s="1" a="1"/>
  <c r="E376" i="39" s="1"/>
  <c r="F376" i="39" s="1" a="1"/>
  <c r="F376" i="39" s="1"/>
  <c r="M376" i="39" s="1"/>
  <c r="I376" i="39" s="1"/>
  <c r="H273" i="35"/>
  <c r="E274" i="35" s="1" a="1"/>
  <c r="E274" i="35" s="1"/>
  <c r="F274" i="35" s="1" a="1"/>
  <c r="F274" i="35" s="1"/>
  <c r="M274" i="35" s="1"/>
  <c r="I274" i="35" s="1"/>
  <c r="G273" i="35"/>
  <c r="O273" i="35" s="1"/>
  <c r="P273" i="35" s="1"/>
  <c r="I273" i="35"/>
  <c r="Q272" i="35"/>
  <c r="N272" i="35"/>
  <c r="P272" i="35"/>
  <c r="M315" i="40" l="1"/>
  <c r="I315" i="40" s="1"/>
  <c r="P375" i="39"/>
  <c r="Q375" i="39"/>
  <c r="G314" i="40"/>
  <c r="O314" i="40" s="1"/>
  <c r="I314" i="40"/>
  <c r="H376" i="39"/>
  <c r="E377" i="39" s="1" a="1"/>
  <c r="E377" i="39" s="1"/>
  <c r="F377" i="39" s="1" a="1"/>
  <c r="F377" i="39" s="1"/>
  <c r="M377" i="39" s="1"/>
  <c r="H377" i="39" s="1"/>
  <c r="E378" i="39" s="1" a="1"/>
  <c r="E378" i="39" s="1"/>
  <c r="F378" i="39" s="1" a="1"/>
  <c r="F378" i="39" s="1"/>
  <c r="G376" i="39"/>
  <c r="O376" i="39" s="1"/>
  <c r="Q376" i="39" s="1"/>
  <c r="Q273" i="35"/>
  <c r="N273" i="35"/>
  <c r="G315" i="40" l="1"/>
  <c r="O315" i="40" s="1"/>
  <c r="P315" i="40" s="1"/>
  <c r="Q314" i="40"/>
  <c r="P314" i="40"/>
  <c r="N314" i="40"/>
  <c r="H315" i="40"/>
  <c r="E316" i="40" s="1" a="1"/>
  <c r="E316" i="40" s="1"/>
  <c r="F316" i="40" s="1" a="1"/>
  <c r="F316" i="40" s="1"/>
  <c r="N376" i="39"/>
  <c r="P376" i="39"/>
  <c r="M378" i="39"/>
  <c r="G378" i="39" s="1"/>
  <c r="O378" i="39" s="1"/>
  <c r="I377" i="39"/>
  <c r="G377" i="39"/>
  <c r="O377" i="39" s="1"/>
  <c r="H274" i="35"/>
  <c r="E275" i="35" s="1" a="1"/>
  <c r="E275" i="35" s="1"/>
  <c r="F275" i="35" s="1" a="1"/>
  <c r="F275" i="35" s="1"/>
  <c r="G274" i="35"/>
  <c r="O274" i="35" s="1"/>
  <c r="N315" i="40" l="1"/>
  <c r="Q315" i="40"/>
  <c r="M316" i="40"/>
  <c r="G316" i="40" s="1"/>
  <c r="O316" i="40" s="1"/>
  <c r="H378" i="39"/>
  <c r="E379" i="39" s="1" a="1"/>
  <c r="E379" i="39" s="1"/>
  <c r="F379" i="39" s="1" a="1"/>
  <c r="F379" i="39" s="1"/>
  <c r="M379" i="39" s="1"/>
  <c r="I379" i="39" s="1"/>
  <c r="I378" i="39"/>
  <c r="Q377" i="39"/>
  <c r="P377" i="39"/>
  <c r="N377" i="39"/>
  <c r="N378" i="39"/>
  <c r="Q378" i="39"/>
  <c r="P378" i="39"/>
  <c r="M275" i="35"/>
  <c r="I275" i="35" s="1"/>
  <c r="N274" i="35"/>
  <c r="P274" i="35"/>
  <c r="Q274" i="35"/>
  <c r="P316" i="40" l="1"/>
  <c r="N316" i="40"/>
  <c r="Q316" i="40"/>
  <c r="I316" i="40"/>
  <c r="H316" i="40"/>
  <c r="E317" i="40" s="1" a="1"/>
  <c r="E317" i="40" s="1"/>
  <c r="F317" i="40" s="1" a="1"/>
  <c r="F317" i="40" s="1"/>
  <c r="G379" i="39"/>
  <c r="O379" i="39" s="1"/>
  <c r="Q379" i="39" s="1"/>
  <c r="H379" i="39"/>
  <c r="E380" i="39" s="1" a="1"/>
  <c r="E380" i="39" s="1"/>
  <c r="F380" i="39" s="1" a="1"/>
  <c r="F380" i="39" s="1"/>
  <c r="M380" i="39" s="1"/>
  <c r="H275" i="35"/>
  <c r="E276" i="35" s="1" a="1"/>
  <c r="E276" i="35" s="1"/>
  <c r="F276" i="35" s="1" a="1"/>
  <c r="F276" i="35" s="1"/>
  <c r="G275" i="35"/>
  <c r="O275" i="35" s="1"/>
  <c r="N379" i="39" l="1"/>
  <c r="P379" i="39"/>
  <c r="M317" i="40"/>
  <c r="I317" i="40" s="1"/>
  <c r="I380" i="39"/>
  <c r="G380" i="39"/>
  <c r="O380" i="39" s="1"/>
  <c r="P380" i="39" s="1"/>
  <c r="H380" i="39"/>
  <c r="E381" i="39" s="1" a="1"/>
  <c r="E381" i="39" s="1"/>
  <c r="F381" i="39" s="1" a="1"/>
  <c r="F381" i="39" s="1"/>
  <c r="M381" i="39" s="1"/>
  <c r="H381" i="39" s="1"/>
  <c r="E382" i="39" s="1" a="1"/>
  <c r="E382" i="39" s="1"/>
  <c r="F382" i="39" s="1" a="1"/>
  <c r="F382" i="39" s="1"/>
  <c r="M276" i="35"/>
  <c r="I276" i="35" s="1"/>
  <c r="N275" i="35"/>
  <c r="Q275" i="35"/>
  <c r="P275" i="35"/>
  <c r="G317" i="40" l="1"/>
  <c r="O317" i="40" s="1"/>
  <c r="Q317" i="40" s="1"/>
  <c r="H317" i="40"/>
  <c r="E318" i="40" s="1" a="1"/>
  <c r="E318" i="40" s="1"/>
  <c r="F318" i="40" s="1" a="1"/>
  <c r="F318" i="40" s="1"/>
  <c r="M318" i="40" s="1"/>
  <c r="I318" i="40" s="1"/>
  <c r="N380" i="39"/>
  <c r="Q380" i="39"/>
  <c r="M382" i="39"/>
  <c r="H382" i="39" s="1"/>
  <c r="E383" i="39" s="1" a="1"/>
  <c r="E383" i="39" s="1"/>
  <c r="F383" i="39" s="1" a="1"/>
  <c r="F383" i="39" s="1"/>
  <c r="I381" i="39"/>
  <c r="G381" i="39"/>
  <c r="O381" i="39" s="1"/>
  <c r="H276" i="35"/>
  <c r="E277" i="35" s="1" a="1"/>
  <c r="E277" i="35" s="1"/>
  <c r="F277" i="35" s="1" a="1"/>
  <c r="F277" i="35" s="1"/>
  <c r="G276" i="35"/>
  <c r="O276" i="35" s="1"/>
  <c r="P317" i="40" l="1"/>
  <c r="N317" i="40"/>
  <c r="I382" i="39"/>
  <c r="G382" i="39"/>
  <c r="O382" i="39" s="1"/>
  <c r="N382" i="39" s="1"/>
  <c r="G318" i="40"/>
  <c r="O318" i="40" s="1"/>
  <c r="H318" i="40"/>
  <c r="E319" i="40" s="1" a="1"/>
  <c r="E319" i="40" s="1"/>
  <c r="F319" i="40" s="1" a="1"/>
  <c r="F319" i="40" s="1"/>
  <c r="M383" i="39"/>
  <c r="H383" i="39" s="1"/>
  <c r="E384" i="39" s="1" a="1"/>
  <c r="E384" i="39" s="1"/>
  <c r="F384" i="39" s="1" a="1"/>
  <c r="F384" i="39" s="1"/>
  <c r="Q381" i="39"/>
  <c r="P381" i="39"/>
  <c r="N381" i="39"/>
  <c r="M277" i="35"/>
  <c r="I277" i="35" s="1"/>
  <c r="P276" i="35"/>
  <c r="N276" i="35"/>
  <c r="Q276" i="35"/>
  <c r="P382" i="39" l="1"/>
  <c r="Q382" i="39"/>
  <c r="M319" i="40"/>
  <c r="I319" i="40" s="1"/>
  <c r="I383" i="39"/>
  <c r="N318" i="40"/>
  <c r="Q318" i="40"/>
  <c r="P318" i="40"/>
  <c r="G383" i="39"/>
  <c r="O383" i="39" s="1"/>
  <c r="N383" i="39" s="1"/>
  <c r="M384" i="39"/>
  <c r="I384" i="39" s="1"/>
  <c r="H277" i="35"/>
  <c r="E278" i="35" s="1" a="1"/>
  <c r="E278" i="35" s="1"/>
  <c r="F278" i="35" s="1" a="1"/>
  <c r="F278" i="35" s="1"/>
  <c r="Q383" i="39" l="1"/>
  <c r="P383" i="39"/>
  <c r="H319" i="40"/>
  <c r="E320" i="40" s="1" a="1"/>
  <c r="E320" i="40" s="1"/>
  <c r="F320" i="40" s="1" a="1"/>
  <c r="F320" i="40" s="1"/>
  <c r="G319" i="40"/>
  <c r="O319" i="40" s="1"/>
  <c r="H384" i="39"/>
  <c r="E385" i="39" s="1" a="1"/>
  <c r="E385" i="39" s="1"/>
  <c r="F385" i="39" s="1" a="1"/>
  <c r="F385" i="39" s="1"/>
  <c r="M385" i="39" s="1"/>
  <c r="G385" i="39" s="1"/>
  <c r="O385" i="39" s="1"/>
  <c r="G384" i="39"/>
  <c r="O384" i="39" s="1"/>
  <c r="N384" i="39" s="1"/>
  <c r="M278" i="35"/>
  <c r="I278" i="35" s="1"/>
  <c r="G277" i="35"/>
  <c r="O277" i="35" s="1"/>
  <c r="P384" i="39" l="1"/>
  <c r="Q319" i="40"/>
  <c r="P319" i="40"/>
  <c r="N319" i="40"/>
  <c r="M320" i="40"/>
  <c r="H320" i="40" s="1"/>
  <c r="E321" i="40" s="1" a="1"/>
  <c r="E321" i="40" s="1"/>
  <c r="F321" i="40" s="1" a="1"/>
  <c r="F321" i="40" s="1"/>
  <c r="Q384" i="39"/>
  <c r="N385" i="39"/>
  <c r="Q385" i="39"/>
  <c r="P385" i="39"/>
  <c r="I385" i="39"/>
  <c r="H385" i="39"/>
  <c r="E386" i="39" s="1" a="1"/>
  <c r="E386" i="39" s="1"/>
  <c r="F386" i="39" s="1" a="1"/>
  <c r="F386" i="39" s="1"/>
  <c r="H278" i="35"/>
  <c r="E279" i="35" s="1" a="1"/>
  <c r="E279" i="35" s="1"/>
  <c r="F279" i="35" s="1" a="1"/>
  <c r="F279" i="35" s="1"/>
  <c r="M279" i="35" s="1"/>
  <c r="I279" i="35" s="1"/>
  <c r="G278" i="35"/>
  <c r="O278" i="35" s="1"/>
  <c r="P278" i="35" s="1"/>
  <c r="P277" i="35"/>
  <c r="Q277" i="35"/>
  <c r="N277" i="35"/>
  <c r="M321" i="40" l="1"/>
  <c r="I321" i="40" s="1"/>
  <c r="I320" i="40"/>
  <c r="G320" i="40"/>
  <c r="O320" i="40" s="1"/>
  <c r="M386" i="39"/>
  <c r="H386" i="39" s="1"/>
  <c r="E387" i="39" s="1" a="1"/>
  <c r="E387" i="39" s="1"/>
  <c r="F387" i="39" s="1" a="1"/>
  <c r="F387" i="39" s="1"/>
  <c r="N278" i="35"/>
  <c r="Q278" i="35"/>
  <c r="H321" i="40" l="1"/>
  <c r="E322" i="40" s="1" a="1"/>
  <c r="E322" i="40" s="1"/>
  <c r="F322" i="40" s="1" a="1"/>
  <c r="F322" i="40" s="1"/>
  <c r="M322" i="40" s="1"/>
  <c r="G322" i="40" s="1"/>
  <c r="O322" i="40" s="1"/>
  <c r="G321" i="40"/>
  <c r="O321" i="40" s="1"/>
  <c r="P321" i="40" s="1"/>
  <c r="P320" i="40"/>
  <c r="Q320" i="40"/>
  <c r="N320" i="40"/>
  <c r="M387" i="39"/>
  <c r="I387" i="39" s="1"/>
  <c r="G386" i="39"/>
  <c r="O386" i="39" s="1"/>
  <c r="I386" i="39"/>
  <c r="H279" i="35"/>
  <c r="E280" i="35" s="1" a="1"/>
  <c r="E280" i="35" s="1"/>
  <c r="F280" i="35" s="1" a="1"/>
  <c r="F280" i="35" s="1"/>
  <c r="G279" i="35"/>
  <c r="O279" i="35" s="1"/>
  <c r="N321" i="40" l="1"/>
  <c r="Q321" i="40"/>
  <c r="H387" i="39"/>
  <c r="E388" i="39" s="1" a="1"/>
  <c r="E388" i="39" s="1"/>
  <c r="F388" i="39" s="1" a="1"/>
  <c r="F388" i="39" s="1"/>
  <c r="M388" i="39" s="1"/>
  <c r="H388" i="39" s="1"/>
  <c r="E389" i="39" s="1" a="1"/>
  <c r="E389" i="39" s="1"/>
  <c r="F389" i="39" s="1" a="1"/>
  <c r="F389" i="39" s="1"/>
  <c r="G387" i="39"/>
  <c r="O387" i="39" s="1"/>
  <c r="P387" i="39" s="1"/>
  <c r="Q322" i="40"/>
  <c r="P322" i="40"/>
  <c r="N322" i="40"/>
  <c r="I322" i="40"/>
  <c r="H322" i="40"/>
  <c r="E323" i="40" s="1" a="1"/>
  <c r="E323" i="40" s="1"/>
  <c r="F323" i="40" s="1" a="1"/>
  <c r="F323" i="40" s="1"/>
  <c r="N386" i="39"/>
  <c r="P386" i="39"/>
  <c r="Q386" i="39"/>
  <c r="M280" i="35"/>
  <c r="I280" i="35" s="1"/>
  <c r="P279" i="35"/>
  <c r="N279" i="35"/>
  <c r="Q279" i="35"/>
  <c r="N387" i="39" l="1"/>
  <c r="Q387" i="39"/>
  <c r="M323" i="40"/>
  <c r="I323" i="40" s="1"/>
  <c r="M389" i="39"/>
  <c r="H389" i="39" s="1"/>
  <c r="E390" i="39" s="1" a="1"/>
  <c r="E390" i="39" s="1"/>
  <c r="F390" i="39" s="1" a="1"/>
  <c r="F390" i="39" s="1"/>
  <c r="I388" i="39"/>
  <c r="G388" i="39"/>
  <c r="O388" i="39" s="1"/>
  <c r="G323" i="40" l="1"/>
  <c r="O323" i="40" s="1"/>
  <c r="N323" i="40" s="1"/>
  <c r="H323" i="40"/>
  <c r="E324" i="40" s="1" a="1"/>
  <c r="E324" i="40" s="1"/>
  <c r="F324" i="40" s="1" a="1"/>
  <c r="F324" i="40" s="1"/>
  <c r="M324" i="40" s="1"/>
  <c r="G324" i="40" s="1"/>
  <c r="O324" i="40" s="1"/>
  <c r="I389" i="39"/>
  <c r="M390" i="39"/>
  <c r="I390" i="39" s="1"/>
  <c r="N388" i="39"/>
  <c r="Q388" i="39"/>
  <c r="P388" i="39"/>
  <c r="G389" i="39"/>
  <c r="O389" i="39" s="1"/>
  <c r="G280" i="35"/>
  <c r="O280" i="35" s="1"/>
  <c r="H280" i="35"/>
  <c r="E281" i="35" s="1" a="1"/>
  <c r="E281" i="35" s="1"/>
  <c r="F281" i="35" s="1" a="1"/>
  <c r="F281" i="35" s="1"/>
  <c r="Q323" i="40" l="1"/>
  <c r="P323" i="40"/>
  <c r="P324" i="40"/>
  <c r="N324" i="40"/>
  <c r="Q324" i="40"/>
  <c r="H324" i="40"/>
  <c r="E325" i="40" s="1" a="1"/>
  <c r="E325" i="40" s="1"/>
  <c r="F325" i="40" s="1" a="1"/>
  <c r="F325" i="40" s="1"/>
  <c r="I324" i="40"/>
  <c r="G390" i="39"/>
  <c r="O390" i="39" s="1"/>
  <c r="Q390" i="39" s="1"/>
  <c r="H390" i="39"/>
  <c r="E391" i="39" s="1" a="1"/>
  <c r="E391" i="39" s="1"/>
  <c r="F391" i="39" s="1" a="1"/>
  <c r="F391" i="39" s="1"/>
  <c r="M391" i="39" s="1"/>
  <c r="G391" i="39" s="1"/>
  <c r="O391" i="39" s="1"/>
  <c r="N389" i="39"/>
  <c r="Q389" i="39"/>
  <c r="P389" i="39"/>
  <c r="M281" i="35"/>
  <c r="I281" i="35" s="1"/>
  <c r="Q280" i="35"/>
  <c r="N280" i="35"/>
  <c r="P280" i="35"/>
  <c r="P390" i="39" l="1"/>
  <c r="N390" i="39"/>
  <c r="M325" i="40"/>
  <c r="I325" i="40" s="1"/>
  <c r="N391" i="39"/>
  <c r="Q391" i="39"/>
  <c r="P391" i="39"/>
  <c r="I391" i="39"/>
  <c r="H391" i="39"/>
  <c r="E392" i="39" s="1" a="1"/>
  <c r="E392" i="39" s="1"/>
  <c r="F392" i="39" s="1" a="1"/>
  <c r="F392" i="39" s="1"/>
  <c r="G325" i="40" l="1"/>
  <c r="O325" i="40" s="1"/>
  <c r="Q325" i="40" s="1"/>
  <c r="H325" i="40"/>
  <c r="E326" i="40" s="1" a="1"/>
  <c r="E326" i="40" s="1"/>
  <c r="F326" i="40" s="1" a="1"/>
  <c r="F326" i="40" s="1"/>
  <c r="M326" i="40" s="1"/>
  <c r="H326" i="40" s="1"/>
  <c r="E327" i="40" s="1" a="1"/>
  <c r="E327" i="40" s="1"/>
  <c r="F327" i="40" s="1" a="1"/>
  <c r="F327" i="40" s="1"/>
  <c r="M392" i="39"/>
  <c r="I392" i="39" s="1"/>
  <c r="G281" i="35"/>
  <c r="O281" i="35" s="1"/>
  <c r="H281" i="35"/>
  <c r="E282" i="35" s="1" a="1"/>
  <c r="E282" i="35" s="1"/>
  <c r="F282" i="35" s="1" a="1"/>
  <c r="F282" i="35" s="1"/>
  <c r="P325" i="40" l="1"/>
  <c r="N325" i="40"/>
  <c r="G326" i="40"/>
  <c r="O326" i="40" s="1"/>
  <c r="P326" i="40" s="1"/>
  <c r="M327" i="40"/>
  <c r="I327" i="40" s="1"/>
  <c r="I326" i="40"/>
  <c r="G392" i="39"/>
  <c r="O392" i="39" s="1"/>
  <c r="Q392" i="39" s="1"/>
  <c r="H392" i="39"/>
  <c r="E393" i="39" s="1" a="1"/>
  <c r="E393" i="39" s="1"/>
  <c r="F393" i="39" s="1" a="1"/>
  <c r="F393" i="39" s="1"/>
  <c r="M393" i="39" s="1"/>
  <c r="I393" i="39" s="1"/>
  <c r="M282" i="35"/>
  <c r="I282" i="35" s="1"/>
  <c r="N281" i="35"/>
  <c r="P281" i="35"/>
  <c r="Q281" i="35"/>
  <c r="G327" i="40" l="1"/>
  <c r="O327" i="40" s="1"/>
  <c r="Q327" i="40" s="1"/>
  <c r="Q326" i="40"/>
  <c r="N326" i="40"/>
  <c r="P392" i="39"/>
  <c r="N392" i="39"/>
  <c r="H327" i="40"/>
  <c r="E328" i="40" s="1" a="1"/>
  <c r="E328" i="40" s="1"/>
  <c r="F328" i="40" s="1" a="1"/>
  <c r="F328" i="40" s="1"/>
  <c r="G393" i="39"/>
  <c r="O393" i="39" s="1"/>
  <c r="H393" i="39"/>
  <c r="E394" i="39" s="1" a="1"/>
  <c r="E394" i="39" s="1"/>
  <c r="F394" i="39" s="1" a="1"/>
  <c r="F394" i="39" s="1"/>
  <c r="G282" i="35"/>
  <c r="O282" i="35" s="1"/>
  <c r="P282" i="35" s="1"/>
  <c r="H282" i="35"/>
  <c r="E283" i="35" s="1" a="1"/>
  <c r="E283" i="35" s="1"/>
  <c r="F283" i="35" s="1" a="1"/>
  <c r="F283" i="35" s="1"/>
  <c r="M283" i="35" s="1"/>
  <c r="I283" i="35" s="1"/>
  <c r="N327" i="40" l="1"/>
  <c r="P327" i="40"/>
  <c r="M328" i="40"/>
  <c r="H328" i="40" s="1"/>
  <c r="E329" i="40" s="1" a="1"/>
  <c r="E329" i="40" s="1"/>
  <c r="F329" i="40" s="1" a="1"/>
  <c r="F329" i="40" s="1"/>
  <c r="M394" i="39"/>
  <c r="I394" i="39" s="1"/>
  <c r="Q393" i="39"/>
  <c r="P393" i="39"/>
  <c r="N393" i="39"/>
  <c r="N282" i="35"/>
  <c r="Q282" i="35"/>
  <c r="H283" i="35"/>
  <c r="E284" i="35" s="1" a="1"/>
  <c r="E284" i="35" s="1"/>
  <c r="F284" i="35" s="1" a="1"/>
  <c r="F284" i="35" s="1"/>
  <c r="M284" i="35" s="1"/>
  <c r="I284" i="35" s="1"/>
  <c r="G283" i="35"/>
  <c r="O283" i="35" s="1"/>
  <c r="G328" i="40" l="1"/>
  <c r="O328" i="40" s="1"/>
  <c r="Q328" i="40" s="1"/>
  <c r="I328" i="40"/>
  <c r="M329" i="40"/>
  <c r="G329" i="40" s="1"/>
  <c r="O329" i="40" s="1"/>
  <c r="G394" i="39"/>
  <c r="O394" i="39" s="1"/>
  <c r="N394" i="39" s="1"/>
  <c r="H394" i="39"/>
  <c r="E395" i="39" s="1" a="1"/>
  <c r="E395" i="39" s="1"/>
  <c r="F395" i="39" s="1" a="1"/>
  <c r="F395" i="39" s="1"/>
  <c r="H284" i="35"/>
  <c r="E285" i="35" s="1" a="1"/>
  <c r="E285" i="35" s="1"/>
  <c r="F285" i="35" s="1" a="1"/>
  <c r="F285" i="35" s="1"/>
  <c r="M285" i="35" s="1"/>
  <c r="I285" i="35" s="1"/>
  <c r="G284" i="35"/>
  <c r="O284" i="35" s="1"/>
  <c r="N283" i="35"/>
  <c r="Q283" i="35"/>
  <c r="P283" i="35"/>
  <c r="N328" i="40" l="1"/>
  <c r="P328" i="40"/>
  <c r="I329" i="40"/>
  <c r="N329" i="40"/>
  <c r="P329" i="40"/>
  <c r="Q329" i="40"/>
  <c r="H329" i="40"/>
  <c r="E330" i="40" s="1" a="1"/>
  <c r="E330" i="40" s="1"/>
  <c r="F330" i="40" s="1" a="1"/>
  <c r="F330" i="40" s="1"/>
  <c r="P394" i="39"/>
  <c r="Q394" i="39"/>
  <c r="M395" i="39"/>
  <c r="G395" i="39" s="1"/>
  <c r="O395" i="39" s="1"/>
  <c r="P395" i="39" s="1"/>
  <c r="H285" i="35"/>
  <c r="E286" i="35" s="1" a="1"/>
  <c r="E286" i="35" s="1"/>
  <c r="F286" i="35" s="1" a="1"/>
  <c r="F286" i="35" s="1"/>
  <c r="M286" i="35" s="1"/>
  <c r="I286" i="35" s="1"/>
  <c r="P284" i="35"/>
  <c r="Q284" i="35"/>
  <c r="N284" i="35"/>
  <c r="G285" i="35"/>
  <c r="O285" i="35" s="1"/>
  <c r="M330" i="40" l="1"/>
  <c r="H330" i="40" s="1"/>
  <c r="E331" i="40" s="1" a="1"/>
  <c r="E331" i="40" s="1"/>
  <c r="F331" i="40" s="1" a="1"/>
  <c r="F331" i="40" s="1"/>
  <c r="Q395" i="39"/>
  <c r="N395" i="39"/>
  <c r="H395" i="39"/>
  <c r="E396" i="39" s="1" a="1"/>
  <c r="E396" i="39" s="1"/>
  <c r="F396" i="39" s="1" a="1"/>
  <c r="F396" i="39" s="1"/>
  <c r="M396" i="39" s="1"/>
  <c r="H396" i="39" s="1"/>
  <c r="E397" i="39" s="1" a="1"/>
  <c r="E397" i="39" s="1"/>
  <c r="F397" i="39" s="1" a="1"/>
  <c r="F397" i="39" s="1"/>
  <c r="M397" i="39" s="1"/>
  <c r="H397" i="39" s="1"/>
  <c r="E398" i="39" s="1" a="1"/>
  <c r="E398" i="39" s="1"/>
  <c r="F398" i="39" s="1" a="1"/>
  <c r="F398" i="39" s="1"/>
  <c r="I395" i="39"/>
  <c r="H286" i="35"/>
  <c r="E287" i="35" s="1" a="1"/>
  <c r="E287" i="35" s="1"/>
  <c r="F287" i="35" s="1" a="1"/>
  <c r="F287" i="35" s="1"/>
  <c r="M287" i="35" s="1"/>
  <c r="I287" i="35" s="1"/>
  <c r="G286" i="35"/>
  <c r="O286" i="35" s="1"/>
  <c r="Q286" i="35" s="1"/>
  <c r="Q285" i="35"/>
  <c r="P285" i="35"/>
  <c r="N285" i="35"/>
  <c r="G330" i="40" l="1"/>
  <c r="O330" i="40" s="1"/>
  <c r="N330" i="40" s="1"/>
  <c r="I330" i="40"/>
  <c r="M331" i="40"/>
  <c r="I331" i="40" s="1"/>
  <c r="G396" i="39"/>
  <c r="O396" i="39" s="1"/>
  <c r="N396" i="39" s="1"/>
  <c r="I396" i="39"/>
  <c r="I397" i="39"/>
  <c r="M398" i="39"/>
  <c r="H398" i="39" s="1"/>
  <c r="E399" i="39" s="1" a="1"/>
  <c r="E399" i="39" s="1"/>
  <c r="F399" i="39" s="1" a="1"/>
  <c r="F399" i="39" s="1"/>
  <c r="G397" i="39"/>
  <c r="O397" i="39" s="1"/>
  <c r="N286" i="35"/>
  <c r="P286" i="35"/>
  <c r="H287" i="35"/>
  <c r="E288" i="35" s="1" a="1"/>
  <c r="E288" i="35" s="1"/>
  <c r="F288" i="35" s="1" a="1"/>
  <c r="F288" i="35" s="1"/>
  <c r="M288" i="35" s="1"/>
  <c r="I288" i="35" s="1"/>
  <c r="G287" i="35"/>
  <c r="O287" i="35" s="1"/>
  <c r="Q330" i="40" l="1"/>
  <c r="P330" i="40"/>
  <c r="P396" i="39"/>
  <c r="G331" i="40"/>
  <c r="O331" i="40" s="1"/>
  <c r="P331" i="40" s="1"/>
  <c r="Q396" i="39"/>
  <c r="H331" i="40"/>
  <c r="E332" i="40" s="1" a="1"/>
  <c r="E332" i="40" s="1"/>
  <c r="F332" i="40" s="1" a="1"/>
  <c r="F332" i="40" s="1"/>
  <c r="M399" i="39"/>
  <c r="H399" i="39" s="1"/>
  <c r="E400" i="39" s="1" a="1"/>
  <c r="E400" i="39" s="1"/>
  <c r="F400" i="39" s="1" a="1"/>
  <c r="F400" i="39" s="1"/>
  <c r="Q397" i="39"/>
  <c r="P397" i="39"/>
  <c r="N397" i="39"/>
  <c r="I398" i="39"/>
  <c r="G398" i="39"/>
  <c r="O398" i="39" s="1"/>
  <c r="H288" i="35"/>
  <c r="E289" i="35" s="1" a="1"/>
  <c r="E289" i="35" s="1"/>
  <c r="F289" i="35" s="1" a="1"/>
  <c r="F289" i="35" s="1"/>
  <c r="M289" i="35" s="1"/>
  <c r="I289" i="35" s="1"/>
  <c r="G288" i="35"/>
  <c r="O288" i="35" s="1"/>
  <c r="N288" i="35" s="1"/>
  <c r="Q287" i="35"/>
  <c r="P287" i="35"/>
  <c r="N287" i="35"/>
  <c r="N331" i="40" l="1"/>
  <c r="Q331" i="40"/>
  <c r="M332" i="40"/>
  <c r="G332" i="40" s="1"/>
  <c r="O332" i="40" s="1"/>
  <c r="M400" i="39"/>
  <c r="H400" i="39" s="1"/>
  <c r="E401" i="39" s="1" a="1"/>
  <c r="E401" i="39" s="1"/>
  <c r="F401" i="39" s="1" a="1"/>
  <c r="F401" i="39" s="1"/>
  <c r="I399" i="39"/>
  <c r="G399" i="39"/>
  <c r="O399" i="39" s="1"/>
  <c r="N398" i="39"/>
  <c r="Q398" i="39"/>
  <c r="P398" i="39"/>
  <c r="P288" i="35"/>
  <c r="Q288" i="35"/>
  <c r="H289" i="35"/>
  <c r="E290" i="35" s="1" a="1"/>
  <c r="E290" i="35" s="1"/>
  <c r="F290" i="35" s="1" a="1"/>
  <c r="F290" i="35" s="1"/>
  <c r="M290" i="35" s="1"/>
  <c r="I290" i="35" s="1"/>
  <c r="G289" i="35"/>
  <c r="O289" i="35" s="1"/>
  <c r="I332" i="40" l="1"/>
  <c r="I400" i="39"/>
  <c r="G400" i="39"/>
  <c r="O400" i="39" s="1"/>
  <c r="Q400" i="39" s="1"/>
  <c r="P332" i="40"/>
  <c r="Q332" i="40"/>
  <c r="N332" i="40"/>
  <c r="H332" i="40"/>
  <c r="E333" i="40" s="1" a="1"/>
  <c r="E333" i="40" s="1"/>
  <c r="F333" i="40" s="1" a="1"/>
  <c r="F333" i="40" s="1"/>
  <c r="M401" i="39"/>
  <c r="H401" i="39" s="1"/>
  <c r="E402" i="39" s="1" a="1"/>
  <c r="E402" i="39" s="1"/>
  <c r="F402" i="39" s="1" a="1"/>
  <c r="F402" i="39" s="1"/>
  <c r="N399" i="39"/>
  <c r="Q399" i="39"/>
  <c r="P399" i="39"/>
  <c r="G290" i="35"/>
  <c r="O290" i="35" s="1"/>
  <c r="P290" i="35" s="1"/>
  <c r="H290" i="35"/>
  <c r="E291" i="35" s="1" a="1"/>
  <c r="E291" i="35" s="1"/>
  <c r="F291" i="35" s="1" a="1"/>
  <c r="F291" i="35" s="1"/>
  <c r="N289" i="35"/>
  <c r="Q289" i="35"/>
  <c r="P289" i="35"/>
  <c r="P400" i="39" l="1"/>
  <c r="N400" i="39"/>
  <c r="M333" i="40"/>
  <c r="H333" i="40" s="1"/>
  <c r="E334" i="40" s="1" a="1"/>
  <c r="E334" i="40" s="1"/>
  <c r="F334" i="40" s="1" a="1"/>
  <c r="F334" i="40" s="1"/>
  <c r="M402" i="39"/>
  <c r="H402" i="39" s="1"/>
  <c r="E403" i="39" s="1" a="1"/>
  <c r="E403" i="39" s="1"/>
  <c r="F403" i="39" s="1" a="1"/>
  <c r="F403" i="39" s="1"/>
  <c r="G401" i="39"/>
  <c r="O401" i="39" s="1"/>
  <c r="I401" i="39"/>
  <c r="Q290" i="35"/>
  <c r="N290" i="35"/>
  <c r="M291" i="35"/>
  <c r="G291" i="35" s="1"/>
  <c r="O291" i="35" s="1"/>
  <c r="M334" i="40" l="1"/>
  <c r="G334" i="40" s="1"/>
  <c r="O334" i="40" s="1"/>
  <c r="G333" i="40"/>
  <c r="O333" i="40" s="1"/>
  <c r="I333" i="40"/>
  <c r="M403" i="39"/>
  <c r="I403" i="39" s="1"/>
  <c r="I402" i="39"/>
  <c r="G402" i="39"/>
  <c r="O402" i="39" s="1"/>
  <c r="Q401" i="39"/>
  <c r="P401" i="39"/>
  <c r="N401" i="39"/>
  <c r="H291" i="35"/>
  <c r="E292" i="35" s="1" a="1"/>
  <c r="E292" i="35" s="1"/>
  <c r="F292" i="35" s="1" a="1"/>
  <c r="F292" i="35" s="1"/>
  <c r="M292" i="35" s="1"/>
  <c r="I292" i="35" s="1"/>
  <c r="I291" i="35"/>
  <c r="P291" i="35"/>
  <c r="N291" i="35"/>
  <c r="Q291" i="35"/>
  <c r="I334" i="40" l="1"/>
  <c r="H334" i="40"/>
  <c r="E335" i="40" s="1" a="1"/>
  <c r="E335" i="40" s="1"/>
  <c r="F335" i="40" s="1" a="1"/>
  <c r="F335" i="40" s="1"/>
  <c r="M335" i="40" s="1"/>
  <c r="G335" i="40" s="1"/>
  <c r="O335" i="40" s="1"/>
  <c r="N334" i="40"/>
  <c r="P334" i="40"/>
  <c r="Q334" i="40"/>
  <c r="P333" i="40"/>
  <c r="N333" i="40"/>
  <c r="Q333" i="40"/>
  <c r="H403" i="39"/>
  <c r="E404" i="39" s="1" a="1"/>
  <c r="E404" i="39" s="1"/>
  <c r="F404" i="39" s="1" a="1"/>
  <c r="F404" i="39" s="1"/>
  <c r="M404" i="39" s="1"/>
  <c r="I404" i="39" s="1"/>
  <c r="G403" i="39"/>
  <c r="O403" i="39" s="1"/>
  <c r="Q403" i="39" s="1"/>
  <c r="N402" i="39"/>
  <c r="P402" i="39"/>
  <c r="Q402" i="39"/>
  <c r="H292" i="35"/>
  <c r="E293" i="35" s="1" a="1"/>
  <c r="E293" i="35" s="1"/>
  <c r="F293" i="35" s="1" a="1"/>
  <c r="F293" i="35" s="1"/>
  <c r="H335" i="40" l="1"/>
  <c r="E336" i="40" s="1" a="1"/>
  <c r="E336" i="40" s="1"/>
  <c r="F336" i="40" s="1" a="1"/>
  <c r="F336" i="40" s="1"/>
  <c r="M336" i="40" s="1"/>
  <c r="I336" i="40" s="1"/>
  <c r="N335" i="40"/>
  <c r="P335" i="40"/>
  <c r="Q335" i="40"/>
  <c r="I335" i="40"/>
  <c r="N403" i="39"/>
  <c r="P403" i="39"/>
  <c r="G404" i="39"/>
  <c r="O404" i="39" s="1"/>
  <c r="Q404" i="39" s="1"/>
  <c r="H404" i="39"/>
  <c r="E405" i="39" s="1" a="1"/>
  <c r="E405" i="39" s="1"/>
  <c r="F405" i="39" s="1" a="1"/>
  <c r="F405" i="39" s="1"/>
  <c r="M405" i="39" s="1"/>
  <c r="H405" i="39" s="1"/>
  <c r="E406" i="39" s="1" a="1"/>
  <c r="E406" i="39" s="1"/>
  <c r="F406" i="39" s="1" a="1"/>
  <c r="F406" i="39" s="1"/>
  <c r="M293" i="35"/>
  <c r="I293" i="35" s="1"/>
  <c r="G292" i="35"/>
  <c r="O292" i="35" s="1"/>
  <c r="H336" i="40" l="1"/>
  <c r="E337" i="40" s="1" a="1"/>
  <c r="E337" i="40" s="1"/>
  <c r="F337" i="40" s="1" a="1"/>
  <c r="F337" i="40" s="1"/>
  <c r="M337" i="40" s="1"/>
  <c r="G337" i="40" s="1"/>
  <c r="O337" i="40" s="1"/>
  <c r="N404" i="39"/>
  <c r="P404" i="39"/>
  <c r="G336" i="40"/>
  <c r="O336" i="40" s="1"/>
  <c r="I405" i="39"/>
  <c r="M406" i="39"/>
  <c r="H406" i="39" s="1"/>
  <c r="E407" i="39" s="1" a="1"/>
  <c r="E407" i="39" s="1"/>
  <c r="F407" i="39" s="1" a="1"/>
  <c r="F407" i="39" s="1"/>
  <c r="G405" i="39"/>
  <c r="O405" i="39" s="1"/>
  <c r="G293" i="35"/>
  <c r="O293" i="35" s="1"/>
  <c r="Q293" i="35" s="1"/>
  <c r="H293" i="35"/>
  <c r="E294" i="35" s="1" a="1"/>
  <c r="E294" i="35" s="1"/>
  <c r="F294" i="35" s="1" a="1"/>
  <c r="F294" i="35" s="1"/>
  <c r="M294" i="35" s="1"/>
  <c r="I294" i="35" s="1"/>
  <c r="Q292" i="35"/>
  <c r="P292" i="35"/>
  <c r="N292" i="35"/>
  <c r="Q337" i="40" l="1"/>
  <c r="P337" i="40"/>
  <c r="N337" i="40"/>
  <c r="H337" i="40"/>
  <c r="E338" i="40" s="1" a="1"/>
  <c r="E338" i="40" s="1"/>
  <c r="F338" i="40" s="1" a="1"/>
  <c r="F338" i="40" s="1"/>
  <c r="I337" i="40"/>
  <c r="P336" i="40"/>
  <c r="N336" i="40"/>
  <c r="Q336" i="40"/>
  <c r="M407" i="39"/>
  <c r="I407" i="39" s="1"/>
  <c r="Q405" i="39"/>
  <c r="P405" i="39"/>
  <c r="N405" i="39"/>
  <c r="G406" i="39"/>
  <c r="O406" i="39" s="1"/>
  <c r="I406" i="39"/>
  <c r="N293" i="35"/>
  <c r="P293" i="35"/>
  <c r="H294" i="35"/>
  <c r="E295" i="35" s="1" a="1"/>
  <c r="E295" i="35" s="1"/>
  <c r="F295" i="35" s="1" a="1"/>
  <c r="F295" i="35" s="1"/>
  <c r="M295" i="35" s="1"/>
  <c r="I295" i="35" s="1"/>
  <c r="G294" i="35"/>
  <c r="O294" i="35" s="1"/>
  <c r="P294" i="35" s="1"/>
  <c r="M338" i="40" l="1"/>
  <c r="I338" i="40" s="1"/>
  <c r="G407" i="39"/>
  <c r="O407" i="39" s="1"/>
  <c r="N407" i="39" s="1"/>
  <c r="H407" i="39"/>
  <c r="E408" i="39" s="1" a="1"/>
  <c r="E408" i="39" s="1"/>
  <c r="F408" i="39" s="1" a="1"/>
  <c r="F408" i="39" s="1"/>
  <c r="M408" i="39" s="1"/>
  <c r="N406" i="39"/>
  <c r="Q406" i="39"/>
  <c r="P406" i="39"/>
  <c r="N294" i="35"/>
  <c r="Q294" i="35"/>
  <c r="H295" i="35"/>
  <c r="E296" i="35" s="1" a="1"/>
  <c r="E296" i="35" s="1"/>
  <c r="F296" i="35" s="1" a="1"/>
  <c r="F296" i="35" s="1"/>
  <c r="P407" i="39" l="1"/>
  <c r="Q407" i="39"/>
  <c r="G338" i="40"/>
  <c r="O338" i="40" s="1"/>
  <c r="Q338" i="40" s="1"/>
  <c r="H338" i="40"/>
  <c r="E339" i="40" s="1" a="1"/>
  <c r="E339" i="40" s="1"/>
  <c r="F339" i="40" s="1" a="1"/>
  <c r="F339" i="40" s="1"/>
  <c r="M339" i="40" s="1"/>
  <c r="I339" i="40" s="1"/>
  <c r="G408" i="39"/>
  <c r="O408" i="39" s="1"/>
  <c r="N408" i="39" s="1"/>
  <c r="H408" i="39"/>
  <c r="E409" i="39" s="1" a="1"/>
  <c r="E409" i="39" s="1"/>
  <c r="F409" i="39" s="1" a="1"/>
  <c r="F409" i="39" s="1"/>
  <c r="M409" i="39" s="1"/>
  <c r="I409" i="39" s="1"/>
  <c r="I408" i="39"/>
  <c r="M296" i="35"/>
  <c r="I296" i="35" s="1"/>
  <c r="G295" i="35"/>
  <c r="O295" i="35" s="1"/>
  <c r="P338" i="40" l="1"/>
  <c r="N338" i="40"/>
  <c r="Q408" i="39"/>
  <c r="P408" i="39"/>
  <c r="G339" i="40"/>
  <c r="O339" i="40" s="1"/>
  <c r="H339" i="40"/>
  <c r="E340" i="40" s="1" a="1"/>
  <c r="E340" i="40" s="1"/>
  <c r="F340" i="40" s="1" a="1"/>
  <c r="F340" i="40" s="1"/>
  <c r="G409" i="39"/>
  <c r="O409" i="39" s="1"/>
  <c r="H409" i="39"/>
  <c r="E410" i="39" s="1" a="1"/>
  <c r="E410" i="39" s="1"/>
  <c r="F410" i="39" s="1" a="1"/>
  <c r="F410" i="39" s="1"/>
  <c r="H296" i="35"/>
  <c r="E297" i="35" s="1" a="1"/>
  <c r="E297" i="35" s="1"/>
  <c r="F297" i="35" s="1" a="1"/>
  <c r="F297" i="35" s="1"/>
  <c r="N295" i="35"/>
  <c r="Q295" i="35"/>
  <c r="P295" i="35"/>
  <c r="G296" i="35"/>
  <c r="O296" i="35" s="1"/>
  <c r="M340" i="40" l="1"/>
  <c r="G340" i="40" s="1"/>
  <c r="O340" i="40" s="1"/>
  <c r="P339" i="40"/>
  <c r="N339" i="40"/>
  <c r="Q339" i="40"/>
  <c r="M410" i="39"/>
  <c r="G410" i="39" s="1"/>
  <c r="O410" i="39" s="1"/>
  <c r="Q409" i="39"/>
  <c r="P409" i="39"/>
  <c r="N409" i="39"/>
  <c r="M297" i="35"/>
  <c r="I297" i="35" s="1"/>
  <c r="Q296" i="35"/>
  <c r="P296" i="35"/>
  <c r="N296" i="35"/>
  <c r="P340" i="40" l="1"/>
  <c r="Q340" i="40"/>
  <c r="N340" i="40"/>
  <c r="H340" i="40"/>
  <c r="E341" i="40" s="1" a="1"/>
  <c r="E341" i="40" s="1"/>
  <c r="F341" i="40" s="1" a="1"/>
  <c r="F341" i="40" s="1"/>
  <c r="I340" i="40"/>
  <c r="H410" i="39"/>
  <c r="E411" i="39" s="1" a="1"/>
  <c r="E411" i="39" s="1"/>
  <c r="F411" i="39" s="1" a="1"/>
  <c r="F411" i="39" s="1"/>
  <c r="M411" i="39" s="1"/>
  <c r="H411" i="39" s="1"/>
  <c r="E412" i="39" s="1" a="1"/>
  <c r="E412" i="39" s="1"/>
  <c r="F412" i="39" s="1" a="1"/>
  <c r="F412" i="39" s="1"/>
  <c r="I410" i="39"/>
  <c r="Q410" i="39"/>
  <c r="P410" i="39"/>
  <c r="N410" i="39"/>
  <c r="G297" i="35"/>
  <c r="O297" i="35" s="1"/>
  <c r="H297" i="35"/>
  <c r="E298" i="35" s="1" a="1"/>
  <c r="E298" i="35" s="1"/>
  <c r="F298" i="35" s="1" a="1"/>
  <c r="F298" i="35" s="1"/>
  <c r="M341" i="40" l="1"/>
  <c r="H341" i="40" s="1"/>
  <c r="E342" i="40" s="1" a="1"/>
  <c r="E342" i="40" s="1"/>
  <c r="F342" i="40" s="1" a="1"/>
  <c r="F342" i="40" s="1"/>
  <c r="M412" i="39"/>
  <c r="G412" i="39" s="1"/>
  <c r="O412" i="39" s="1"/>
  <c r="G411" i="39"/>
  <c r="O411" i="39" s="1"/>
  <c r="I411" i="39"/>
  <c r="M298" i="35"/>
  <c r="I298" i="35" s="1"/>
  <c r="Q297" i="35"/>
  <c r="P297" i="35"/>
  <c r="N297" i="35"/>
  <c r="M342" i="40" l="1"/>
  <c r="G342" i="40" s="1"/>
  <c r="O342" i="40" s="1"/>
  <c r="H412" i="39"/>
  <c r="E413" i="39" s="1" a="1"/>
  <c r="E413" i="39" s="1"/>
  <c r="F413" i="39" s="1" a="1"/>
  <c r="F413" i="39" s="1"/>
  <c r="M413" i="39" s="1"/>
  <c r="G413" i="39" s="1"/>
  <c r="O413" i="39" s="1"/>
  <c r="I412" i="39"/>
  <c r="G341" i="40"/>
  <c r="O341" i="40" s="1"/>
  <c r="I341" i="40"/>
  <c r="P411" i="39"/>
  <c r="Q411" i="39"/>
  <c r="N411" i="39"/>
  <c r="N412" i="39"/>
  <c r="Q412" i="39"/>
  <c r="P412" i="39"/>
  <c r="G298" i="35"/>
  <c r="O298" i="35" s="1"/>
  <c r="P342" i="40" l="1"/>
  <c r="N342" i="40"/>
  <c r="Q342" i="40"/>
  <c r="Q341" i="40"/>
  <c r="P341" i="40"/>
  <c r="N341" i="40"/>
  <c r="I342" i="40"/>
  <c r="H342" i="40"/>
  <c r="E343" i="40" s="1" a="1"/>
  <c r="E343" i="40" s="1"/>
  <c r="F343" i="40" s="1" a="1"/>
  <c r="F343" i="40" s="1"/>
  <c r="Q413" i="39"/>
  <c r="N413" i="39"/>
  <c r="P413" i="39"/>
  <c r="I413" i="39"/>
  <c r="H413" i="39"/>
  <c r="E414" i="39" s="1" a="1"/>
  <c r="E414" i="39" s="1"/>
  <c r="F414" i="39" s="1" a="1"/>
  <c r="F414" i="39" s="1"/>
  <c r="Q298" i="35"/>
  <c r="N298" i="35"/>
  <c r="P298" i="35"/>
  <c r="H298" i="35"/>
  <c r="E299" i="35" s="1" a="1"/>
  <c r="E299" i="35" s="1"/>
  <c r="F299" i="35" s="1" a="1"/>
  <c r="F299" i="35" s="1"/>
  <c r="M343" i="40" l="1"/>
  <c r="I343" i="40" s="1"/>
  <c r="M414" i="39"/>
  <c r="I414" i="39" s="1"/>
  <c r="M299" i="35"/>
  <c r="I299" i="35" s="1"/>
  <c r="G343" i="40" l="1"/>
  <c r="O343" i="40" s="1"/>
  <c r="H343" i="40"/>
  <c r="E344" i="40" s="1" a="1"/>
  <c r="E344" i="40" s="1"/>
  <c r="F344" i="40" s="1" a="1"/>
  <c r="F344" i="40" s="1"/>
  <c r="G414" i="39"/>
  <c r="O414" i="39" s="1"/>
  <c r="H414" i="39"/>
  <c r="E415" i="39" s="1" a="1"/>
  <c r="E415" i="39" s="1"/>
  <c r="F415" i="39" s="1" a="1"/>
  <c r="F415" i="39" s="1"/>
  <c r="G299" i="35"/>
  <c r="O299" i="35" s="1"/>
  <c r="P299" i="35" s="1"/>
  <c r="H299" i="35"/>
  <c r="E300" i="35" s="1" a="1"/>
  <c r="E300" i="35" s="1"/>
  <c r="F300" i="35" s="1" a="1"/>
  <c r="F300" i="35" s="1"/>
  <c r="M300" i="35" s="1"/>
  <c r="H300" i="35" s="1"/>
  <c r="E301" i="35" s="1" a="1"/>
  <c r="E301" i="35" s="1"/>
  <c r="F301" i="35" s="1" a="1"/>
  <c r="F301" i="35" s="1"/>
  <c r="M344" i="40" l="1"/>
  <c r="I344" i="40" s="1"/>
  <c r="N343" i="40"/>
  <c r="Q343" i="40"/>
  <c r="P343" i="40"/>
  <c r="M415" i="39"/>
  <c r="I415" i="39" s="1"/>
  <c r="Q414" i="39"/>
  <c r="N414" i="39"/>
  <c r="P414" i="39"/>
  <c r="Q299" i="35"/>
  <c r="N299" i="35"/>
  <c r="M301" i="35"/>
  <c r="I301" i="35" s="1"/>
  <c r="I300" i="35"/>
  <c r="G300" i="35"/>
  <c r="O300" i="35" s="1"/>
  <c r="Q300" i="35" s="1"/>
  <c r="G344" i="40" l="1"/>
  <c r="O344" i="40" s="1"/>
  <c r="P344" i="40" s="1"/>
  <c r="H344" i="40"/>
  <c r="E345" i="40" s="1" a="1"/>
  <c r="E345" i="40" s="1"/>
  <c r="F345" i="40" s="1" a="1"/>
  <c r="F345" i="40" s="1"/>
  <c r="M345" i="40" s="1"/>
  <c r="H345" i="40" s="1"/>
  <c r="E346" i="40" s="1" a="1"/>
  <c r="E346" i="40" s="1"/>
  <c r="F346" i="40" s="1" a="1"/>
  <c r="F346" i="40" s="1"/>
  <c r="G415" i="39"/>
  <c r="O415" i="39" s="1"/>
  <c r="Q415" i="39" s="1"/>
  <c r="H415" i="39"/>
  <c r="E416" i="39" s="1" a="1"/>
  <c r="E416" i="39" s="1"/>
  <c r="F416" i="39" s="1" a="1"/>
  <c r="F416" i="39" s="1"/>
  <c r="N300" i="35"/>
  <c r="P300" i="35"/>
  <c r="H301" i="35"/>
  <c r="E302" i="35" s="1" a="1"/>
  <c r="E302" i="35" s="1"/>
  <c r="F302" i="35" s="1" a="1"/>
  <c r="F302" i="35" s="1"/>
  <c r="N344" i="40" l="1"/>
  <c r="Q344" i="40"/>
  <c r="M346" i="40"/>
  <c r="H346" i="40" s="1"/>
  <c r="E347" i="40" s="1" a="1"/>
  <c r="E347" i="40" s="1"/>
  <c r="F347" i="40" s="1" a="1"/>
  <c r="F347" i="40" s="1"/>
  <c r="G345" i="40"/>
  <c r="O345" i="40" s="1"/>
  <c r="I345" i="40"/>
  <c r="N415" i="39"/>
  <c r="P415" i="39"/>
  <c r="M416" i="39"/>
  <c r="I416" i="39" s="1"/>
  <c r="M302" i="35"/>
  <c r="I302" i="35" s="1"/>
  <c r="G301" i="35"/>
  <c r="O301" i="35" s="1"/>
  <c r="M347" i="40" l="1"/>
  <c r="I347" i="40" s="1"/>
  <c r="N345" i="40"/>
  <c r="Q345" i="40"/>
  <c r="P345" i="40"/>
  <c r="G346" i="40"/>
  <c r="O346" i="40" s="1"/>
  <c r="I346" i="40"/>
  <c r="G416" i="39"/>
  <c r="O416" i="39" s="1"/>
  <c r="N416" i="39" s="1"/>
  <c r="H416" i="39"/>
  <c r="E417" i="39" s="1" a="1"/>
  <c r="E417" i="39" s="1"/>
  <c r="F417" i="39" s="1" a="1"/>
  <c r="F417" i="39" s="1"/>
  <c r="M417" i="39" s="1"/>
  <c r="I417" i="39" s="1"/>
  <c r="P301" i="35"/>
  <c r="N301" i="35"/>
  <c r="Q301" i="35"/>
  <c r="H302" i="35"/>
  <c r="E303" i="35" s="1" a="1"/>
  <c r="E303" i="35" s="1"/>
  <c r="F303" i="35" s="1" a="1"/>
  <c r="F303" i="35" s="1"/>
  <c r="G302" i="35"/>
  <c r="O302" i="35" s="1"/>
  <c r="P416" i="39" l="1"/>
  <c r="G347" i="40"/>
  <c r="O347" i="40" s="1"/>
  <c r="N346" i="40"/>
  <c r="Q346" i="40"/>
  <c r="P346" i="40"/>
  <c r="H347" i="40"/>
  <c r="E348" i="40" s="1" a="1"/>
  <c r="E348" i="40" s="1"/>
  <c r="F348" i="40" s="1" a="1"/>
  <c r="F348" i="40" s="1"/>
  <c r="Q416" i="39"/>
  <c r="G417" i="39"/>
  <c r="O417" i="39" s="1"/>
  <c r="H417" i="39"/>
  <c r="E418" i="39" s="1" a="1"/>
  <c r="E418" i="39" s="1"/>
  <c r="F418" i="39" s="1" a="1"/>
  <c r="F418" i="39" s="1"/>
  <c r="M418" i="39" s="1"/>
  <c r="H418" i="39" s="1"/>
  <c r="E419" i="39" s="1" a="1"/>
  <c r="E419" i="39" s="1"/>
  <c r="F419" i="39" s="1" a="1"/>
  <c r="F419" i="39" s="1"/>
  <c r="M419" i="39" s="1"/>
  <c r="I419" i="39" s="1"/>
  <c r="M303" i="35"/>
  <c r="I303" i="35" s="1"/>
  <c r="N302" i="35"/>
  <c r="Q302" i="35"/>
  <c r="P302" i="35"/>
  <c r="M348" i="40" l="1"/>
  <c r="I348" i="40" s="1"/>
  <c r="P347" i="40"/>
  <c r="Q347" i="40"/>
  <c r="N347" i="40"/>
  <c r="G418" i="39"/>
  <c r="O418" i="39" s="1"/>
  <c r="P418" i="39" s="1"/>
  <c r="I418" i="39"/>
  <c r="Q417" i="39"/>
  <c r="P417" i="39"/>
  <c r="N417" i="39"/>
  <c r="H419" i="39"/>
  <c r="E420" i="39" s="1" a="1"/>
  <c r="E420" i="39" s="1"/>
  <c r="F420" i="39" s="1" a="1"/>
  <c r="F420" i="39" s="1"/>
  <c r="G419" i="39"/>
  <c r="O419" i="39" s="1"/>
  <c r="G303" i="35"/>
  <c r="O303" i="35" s="1"/>
  <c r="N418" i="39" l="1"/>
  <c r="Q418" i="39"/>
  <c r="H348" i="40"/>
  <c r="E349" i="40" s="1" a="1"/>
  <c r="E349" i="40" s="1"/>
  <c r="F349" i="40" s="1" a="1"/>
  <c r="F349" i="40" s="1"/>
  <c r="M349" i="40" s="1"/>
  <c r="I349" i="40" s="1"/>
  <c r="G348" i="40"/>
  <c r="O348" i="40" s="1"/>
  <c r="Q419" i="39"/>
  <c r="N419" i="39"/>
  <c r="P419" i="39"/>
  <c r="M420" i="39"/>
  <c r="H420" i="39" s="1"/>
  <c r="E421" i="39" s="1" a="1"/>
  <c r="E421" i="39" s="1"/>
  <c r="F421" i="39" s="1" a="1"/>
  <c r="F421" i="39" s="1"/>
  <c r="P303" i="35"/>
  <c r="N303" i="35"/>
  <c r="Q303" i="35"/>
  <c r="H303" i="35"/>
  <c r="E304" i="35" s="1" a="1"/>
  <c r="E304" i="35" s="1"/>
  <c r="F304" i="35" s="1" a="1"/>
  <c r="F304" i="35" s="1"/>
  <c r="G349" i="40" l="1"/>
  <c r="O349" i="40" s="1"/>
  <c r="Q349" i="40" s="1"/>
  <c r="H349" i="40"/>
  <c r="E350" i="40" s="1" a="1"/>
  <c r="E350" i="40" s="1"/>
  <c r="F350" i="40" s="1" a="1"/>
  <c r="F350" i="40" s="1"/>
  <c r="M350" i="40" s="1"/>
  <c r="G350" i="40" s="1"/>
  <c r="O350" i="40" s="1"/>
  <c r="P348" i="40"/>
  <c r="Q348" i="40"/>
  <c r="N348" i="40"/>
  <c r="G420" i="39"/>
  <c r="O420" i="39" s="1"/>
  <c r="P420" i="39" s="1"/>
  <c r="M421" i="39"/>
  <c r="I421" i="39" s="1"/>
  <c r="I420" i="39"/>
  <c r="M304" i="35"/>
  <c r="I304" i="35" s="1"/>
  <c r="N349" i="40" l="1"/>
  <c r="P349" i="40"/>
  <c r="Q420" i="39"/>
  <c r="N420" i="39"/>
  <c r="Q350" i="40"/>
  <c r="P350" i="40"/>
  <c r="N350" i="40"/>
  <c r="H350" i="40"/>
  <c r="E351" i="40" s="1" a="1"/>
  <c r="E351" i="40" s="1"/>
  <c r="F351" i="40" s="1" a="1"/>
  <c r="F351" i="40" s="1"/>
  <c r="I350" i="40"/>
  <c r="G421" i="39"/>
  <c r="O421" i="39" s="1"/>
  <c r="Q421" i="39" s="1"/>
  <c r="H421" i="39"/>
  <c r="E422" i="39" s="1" a="1"/>
  <c r="E422" i="39" s="1"/>
  <c r="F422" i="39" s="1" a="1"/>
  <c r="F422" i="39" s="1"/>
  <c r="M422" i="39" s="1"/>
  <c r="G422" i="39" s="1"/>
  <c r="O422" i="39" s="1"/>
  <c r="H304" i="35"/>
  <c r="E305" i="35" s="1" a="1"/>
  <c r="E305" i="35" s="1"/>
  <c r="F305" i="35" s="1" a="1"/>
  <c r="F305" i="35" s="1"/>
  <c r="M305" i="35" s="1"/>
  <c r="I305" i="35" s="1"/>
  <c r="G304" i="35"/>
  <c r="O304" i="35" s="1"/>
  <c r="Q304" i="35" s="1"/>
  <c r="N421" i="39" l="1"/>
  <c r="P421" i="39"/>
  <c r="M351" i="40"/>
  <c r="I351" i="40" s="1"/>
  <c r="H422" i="39"/>
  <c r="E423" i="39" s="1" a="1"/>
  <c r="E423" i="39" s="1"/>
  <c r="F423" i="39" s="1" a="1"/>
  <c r="F423" i="39" s="1"/>
  <c r="M423" i="39" s="1"/>
  <c r="H423" i="39" s="1"/>
  <c r="E424" i="39" s="1" a="1"/>
  <c r="E424" i="39" s="1"/>
  <c r="F424" i="39" s="1" a="1"/>
  <c r="F424" i="39" s="1"/>
  <c r="N422" i="39"/>
  <c r="Q422" i="39"/>
  <c r="P422" i="39"/>
  <c r="I422" i="39"/>
  <c r="P304" i="35"/>
  <c r="N304" i="35"/>
  <c r="G351" i="40" l="1"/>
  <c r="O351" i="40" s="1"/>
  <c r="H351" i="40"/>
  <c r="E352" i="40" s="1" a="1"/>
  <c r="E352" i="40" s="1"/>
  <c r="F352" i="40" s="1" a="1"/>
  <c r="F352" i="40" s="1"/>
  <c r="G423" i="39"/>
  <c r="O423" i="39" s="1"/>
  <c r="N423" i="39" s="1"/>
  <c r="I423" i="39"/>
  <c r="M424" i="39"/>
  <c r="I424" i="39" s="1"/>
  <c r="H305" i="35"/>
  <c r="E306" i="35" s="1" a="1"/>
  <c r="E306" i="35" s="1"/>
  <c r="F306" i="35" s="1" a="1"/>
  <c r="F306" i="35" s="1"/>
  <c r="G305" i="35"/>
  <c r="O305" i="35" s="1"/>
  <c r="M352" i="40" l="1"/>
  <c r="I352" i="40" s="1"/>
  <c r="N351" i="40"/>
  <c r="Q351" i="40"/>
  <c r="P351" i="40"/>
  <c r="Q423" i="39"/>
  <c r="P423" i="39"/>
  <c r="G424" i="39"/>
  <c r="O424" i="39" s="1"/>
  <c r="Q424" i="39" s="1"/>
  <c r="H424" i="39"/>
  <c r="E425" i="39" s="1" a="1"/>
  <c r="E425" i="39" s="1"/>
  <c r="F425" i="39" s="1" a="1"/>
  <c r="F425" i="39" s="1"/>
  <c r="M425" i="39" s="1"/>
  <c r="I425" i="39" s="1"/>
  <c r="M306" i="35"/>
  <c r="H306" i="35" s="1"/>
  <c r="E307" i="35" s="1" a="1"/>
  <c r="E307" i="35" s="1"/>
  <c r="F307" i="35" s="1" a="1"/>
  <c r="F307" i="35" s="1"/>
  <c r="N305" i="35"/>
  <c r="Q305" i="35"/>
  <c r="P305" i="35"/>
  <c r="G352" i="40" l="1"/>
  <c r="O352" i="40" s="1"/>
  <c r="P352" i="40" s="1"/>
  <c r="H352" i="40"/>
  <c r="E353" i="40" s="1" a="1"/>
  <c r="E353" i="40" s="1"/>
  <c r="F353" i="40" s="1" a="1"/>
  <c r="F353" i="40" s="1"/>
  <c r="M353" i="40" s="1"/>
  <c r="G353" i="40" s="1"/>
  <c r="O353" i="40" s="1"/>
  <c r="N424" i="39"/>
  <c r="P424" i="39"/>
  <c r="H425" i="39"/>
  <c r="E426" i="39" s="1" a="1"/>
  <c r="E426" i="39" s="1"/>
  <c r="F426" i="39" s="1" a="1"/>
  <c r="F426" i="39" s="1"/>
  <c r="G425" i="39"/>
  <c r="O425" i="39" s="1"/>
  <c r="M307" i="35"/>
  <c r="I307" i="35" s="1"/>
  <c r="I306" i="35"/>
  <c r="G306" i="35"/>
  <c r="O306" i="35" s="1"/>
  <c r="N352" i="40" l="1"/>
  <c r="Q352" i="40"/>
  <c r="P353" i="40"/>
  <c r="Q353" i="40"/>
  <c r="N353" i="40"/>
  <c r="H353" i="40"/>
  <c r="E354" i="40" s="1" a="1"/>
  <c r="E354" i="40" s="1"/>
  <c r="F354" i="40" s="1" a="1"/>
  <c r="F354" i="40" s="1"/>
  <c r="I353" i="40"/>
  <c r="Q425" i="39"/>
  <c r="P425" i="39"/>
  <c r="N425" i="39"/>
  <c r="M426" i="39"/>
  <c r="I426" i="39" s="1"/>
  <c r="G307" i="35"/>
  <c r="O307" i="35" s="1"/>
  <c r="Q307" i="35" s="1"/>
  <c r="Q306" i="35"/>
  <c r="N306" i="35"/>
  <c r="P306" i="35"/>
  <c r="H307" i="35"/>
  <c r="E308" i="35" s="1" a="1"/>
  <c r="E308" i="35" s="1"/>
  <c r="F308" i="35" s="1" a="1"/>
  <c r="F308" i="35" s="1"/>
  <c r="M354" i="40" l="1"/>
  <c r="I354" i="40" s="1"/>
  <c r="H426" i="39"/>
  <c r="E427" i="39" s="1" a="1"/>
  <c r="E427" i="39" s="1"/>
  <c r="F427" i="39" s="1" a="1"/>
  <c r="F427" i="39" s="1"/>
  <c r="G426" i="39"/>
  <c r="O426" i="39" s="1"/>
  <c r="N307" i="35"/>
  <c r="P307" i="35"/>
  <c r="M308" i="35"/>
  <c r="I308" i="35" s="1"/>
  <c r="H354" i="40" l="1"/>
  <c r="E355" i="40" s="1" a="1"/>
  <c r="E355" i="40" s="1"/>
  <c r="F355" i="40" s="1" a="1"/>
  <c r="F355" i="40" s="1"/>
  <c r="M355" i="40" s="1"/>
  <c r="I355" i="40" s="1"/>
  <c r="G354" i="40"/>
  <c r="O354" i="40" s="1"/>
  <c r="Q354" i="40" s="1"/>
  <c r="N426" i="39"/>
  <c r="Q426" i="39"/>
  <c r="P426" i="39"/>
  <c r="M427" i="39"/>
  <c r="H427" i="39" s="1"/>
  <c r="E428" i="39" s="1" a="1"/>
  <c r="E428" i="39" s="1"/>
  <c r="F428" i="39" s="1" a="1"/>
  <c r="F428" i="39" s="1"/>
  <c r="H308" i="35"/>
  <c r="E309" i="35" s="1" a="1"/>
  <c r="E309" i="35" s="1"/>
  <c r="F309" i="35" s="1" a="1"/>
  <c r="F309" i="35" s="1"/>
  <c r="M309" i="35" s="1"/>
  <c r="I309" i="35" s="1"/>
  <c r="G308" i="35"/>
  <c r="O308" i="35" s="1"/>
  <c r="Q308" i="35" s="1"/>
  <c r="N354" i="40" l="1"/>
  <c r="P354" i="40"/>
  <c r="G355" i="40"/>
  <c r="O355" i="40" s="1"/>
  <c r="H355" i="40"/>
  <c r="E356" i="40" s="1" a="1"/>
  <c r="E356" i="40" s="1"/>
  <c r="F356" i="40" s="1" a="1"/>
  <c r="F356" i="40" s="1"/>
  <c r="M428" i="39"/>
  <c r="H428" i="39" s="1"/>
  <c r="E429" i="39" s="1" a="1"/>
  <c r="E429" i="39" s="1"/>
  <c r="F429" i="39" s="1" a="1"/>
  <c r="F429" i="39" s="1"/>
  <c r="I427" i="39"/>
  <c r="G427" i="39"/>
  <c r="O427" i="39" s="1"/>
  <c r="P308" i="35"/>
  <c r="N308" i="35"/>
  <c r="H309" i="35"/>
  <c r="E310" i="35" s="1" a="1"/>
  <c r="E310" i="35" s="1"/>
  <c r="F310" i="35" s="1" a="1"/>
  <c r="F310" i="35" s="1"/>
  <c r="M356" i="40" l="1"/>
  <c r="I356" i="40" s="1"/>
  <c r="N355" i="40"/>
  <c r="Q355" i="40"/>
  <c r="P355" i="40"/>
  <c r="G428" i="39"/>
  <c r="O428" i="39" s="1"/>
  <c r="P428" i="39" s="1"/>
  <c r="I428" i="39"/>
  <c r="M429" i="39"/>
  <c r="I429" i="39" s="1"/>
  <c r="N427" i="39"/>
  <c r="Q427" i="39"/>
  <c r="P427" i="39"/>
  <c r="M310" i="35"/>
  <c r="I310" i="35" s="1"/>
  <c r="G309" i="35"/>
  <c r="O309" i="35" s="1"/>
  <c r="Q428" i="39" l="1"/>
  <c r="N428" i="39"/>
  <c r="G356" i="40"/>
  <c r="O356" i="40" s="1"/>
  <c r="H356" i="40"/>
  <c r="E357" i="40" s="1" a="1"/>
  <c r="E357" i="40" s="1"/>
  <c r="F357" i="40" s="1" a="1"/>
  <c r="F357" i="40" s="1"/>
  <c r="H429" i="39"/>
  <c r="E430" i="39" s="1" a="1"/>
  <c r="E430" i="39" s="1"/>
  <c r="F430" i="39" s="1" a="1"/>
  <c r="F430" i="39" s="1"/>
  <c r="G429" i="39"/>
  <c r="O429" i="39" s="1"/>
  <c r="Q429" i="39" s="1"/>
  <c r="P309" i="35"/>
  <c r="N309" i="35"/>
  <c r="Q309" i="35"/>
  <c r="M357" i="40" l="1"/>
  <c r="H357" i="40" s="1"/>
  <c r="E358" i="40" s="1" a="1"/>
  <c r="E358" i="40" s="1"/>
  <c r="F358" i="40" s="1" a="1"/>
  <c r="F358" i="40" s="1"/>
  <c r="P356" i="40"/>
  <c r="Q356" i="40"/>
  <c r="N356" i="40"/>
  <c r="N429" i="39"/>
  <c r="P429" i="39"/>
  <c r="M430" i="39"/>
  <c r="G430" i="39" s="1"/>
  <c r="O430" i="39" s="1"/>
  <c r="H310" i="35"/>
  <c r="E311" i="35" s="1" a="1"/>
  <c r="E311" i="35" s="1"/>
  <c r="F311" i="35" s="1" a="1"/>
  <c r="F311" i="35" s="1"/>
  <c r="G310" i="35"/>
  <c r="O310" i="35" s="1"/>
  <c r="M358" i="40" l="1"/>
  <c r="I358" i="40" s="1"/>
  <c r="G357" i="40"/>
  <c r="O357" i="40" s="1"/>
  <c r="I357" i="40"/>
  <c r="P430" i="39"/>
  <c r="Q430" i="39"/>
  <c r="N430" i="39"/>
  <c r="I430" i="39"/>
  <c r="H430" i="39"/>
  <c r="E431" i="39" s="1" a="1"/>
  <c r="E431" i="39" s="1"/>
  <c r="F431" i="39" s="1" a="1"/>
  <c r="F431" i="39" s="1"/>
  <c r="M431" i="39" s="1"/>
  <c r="H431" i="39" s="1"/>
  <c r="E432" i="39" s="1" a="1"/>
  <c r="E432" i="39" s="1"/>
  <c r="F432" i="39" s="1" a="1"/>
  <c r="F432" i="39" s="1"/>
  <c r="M432" i="39" s="1"/>
  <c r="M311" i="35"/>
  <c r="I311" i="35" s="1"/>
  <c r="Q310" i="35"/>
  <c r="N310" i="35"/>
  <c r="P310" i="35"/>
  <c r="G358" i="40" l="1"/>
  <c r="O358" i="40" s="1"/>
  <c r="H358" i="40"/>
  <c r="E359" i="40" s="1" a="1"/>
  <c r="E359" i="40" s="1"/>
  <c r="F359" i="40" s="1" a="1"/>
  <c r="F359" i="40" s="1"/>
  <c r="Q357" i="40"/>
  <c r="P357" i="40"/>
  <c r="N357" i="40"/>
  <c r="G432" i="39"/>
  <c r="O432" i="39" s="1"/>
  <c r="Q432" i="39" s="1"/>
  <c r="G431" i="39"/>
  <c r="O431" i="39" s="1"/>
  <c r="P431" i="39" s="1"/>
  <c r="I432" i="39"/>
  <c r="H432" i="39"/>
  <c r="E433" i="39" s="1" a="1"/>
  <c r="E433" i="39" s="1"/>
  <c r="F433" i="39" s="1" a="1"/>
  <c r="F433" i="39" s="1"/>
  <c r="M433" i="39" s="1"/>
  <c r="I433" i="39" s="1"/>
  <c r="I431" i="39"/>
  <c r="N431" i="39" l="1"/>
  <c r="Q431" i="39"/>
  <c r="P432" i="39"/>
  <c r="N432" i="39"/>
  <c r="M359" i="40"/>
  <c r="I359" i="40" s="1"/>
  <c r="P358" i="40"/>
  <c r="Q358" i="40"/>
  <c r="N358" i="40"/>
  <c r="G433" i="39"/>
  <c r="O433" i="39" s="1"/>
  <c r="Q433" i="39" s="1"/>
  <c r="H433" i="39"/>
  <c r="E434" i="39" s="1" a="1"/>
  <c r="E434" i="39" s="1"/>
  <c r="F434" i="39" s="1" a="1"/>
  <c r="F434" i="39" s="1"/>
  <c r="M434" i="39" s="1"/>
  <c r="H434" i="39" s="1"/>
  <c r="E435" i="39" s="1" a="1"/>
  <c r="E435" i="39" s="1"/>
  <c r="F435" i="39" s="1" a="1"/>
  <c r="F435" i="39" s="1"/>
  <c r="H311" i="35"/>
  <c r="E312" i="35" s="1" a="1"/>
  <c r="E312" i="35" s="1"/>
  <c r="F312" i="35" s="1" a="1"/>
  <c r="F312" i="35" s="1"/>
  <c r="G311" i="35"/>
  <c r="O311" i="35" s="1"/>
  <c r="N433" i="39" l="1"/>
  <c r="H359" i="40"/>
  <c r="E360" i="40" s="1" a="1"/>
  <c r="E360" i="40" s="1"/>
  <c r="F360" i="40" s="1" a="1"/>
  <c r="F360" i="40" s="1"/>
  <c r="P433" i="39"/>
  <c r="G359" i="40"/>
  <c r="O359" i="40" s="1"/>
  <c r="M435" i="39"/>
  <c r="H435" i="39" s="1"/>
  <c r="E436" i="39" s="1" a="1"/>
  <c r="E436" i="39" s="1"/>
  <c r="F436" i="39" s="1" a="1"/>
  <c r="F436" i="39" s="1"/>
  <c r="G434" i="39"/>
  <c r="O434" i="39" s="1"/>
  <c r="I434" i="39"/>
  <c r="M312" i="35"/>
  <c r="I312" i="35" s="1"/>
  <c r="P311" i="35"/>
  <c r="Q311" i="35"/>
  <c r="N311" i="35"/>
  <c r="Q359" i="40" l="1"/>
  <c r="N359" i="40"/>
  <c r="P359" i="40"/>
  <c r="M360" i="40"/>
  <c r="G360" i="40" s="1"/>
  <c r="O360" i="40" s="1"/>
  <c r="I435" i="39"/>
  <c r="M436" i="39"/>
  <c r="I436" i="39" s="1"/>
  <c r="G435" i="39"/>
  <c r="O435" i="39" s="1"/>
  <c r="P434" i="39"/>
  <c r="N434" i="39"/>
  <c r="Q434" i="39"/>
  <c r="H312" i="35"/>
  <c r="E313" i="35" s="1" a="1"/>
  <c r="E313" i="35" s="1"/>
  <c r="F313" i="35" s="1" a="1"/>
  <c r="F313" i="35" s="1"/>
  <c r="M313" i="35" s="1"/>
  <c r="I313" i="35" s="1"/>
  <c r="G312" i="35"/>
  <c r="O312" i="35" s="1"/>
  <c r="Q312" i="35" s="1"/>
  <c r="P360" i="40" l="1"/>
  <c r="N360" i="40"/>
  <c r="Q360" i="40"/>
  <c r="H360" i="40"/>
  <c r="E361" i="40" s="1" a="1"/>
  <c r="E361" i="40" s="1"/>
  <c r="F361" i="40" s="1" a="1"/>
  <c r="F361" i="40" s="1"/>
  <c r="I360" i="40"/>
  <c r="G436" i="39"/>
  <c r="O436" i="39" s="1"/>
  <c r="Q436" i="39" s="1"/>
  <c r="H436" i="39"/>
  <c r="E437" i="39" s="1" a="1"/>
  <c r="E437" i="39" s="1"/>
  <c r="F437" i="39" s="1" a="1"/>
  <c r="F437" i="39" s="1"/>
  <c r="M437" i="39" s="1"/>
  <c r="H437" i="39" s="1"/>
  <c r="E438" i="39" s="1" a="1"/>
  <c r="E438" i="39" s="1"/>
  <c r="F438" i="39" s="1" a="1"/>
  <c r="F438" i="39" s="1"/>
  <c r="Q435" i="39"/>
  <c r="P435" i="39"/>
  <c r="N435" i="39"/>
  <c r="N312" i="35"/>
  <c r="P312" i="35"/>
  <c r="H313" i="35"/>
  <c r="E314" i="35" s="1" a="1"/>
  <c r="E314" i="35" s="1"/>
  <c r="F314" i="35" s="1" a="1"/>
  <c r="F314" i="35" s="1"/>
  <c r="P436" i="39" l="1"/>
  <c r="N436" i="39"/>
  <c r="M361" i="40"/>
  <c r="G361" i="40" s="1"/>
  <c r="O361" i="40" s="1"/>
  <c r="M438" i="39"/>
  <c r="H438" i="39" s="1"/>
  <c r="E439" i="39" s="1" a="1"/>
  <c r="E439" i="39" s="1"/>
  <c r="F439" i="39" s="1" a="1"/>
  <c r="F439" i="39" s="1"/>
  <c r="I437" i="39"/>
  <c r="G437" i="39"/>
  <c r="O437" i="39" s="1"/>
  <c r="M314" i="35"/>
  <c r="I314" i="35" s="1"/>
  <c r="G313" i="35"/>
  <c r="O313" i="35" s="1"/>
  <c r="N361" i="40" l="1"/>
  <c r="Q361" i="40"/>
  <c r="P361" i="40"/>
  <c r="I361" i="40"/>
  <c r="H361" i="40"/>
  <c r="E362" i="40" s="1" a="1"/>
  <c r="E362" i="40" s="1"/>
  <c r="F362" i="40" s="1" a="1"/>
  <c r="F362" i="40" s="1"/>
  <c r="I438" i="39"/>
  <c r="M439" i="39"/>
  <c r="I439" i="39" s="1"/>
  <c r="Q437" i="39"/>
  <c r="P437" i="39"/>
  <c r="N437" i="39"/>
  <c r="G438" i="39"/>
  <c r="O438" i="39" s="1"/>
  <c r="H314" i="35"/>
  <c r="E315" i="35" s="1" a="1"/>
  <c r="E315" i="35" s="1"/>
  <c r="F315" i="35" s="1" a="1"/>
  <c r="F315" i="35" s="1"/>
  <c r="M315" i="35" s="1"/>
  <c r="I315" i="35" s="1"/>
  <c r="G314" i="35"/>
  <c r="O314" i="35" s="1"/>
  <c r="N314" i="35" s="1"/>
  <c r="Q313" i="35"/>
  <c r="N313" i="35"/>
  <c r="P313" i="35"/>
  <c r="M362" i="40" l="1"/>
  <c r="I362" i="40" s="1"/>
  <c r="G439" i="39"/>
  <c r="O439" i="39" s="1"/>
  <c r="N439" i="39" s="1"/>
  <c r="H439" i="39"/>
  <c r="E440" i="39" s="1" a="1"/>
  <c r="E440" i="39" s="1"/>
  <c r="F440" i="39" s="1" a="1"/>
  <c r="F440" i="39" s="1"/>
  <c r="M440" i="39" s="1"/>
  <c r="I440" i="39" s="1"/>
  <c r="Q438" i="39"/>
  <c r="P438" i="39"/>
  <c r="N438" i="39"/>
  <c r="Q314" i="35"/>
  <c r="P314" i="35"/>
  <c r="H315" i="35"/>
  <c r="E316" i="35" s="1" a="1"/>
  <c r="E316" i="35" s="1"/>
  <c r="F316" i="35" s="1" a="1"/>
  <c r="F316" i="35" s="1"/>
  <c r="G362" i="40" l="1"/>
  <c r="O362" i="40" s="1"/>
  <c r="N362" i="40" s="1"/>
  <c r="H362" i="40"/>
  <c r="E363" i="40" s="1" a="1"/>
  <c r="E363" i="40" s="1"/>
  <c r="F363" i="40" s="1" a="1"/>
  <c r="F363" i="40" s="1"/>
  <c r="M363" i="40" s="1"/>
  <c r="I363" i="40" s="1"/>
  <c r="Q439" i="39"/>
  <c r="P439" i="39"/>
  <c r="G440" i="39"/>
  <c r="O440" i="39" s="1"/>
  <c r="N440" i="39" s="1"/>
  <c r="H440" i="39"/>
  <c r="E441" i="39" s="1" a="1"/>
  <c r="E441" i="39" s="1"/>
  <c r="F441" i="39" s="1" a="1"/>
  <c r="F441" i="39" s="1"/>
  <c r="M441" i="39" s="1"/>
  <c r="I441" i="39" s="1"/>
  <c r="M316" i="35"/>
  <c r="I316" i="35" s="1"/>
  <c r="G315" i="35"/>
  <c r="O315" i="35" s="1"/>
  <c r="Q362" i="40" l="1"/>
  <c r="P362" i="40"/>
  <c r="G363" i="40"/>
  <c r="O363" i="40" s="1"/>
  <c r="N363" i="40" s="1"/>
  <c r="P440" i="39"/>
  <c r="H363" i="40"/>
  <c r="E364" i="40" s="1" a="1"/>
  <c r="E364" i="40" s="1"/>
  <c r="F364" i="40" s="1" a="1"/>
  <c r="F364" i="40" s="1"/>
  <c r="M364" i="40" s="1"/>
  <c r="I364" i="40" s="1"/>
  <c r="Q440" i="39"/>
  <c r="H441" i="39"/>
  <c r="E442" i="39" s="1" a="1"/>
  <c r="E442" i="39" s="1"/>
  <c r="F442" i="39" s="1" a="1"/>
  <c r="F442" i="39" s="1"/>
  <c r="M442" i="39" s="1"/>
  <c r="H442" i="39" s="1"/>
  <c r="E443" i="39" s="1" a="1"/>
  <c r="E443" i="39" s="1"/>
  <c r="F443" i="39" s="1" a="1"/>
  <c r="F443" i="39" s="1"/>
  <c r="G441" i="39"/>
  <c r="O441" i="39" s="1"/>
  <c r="Q441" i="39" s="1"/>
  <c r="G316" i="35"/>
  <c r="O316" i="35" s="1"/>
  <c r="Q316" i="35" s="1"/>
  <c r="H316" i="35"/>
  <c r="E317" i="35" s="1" a="1"/>
  <c r="E317" i="35" s="1"/>
  <c r="F317" i="35" s="1" a="1"/>
  <c r="F317" i="35" s="1"/>
  <c r="M317" i="35" s="1"/>
  <c r="I317" i="35" s="1"/>
  <c r="N315" i="35"/>
  <c r="P315" i="35"/>
  <c r="Q315" i="35"/>
  <c r="Q363" i="40" l="1"/>
  <c r="P363" i="40"/>
  <c r="G364" i="40"/>
  <c r="O364" i="40" s="1"/>
  <c r="P364" i="40" s="1"/>
  <c r="P441" i="39"/>
  <c r="H364" i="40"/>
  <c r="E365" i="40" s="1" a="1"/>
  <c r="E365" i="40" s="1"/>
  <c r="F365" i="40" s="1" a="1"/>
  <c r="F365" i="40" s="1"/>
  <c r="N441" i="39"/>
  <c r="M443" i="39"/>
  <c r="I443" i="39" s="1"/>
  <c r="G442" i="39"/>
  <c r="O442" i="39" s="1"/>
  <c r="I442" i="39"/>
  <c r="P316" i="35"/>
  <c r="N316" i="35"/>
  <c r="H317" i="35"/>
  <c r="E318" i="35" s="1" a="1"/>
  <c r="E318" i="35" s="1"/>
  <c r="F318" i="35" s="1" a="1"/>
  <c r="F318" i="35" s="1"/>
  <c r="M318" i="35" s="1"/>
  <c r="I318" i="35" s="1"/>
  <c r="G317" i="35"/>
  <c r="O317" i="35" s="1"/>
  <c r="Q364" i="40" l="1"/>
  <c r="N364" i="40"/>
  <c r="G443" i="39"/>
  <c r="O443" i="39" s="1"/>
  <c r="N443" i="39" s="1"/>
  <c r="H443" i="39"/>
  <c r="E444" i="39" s="1" a="1"/>
  <c r="E444" i="39" s="1"/>
  <c r="F444" i="39" s="1" a="1"/>
  <c r="F444" i="39" s="1"/>
  <c r="M444" i="39" s="1"/>
  <c r="H444" i="39" s="1"/>
  <c r="E445" i="39" s="1" a="1"/>
  <c r="E445" i="39" s="1"/>
  <c r="F445" i="39" s="1" a="1"/>
  <c r="F445" i="39" s="1"/>
  <c r="M365" i="40"/>
  <c r="G365" i="40" s="1"/>
  <c r="O365" i="40" s="1"/>
  <c r="Q442" i="39"/>
  <c r="P442" i="39"/>
  <c r="N442" i="39"/>
  <c r="G318" i="35"/>
  <c r="O318" i="35" s="1"/>
  <c r="Q318" i="35" s="1"/>
  <c r="H318" i="35"/>
  <c r="E319" i="35" s="1" a="1"/>
  <c r="E319" i="35" s="1"/>
  <c r="F319" i="35" s="1" a="1"/>
  <c r="F319" i="35" s="1"/>
  <c r="M319" i="35" s="1"/>
  <c r="H319" i="35" s="1"/>
  <c r="E320" i="35" s="1" a="1"/>
  <c r="E320" i="35" s="1"/>
  <c r="F320" i="35" s="1" a="1"/>
  <c r="F320" i="35" s="1"/>
  <c r="P317" i="35"/>
  <c r="N317" i="35"/>
  <c r="Q317" i="35"/>
  <c r="P443" i="39" l="1"/>
  <c r="Q443" i="39"/>
  <c r="I365" i="40"/>
  <c r="H365" i="40"/>
  <c r="E366" i="40" s="1" a="1"/>
  <c r="E366" i="40" s="1"/>
  <c r="F366" i="40" s="1" a="1"/>
  <c r="F366" i="40" s="1"/>
  <c r="M366" i="40" s="1"/>
  <c r="G366" i="40" s="1"/>
  <c r="O366" i="40" s="1"/>
  <c r="Q365" i="40"/>
  <c r="P365" i="40"/>
  <c r="N365" i="40"/>
  <c r="G444" i="39"/>
  <c r="O444" i="39" s="1"/>
  <c r="Q444" i="39" s="1"/>
  <c r="I444" i="39"/>
  <c r="M445" i="39"/>
  <c r="H445" i="39" s="1"/>
  <c r="E446" i="39" s="1" a="1"/>
  <c r="E446" i="39" s="1"/>
  <c r="F446" i="39" s="1" a="1"/>
  <c r="F446" i="39" s="1"/>
  <c r="N318" i="35"/>
  <c r="P318" i="35"/>
  <c r="M320" i="35"/>
  <c r="I320" i="35" s="1"/>
  <c r="I319" i="35"/>
  <c r="G319" i="35"/>
  <c r="O319" i="35" s="1"/>
  <c r="N444" i="39" l="1"/>
  <c r="P366" i="40"/>
  <c r="Q366" i="40"/>
  <c r="N366" i="40"/>
  <c r="H366" i="40"/>
  <c r="E367" i="40" s="1" a="1"/>
  <c r="E367" i="40" s="1"/>
  <c r="F367" i="40" s="1" a="1"/>
  <c r="F367" i="40" s="1"/>
  <c r="P444" i="39"/>
  <c r="I366" i="40"/>
  <c r="G445" i="39"/>
  <c r="O445" i="39" s="1"/>
  <c r="P445" i="39" s="1"/>
  <c r="I445" i="39"/>
  <c r="M446" i="39"/>
  <c r="I446" i="39" s="1"/>
  <c r="H320" i="35"/>
  <c r="E321" i="35" s="1" a="1"/>
  <c r="E321" i="35" s="1"/>
  <c r="F321" i="35" s="1" a="1"/>
  <c r="F321" i="35" s="1"/>
  <c r="G320" i="35"/>
  <c r="O320" i="35" s="1"/>
  <c r="Q319" i="35"/>
  <c r="N319" i="35"/>
  <c r="P319" i="35"/>
  <c r="N445" i="39" l="1"/>
  <c r="Q445" i="39"/>
  <c r="M367" i="40"/>
  <c r="I367" i="40" s="1"/>
  <c r="G446" i="39"/>
  <c r="O446" i="39" s="1"/>
  <c r="N446" i="39" s="1"/>
  <c r="H446" i="39"/>
  <c r="E447" i="39" s="1" a="1"/>
  <c r="E447" i="39" s="1"/>
  <c r="F447" i="39" s="1" a="1"/>
  <c r="F447" i="39" s="1"/>
  <c r="M447" i="39" s="1"/>
  <c r="I447" i="39" s="1"/>
  <c r="M321" i="35"/>
  <c r="I321" i="35" s="1"/>
  <c r="Q320" i="35"/>
  <c r="P320" i="35"/>
  <c r="N320" i="35"/>
  <c r="Q446" i="39" l="1"/>
  <c r="P446" i="39"/>
  <c r="H367" i="40"/>
  <c r="E368" i="40" s="1" a="1"/>
  <c r="E368" i="40" s="1"/>
  <c r="F368" i="40" s="1" a="1"/>
  <c r="F368" i="40" s="1"/>
  <c r="G367" i="40"/>
  <c r="O367" i="40" s="1"/>
  <c r="G447" i="39"/>
  <c r="O447" i="39" s="1"/>
  <c r="H447" i="39"/>
  <c r="E448" i="39" s="1" a="1"/>
  <c r="E448" i="39" s="1"/>
  <c r="F448" i="39" s="1" a="1"/>
  <c r="F448" i="39" s="1"/>
  <c r="Q367" i="40" l="1"/>
  <c r="N367" i="40"/>
  <c r="P367" i="40"/>
  <c r="M368" i="40"/>
  <c r="G368" i="40" s="1"/>
  <c r="O368" i="40" s="1"/>
  <c r="M448" i="39"/>
  <c r="I448" i="39" s="1"/>
  <c r="N447" i="39"/>
  <c r="P447" i="39"/>
  <c r="Q447" i="39"/>
  <c r="G321" i="35"/>
  <c r="O321" i="35" s="1"/>
  <c r="H321" i="35"/>
  <c r="E322" i="35" s="1" a="1"/>
  <c r="E322" i="35" s="1"/>
  <c r="F322" i="35" s="1" a="1"/>
  <c r="F322" i="35" s="1"/>
  <c r="Q368" i="40" l="1"/>
  <c r="P368" i="40"/>
  <c r="N368" i="40"/>
  <c r="H368" i="40"/>
  <c r="E369" i="40" s="1" a="1"/>
  <c r="E369" i="40" s="1"/>
  <c r="F369" i="40" s="1" a="1"/>
  <c r="F369" i="40" s="1"/>
  <c r="I368" i="40"/>
  <c r="G448" i="39"/>
  <c r="O448" i="39" s="1"/>
  <c r="P448" i="39" s="1"/>
  <c r="H448" i="39"/>
  <c r="E449" i="39" s="1" a="1"/>
  <c r="E449" i="39" s="1"/>
  <c r="F449" i="39" s="1" a="1"/>
  <c r="F449" i="39" s="1"/>
  <c r="M449" i="39" s="1"/>
  <c r="M322" i="35"/>
  <c r="I322" i="35" s="1"/>
  <c r="N321" i="35"/>
  <c r="Q321" i="35"/>
  <c r="P321" i="35"/>
  <c r="Q448" i="39" l="1"/>
  <c r="N448" i="39"/>
  <c r="M369" i="40"/>
  <c r="I369" i="40" s="1"/>
  <c r="G449" i="39"/>
  <c r="O449" i="39" s="1"/>
  <c r="Q449" i="39" s="1"/>
  <c r="H449" i="39"/>
  <c r="E450" i="39" s="1" a="1"/>
  <c r="E450" i="39" s="1"/>
  <c r="F450" i="39" s="1" a="1"/>
  <c r="F450" i="39" s="1"/>
  <c r="M450" i="39" s="1"/>
  <c r="I450" i="39" s="1"/>
  <c r="I449" i="39"/>
  <c r="G369" i="40" l="1"/>
  <c r="O369" i="40" s="1"/>
  <c r="N369" i="40" s="1"/>
  <c r="P449" i="39"/>
  <c r="H369" i="40"/>
  <c r="E370" i="40" s="1" a="1"/>
  <c r="E370" i="40" s="1"/>
  <c r="F370" i="40" s="1" a="1"/>
  <c r="F370" i="40" s="1"/>
  <c r="M370" i="40" s="1"/>
  <c r="H370" i="40" s="1"/>
  <c r="E371" i="40" s="1" a="1"/>
  <c r="E371" i="40" s="1"/>
  <c r="F371" i="40" s="1" a="1"/>
  <c r="F371" i="40" s="1"/>
  <c r="N449" i="39"/>
  <c r="G450" i="39"/>
  <c r="O450" i="39" s="1"/>
  <c r="H450" i="39"/>
  <c r="E451" i="39" s="1" a="1"/>
  <c r="E451" i="39" s="1"/>
  <c r="F451" i="39" s="1" a="1"/>
  <c r="F451" i="39" s="1"/>
  <c r="G322" i="35"/>
  <c r="O322" i="35" s="1"/>
  <c r="H322" i="35"/>
  <c r="E323" i="35" s="1" a="1"/>
  <c r="E323" i="35" s="1"/>
  <c r="F323" i="35" s="1" a="1"/>
  <c r="F323" i="35" s="1"/>
  <c r="P369" i="40" l="1"/>
  <c r="Q369" i="40"/>
  <c r="M371" i="40"/>
  <c r="I371" i="40" s="1"/>
  <c r="I370" i="40"/>
  <c r="G370" i="40"/>
  <c r="O370" i="40" s="1"/>
  <c r="M451" i="39"/>
  <c r="G451" i="39" s="1"/>
  <c r="O451" i="39" s="1"/>
  <c r="Q450" i="39"/>
  <c r="P450" i="39"/>
  <c r="N450" i="39"/>
  <c r="M323" i="35"/>
  <c r="I323" i="35" s="1"/>
  <c r="P322" i="35"/>
  <c r="N322" i="35"/>
  <c r="Q322" i="35"/>
  <c r="Q370" i="40" l="1"/>
  <c r="N370" i="40"/>
  <c r="P370" i="40"/>
  <c r="G371" i="40"/>
  <c r="O371" i="40" s="1"/>
  <c r="H371" i="40"/>
  <c r="E372" i="40" s="1" a="1"/>
  <c r="E372" i="40" s="1"/>
  <c r="F372" i="40" s="1" a="1"/>
  <c r="F372" i="40" s="1"/>
  <c r="H451" i="39"/>
  <c r="E452" i="39" s="1" a="1"/>
  <c r="E452" i="39" s="1"/>
  <c r="F452" i="39" s="1" a="1"/>
  <c r="F452" i="39" s="1"/>
  <c r="M452" i="39" s="1"/>
  <c r="H452" i="39" s="1"/>
  <c r="E453" i="39" s="1" a="1"/>
  <c r="E453" i="39" s="1"/>
  <c r="F453" i="39" s="1" a="1"/>
  <c r="F453" i="39" s="1"/>
  <c r="I451" i="39"/>
  <c r="N451" i="39"/>
  <c r="Q451" i="39"/>
  <c r="P451" i="39"/>
  <c r="H323" i="35"/>
  <c r="E324" i="35" s="1" a="1"/>
  <c r="E324" i="35" s="1"/>
  <c r="F324" i="35" s="1" a="1"/>
  <c r="F324" i="35" s="1"/>
  <c r="Q371" i="40" l="1"/>
  <c r="P371" i="40"/>
  <c r="N371" i="40"/>
  <c r="M372" i="40"/>
  <c r="I372" i="40" s="1"/>
  <c r="G452" i="39"/>
  <c r="O452" i="39" s="1"/>
  <c r="N452" i="39" s="1"/>
  <c r="I452" i="39"/>
  <c r="M453" i="39"/>
  <c r="I453" i="39" s="1"/>
  <c r="M324" i="35"/>
  <c r="G324" i="35" s="1"/>
  <c r="O324" i="35" s="1"/>
  <c r="G323" i="35"/>
  <c r="O323" i="35" s="1"/>
  <c r="P452" i="39" l="1"/>
  <c r="Q452" i="39"/>
  <c r="G372" i="40"/>
  <c r="O372" i="40" s="1"/>
  <c r="H372" i="40"/>
  <c r="E373" i="40" s="1" a="1"/>
  <c r="E373" i="40" s="1"/>
  <c r="F373" i="40" s="1" a="1"/>
  <c r="F373" i="40" s="1"/>
  <c r="G453" i="39"/>
  <c r="O453" i="39" s="1"/>
  <c r="Q453" i="39" s="1"/>
  <c r="H453" i="39"/>
  <c r="E454" i="39" s="1" a="1"/>
  <c r="E454" i="39" s="1"/>
  <c r="F454" i="39" s="1" a="1"/>
  <c r="F454" i="39" s="1"/>
  <c r="H324" i="35"/>
  <c r="E325" i="35" s="1" a="1"/>
  <c r="E325" i="35" s="1"/>
  <c r="F325" i="35" s="1" a="1"/>
  <c r="F325" i="35" s="1"/>
  <c r="M325" i="35" s="1"/>
  <c r="I325" i="35" s="1"/>
  <c r="I324" i="35"/>
  <c r="P323" i="35"/>
  <c r="N323" i="35"/>
  <c r="Q323" i="35"/>
  <c r="Q324" i="35"/>
  <c r="N324" i="35"/>
  <c r="P324" i="35"/>
  <c r="P453" i="39" l="1"/>
  <c r="N453" i="39"/>
  <c r="M373" i="40"/>
  <c r="H373" i="40" s="1"/>
  <c r="E374" i="40" s="1" a="1"/>
  <c r="E374" i="40" s="1"/>
  <c r="F374" i="40" s="1" a="1"/>
  <c r="F374" i="40" s="1"/>
  <c r="N372" i="40"/>
  <c r="Q372" i="40"/>
  <c r="P372" i="40"/>
  <c r="M454" i="39"/>
  <c r="I454" i="39" s="1"/>
  <c r="I373" i="40" l="1"/>
  <c r="G373" i="40"/>
  <c r="O373" i="40" s="1"/>
  <c r="P373" i="40" s="1"/>
  <c r="M374" i="40"/>
  <c r="G374" i="40" s="1"/>
  <c r="O374" i="40" s="1"/>
  <c r="H454" i="39"/>
  <c r="E455" i="39" s="1" a="1"/>
  <c r="E455" i="39" s="1"/>
  <c r="F455" i="39" s="1" a="1"/>
  <c r="F455" i="39" s="1"/>
  <c r="G454" i="39"/>
  <c r="O454" i="39" s="1"/>
  <c r="G325" i="35"/>
  <c r="O325" i="35" s="1"/>
  <c r="H325" i="35"/>
  <c r="E326" i="35" s="1" a="1"/>
  <c r="E326" i="35" s="1"/>
  <c r="F326" i="35" s="1" a="1"/>
  <c r="F326" i="35" s="1"/>
  <c r="Q373" i="40" l="1"/>
  <c r="N373" i="40"/>
  <c r="I374" i="40"/>
  <c r="H374" i="40"/>
  <c r="E375" i="40" s="1" a="1"/>
  <c r="E375" i="40" s="1"/>
  <c r="F375" i="40" s="1" a="1"/>
  <c r="F375" i="40" s="1"/>
  <c r="M375" i="40" s="1"/>
  <c r="Q374" i="40"/>
  <c r="P374" i="40"/>
  <c r="N374" i="40"/>
  <c r="Q454" i="39"/>
  <c r="N454" i="39"/>
  <c r="P454" i="39"/>
  <c r="M455" i="39"/>
  <c r="G455" i="39" s="1"/>
  <c r="O455" i="39" s="1"/>
  <c r="M326" i="35"/>
  <c r="I326" i="35" s="1"/>
  <c r="N325" i="35"/>
  <c r="P325" i="35"/>
  <c r="Q325" i="35"/>
  <c r="I375" i="40" l="1"/>
  <c r="G375" i="40"/>
  <c r="O375" i="40" s="1"/>
  <c r="Q375" i="40" s="1"/>
  <c r="H375" i="40"/>
  <c r="E376" i="40" s="1" a="1"/>
  <c r="E376" i="40" s="1"/>
  <c r="F376" i="40" s="1" a="1"/>
  <c r="F376" i="40" s="1"/>
  <c r="M376" i="40" s="1"/>
  <c r="I376" i="40" s="1"/>
  <c r="N455" i="39"/>
  <c r="Q455" i="39"/>
  <c r="P455" i="39"/>
  <c r="H455" i="39"/>
  <c r="E456" i="39" s="1" a="1"/>
  <c r="E456" i="39" s="1"/>
  <c r="F456" i="39" s="1" a="1"/>
  <c r="F456" i="39" s="1"/>
  <c r="I455" i="39"/>
  <c r="N375" i="40" l="1"/>
  <c r="P375" i="40"/>
  <c r="G376" i="40"/>
  <c r="O376" i="40" s="1"/>
  <c r="H376" i="40"/>
  <c r="E377" i="40" s="1" a="1"/>
  <c r="E377" i="40" s="1"/>
  <c r="F377" i="40" s="1" a="1"/>
  <c r="F377" i="40" s="1"/>
  <c r="M456" i="39"/>
  <c r="G456" i="39" s="1"/>
  <c r="O456" i="39" s="1"/>
  <c r="H326" i="35"/>
  <c r="E327" i="35" s="1" a="1"/>
  <c r="E327" i="35" s="1"/>
  <c r="F327" i="35" s="1" a="1"/>
  <c r="F327" i="35" s="1"/>
  <c r="G326" i="35"/>
  <c r="O326" i="35" s="1"/>
  <c r="M377" i="40" l="1"/>
  <c r="H377" i="40" s="1"/>
  <c r="E378" i="40" s="1" a="1"/>
  <c r="E378" i="40" s="1"/>
  <c r="F378" i="40" s="1" a="1"/>
  <c r="F378" i="40" s="1"/>
  <c r="N376" i="40"/>
  <c r="P376" i="40"/>
  <c r="Q376" i="40"/>
  <c r="H456" i="39"/>
  <c r="E457" i="39" s="1" a="1"/>
  <c r="E457" i="39" s="1"/>
  <c r="F457" i="39" s="1" a="1"/>
  <c r="F457" i="39" s="1"/>
  <c r="M457" i="39" s="1"/>
  <c r="G457" i="39" s="1"/>
  <c r="O457" i="39" s="1"/>
  <c r="I456" i="39"/>
  <c r="N456" i="39"/>
  <c r="Q456" i="39"/>
  <c r="P456" i="39"/>
  <c r="M327" i="35"/>
  <c r="I327" i="35" s="1"/>
  <c r="Q326" i="35"/>
  <c r="P326" i="35"/>
  <c r="N326" i="35"/>
  <c r="G377" i="40" l="1"/>
  <c r="O377" i="40" s="1"/>
  <c r="N377" i="40" s="1"/>
  <c r="I377" i="40"/>
  <c r="M378" i="40"/>
  <c r="G378" i="40" s="1"/>
  <c r="O378" i="40" s="1"/>
  <c r="H457" i="39"/>
  <c r="E458" i="39" s="1" a="1"/>
  <c r="E458" i="39" s="1"/>
  <c r="F458" i="39" s="1" a="1"/>
  <c r="F458" i="39" s="1"/>
  <c r="M458" i="39" s="1"/>
  <c r="H458" i="39" s="1"/>
  <c r="E459" i="39" s="1" a="1"/>
  <c r="E459" i="39" s="1"/>
  <c r="F459" i="39" s="1" a="1"/>
  <c r="F459" i="39" s="1"/>
  <c r="I457" i="39"/>
  <c r="Q457" i="39"/>
  <c r="P457" i="39"/>
  <c r="N457" i="39"/>
  <c r="G327" i="35"/>
  <c r="O327" i="35" s="1"/>
  <c r="Q377" i="40" l="1"/>
  <c r="P377" i="40"/>
  <c r="I378" i="40"/>
  <c r="H378" i="40"/>
  <c r="E379" i="40" s="1" a="1"/>
  <c r="E379" i="40" s="1"/>
  <c r="F379" i="40" s="1" a="1"/>
  <c r="F379" i="40" s="1"/>
  <c r="M379" i="40" s="1"/>
  <c r="I379" i="40" s="1"/>
  <c r="Q378" i="40"/>
  <c r="P378" i="40"/>
  <c r="N378" i="40"/>
  <c r="G458" i="39"/>
  <c r="O458" i="39" s="1"/>
  <c r="Q458" i="39" s="1"/>
  <c r="M459" i="39"/>
  <c r="H459" i="39" s="1"/>
  <c r="E460" i="39" s="1" a="1"/>
  <c r="E460" i="39" s="1"/>
  <c r="F460" i="39" s="1" a="1"/>
  <c r="F460" i="39" s="1"/>
  <c r="I458" i="39"/>
  <c r="H327" i="35"/>
  <c r="E328" i="35" s="1" a="1"/>
  <c r="E328" i="35" s="1"/>
  <c r="F328" i="35" s="1" a="1"/>
  <c r="F328" i="35" s="1"/>
  <c r="P327" i="35"/>
  <c r="N327" i="35"/>
  <c r="Q327" i="35"/>
  <c r="G379" i="40" l="1"/>
  <c r="O379" i="40" s="1"/>
  <c r="P458" i="39"/>
  <c r="N458" i="39"/>
  <c r="H379" i="40"/>
  <c r="E380" i="40" s="1" a="1"/>
  <c r="E380" i="40" s="1"/>
  <c r="F380" i="40" s="1" a="1"/>
  <c r="F380" i="40" s="1"/>
  <c r="M460" i="39"/>
  <c r="I460" i="39" s="1"/>
  <c r="I459" i="39"/>
  <c r="G459" i="39"/>
  <c r="O459" i="39" s="1"/>
  <c r="M328" i="35"/>
  <c r="I328" i="35" s="1"/>
  <c r="M380" i="40" l="1"/>
  <c r="G380" i="40" s="1"/>
  <c r="O380" i="40" s="1"/>
  <c r="N379" i="40"/>
  <c r="Q379" i="40"/>
  <c r="P379" i="40"/>
  <c r="H460" i="39"/>
  <c r="E461" i="39" s="1" a="1"/>
  <c r="E461" i="39" s="1"/>
  <c r="F461" i="39" s="1" a="1"/>
  <c r="F461" i="39" s="1"/>
  <c r="M461" i="39" s="1"/>
  <c r="H461" i="39" s="1"/>
  <c r="E462" i="39" s="1" a="1"/>
  <c r="E462" i="39" s="1"/>
  <c r="F462" i="39" s="1" a="1"/>
  <c r="F462" i="39" s="1"/>
  <c r="Q459" i="39"/>
  <c r="N459" i="39"/>
  <c r="P459" i="39"/>
  <c r="G460" i="39"/>
  <c r="O460" i="39" s="1"/>
  <c r="G328" i="35"/>
  <c r="O328" i="35" s="1"/>
  <c r="N328" i="35" s="1"/>
  <c r="H328" i="35"/>
  <c r="E329" i="35" s="1" a="1"/>
  <c r="E329" i="35" s="1"/>
  <c r="F329" i="35" s="1" a="1"/>
  <c r="F329" i="35" s="1"/>
  <c r="M329" i="35" s="1"/>
  <c r="I329" i="35" s="1"/>
  <c r="N380" i="40" l="1"/>
  <c r="Q380" i="40"/>
  <c r="P380" i="40"/>
  <c r="H380" i="40"/>
  <c r="E381" i="40" s="1" a="1"/>
  <c r="E381" i="40" s="1"/>
  <c r="F381" i="40" s="1" a="1"/>
  <c r="F381" i="40" s="1"/>
  <c r="I380" i="40"/>
  <c r="G461" i="39"/>
  <c r="O461" i="39" s="1"/>
  <c r="P461" i="39" s="1"/>
  <c r="P460" i="39"/>
  <c r="N460" i="39"/>
  <c r="Q460" i="39"/>
  <c r="I461" i="39"/>
  <c r="M462" i="39"/>
  <c r="H462" i="39" s="1"/>
  <c r="E463" i="39" s="1" a="1"/>
  <c r="E463" i="39" s="1"/>
  <c r="F463" i="39" s="1" a="1"/>
  <c r="F463" i="39" s="1"/>
  <c r="Q328" i="35"/>
  <c r="P328" i="35"/>
  <c r="Q461" i="39" l="1"/>
  <c r="N461" i="39"/>
  <c r="M381" i="40"/>
  <c r="G381" i="40" s="1"/>
  <c r="O381" i="40" s="1"/>
  <c r="G462" i="39"/>
  <c r="O462" i="39" s="1"/>
  <c r="Q462" i="39" s="1"/>
  <c r="M463" i="39"/>
  <c r="H463" i="39" s="1"/>
  <c r="E464" i="39" s="1" a="1"/>
  <c r="E464" i="39" s="1"/>
  <c r="F464" i="39" s="1" a="1"/>
  <c r="F464" i="39" s="1"/>
  <c r="I462" i="39"/>
  <c r="H329" i="35"/>
  <c r="E330" i="35" s="1" a="1"/>
  <c r="E330" i="35" s="1"/>
  <c r="F330" i="35" s="1" a="1"/>
  <c r="F330" i="35" s="1"/>
  <c r="G329" i="35"/>
  <c r="O329" i="35" s="1"/>
  <c r="H381" i="40" l="1"/>
  <c r="E382" i="40" s="1" a="1"/>
  <c r="E382" i="40" s="1"/>
  <c r="F382" i="40" s="1" a="1"/>
  <c r="F382" i="40" s="1"/>
  <c r="M382" i="40" s="1"/>
  <c r="I382" i="40" s="1"/>
  <c r="I381" i="40"/>
  <c r="N462" i="39"/>
  <c r="P462" i="39"/>
  <c r="P381" i="40"/>
  <c r="Q381" i="40"/>
  <c r="N381" i="40"/>
  <c r="G463" i="39"/>
  <c r="O463" i="39" s="1"/>
  <c r="P463" i="39" s="1"/>
  <c r="I463" i="39"/>
  <c r="M464" i="39"/>
  <c r="I464" i="39" s="1"/>
  <c r="M330" i="35"/>
  <c r="I330" i="35" s="1"/>
  <c r="Q329" i="35"/>
  <c r="P329" i="35"/>
  <c r="N329" i="35"/>
  <c r="N463" i="39" l="1"/>
  <c r="Q463" i="39"/>
  <c r="G382" i="40"/>
  <c r="O382" i="40" s="1"/>
  <c r="H382" i="40"/>
  <c r="E383" i="40" s="1" a="1"/>
  <c r="E383" i="40" s="1"/>
  <c r="F383" i="40" s="1" a="1"/>
  <c r="F383" i="40" s="1"/>
  <c r="H464" i="39"/>
  <c r="E465" i="39" s="1" a="1"/>
  <c r="E465" i="39" s="1"/>
  <c r="F465" i="39" s="1" a="1"/>
  <c r="F465" i="39" s="1"/>
  <c r="G464" i="39"/>
  <c r="O464" i="39" s="1"/>
  <c r="G330" i="35"/>
  <c r="O330" i="35" s="1"/>
  <c r="H330" i="35"/>
  <c r="E331" i="35" s="1" a="1"/>
  <c r="E331" i="35" s="1"/>
  <c r="F331" i="35" s="1" a="1"/>
  <c r="F331" i="35" s="1"/>
  <c r="Q382" i="40" l="1"/>
  <c r="N382" i="40"/>
  <c r="P382" i="40"/>
  <c r="M383" i="40"/>
  <c r="H383" i="40" s="1"/>
  <c r="E384" i="40" s="1" a="1"/>
  <c r="E384" i="40" s="1"/>
  <c r="F384" i="40" s="1" a="1"/>
  <c r="F384" i="40" s="1"/>
  <c r="Q464" i="39"/>
  <c r="N464" i="39"/>
  <c r="P464" i="39"/>
  <c r="M465" i="39"/>
  <c r="I465" i="39" s="1"/>
  <c r="M331" i="35"/>
  <c r="I331" i="35" s="1"/>
  <c r="N330" i="35"/>
  <c r="P330" i="35"/>
  <c r="Q330" i="35"/>
  <c r="M384" i="40" l="1"/>
  <c r="I384" i="40" s="1"/>
  <c r="G383" i="40"/>
  <c r="O383" i="40" s="1"/>
  <c r="I383" i="40"/>
  <c r="H465" i="39"/>
  <c r="E466" i="39" s="1" a="1"/>
  <c r="E466" i="39" s="1"/>
  <c r="F466" i="39" s="1" a="1"/>
  <c r="F466" i="39" s="1"/>
  <c r="M466" i="39" s="1"/>
  <c r="H466" i="39" s="1"/>
  <c r="E467" i="39" s="1" a="1"/>
  <c r="E467" i="39" s="1"/>
  <c r="F467" i="39" s="1" a="1"/>
  <c r="F467" i="39" s="1"/>
  <c r="G465" i="39"/>
  <c r="O465" i="39" s="1"/>
  <c r="H331" i="35"/>
  <c r="E332" i="35" s="1" a="1"/>
  <c r="E332" i="35" s="1"/>
  <c r="F332" i="35" s="1" a="1"/>
  <c r="F332" i="35" s="1"/>
  <c r="M332" i="35" s="1"/>
  <c r="I332" i="35" s="1"/>
  <c r="G331" i="35"/>
  <c r="O331" i="35" s="1"/>
  <c r="P331" i="35" s="1"/>
  <c r="H384" i="40" l="1"/>
  <c r="E385" i="40" s="1" a="1"/>
  <c r="E385" i="40" s="1"/>
  <c r="F385" i="40" s="1" a="1"/>
  <c r="F385" i="40" s="1"/>
  <c r="M385" i="40" s="1"/>
  <c r="I385" i="40" s="1"/>
  <c r="G384" i="40"/>
  <c r="O384" i="40" s="1"/>
  <c r="P384" i="40" s="1"/>
  <c r="N383" i="40"/>
  <c r="Q383" i="40"/>
  <c r="P383" i="40"/>
  <c r="I466" i="39"/>
  <c r="G466" i="39"/>
  <c r="O466" i="39" s="1"/>
  <c r="P466" i="39" s="1"/>
  <c r="M467" i="39"/>
  <c r="G467" i="39" s="1"/>
  <c r="O467" i="39" s="1"/>
  <c r="Q465" i="39"/>
  <c r="P465" i="39"/>
  <c r="N465" i="39"/>
  <c r="N331" i="35"/>
  <c r="Q331" i="35"/>
  <c r="H332" i="35"/>
  <c r="E333" i="35" s="1" a="1"/>
  <c r="E333" i="35" s="1"/>
  <c r="F333" i="35" s="1" a="1"/>
  <c r="F333" i="35" s="1"/>
  <c r="G332" i="35"/>
  <c r="O332" i="35" s="1"/>
  <c r="N384" i="40" l="1"/>
  <c r="Q384" i="40"/>
  <c r="G385" i="40"/>
  <c r="O385" i="40" s="1"/>
  <c r="Q385" i="40" s="1"/>
  <c r="H385" i="40"/>
  <c r="E386" i="40" s="1" a="1"/>
  <c r="E386" i="40" s="1"/>
  <c r="F386" i="40" s="1" a="1"/>
  <c r="F386" i="40" s="1"/>
  <c r="M386" i="40" s="1"/>
  <c r="I386" i="40" s="1"/>
  <c r="Q466" i="39"/>
  <c r="N466" i="39"/>
  <c r="H467" i="39"/>
  <c r="E468" i="39" s="1" a="1"/>
  <c r="E468" i="39" s="1"/>
  <c r="F468" i="39" s="1" a="1"/>
  <c r="F468" i="39" s="1"/>
  <c r="I467" i="39"/>
  <c r="N467" i="39"/>
  <c r="Q467" i="39"/>
  <c r="P467" i="39"/>
  <c r="M333" i="35"/>
  <c r="I333" i="35" s="1"/>
  <c r="P332" i="35"/>
  <c r="N332" i="35"/>
  <c r="Q332" i="35"/>
  <c r="P385" i="40" l="1"/>
  <c r="N385" i="40"/>
  <c r="G386" i="40"/>
  <c r="O386" i="40" s="1"/>
  <c r="Q386" i="40" s="1"/>
  <c r="H386" i="40"/>
  <c r="E387" i="40" s="1" a="1"/>
  <c r="E387" i="40" s="1"/>
  <c r="F387" i="40" s="1" a="1"/>
  <c r="F387" i="40" s="1"/>
  <c r="M387" i="40" s="1"/>
  <c r="H387" i="40" s="1"/>
  <c r="E388" i="40" s="1" a="1"/>
  <c r="E388" i="40" s="1"/>
  <c r="F388" i="40" s="1" a="1"/>
  <c r="F388" i="40" s="1"/>
  <c r="M468" i="39"/>
  <c r="I468" i="39" s="1"/>
  <c r="H333" i="35"/>
  <c r="E334" i="35" s="1" a="1"/>
  <c r="E334" i="35" s="1"/>
  <c r="F334" i="35" s="1" a="1"/>
  <c r="F334" i="35" s="1"/>
  <c r="M334" i="35" s="1"/>
  <c r="I334" i="35" s="1"/>
  <c r="G333" i="35"/>
  <c r="O333" i="35" s="1"/>
  <c r="P386" i="40" l="1"/>
  <c r="N386" i="40"/>
  <c r="M388" i="40"/>
  <c r="G388" i="40" s="1"/>
  <c r="O388" i="40" s="1"/>
  <c r="I387" i="40"/>
  <c r="G387" i="40"/>
  <c r="O387" i="40" s="1"/>
  <c r="G468" i="39"/>
  <c r="O468" i="39" s="1"/>
  <c r="H468" i="39"/>
  <c r="E469" i="39" s="1" a="1"/>
  <c r="E469" i="39" s="1"/>
  <c r="F469" i="39" s="1" a="1"/>
  <c r="F469" i="39" s="1"/>
  <c r="M469" i="39" s="1"/>
  <c r="G469" i="39" s="1"/>
  <c r="O469" i="39" s="1"/>
  <c r="Q469" i="39" s="1"/>
  <c r="H334" i="35"/>
  <c r="E335" i="35" s="1" a="1"/>
  <c r="E335" i="35" s="1"/>
  <c r="F335" i="35" s="1" a="1"/>
  <c r="F335" i="35" s="1"/>
  <c r="N333" i="35"/>
  <c r="P333" i="35"/>
  <c r="Q333" i="35"/>
  <c r="G334" i="35"/>
  <c r="O334" i="35" s="1"/>
  <c r="H388" i="40" l="1"/>
  <c r="E389" i="40" s="1" a="1"/>
  <c r="E389" i="40" s="1"/>
  <c r="F389" i="40" s="1" a="1"/>
  <c r="F389" i="40" s="1"/>
  <c r="M389" i="40" s="1"/>
  <c r="H389" i="40" s="1"/>
  <c r="E390" i="40" s="1" a="1"/>
  <c r="E390" i="40" s="1"/>
  <c r="F390" i="40" s="1" a="1"/>
  <c r="F390" i="40" s="1"/>
  <c r="I388" i="40"/>
  <c r="P388" i="40"/>
  <c r="N388" i="40"/>
  <c r="Q388" i="40"/>
  <c r="Q387" i="40"/>
  <c r="N387" i="40"/>
  <c r="P387" i="40"/>
  <c r="P469" i="39"/>
  <c r="N469" i="39"/>
  <c r="I469" i="39"/>
  <c r="H469" i="39"/>
  <c r="E470" i="39" s="1" a="1"/>
  <c r="E470" i="39" s="1"/>
  <c r="F470" i="39" s="1" a="1"/>
  <c r="F470" i="39" s="1"/>
  <c r="M470" i="39" s="1"/>
  <c r="H470" i="39" s="1"/>
  <c r="E471" i="39" s="1" a="1"/>
  <c r="E471" i="39" s="1"/>
  <c r="F471" i="39" s="1" a="1"/>
  <c r="F471" i="39" s="1"/>
  <c r="M471" i="39" s="1"/>
  <c r="P468" i="39"/>
  <c r="N468" i="39"/>
  <c r="Q468" i="39"/>
  <c r="M335" i="35"/>
  <c r="I335" i="35" s="1"/>
  <c r="P334" i="35"/>
  <c r="Q334" i="35"/>
  <c r="N334" i="35"/>
  <c r="M390" i="40" l="1"/>
  <c r="I390" i="40" s="1"/>
  <c r="I389" i="40"/>
  <c r="G389" i="40"/>
  <c r="O389" i="40" s="1"/>
  <c r="H471" i="39"/>
  <c r="E472" i="39" s="1" a="1"/>
  <c r="E472" i="39" s="1"/>
  <c r="F472" i="39" s="1" a="1"/>
  <c r="F472" i="39" s="1"/>
  <c r="M472" i="39" s="1"/>
  <c r="I472" i="39" s="1"/>
  <c r="I470" i="39"/>
  <c r="G470" i="39"/>
  <c r="O470" i="39" s="1"/>
  <c r="G471" i="39"/>
  <c r="O471" i="39" s="1"/>
  <c r="I471" i="39"/>
  <c r="G335" i="35"/>
  <c r="O335" i="35" s="1"/>
  <c r="Q335" i="35" s="1"/>
  <c r="H335" i="35"/>
  <c r="E336" i="35" s="1" a="1"/>
  <c r="E336" i="35" s="1"/>
  <c r="F336" i="35" s="1" a="1"/>
  <c r="F336" i="35" s="1"/>
  <c r="M336" i="35" s="1"/>
  <c r="I336" i="35" s="1"/>
  <c r="G390" i="40" l="1"/>
  <c r="O390" i="40" s="1"/>
  <c r="H390" i="40"/>
  <c r="E391" i="40" s="1" a="1"/>
  <c r="E391" i="40" s="1"/>
  <c r="F391" i="40" s="1" a="1"/>
  <c r="F391" i="40" s="1"/>
  <c r="M391" i="40" s="1"/>
  <c r="H391" i="40" s="1"/>
  <c r="E392" i="40" s="1" a="1"/>
  <c r="E392" i="40" s="1"/>
  <c r="F392" i="40" s="1" a="1"/>
  <c r="F392" i="40" s="1"/>
  <c r="Q389" i="40"/>
  <c r="P389" i="40"/>
  <c r="N389" i="40"/>
  <c r="Q390" i="40"/>
  <c r="N390" i="40"/>
  <c r="P390" i="40"/>
  <c r="G472" i="39"/>
  <c r="O472" i="39" s="1"/>
  <c r="P471" i="39"/>
  <c r="N471" i="39"/>
  <c r="Q471" i="39"/>
  <c r="H472" i="39"/>
  <c r="E473" i="39" s="1" a="1"/>
  <c r="E473" i="39" s="1"/>
  <c r="F473" i="39" s="1" a="1"/>
  <c r="F473" i="39" s="1"/>
  <c r="M473" i="39" s="1"/>
  <c r="I473" i="39" s="1"/>
  <c r="Q470" i="39"/>
  <c r="N470" i="39"/>
  <c r="P470" i="39"/>
  <c r="P335" i="35"/>
  <c r="N335" i="35"/>
  <c r="H336" i="35"/>
  <c r="E337" i="35" s="1" a="1"/>
  <c r="E337" i="35" s="1"/>
  <c r="F337" i="35" s="1" a="1"/>
  <c r="F337" i="35" s="1"/>
  <c r="M337" i="35" s="1"/>
  <c r="I337" i="35" s="1"/>
  <c r="G336" i="35"/>
  <c r="O336" i="35" s="1"/>
  <c r="I391" i="40" l="1"/>
  <c r="G391" i="40"/>
  <c r="O391" i="40" s="1"/>
  <c r="N391" i="40" s="1"/>
  <c r="M392" i="40"/>
  <c r="I392" i="40" s="1"/>
  <c r="G473" i="39"/>
  <c r="O473" i="39" s="1"/>
  <c r="Q473" i="39" s="1"/>
  <c r="H473" i="39"/>
  <c r="E474" i="39" s="1" a="1"/>
  <c r="E474" i="39" s="1"/>
  <c r="F474" i="39" s="1" a="1"/>
  <c r="F474" i="39" s="1"/>
  <c r="M474" i="39" s="1"/>
  <c r="H474" i="39" s="1"/>
  <c r="E475" i="39" s="1" a="1"/>
  <c r="E475" i="39" s="1"/>
  <c r="F475" i="39" s="1" a="1"/>
  <c r="F475" i="39" s="1"/>
  <c r="Q472" i="39"/>
  <c r="P472" i="39"/>
  <c r="N472" i="39"/>
  <c r="H337" i="35"/>
  <c r="E338" i="35" s="1" a="1"/>
  <c r="E338" i="35" s="1"/>
  <c r="F338" i="35" s="1" a="1"/>
  <c r="F338" i="35" s="1"/>
  <c r="G337" i="35"/>
  <c r="O337" i="35" s="1"/>
  <c r="N337" i="35" s="1"/>
  <c r="P336" i="35"/>
  <c r="N336" i="35"/>
  <c r="Q336" i="35"/>
  <c r="Q391" i="40" l="1"/>
  <c r="P391" i="40"/>
  <c r="H392" i="40"/>
  <c r="E393" i="40" s="1" a="1"/>
  <c r="E393" i="40" s="1"/>
  <c r="F393" i="40" s="1" a="1"/>
  <c r="F393" i="40" s="1"/>
  <c r="M393" i="40" s="1"/>
  <c r="I393" i="40" s="1"/>
  <c r="G392" i="40"/>
  <c r="O392" i="40" s="1"/>
  <c r="P392" i="40" s="1"/>
  <c r="N473" i="39"/>
  <c r="P473" i="39"/>
  <c r="M475" i="39"/>
  <c r="I475" i="39" s="1"/>
  <c r="I474" i="39"/>
  <c r="G474" i="39"/>
  <c r="O474" i="39" s="1"/>
  <c r="P337" i="35"/>
  <c r="Q337" i="35"/>
  <c r="M338" i="35"/>
  <c r="H338" i="35" s="1"/>
  <c r="E339" i="35" s="1" a="1"/>
  <c r="E339" i="35" s="1"/>
  <c r="F339" i="35" s="1" a="1"/>
  <c r="F339" i="35" s="1"/>
  <c r="Q392" i="40" l="1"/>
  <c r="N392" i="40"/>
  <c r="H393" i="40"/>
  <c r="E394" i="40" s="1" a="1"/>
  <c r="E394" i="40" s="1"/>
  <c r="F394" i="40" s="1" a="1"/>
  <c r="F394" i="40" s="1"/>
  <c r="M394" i="40" s="1"/>
  <c r="I394" i="40" s="1"/>
  <c r="G393" i="40"/>
  <c r="O393" i="40" s="1"/>
  <c r="Q393" i="40" s="1"/>
  <c r="G475" i="39"/>
  <c r="O475" i="39" s="1"/>
  <c r="N475" i="39" s="1"/>
  <c r="H475" i="39"/>
  <c r="E476" i="39" s="1" a="1"/>
  <c r="E476" i="39" s="1"/>
  <c r="F476" i="39" s="1" a="1"/>
  <c r="F476" i="39" s="1"/>
  <c r="M476" i="39" s="1"/>
  <c r="I476" i="39" s="1"/>
  <c r="N474" i="39"/>
  <c r="Q474" i="39"/>
  <c r="P474" i="39"/>
  <c r="M339" i="35"/>
  <c r="I339" i="35" s="1"/>
  <c r="I338" i="35"/>
  <c r="G338" i="35"/>
  <c r="O338" i="35" s="1"/>
  <c r="N393" i="40" l="1"/>
  <c r="P393" i="40"/>
  <c r="G394" i="40"/>
  <c r="O394" i="40" s="1"/>
  <c r="N394" i="40" s="1"/>
  <c r="Q475" i="39"/>
  <c r="P475" i="39"/>
  <c r="H394" i="40"/>
  <c r="E395" i="40" s="1" a="1"/>
  <c r="E395" i="40" s="1"/>
  <c r="F395" i="40" s="1" a="1"/>
  <c r="F395" i="40" s="1"/>
  <c r="G476" i="39"/>
  <c r="O476" i="39" s="1"/>
  <c r="Q476" i="39" s="1"/>
  <c r="H476" i="39"/>
  <c r="E477" i="39" s="1" a="1"/>
  <c r="E477" i="39" s="1"/>
  <c r="F477" i="39" s="1" a="1"/>
  <c r="F477" i="39" s="1"/>
  <c r="G339" i="35"/>
  <c r="O339" i="35" s="1"/>
  <c r="P339" i="35" s="1"/>
  <c r="H339" i="35"/>
  <c r="E340" i="35" s="1" a="1"/>
  <c r="E340" i="35" s="1"/>
  <c r="F340" i="35" s="1" a="1"/>
  <c r="F340" i="35" s="1"/>
  <c r="Q338" i="35"/>
  <c r="P338" i="35"/>
  <c r="N338" i="35"/>
  <c r="P394" i="40" l="1"/>
  <c r="Q394" i="40"/>
  <c r="M395" i="40"/>
  <c r="G395" i="40" s="1"/>
  <c r="O395" i="40" s="1"/>
  <c r="N476" i="39"/>
  <c r="P476" i="39"/>
  <c r="M477" i="39"/>
  <c r="I477" i="39" s="1"/>
  <c r="Q339" i="35"/>
  <c r="N339" i="35"/>
  <c r="M340" i="35"/>
  <c r="H340" i="35" s="1"/>
  <c r="E341" i="35" s="1" a="1"/>
  <c r="E341" i="35" s="1"/>
  <c r="F341" i="35" s="1" a="1"/>
  <c r="F341" i="35" s="1"/>
  <c r="M341" i="35" s="1"/>
  <c r="I341" i="35" s="1"/>
  <c r="H395" i="40" l="1"/>
  <c r="E396" i="40" s="1" a="1"/>
  <c r="E396" i="40" s="1"/>
  <c r="F396" i="40" s="1" a="1"/>
  <c r="F396" i="40" s="1"/>
  <c r="M396" i="40" s="1"/>
  <c r="I396" i="40" s="1"/>
  <c r="I395" i="40"/>
  <c r="Q395" i="40"/>
  <c r="P395" i="40"/>
  <c r="N395" i="40"/>
  <c r="G477" i="39"/>
  <c r="O477" i="39" s="1"/>
  <c r="Q477" i="39" s="1"/>
  <c r="H477" i="39"/>
  <c r="E478" i="39" s="1" a="1"/>
  <c r="E478" i="39" s="1"/>
  <c r="F478" i="39" s="1" a="1"/>
  <c r="F478" i="39" s="1"/>
  <c r="M478" i="39" s="1"/>
  <c r="H478" i="39" s="1"/>
  <c r="E479" i="39" s="1" a="1"/>
  <c r="E479" i="39" s="1"/>
  <c r="F479" i="39" s="1" a="1"/>
  <c r="F479" i="39" s="1"/>
  <c r="G340" i="35"/>
  <c r="O340" i="35" s="1"/>
  <c r="N340" i="35" s="1"/>
  <c r="H341" i="35"/>
  <c r="E342" i="35" s="1" a="1"/>
  <c r="E342" i="35" s="1"/>
  <c r="F342" i="35" s="1" a="1"/>
  <c r="F342" i="35" s="1"/>
  <c r="M342" i="35" s="1"/>
  <c r="I342" i="35" s="1"/>
  <c r="I340" i="35"/>
  <c r="G341" i="35"/>
  <c r="O341" i="35" s="1"/>
  <c r="G396" i="40" l="1"/>
  <c r="O396" i="40" s="1"/>
  <c r="Q396" i="40" s="1"/>
  <c r="H396" i="40"/>
  <c r="E397" i="40" s="1" a="1"/>
  <c r="E397" i="40" s="1"/>
  <c r="F397" i="40" s="1" a="1"/>
  <c r="F397" i="40" s="1"/>
  <c r="M397" i="40" s="1"/>
  <c r="G397" i="40" s="1"/>
  <c r="O397" i="40" s="1"/>
  <c r="N477" i="39"/>
  <c r="P477" i="39"/>
  <c r="I478" i="39"/>
  <c r="M479" i="39"/>
  <c r="G479" i="39" s="1"/>
  <c r="O479" i="39" s="1"/>
  <c r="G478" i="39"/>
  <c r="O478" i="39" s="1"/>
  <c r="P340" i="35"/>
  <c r="Q340" i="35"/>
  <c r="H342" i="35"/>
  <c r="E343" i="35" s="1" a="1"/>
  <c r="E343" i="35" s="1"/>
  <c r="F343" i="35" s="1" a="1"/>
  <c r="F343" i="35" s="1"/>
  <c r="M343" i="35" s="1"/>
  <c r="G342" i="35"/>
  <c r="O342" i="35" s="1"/>
  <c r="N342" i="35" s="1"/>
  <c r="Q341" i="35"/>
  <c r="N341" i="35"/>
  <c r="P341" i="35"/>
  <c r="N396" i="40" l="1"/>
  <c r="P396" i="40"/>
  <c r="I397" i="40"/>
  <c r="H397" i="40"/>
  <c r="E398" i="40" s="1" a="1"/>
  <c r="E398" i="40" s="1"/>
  <c r="F398" i="40" s="1" a="1"/>
  <c r="F398" i="40" s="1"/>
  <c r="Q397" i="40"/>
  <c r="P397" i="40"/>
  <c r="N397" i="40"/>
  <c r="H479" i="39"/>
  <c r="E480" i="39" s="1" a="1"/>
  <c r="E480" i="39" s="1"/>
  <c r="F480" i="39" s="1" a="1"/>
  <c r="F480" i="39" s="1"/>
  <c r="M480" i="39" s="1"/>
  <c r="H480" i="39" s="1"/>
  <c r="E481" i="39" s="1" a="1"/>
  <c r="E481" i="39" s="1"/>
  <c r="F481" i="39" s="1" a="1"/>
  <c r="F481" i="39" s="1"/>
  <c r="I479" i="39"/>
  <c r="N479" i="39"/>
  <c r="Q479" i="39"/>
  <c r="P479" i="39"/>
  <c r="N478" i="39"/>
  <c r="Q478" i="39"/>
  <c r="P478" i="39"/>
  <c r="P342" i="35"/>
  <c r="Q342" i="35"/>
  <c r="H343" i="35"/>
  <c r="E344" i="35" s="1" a="1"/>
  <c r="E344" i="35" s="1"/>
  <c r="F344" i="35" s="1" a="1"/>
  <c r="F344" i="35" s="1"/>
  <c r="M344" i="35" s="1"/>
  <c r="I344" i="35" s="1"/>
  <c r="I343" i="35"/>
  <c r="G343" i="35"/>
  <c r="O343" i="35" s="1"/>
  <c r="M398" i="40" l="1"/>
  <c r="H398" i="40" s="1"/>
  <c r="E399" i="40" s="1" a="1"/>
  <c r="E399" i="40" s="1"/>
  <c r="F399" i="40" s="1" a="1"/>
  <c r="F399" i="40" s="1"/>
  <c r="M399" i="40" s="1"/>
  <c r="I399" i="40" s="1"/>
  <c r="M481" i="39"/>
  <c r="I481" i="39" s="1"/>
  <c r="G480" i="39"/>
  <c r="O480" i="39" s="1"/>
  <c r="I480" i="39"/>
  <c r="H344" i="35"/>
  <c r="E345" i="35" s="1" a="1"/>
  <c r="E345" i="35" s="1"/>
  <c r="F345" i="35" s="1" a="1"/>
  <c r="F345" i="35" s="1"/>
  <c r="G344" i="35"/>
  <c r="O344" i="35" s="1"/>
  <c r="N344" i="35" s="1"/>
  <c r="Q343" i="35"/>
  <c r="N343" i="35"/>
  <c r="P343" i="35"/>
  <c r="G398" i="40" l="1"/>
  <c r="O398" i="40" s="1"/>
  <c r="I398" i="40"/>
  <c r="G399" i="40"/>
  <c r="O399" i="40" s="1"/>
  <c r="H399" i="40"/>
  <c r="E400" i="40" s="1" a="1"/>
  <c r="E400" i="40" s="1"/>
  <c r="F400" i="40" s="1" a="1"/>
  <c r="F400" i="40" s="1"/>
  <c r="G481" i="39"/>
  <c r="O481" i="39" s="1"/>
  <c r="P481" i="39" s="1"/>
  <c r="H481" i="39"/>
  <c r="E482" i="39" s="1" a="1"/>
  <c r="E482" i="39" s="1"/>
  <c r="F482" i="39" s="1" a="1"/>
  <c r="F482" i="39" s="1"/>
  <c r="M482" i="39" s="1"/>
  <c r="H482" i="39" s="1"/>
  <c r="E483" i="39" s="1" a="1"/>
  <c r="E483" i="39" s="1"/>
  <c r="F483" i="39" s="1" a="1"/>
  <c r="F483" i="39" s="1"/>
  <c r="N480" i="39"/>
  <c r="Q480" i="39"/>
  <c r="P480" i="39"/>
  <c r="P344" i="35"/>
  <c r="Q344" i="35"/>
  <c r="M345" i="35"/>
  <c r="I345" i="35" s="1"/>
  <c r="N481" i="39" l="1"/>
  <c r="Q481" i="39"/>
  <c r="P398" i="40"/>
  <c r="Q398" i="40"/>
  <c r="N398" i="40"/>
  <c r="M400" i="40"/>
  <c r="H400" i="40" s="1"/>
  <c r="E401" i="40" s="1" a="1"/>
  <c r="E401" i="40" s="1"/>
  <c r="F401" i="40" s="1" a="1"/>
  <c r="F401" i="40" s="1"/>
  <c r="Q399" i="40"/>
  <c r="P399" i="40"/>
  <c r="N399" i="40"/>
  <c r="M483" i="39"/>
  <c r="I483" i="39" s="1"/>
  <c r="G482" i="39"/>
  <c r="O482" i="39" s="1"/>
  <c r="I482" i="39"/>
  <c r="H345" i="35"/>
  <c r="E346" i="35" s="1" a="1"/>
  <c r="E346" i="35" s="1"/>
  <c r="F346" i="35" s="1" a="1"/>
  <c r="F346" i="35" s="1"/>
  <c r="G345" i="35"/>
  <c r="O345" i="35" s="1"/>
  <c r="M401" i="40" l="1"/>
  <c r="I401" i="40" s="1"/>
  <c r="I400" i="40"/>
  <c r="G400" i="40"/>
  <c r="O400" i="40" s="1"/>
  <c r="G483" i="39"/>
  <c r="O483" i="39" s="1"/>
  <c r="Q483" i="39" s="1"/>
  <c r="H483" i="39"/>
  <c r="E484" i="39" s="1" a="1"/>
  <c r="E484" i="39" s="1"/>
  <c r="F484" i="39" s="1" a="1"/>
  <c r="F484" i="39" s="1"/>
  <c r="M484" i="39" s="1"/>
  <c r="I484" i="39" s="1"/>
  <c r="N482" i="39"/>
  <c r="Q482" i="39"/>
  <c r="P482" i="39"/>
  <c r="N345" i="35"/>
  <c r="Q345" i="35"/>
  <c r="P345" i="35"/>
  <c r="M346" i="35"/>
  <c r="I346" i="35" s="1"/>
  <c r="G401" i="40" l="1"/>
  <c r="O401" i="40" s="1"/>
  <c r="P401" i="40" s="1"/>
  <c r="P483" i="39"/>
  <c r="N483" i="39"/>
  <c r="H401" i="40"/>
  <c r="E402" i="40" s="1" a="1"/>
  <c r="E402" i="40" s="1"/>
  <c r="F402" i="40" s="1" a="1"/>
  <c r="F402" i="40" s="1"/>
  <c r="M402" i="40" s="1"/>
  <c r="Q400" i="40"/>
  <c r="P400" i="40"/>
  <c r="N400" i="40"/>
  <c r="N401" i="40"/>
  <c r="G484" i="39"/>
  <c r="O484" i="39" s="1"/>
  <c r="H484" i="39"/>
  <c r="E485" i="39" s="1" a="1"/>
  <c r="E485" i="39" s="1"/>
  <c r="F485" i="39" s="1" a="1"/>
  <c r="F485" i="39" s="1"/>
  <c r="H346" i="35"/>
  <c r="E347" i="35" s="1" a="1"/>
  <c r="E347" i="35" s="1"/>
  <c r="F347" i="35" s="1" a="1"/>
  <c r="F347" i="35" s="1"/>
  <c r="G346" i="35"/>
  <c r="O346" i="35" s="1"/>
  <c r="Q401" i="40" l="1"/>
  <c r="H402" i="40"/>
  <c r="E403" i="40" s="1" a="1"/>
  <c r="E403" i="40" s="1"/>
  <c r="F403" i="40" s="1" a="1"/>
  <c r="F403" i="40" s="1"/>
  <c r="M403" i="40" s="1"/>
  <c r="H403" i="40" s="1"/>
  <c r="E404" i="40" s="1" a="1"/>
  <c r="E404" i="40" s="1"/>
  <c r="F404" i="40" s="1" a="1"/>
  <c r="F404" i="40" s="1"/>
  <c r="G402" i="40"/>
  <c r="O402" i="40" s="1"/>
  <c r="Q402" i="40" s="1"/>
  <c r="I402" i="40"/>
  <c r="M485" i="39"/>
  <c r="H485" i="39" s="1"/>
  <c r="E486" i="39" s="1" a="1"/>
  <c r="E486" i="39" s="1"/>
  <c r="F486" i="39" s="1" a="1"/>
  <c r="F486" i="39" s="1"/>
  <c r="Q484" i="39"/>
  <c r="P484" i="39"/>
  <c r="N484" i="39"/>
  <c r="P346" i="35"/>
  <c r="Q346" i="35"/>
  <c r="N346" i="35"/>
  <c r="M347" i="35"/>
  <c r="I347" i="35" s="1"/>
  <c r="N402" i="40" l="1"/>
  <c r="P402" i="40"/>
  <c r="G403" i="40"/>
  <c r="O403" i="40" s="1"/>
  <c r="Q403" i="40" s="1"/>
  <c r="I403" i="40"/>
  <c r="M404" i="40"/>
  <c r="I404" i="40" s="1"/>
  <c r="G485" i="39"/>
  <c r="O485" i="39" s="1"/>
  <c r="Q485" i="39" s="1"/>
  <c r="M486" i="39"/>
  <c r="H486" i="39" s="1"/>
  <c r="E487" i="39" s="1" a="1"/>
  <c r="E487" i="39" s="1"/>
  <c r="F487" i="39" s="1" a="1"/>
  <c r="F487" i="39" s="1"/>
  <c r="I485" i="39"/>
  <c r="G347" i="35"/>
  <c r="O347" i="35" s="1"/>
  <c r="N347" i="35" s="1"/>
  <c r="H347" i="35"/>
  <c r="E348" i="35" s="1" a="1"/>
  <c r="E348" i="35" s="1"/>
  <c r="F348" i="35" s="1" a="1"/>
  <c r="F348" i="35" s="1"/>
  <c r="M348" i="35" s="1"/>
  <c r="H348" i="35" s="1"/>
  <c r="E349" i="35" s="1" a="1"/>
  <c r="E349" i="35" s="1"/>
  <c r="F349" i="35" s="1" a="1"/>
  <c r="F349" i="35" s="1"/>
  <c r="P403" i="40" l="1"/>
  <c r="N403" i="40"/>
  <c r="N485" i="39"/>
  <c r="P485" i="39"/>
  <c r="H404" i="40"/>
  <c r="E405" i="40" s="1" a="1"/>
  <c r="E405" i="40" s="1"/>
  <c r="F405" i="40" s="1" a="1"/>
  <c r="F405" i="40" s="1"/>
  <c r="G404" i="40"/>
  <c r="O404" i="40" s="1"/>
  <c r="M487" i="39"/>
  <c r="I487" i="39" s="1"/>
  <c r="G486" i="39"/>
  <c r="O486" i="39" s="1"/>
  <c r="I486" i="39"/>
  <c r="Q347" i="35"/>
  <c r="P347" i="35"/>
  <c r="M349" i="35"/>
  <c r="I349" i="35" s="1"/>
  <c r="I348" i="35"/>
  <c r="G348" i="35"/>
  <c r="O348" i="35" s="1"/>
  <c r="Q404" i="40" l="1"/>
  <c r="P404" i="40"/>
  <c r="N404" i="40"/>
  <c r="M405" i="40"/>
  <c r="G405" i="40" s="1"/>
  <c r="O405" i="40" s="1"/>
  <c r="G487" i="39"/>
  <c r="O487" i="39" s="1"/>
  <c r="Q487" i="39" s="1"/>
  <c r="H487" i="39"/>
  <c r="E488" i="39" s="1" a="1"/>
  <c r="E488" i="39" s="1"/>
  <c r="F488" i="39" s="1" a="1"/>
  <c r="F488" i="39" s="1"/>
  <c r="M488" i="39" s="1"/>
  <c r="I488" i="39" s="1"/>
  <c r="P486" i="39"/>
  <c r="Q486" i="39"/>
  <c r="N486" i="39"/>
  <c r="G349" i="35"/>
  <c r="O349" i="35" s="1"/>
  <c r="Q349" i="35" s="1"/>
  <c r="H349" i="35"/>
  <c r="E350" i="35" s="1" a="1"/>
  <c r="E350" i="35" s="1"/>
  <c r="F350" i="35" s="1" a="1"/>
  <c r="F350" i="35" s="1"/>
  <c r="N348" i="35"/>
  <c r="Q348" i="35"/>
  <c r="P348" i="35"/>
  <c r="H405" i="40" l="1"/>
  <c r="E406" i="40" s="1" a="1"/>
  <c r="E406" i="40" s="1"/>
  <c r="F406" i="40" s="1" a="1"/>
  <c r="F406" i="40" s="1"/>
  <c r="M406" i="40" s="1"/>
  <c r="G406" i="40" s="1"/>
  <c r="O406" i="40" s="1"/>
  <c r="I405" i="40"/>
  <c r="P487" i="39"/>
  <c r="N487" i="39"/>
  <c r="Q405" i="40"/>
  <c r="N405" i="40"/>
  <c r="P405" i="40"/>
  <c r="H488" i="39"/>
  <c r="E489" i="39" s="1" a="1"/>
  <c r="E489" i="39" s="1"/>
  <c r="F489" i="39" s="1" a="1"/>
  <c r="F489" i="39" s="1"/>
  <c r="G488" i="39"/>
  <c r="O488" i="39" s="1"/>
  <c r="N349" i="35"/>
  <c r="P349" i="35"/>
  <c r="M350" i="35"/>
  <c r="I350" i="35" s="1"/>
  <c r="Q406" i="40" l="1"/>
  <c r="P406" i="40"/>
  <c r="N406" i="40"/>
  <c r="I406" i="40"/>
  <c r="H406" i="40"/>
  <c r="E407" i="40" s="1" a="1"/>
  <c r="E407" i="40" s="1"/>
  <c r="F407" i="40" s="1" a="1"/>
  <c r="F407" i="40" s="1"/>
  <c r="Q488" i="39"/>
  <c r="N488" i="39"/>
  <c r="P488" i="39"/>
  <c r="M489" i="39"/>
  <c r="H489" i="39" s="1"/>
  <c r="E490" i="39" s="1" a="1"/>
  <c r="E490" i="39" s="1"/>
  <c r="F490" i="39" s="1" a="1"/>
  <c r="F490" i="39" s="1"/>
  <c r="H350" i="35"/>
  <c r="E351" i="35" s="1" a="1"/>
  <c r="E351" i="35" s="1"/>
  <c r="F351" i="35" s="1" a="1"/>
  <c r="F351" i="35" s="1"/>
  <c r="M351" i="35" s="1"/>
  <c r="I351" i="35" s="1"/>
  <c r="G350" i="35"/>
  <c r="O350" i="35" s="1"/>
  <c r="M407" i="40" l="1"/>
  <c r="G407" i="40" s="1"/>
  <c r="O407" i="40" s="1"/>
  <c r="M490" i="39"/>
  <c r="H490" i="39" s="1"/>
  <c r="E491" i="39" s="1" a="1"/>
  <c r="E491" i="39" s="1"/>
  <c r="F491" i="39" s="1" a="1"/>
  <c r="F491" i="39" s="1"/>
  <c r="I489" i="39"/>
  <c r="G489" i="39"/>
  <c r="O489" i="39" s="1"/>
  <c r="Q350" i="35"/>
  <c r="P350" i="35"/>
  <c r="N350" i="35"/>
  <c r="G351" i="35"/>
  <c r="O351" i="35" s="1"/>
  <c r="H351" i="35"/>
  <c r="E352" i="35" s="1" a="1"/>
  <c r="E352" i="35" s="1"/>
  <c r="F352" i="35" s="1" a="1"/>
  <c r="F352" i="35" s="1"/>
  <c r="Q407" i="40" l="1"/>
  <c r="P407" i="40"/>
  <c r="N407" i="40"/>
  <c r="I407" i="40"/>
  <c r="H407" i="40"/>
  <c r="E408" i="40" s="1" a="1"/>
  <c r="E408" i="40" s="1"/>
  <c r="F408" i="40" s="1" a="1"/>
  <c r="F408" i="40" s="1"/>
  <c r="M491" i="39"/>
  <c r="I491" i="39" s="1"/>
  <c r="G490" i="39"/>
  <c r="O490" i="39" s="1"/>
  <c r="Q489" i="39"/>
  <c r="N489" i="39"/>
  <c r="P489" i="39"/>
  <c r="I490" i="39"/>
  <c r="M352" i="35"/>
  <c r="G352" i="35" s="1"/>
  <c r="O352" i="35" s="1"/>
  <c r="P351" i="35"/>
  <c r="N351" i="35"/>
  <c r="Q351" i="35"/>
  <c r="G491" i="39" l="1"/>
  <c r="O491" i="39" s="1"/>
  <c r="Q491" i="39" s="1"/>
  <c r="H491" i="39"/>
  <c r="E492" i="39" s="1" a="1"/>
  <c r="E492" i="39" s="1"/>
  <c r="F492" i="39" s="1" a="1"/>
  <c r="F492" i="39" s="1"/>
  <c r="M492" i="39" s="1"/>
  <c r="I492" i="39" s="1"/>
  <c r="M408" i="40"/>
  <c r="G408" i="40" s="1"/>
  <c r="O408" i="40" s="1"/>
  <c r="N490" i="39"/>
  <c r="Q490" i="39"/>
  <c r="P490" i="39"/>
  <c r="I352" i="35"/>
  <c r="H352" i="35"/>
  <c r="E353" i="35" s="1" a="1"/>
  <c r="E353" i="35" s="1"/>
  <c r="F353" i="35" s="1" a="1"/>
  <c r="F353" i="35" s="1"/>
  <c r="M353" i="35" s="1"/>
  <c r="I353" i="35" s="1"/>
  <c r="N352" i="35"/>
  <c r="Q352" i="35"/>
  <c r="P352" i="35"/>
  <c r="N491" i="39" l="1"/>
  <c r="P491" i="39"/>
  <c r="N408" i="40"/>
  <c r="Q408" i="40"/>
  <c r="P408" i="40"/>
  <c r="H408" i="40"/>
  <c r="E409" i="40" s="1" a="1"/>
  <c r="E409" i="40" s="1"/>
  <c r="F409" i="40" s="1" a="1"/>
  <c r="F409" i="40" s="1"/>
  <c r="I408" i="40"/>
  <c r="G492" i="39"/>
  <c r="O492" i="39" s="1"/>
  <c r="Q492" i="39" s="1"/>
  <c r="H492" i="39"/>
  <c r="E493" i="39" s="1" a="1"/>
  <c r="E493" i="39" s="1"/>
  <c r="F493" i="39" s="1" a="1"/>
  <c r="F493" i="39" s="1"/>
  <c r="H353" i="35"/>
  <c r="E354" i="35" s="1" a="1"/>
  <c r="E354" i="35" s="1"/>
  <c r="F354" i="35" s="1" a="1"/>
  <c r="F354" i="35" s="1"/>
  <c r="M354" i="35" s="1"/>
  <c r="I354" i="35" s="1"/>
  <c r="G353" i="35"/>
  <c r="O353" i="35" s="1"/>
  <c r="M409" i="40" l="1"/>
  <c r="H409" i="40" s="1"/>
  <c r="E410" i="40" s="1" a="1"/>
  <c r="E410" i="40" s="1"/>
  <c r="F410" i="40" s="1" a="1"/>
  <c r="F410" i="40" s="1"/>
  <c r="N492" i="39"/>
  <c r="P492" i="39"/>
  <c r="M493" i="39"/>
  <c r="I493" i="39" s="1"/>
  <c r="H354" i="35"/>
  <c r="E355" i="35" s="1" a="1"/>
  <c r="E355" i="35" s="1"/>
  <c r="F355" i="35" s="1" a="1"/>
  <c r="F355" i="35" s="1"/>
  <c r="M355" i="35" s="1"/>
  <c r="I355" i="35" s="1"/>
  <c r="G354" i="35"/>
  <c r="O354" i="35" s="1"/>
  <c r="N354" i="35" s="1"/>
  <c r="Q353" i="35"/>
  <c r="P353" i="35"/>
  <c r="N353" i="35"/>
  <c r="G409" i="40" l="1"/>
  <c r="O409" i="40" s="1"/>
  <c r="P409" i="40" s="1"/>
  <c r="I409" i="40"/>
  <c r="M410" i="40"/>
  <c r="H410" i="40" s="1"/>
  <c r="E411" i="40" s="1" a="1"/>
  <c r="E411" i="40" s="1"/>
  <c r="F411" i="40" s="1" a="1"/>
  <c r="F411" i="40" s="1"/>
  <c r="G493" i="39"/>
  <c r="O493" i="39" s="1"/>
  <c r="Q493" i="39" s="1"/>
  <c r="H493" i="39"/>
  <c r="E494" i="39" s="1" a="1"/>
  <c r="E494" i="39" s="1"/>
  <c r="F494" i="39" s="1" a="1"/>
  <c r="F494" i="39" s="1"/>
  <c r="M494" i="39" s="1"/>
  <c r="H494" i="39" s="1"/>
  <c r="E495" i="39" s="1" a="1"/>
  <c r="E495" i="39" s="1"/>
  <c r="F495" i="39" s="1" a="1"/>
  <c r="F495" i="39" s="1"/>
  <c r="P354" i="35"/>
  <c r="Q354" i="35"/>
  <c r="G355" i="35"/>
  <c r="O355" i="35" s="1"/>
  <c r="N409" i="40" l="1"/>
  <c r="Q409" i="40"/>
  <c r="M411" i="40"/>
  <c r="G411" i="40" s="1"/>
  <c r="O411" i="40" s="1"/>
  <c r="I410" i="40"/>
  <c r="G410" i="40"/>
  <c r="O410" i="40" s="1"/>
  <c r="P493" i="39"/>
  <c r="N493" i="39"/>
  <c r="M495" i="39"/>
  <c r="G495" i="39" s="1"/>
  <c r="O495" i="39" s="1"/>
  <c r="G494" i="39"/>
  <c r="O494" i="39" s="1"/>
  <c r="I494" i="39"/>
  <c r="N355" i="35"/>
  <c r="P355" i="35"/>
  <c r="Q355" i="35"/>
  <c r="H355" i="35"/>
  <c r="E356" i="35" s="1" a="1"/>
  <c r="E356" i="35" s="1"/>
  <c r="F356" i="35" s="1" a="1"/>
  <c r="F356" i="35" s="1"/>
  <c r="H411" i="40" l="1"/>
  <c r="E412" i="40" s="1" a="1"/>
  <c r="E412" i="40" s="1"/>
  <c r="F412" i="40" s="1" a="1"/>
  <c r="F412" i="40" s="1"/>
  <c r="M412" i="40" s="1"/>
  <c r="I412" i="40" s="1"/>
  <c r="I411" i="40"/>
  <c r="Q411" i="40"/>
  <c r="P411" i="40"/>
  <c r="N411" i="40"/>
  <c r="Q410" i="40"/>
  <c r="N410" i="40"/>
  <c r="P410" i="40"/>
  <c r="H495" i="39"/>
  <c r="E496" i="39" s="1" a="1"/>
  <c r="E496" i="39" s="1"/>
  <c r="F496" i="39" s="1" a="1"/>
  <c r="F496" i="39" s="1"/>
  <c r="M496" i="39" s="1"/>
  <c r="H496" i="39" s="1"/>
  <c r="E497" i="39" s="1" a="1"/>
  <c r="E497" i="39" s="1"/>
  <c r="F497" i="39" s="1" a="1"/>
  <c r="F497" i="39" s="1"/>
  <c r="I495" i="39"/>
  <c r="Q494" i="39"/>
  <c r="P494" i="39"/>
  <c r="N494" i="39"/>
  <c r="N495" i="39"/>
  <c r="Q495" i="39"/>
  <c r="P495" i="39"/>
  <c r="M356" i="35"/>
  <c r="I356" i="35" s="1"/>
  <c r="H412" i="40" l="1"/>
  <c r="E413" i="40" s="1" a="1"/>
  <c r="E413" i="40" s="1"/>
  <c r="F413" i="40" s="1" a="1"/>
  <c r="F413" i="40" s="1"/>
  <c r="G412" i="40"/>
  <c r="O412" i="40" s="1"/>
  <c r="G496" i="39"/>
  <c r="O496" i="39" s="1"/>
  <c r="N496" i="39" s="1"/>
  <c r="M497" i="39"/>
  <c r="I497" i="39" s="1"/>
  <c r="I496" i="39"/>
  <c r="H356" i="35"/>
  <c r="E357" i="35" s="1" a="1"/>
  <c r="E357" i="35" s="1"/>
  <c r="F357" i="35" s="1" a="1"/>
  <c r="F357" i="35" s="1"/>
  <c r="P496" i="39" l="1"/>
  <c r="Q496" i="39"/>
  <c r="P412" i="40"/>
  <c r="N412" i="40"/>
  <c r="Q412" i="40"/>
  <c r="M413" i="40"/>
  <c r="G413" i="40" s="1"/>
  <c r="O413" i="40" s="1"/>
  <c r="H497" i="39"/>
  <c r="E498" i="39" s="1" a="1"/>
  <c r="E498" i="39" s="1"/>
  <c r="F498" i="39" s="1" a="1"/>
  <c r="F498" i="39" s="1"/>
  <c r="G497" i="39"/>
  <c r="O497" i="39" s="1"/>
  <c r="M357" i="35"/>
  <c r="I357" i="35" s="1"/>
  <c r="G356" i="35"/>
  <c r="O356" i="35" s="1"/>
  <c r="H413" i="40" l="1"/>
  <c r="E414" i="40" s="1" a="1"/>
  <c r="E414" i="40" s="1"/>
  <c r="F414" i="40" s="1" a="1"/>
  <c r="F414" i="40" s="1"/>
  <c r="M414" i="40" s="1"/>
  <c r="H414" i="40" s="1"/>
  <c r="E415" i="40" s="1" a="1"/>
  <c r="E415" i="40" s="1"/>
  <c r="F415" i="40" s="1" a="1"/>
  <c r="F415" i="40" s="1"/>
  <c r="P413" i="40"/>
  <c r="Q413" i="40"/>
  <c r="N413" i="40"/>
  <c r="I413" i="40"/>
  <c r="P497" i="39"/>
  <c r="N497" i="39"/>
  <c r="Q497" i="39"/>
  <c r="M498" i="39"/>
  <c r="H498" i="39" s="1"/>
  <c r="E499" i="39" s="1" a="1"/>
  <c r="E499" i="39" s="1"/>
  <c r="F499" i="39" s="1" a="1"/>
  <c r="F499" i="39" s="1"/>
  <c r="G357" i="35"/>
  <c r="O357" i="35" s="1"/>
  <c r="N357" i="35" s="1"/>
  <c r="H357" i="35"/>
  <c r="E358" i="35" s="1" a="1"/>
  <c r="E358" i="35" s="1"/>
  <c r="F358" i="35" s="1" a="1"/>
  <c r="F358" i="35" s="1"/>
  <c r="P356" i="35"/>
  <c r="N356" i="35"/>
  <c r="Q356" i="35"/>
  <c r="M415" i="40" l="1"/>
  <c r="I415" i="40" s="1"/>
  <c r="I414" i="40"/>
  <c r="G414" i="40"/>
  <c r="O414" i="40" s="1"/>
  <c r="I498" i="39"/>
  <c r="G498" i="39"/>
  <c r="O498" i="39" s="1"/>
  <c r="N498" i="39" s="1"/>
  <c r="M499" i="39"/>
  <c r="H499" i="39" s="1"/>
  <c r="E500" i="39" s="1" a="1"/>
  <c r="E500" i="39" s="1"/>
  <c r="F500" i="39" s="1" a="1"/>
  <c r="F500" i="39" s="1"/>
  <c r="P357" i="35"/>
  <c r="Q357" i="35"/>
  <c r="M358" i="35"/>
  <c r="G358" i="35" s="1"/>
  <c r="O358" i="35" s="1"/>
  <c r="H415" i="40" l="1"/>
  <c r="E416" i="40" s="1" a="1"/>
  <c r="E416" i="40" s="1"/>
  <c r="F416" i="40" s="1" a="1"/>
  <c r="F416" i="40" s="1"/>
  <c r="M416" i="40" s="1"/>
  <c r="I416" i="40" s="1"/>
  <c r="G415" i="40"/>
  <c r="O415" i="40" s="1"/>
  <c r="P415" i="40" s="1"/>
  <c r="P498" i="39"/>
  <c r="Q498" i="39"/>
  <c r="Q414" i="40"/>
  <c r="N414" i="40"/>
  <c r="P414" i="40"/>
  <c r="M500" i="39"/>
  <c r="H500" i="39" s="1"/>
  <c r="E501" i="39" s="1" a="1"/>
  <c r="E501" i="39" s="1"/>
  <c r="F501" i="39" s="1" a="1"/>
  <c r="F501" i="39" s="1"/>
  <c r="G499" i="39"/>
  <c r="O499" i="39" s="1"/>
  <c r="I499" i="39"/>
  <c r="Q358" i="35"/>
  <c r="N358" i="35"/>
  <c r="P358" i="35"/>
  <c r="I358" i="35"/>
  <c r="H358" i="35"/>
  <c r="E359" i="35" s="1" a="1"/>
  <c r="E359" i="35" s="1"/>
  <c r="F359" i="35" s="1" a="1"/>
  <c r="F359" i="35" s="1"/>
  <c r="Q415" i="40" l="1"/>
  <c r="N415" i="40"/>
  <c r="H416" i="40"/>
  <c r="E417" i="40" s="1" a="1"/>
  <c r="E417" i="40" s="1"/>
  <c r="F417" i="40" s="1" a="1"/>
  <c r="F417" i="40" s="1"/>
  <c r="M417" i="40" s="1"/>
  <c r="G416" i="40"/>
  <c r="O416" i="40" s="1"/>
  <c r="I500" i="39"/>
  <c r="G500" i="39"/>
  <c r="O500" i="39" s="1"/>
  <c r="P500" i="39" s="1"/>
  <c r="P499" i="39"/>
  <c r="N499" i="39"/>
  <c r="Q499" i="39"/>
  <c r="M501" i="39"/>
  <c r="H501" i="39" s="1"/>
  <c r="E502" i="39" s="1" a="1"/>
  <c r="E502" i="39" s="1"/>
  <c r="F502" i="39" s="1" a="1"/>
  <c r="F502" i="39" s="1"/>
  <c r="M359" i="35"/>
  <c r="G359" i="35" s="1"/>
  <c r="O359" i="35" s="1"/>
  <c r="I417" i="40" l="1"/>
  <c r="Q500" i="39"/>
  <c r="N500" i="39"/>
  <c r="G417" i="40"/>
  <c r="O417" i="40" s="1"/>
  <c r="P417" i="40" s="1"/>
  <c r="H417" i="40"/>
  <c r="E418" i="40" s="1" a="1"/>
  <c r="E418" i="40" s="1"/>
  <c r="F418" i="40" s="1" a="1"/>
  <c r="F418" i="40" s="1"/>
  <c r="M418" i="40" s="1"/>
  <c r="G418" i="40" s="1"/>
  <c r="O418" i="40" s="1"/>
  <c r="N416" i="40"/>
  <c r="Q416" i="40"/>
  <c r="P416" i="40"/>
  <c r="M502" i="39"/>
  <c r="H502" i="39" s="1"/>
  <c r="E503" i="39" s="1" a="1"/>
  <c r="E503" i="39" s="1"/>
  <c r="F503" i="39" s="1" a="1"/>
  <c r="F503" i="39" s="1"/>
  <c r="I501" i="39"/>
  <c r="G501" i="39"/>
  <c r="O501" i="39" s="1"/>
  <c r="H359" i="35"/>
  <c r="E360" i="35" s="1" a="1"/>
  <c r="E360" i="35" s="1"/>
  <c r="F360" i="35" s="1" a="1"/>
  <c r="F360" i="35" s="1"/>
  <c r="M360" i="35" s="1"/>
  <c r="I360" i="35" s="1"/>
  <c r="Q359" i="35"/>
  <c r="N359" i="35"/>
  <c r="P359" i="35"/>
  <c r="I359" i="35"/>
  <c r="N417" i="40" l="1"/>
  <c r="Q417" i="40"/>
  <c r="H418" i="40"/>
  <c r="E419" i="40" s="1" a="1"/>
  <c r="E419" i="40" s="1"/>
  <c r="F419" i="40" s="1" a="1"/>
  <c r="F419" i="40" s="1"/>
  <c r="M419" i="40" s="1"/>
  <c r="I419" i="40" s="1"/>
  <c r="Q418" i="40"/>
  <c r="N418" i="40"/>
  <c r="P418" i="40"/>
  <c r="I418" i="40"/>
  <c r="G502" i="39"/>
  <c r="O502" i="39" s="1"/>
  <c r="N502" i="39" s="1"/>
  <c r="I502" i="39"/>
  <c r="M503" i="39"/>
  <c r="I503" i="39" s="1"/>
  <c r="Q501" i="39"/>
  <c r="P501" i="39"/>
  <c r="N501" i="39"/>
  <c r="H360" i="35"/>
  <c r="E361" i="35" s="1" a="1"/>
  <c r="E361" i="35" s="1"/>
  <c r="F361" i="35" s="1" a="1"/>
  <c r="F361" i="35" s="1"/>
  <c r="M361" i="35" s="1"/>
  <c r="I361" i="35" s="1"/>
  <c r="G360" i="35"/>
  <c r="O360" i="35" s="1"/>
  <c r="P502" i="39" l="1"/>
  <c r="Q502" i="39"/>
  <c r="H419" i="40"/>
  <c r="E420" i="40" s="1" a="1"/>
  <c r="E420" i="40" s="1"/>
  <c r="F420" i="40" s="1" a="1"/>
  <c r="F420" i="40" s="1"/>
  <c r="G419" i="40"/>
  <c r="O419" i="40" s="1"/>
  <c r="G503" i="39"/>
  <c r="O503" i="39" s="1"/>
  <c r="H503" i="39"/>
  <c r="E504" i="39" s="1" a="1"/>
  <c r="E504" i="39" s="1"/>
  <c r="F504" i="39" s="1" a="1"/>
  <c r="F504" i="39" s="1"/>
  <c r="G361" i="35"/>
  <c r="O361" i="35" s="1"/>
  <c r="N361" i="35" s="1"/>
  <c r="Q360" i="35"/>
  <c r="N360" i="35"/>
  <c r="P360" i="35"/>
  <c r="H361" i="35"/>
  <c r="E362" i="35" s="1" a="1"/>
  <c r="E362" i="35" s="1"/>
  <c r="F362" i="35" s="1" a="1"/>
  <c r="F362" i="35" s="1"/>
  <c r="P419" i="40" l="1"/>
  <c r="N419" i="40"/>
  <c r="Q419" i="40"/>
  <c r="M420" i="40"/>
  <c r="I420" i="40" s="1"/>
  <c r="M504" i="39"/>
  <c r="I504" i="39" s="1"/>
  <c r="Q503" i="39"/>
  <c r="P503" i="39"/>
  <c r="N503" i="39"/>
  <c r="P361" i="35"/>
  <c r="Q361" i="35"/>
  <c r="M362" i="35"/>
  <c r="I362" i="35" s="1"/>
  <c r="G420" i="40" l="1"/>
  <c r="O420" i="40" s="1"/>
  <c r="H420" i="40"/>
  <c r="E421" i="40" s="1" a="1"/>
  <c r="E421" i="40" s="1"/>
  <c r="F421" i="40" s="1" a="1"/>
  <c r="F421" i="40" s="1"/>
  <c r="G504" i="39"/>
  <c r="O504" i="39" s="1"/>
  <c r="Q504" i="39" s="1"/>
  <c r="H504" i="39"/>
  <c r="E505" i="39" s="1" a="1"/>
  <c r="E505" i="39" s="1"/>
  <c r="F505" i="39" s="1" a="1"/>
  <c r="F505" i="39" s="1"/>
  <c r="M505" i="39" s="1"/>
  <c r="G505" i="39" s="1"/>
  <c r="O505" i="39" s="1"/>
  <c r="H362" i="35"/>
  <c r="E363" i="35" s="1" a="1"/>
  <c r="E363" i="35" s="1"/>
  <c r="F363" i="35" s="1" a="1"/>
  <c r="F363" i="35" s="1"/>
  <c r="M363" i="35" s="1"/>
  <c r="I363" i="35" s="1"/>
  <c r="G362" i="35"/>
  <c r="O362" i="35" s="1"/>
  <c r="N504" i="39" l="1"/>
  <c r="P504" i="39"/>
  <c r="M421" i="40"/>
  <c r="I421" i="40" s="1"/>
  <c r="N420" i="40"/>
  <c r="Q420" i="40"/>
  <c r="P420" i="40"/>
  <c r="Q505" i="39"/>
  <c r="P505" i="39"/>
  <c r="N505" i="39"/>
  <c r="I505" i="39"/>
  <c r="H505" i="39"/>
  <c r="E506" i="39" s="1" a="1"/>
  <c r="E506" i="39" s="1"/>
  <c r="F506" i="39" s="1" a="1"/>
  <c r="F506" i="39" s="1"/>
  <c r="H363" i="35"/>
  <c r="E364" i="35" s="1" a="1"/>
  <c r="E364" i="35" s="1"/>
  <c r="F364" i="35" s="1" a="1"/>
  <c r="F364" i="35" s="1"/>
  <c r="G363" i="35"/>
  <c r="O363" i="35" s="1"/>
  <c r="Q363" i="35" s="1"/>
  <c r="Q362" i="35"/>
  <c r="P362" i="35"/>
  <c r="N362" i="35"/>
  <c r="G421" i="40" l="1"/>
  <c r="O421" i="40" s="1"/>
  <c r="N421" i="40" s="1"/>
  <c r="H421" i="40"/>
  <c r="E422" i="40" s="1" a="1"/>
  <c r="E422" i="40" s="1"/>
  <c r="F422" i="40" s="1" a="1"/>
  <c r="F422" i="40" s="1"/>
  <c r="M422" i="40" s="1"/>
  <c r="G422" i="40" s="1"/>
  <c r="O422" i="40" s="1"/>
  <c r="M506" i="39"/>
  <c r="H506" i="39" s="1"/>
  <c r="E507" i="39" s="1" a="1"/>
  <c r="E507" i="39" s="1"/>
  <c r="F507" i="39" s="1" a="1"/>
  <c r="F507" i="39" s="1"/>
  <c r="P363" i="35"/>
  <c r="N363" i="35"/>
  <c r="M364" i="35"/>
  <c r="G364" i="35" s="1"/>
  <c r="O364" i="35" s="1"/>
  <c r="P421" i="40" l="1"/>
  <c r="Q421" i="40"/>
  <c r="Q422" i="40"/>
  <c r="P422" i="40"/>
  <c r="N422" i="40"/>
  <c r="H422" i="40"/>
  <c r="E423" i="40" s="1" a="1"/>
  <c r="E423" i="40" s="1"/>
  <c r="F423" i="40" s="1" a="1"/>
  <c r="F423" i="40" s="1"/>
  <c r="I422" i="40"/>
  <c r="M507" i="39"/>
  <c r="I507" i="39" s="1"/>
  <c r="G506" i="39"/>
  <c r="O506" i="39" s="1"/>
  <c r="I506" i="39"/>
  <c r="Q364" i="35"/>
  <c r="P364" i="35"/>
  <c r="N364" i="35"/>
  <c r="I364" i="35"/>
  <c r="H364" i="35"/>
  <c r="E365" i="35" s="1" a="1"/>
  <c r="E365" i="35" s="1"/>
  <c r="F365" i="35" s="1" a="1"/>
  <c r="F365" i="35" s="1"/>
  <c r="M423" i="40" l="1"/>
  <c r="I423" i="40" s="1"/>
  <c r="H507" i="39"/>
  <c r="E508" i="39" s="1" a="1"/>
  <c r="E508" i="39" s="1"/>
  <c r="F508" i="39" s="1" a="1"/>
  <c r="F508" i="39" s="1"/>
  <c r="M508" i="39" s="1"/>
  <c r="I508" i="39" s="1"/>
  <c r="G507" i="39"/>
  <c r="O507" i="39" s="1"/>
  <c r="P507" i="39" s="1"/>
  <c r="Q506" i="39"/>
  <c r="P506" i="39"/>
  <c r="N506" i="39"/>
  <c r="M365" i="35"/>
  <c r="I365" i="35" s="1"/>
  <c r="G423" i="40" l="1"/>
  <c r="O423" i="40" s="1"/>
  <c r="P423" i="40" s="1"/>
  <c r="Q507" i="39"/>
  <c r="N507" i="39"/>
  <c r="H423" i="40"/>
  <c r="E424" i="40" s="1" a="1"/>
  <c r="E424" i="40" s="1"/>
  <c r="F424" i="40" s="1" a="1"/>
  <c r="F424" i="40" s="1"/>
  <c r="G508" i="39"/>
  <c r="O508" i="39" s="1"/>
  <c r="N508" i="39" s="1"/>
  <c r="H508" i="39"/>
  <c r="E509" i="39" s="1" a="1"/>
  <c r="E509" i="39" s="1"/>
  <c r="F509" i="39" s="1" a="1"/>
  <c r="F509" i="39" s="1"/>
  <c r="M509" i="39" s="1"/>
  <c r="H509" i="39" s="1"/>
  <c r="E510" i="39" s="1" a="1"/>
  <c r="E510" i="39" s="1"/>
  <c r="F510" i="39" s="1" a="1"/>
  <c r="F510" i="39" s="1"/>
  <c r="H365" i="35"/>
  <c r="E366" i="35" s="1" a="1"/>
  <c r="E366" i="35" s="1"/>
  <c r="F366" i="35" s="1" a="1"/>
  <c r="F366" i="35" s="1"/>
  <c r="G365" i="35"/>
  <c r="O365" i="35" s="1"/>
  <c r="N423" i="40" l="1"/>
  <c r="Q423" i="40"/>
  <c r="Q508" i="39"/>
  <c r="M424" i="40"/>
  <c r="G424" i="40" s="1"/>
  <c r="O424" i="40" s="1"/>
  <c r="P508" i="39"/>
  <c r="G509" i="39"/>
  <c r="O509" i="39" s="1"/>
  <c r="P509" i="39" s="1"/>
  <c r="I509" i="39"/>
  <c r="M510" i="39"/>
  <c r="H510" i="39" s="1"/>
  <c r="E511" i="39" s="1" a="1"/>
  <c r="E511" i="39" s="1"/>
  <c r="F511" i="39" s="1" a="1"/>
  <c r="F511" i="39" s="1"/>
  <c r="M366" i="35"/>
  <c r="I366" i="35" s="1"/>
  <c r="Q365" i="35"/>
  <c r="N365" i="35"/>
  <c r="P365" i="35"/>
  <c r="N509" i="39" l="1"/>
  <c r="Q509" i="39"/>
  <c r="N424" i="40"/>
  <c r="Q424" i="40"/>
  <c r="P424" i="40"/>
  <c r="I424" i="40"/>
  <c r="H424" i="40"/>
  <c r="E425" i="40" s="1" a="1"/>
  <c r="E425" i="40" s="1"/>
  <c r="F425" i="40" s="1" a="1"/>
  <c r="F425" i="40" s="1"/>
  <c r="I510" i="39"/>
  <c r="G510" i="39"/>
  <c r="O510" i="39" s="1"/>
  <c r="N510" i="39" s="1"/>
  <c r="M511" i="39"/>
  <c r="I511" i="39" s="1"/>
  <c r="H366" i="35"/>
  <c r="E367" i="35" s="1" a="1"/>
  <c r="E367" i="35" s="1"/>
  <c r="F367" i="35" s="1" a="1"/>
  <c r="F367" i="35" s="1"/>
  <c r="M367" i="35" s="1"/>
  <c r="I367" i="35" s="1"/>
  <c r="G366" i="35"/>
  <c r="O366" i="35" s="1"/>
  <c r="Q366" i="35" s="1"/>
  <c r="M425" i="40" l="1"/>
  <c r="I425" i="40" s="1"/>
  <c r="P510" i="39"/>
  <c r="Q510" i="39"/>
  <c r="G511" i="39"/>
  <c r="O511" i="39" s="1"/>
  <c r="Q511" i="39" s="1"/>
  <c r="H511" i="39"/>
  <c r="E512" i="39" s="1" a="1"/>
  <c r="E512" i="39" s="1"/>
  <c r="F512" i="39" s="1" a="1"/>
  <c r="F512" i="39" s="1"/>
  <c r="P366" i="35"/>
  <c r="N366" i="35"/>
  <c r="H367" i="35"/>
  <c r="E368" i="35" s="1" a="1"/>
  <c r="E368" i="35" s="1"/>
  <c r="F368" i="35" s="1" a="1"/>
  <c r="F368" i="35" s="1"/>
  <c r="G367" i="35"/>
  <c r="O367" i="35" s="1"/>
  <c r="G425" i="40" l="1"/>
  <c r="O425" i="40" s="1"/>
  <c r="P425" i="40" s="1"/>
  <c r="H425" i="40"/>
  <c r="E426" i="40" s="1" a="1"/>
  <c r="E426" i="40" s="1"/>
  <c r="F426" i="40" s="1" a="1"/>
  <c r="F426" i="40" s="1"/>
  <c r="M426" i="40" s="1"/>
  <c r="I426" i="40" s="1"/>
  <c r="N511" i="39"/>
  <c r="P511" i="39"/>
  <c r="M512" i="39"/>
  <c r="H512" i="39" s="1"/>
  <c r="E513" i="39" s="1" a="1"/>
  <c r="E513" i="39" s="1"/>
  <c r="F513" i="39" s="1" a="1"/>
  <c r="F513" i="39" s="1"/>
  <c r="P367" i="35"/>
  <c r="N367" i="35"/>
  <c r="Q367" i="35"/>
  <c r="M368" i="35"/>
  <c r="G368" i="35" s="1"/>
  <c r="O368" i="35" s="1"/>
  <c r="Q425" i="40" l="1"/>
  <c r="N425" i="40"/>
  <c r="H426" i="40"/>
  <c r="E427" i="40" s="1" a="1"/>
  <c r="E427" i="40" s="1"/>
  <c r="F427" i="40" s="1" a="1"/>
  <c r="F427" i="40" s="1"/>
  <c r="G426" i="40"/>
  <c r="O426" i="40" s="1"/>
  <c r="M513" i="39"/>
  <c r="I513" i="39" s="1"/>
  <c r="I512" i="39"/>
  <c r="G512" i="39"/>
  <c r="O512" i="39" s="1"/>
  <c r="I368" i="35"/>
  <c r="P368" i="35"/>
  <c r="Q368" i="35"/>
  <c r="N368" i="35"/>
  <c r="H368" i="35"/>
  <c r="E369" i="35" s="1" a="1"/>
  <c r="E369" i="35" s="1"/>
  <c r="F369" i="35" s="1" a="1"/>
  <c r="F369" i="35" s="1"/>
  <c r="Q426" i="40" l="1"/>
  <c r="P426" i="40"/>
  <c r="N426" i="40"/>
  <c r="M427" i="40"/>
  <c r="I427" i="40" s="1"/>
  <c r="G513" i="39"/>
  <c r="O513" i="39" s="1"/>
  <c r="N513" i="39" s="1"/>
  <c r="N512" i="39"/>
  <c r="P512" i="39"/>
  <c r="Q512" i="39"/>
  <c r="H513" i="39"/>
  <c r="E514" i="39" s="1" a="1"/>
  <c r="E514" i="39" s="1"/>
  <c r="F514" i="39" s="1" a="1"/>
  <c r="F514" i="39" s="1"/>
  <c r="M369" i="35"/>
  <c r="I369" i="35" s="1"/>
  <c r="G427" i="40" l="1"/>
  <c r="O427" i="40" s="1"/>
  <c r="Q427" i="40" s="1"/>
  <c r="H427" i="40"/>
  <c r="E428" i="40" s="1" a="1"/>
  <c r="E428" i="40" s="1"/>
  <c r="F428" i="40" s="1" a="1"/>
  <c r="F428" i="40" s="1"/>
  <c r="M428" i="40" s="1"/>
  <c r="G428" i="40" s="1"/>
  <c r="O428" i="40" s="1"/>
  <c r="Q513" i="39"/>
  <c r="P513" i="39"/>
  <c r="M514" i="39"/>
  <c r="H514" i="39" s="1"/>
  <c r="E515" i="39" s="1" a="1"/>
  <c r="E515" i="39" s="1"/>
  <c r="F515" i="39" s="1" a="1"/>
  <c r="F515" i="39" s="1"/>
  <c r="G369" i="35"/>
  <c r="O369" i="35" s="1"/>
  <c r="P369" i="35" s="1"/>
  <c r="H369" i="35"/>
  <c r="E370" i="35" s="1" a="1"/>
  <c r="E370" i="35" s="1"/>
  <c r="F370" i="35" s="1" a="1"/>
  <c r="F370" i="35" s="1"/>
  <c r="N427" i="40" l="1"/>
  <c r="P427" i="40"/>
  <c r="N428" i="40"/>
  <c r="P428" i="40"/>
  <c r="Q428" i="40"/>
  <c r="I428" i="40"/>
  <c r="H428" i="40"/>
  <c r="E429" i="40" s="1" a="1"/>
  <c r="E429" i="40" s="1"/>
  <c r="F429" i="40" s="1" a="1"/>
  <c r="F429" i="40" s="1"/>
  <c r="M515" i="39"/>
  <c r="I515" i="39" s="1"/>
  <c r="G514" i="39"/>
  <c r="O514" i="39" s="1"/>
  <c r="I514" i="39"/>
  <c r="N369" i="35"/>
  <c r="Q369" i="35"/>
  <c r="M370" i="35"/>
  <c r="I370" i="35" s="1"/>
  <c r="M429" i="40" l="1"/>
  <c r="I429" i="40" s="1"/>
  <c r="G515" i="39"/>
  <c r="O515" i="39" s="1"/>
  <c r="Q515" i="39" s="1"/>
  <c r="H515" i="39"/>
  <c r="E516" i="39" s="1" a="1"/>
  <c r="E516" i="39" s="1"/>
  <c r="F516" i="39" s="1" a="1"/>
  <c r="F516" i="39" s="1"/>
  <c r="M516" i="39" s="1"/>
  <c r="H516" i="39" s="1"/>
  <c r="E517" i="39" s="1" a="1"/>
  <c r="E517" i="39" s="1"/>
  <c r="F517" i="39" s="1" a="1"/>
  <c r="F517" i="39" s="1"/>
  <c r="Q514" i="39"/>
  <c r="P514" i="39"/>
  <c r="N514" i="39"/>
  <c r="H370" i="35"/>
  <c r="E371" i="35" s="1" a="1"/>
  <c r="E371" i="35" s="1"/>
  <c r="F371" i="35" s="1" a="1"/>
  <c r="F371" i="35" s="1"/>
  <c r="M371" i="35" s="1"/>
  <c r="I371" i="35" s="1"/>
  <c r="G370" i="35"/>
  <c r="O370" i="35" s="1"/>
  <c r="N370" i="35" s="1"/>
  <c r="G429" i="40" l="1"/>
  <c r="O429" i="40" s="1"/>
  <c r="P429" i="40" s="1"/>
  <c r="H429" i="40"/>
  <c r="E430" i="40" s="1" a="1"/>
  <c r="E430" i="40" s="1"/>
  <c r="F430" i="40" s="1" a="1"/>
  <c r="F430" i="40" s="1"/>
  <c r="M430" i="40" s="1"/>
  <c r="G430" i="40" s="1"/>
  <c r="O430" i="40" s="1"/>
  <c r="N515" i="39"/>
  <c r="P515" i="39"/>
  <c r="M517" i="39"/>
  <c r="I517" i="39" s="1"/>
  <c r="G516" i="39"/>
  <c r="O516" i="39" s="1"/>
  <c r="I516" i="39"/>
  <c r="Q370" i="35"/>
  <c r="P370" i="35"/>
  <c r="G371" i="35"/>
  <c r="O371" i="35" s="1"/>
  <c r="P371" i="35" s="1"/>
  <c r="H371" i="35"/>
  <c r="E372" i="35" s="1" a="1"/>
  <c r="E372" i="35" s="1"/>
  <c r="F372" i="35" s="1" a="1"/>
  <c r="F372" i="35" s="1"/>
  <c r="Q429" i="40" l="1"/>
  <c r="N429" i="40"/>
  <c r="H430" i="40"/>
  <c r="E431" i="40" s="1" a="1"/>
  <c r="E431" i="40" s="1"/>
  <c r="F431" i="40" s="1" a="1"/>
  <c r="F431" i="40" s="1"/>
  <c r="Q430" i="40"/>
  <c r="N430" i="40"/>
  <c r="P430" i="40"/>
  <c r="I430" i="40"/>
  <c r="G517" i="39"/>
  <c r="O517" i="39" s="1"/>
  <c r="Q517" i="39" s="1"/>
  <c r="H517" i="39"/>
  <c r="E518" i="39" s="1" a="1"/>
  <c r="E518" i="39" s="1"/>
  <c r="F518" i="39" s="1" a="1"/>
  <c r="F518" i="39" s="1"/>
  <c r="M518" i="39" s="1"/>
  <c r="G518" i="39" s="1"/>
  <c r="O518" i="39" s="1"/>
  <c r="P516" i="39"/>
  <c r="Q516" i="39"/>
  <c r="N516" i="39"/>
  <c r="N371" i="35"/>
  <c r="Q371" i="35"/>
  <c r="M372" i="35"/>
  <c r="I372" i="35" s="1"/>
  <c r="P517" i="39" l="1"/>
  <c r="M431" i="40"/>
  <c r="H431" i="40" s="1"/>
  <c r="E432" i="40" s="1" a="1"/>
  <c r="E432" i="40" s="1"/>
  <c r="F432" i="40" s="1" a="1"/>
  <c r="F432" i="40" s="1"/>
  <c r="M432" i="40" s="1"/>
  <c r="N517" i="39"/>
  <c r="N518" i="39"/>
  <c r="P518" i="39"/>
  <c r="Q518" i="39"/>
  <c r="I518" i="39"/>
  <c r="H518" i="39"/>
  <c r="E519" i="39" s="1" a="1"/>
  <c r="E519" i="39" s="1"/>
  <c r="F519" i="39" s="1" a="1"/>
  <c r="F519" i="39" s="1"/>
  <c r="G372" i="35"/>
  <c r="O372" i="35" s="1"/>
  <c r="Q372" i="35" s="1"/>
  <c r="H372" i="35"/>
  <c r="E373" i="35" s="1" a="1"/>
  <c r="E373" i="35" s="1"/>
  <c r="F373" i="35" s="1" a="1"/>
  <c r="F373" i="35" s="1"/>
  <c r="I431" i="40" l="1"/>
  <c r="I432" i="40"/>
  <c r="H432" i="40"/>
  <c r="E433" i="40" s="1" a="1"/>
  <c r="E433" i="40" s="1"/>
  <c r="F433" i="40" s="1" a="1"/>
  <c r="F433" i="40" s="1"/>
  <c r="G432" i="40"/>
  <c r="O432" i="40" s="1"/>
  <c r="Q432" i="40" s="1"/>
  <c r="G431" i="40"/>
  <c r="O431" i="40" s="1"/>
  <c r="M519" i="39"/>
  <c r="G519" i="39" s="1"/>
  <c r="O519" i="39" s="1"/>
  <c r="P372" i="35"/>
  <c r="N372" i="35"/>
  <c r="M373" i="35"/>
  <c r="H373" i="35" s="1"/>
  <c r="E374" i="35" s="1" a="1"/>
  <c r="E374" i="35" s="1"/>
  <c r="F374" i="35" s="1" a="1"/>
  <c r="F374" i="35" s="1"/>
  <c r="M374" i="35" s="1"/>
  <c r="I374" i="35" s="1"/>
  <c r="N432" i="40" l="1"/>
  <c r="M433" i="40"/>
  <c r="G433" i="40" s="1"/>
  <c r="O433" i="40" s="1"/>
  <c r="P432" i="40"/>
  <c r="N431" i="40"/>
  <c r="P431" i="40"/>
  <c r="Q431" i="40"/>
  <c r="Q519" i="39"/>
  <c r="P519" i="39"/>
  <c r="N519" i="39"/>
  <c r="I519" i="39"/>
  <c r="H519" i="39"/>
  <c r="E520" i="39" s="1" a="1"/>
  <c r="E520" i="39" s="1"/>
  <c r="F520" i="39" s="1" a="1"/>
  <c r="F520" i="39" s="1"/>
  <c r="G373" i="35"/>
  <c r="O373" i="35" s="1"/>
  <c r="P373" i="35" s="1"/>
  <c r="G374" i="35"/>
  <c r="O374" i="35" s="1"/>
  <c r="P374" i="35" s="1"/>
  <c r="H374" i="35"/>
  <c r="E375" i="35" s="1" a="1"/>
  <c r="E375" i="35" s="1"/>
  <c r="F375" i="35" s="1" a="1"/>
  <c r="F375" i="35" s="1"/>
  <c r="I373" i="35"/>
  <c r="I433" i="40" l="1"/>
  <c r="P433" i="40"/>
  <c r="N433" i="40"/>
  <c r="Q433" i="40"/>
  <c r="H433" i="40"/>
  <c r="E434" i="40" s="1" a="1"/>
  <c r="E434" i="40" s="1"/>
  <c r="F434" i="40" s="1" a="1"/>
  <c r="F434" i="40" s="1"/>
  <c r="M520" i="39"/>
  <c r="I520" i="39" s="1"/>
  <c r="N373" i="35"/>
  <c r="Q373" i="35"/>
  <c r="N374" i="35"/>
  <c r="Q374" i="35"/>
  <c r="M375" i="35"/>
  <c r="H375" i="35" s="1"/>
  <c r="E376" i="35" s="1" a="1"/>
  <c r="E376" i="35" s="1"/>
  <c r="F376" i="35" s="1" a="1"/>
  <c r="F376" i="35" s="1"/>
  <c r="M376" i="35" s="1"/>
  <c r="I376" i="35" s="1"/>
  <c r="M434" i="40" l="1"/>
  <c r="G434" i="40" s="1"/>
  <c r="O434" i="40" s="1"/>
  <c r="G520" i="39"/>
  <c r="O520" i="39" s="1"/>
  <c r="P520" i="39" s="1"/>
  <c r="H520" i="39"/>
  <c r="E521" i="39" s="1" a="1"/>
  <c r="E521" i="39" s="1"/>
  <c r="F521" i="39" s="1" a="1"/>
  <c r="F521" i="39" s="1"/>
  <c r="M521" i="39" s="1"/>
  <c r="I521" i="39" s="1"/>
  <c r="G375" i="35"/>
  <c r="O375" i="35" s="1"/>
  <c r="P375" i="35" s="1"/>
  <c r="I375" i="35"/>
  <c r="G376" i="35"/>
  <c r="O376" i="35" s="1"/>
  <c r="H376" i="35"/>
  <c r="E377" i="35" s="1" a="1"/>
  <c r="E377" i="35" s="1"/>
  <c r="F377" i="35" s="1" a="1"/>
  <c r="F377" i="35" s="1"/>
  <c r="I434" i="40" l="1"/>
  <c r="P434" i="40"/>
  <c r="N434" i="40"/>
  <c r="Q434" i="40"/>
  <c r="H434" i="40"/>
  <c r="E435" i="40" s="1" a="1"/>
  <c r="E435" i="40" s="1"/>
  <c r="F435" i="40" s="1" a="1"/>
  <c r="F435" i="40" s="1"/>
  <c r="Q520" i="39"/>
  <c r="N520" i="39"/>
  <c r="G521" i="39"/>
  <c r="O521" i="39" s="1"/>
  <c r="Q521" i="39" s="1"/>
  <c r="H521" i="39"/>
  <c r="E522" i="39" s="1" a="1"/>
  <c r="E522" i="39" s="1"/>
  <c r="F522" i="39" s="1" a="1"/>
  <c r="F522" i="39" s="1"/>
  <c r="M522" i="39" s="1"/>
  <c r="G522" i="39" s="1"/>
  <c r="O522" i="39" s="1"/>
  <c r="Q375" i="35"/>
  <c r="N375" i="35"/>
  <c r="M377" i="35"/>
  <c r="G377" i="35" s="1"/>
  <c r="O377" i="35" s="1"/>
  <c r="Q376" i="35"/>
  <c r="P376" i="35"/>
  <c r="N376" i="35"/>
  <c r="P521" i="39" l="1"/>
  <c r="M435" i="40"/>
  <c r="I435" i="40" s="1"/>
  <c r="N521" i="39"/>
  <c r="I522" i="39"/>
  <c r="Q522" i="39"/>
  <c r="P522" i="39"/>
  <c r="N522" i="39"/>
  <c r="H522" i="39"/>
  <c r="E523" i="39" s="1" a="1"/>
  <c r="E523" i="39" s="1"/>
  <c r="F523" i="39" s="1" a="1"/>
  <c r="F523" i="39" s="1"/>
  <c r="H377" i="35"/>
  <c r="E378" i="35" s="1" a="1"/>
  <c r="E378" i="35" s="1"/>
  <c r="F378" i="35" s="1" a="1"/>
  <c r="F378" i="35" s="1"/>
  <c r="M378" i="35" s="1"/>
  <c r="H378" i="35" s="1"/>
  <c r="E379" i="35" s="1" a="1"/>
  <c r="E379" i="35" s="1"/>
  <c r="F379" i="35" s="1" a="1"/>
  <c r="F379" i="35" s="1"/>
  <c r="M379" i="35" s="1"/>
  <c r="I379" i="35" s="1"/>
  <c r="I377" i="35"/>
  <c r="P377" i="35"/>
  <c r="N377" i="35"/>
  <c r="Q377" i="35"/>
  <c r="G435" i="40" l="1"/>
  <c r="O435" i="40" s="1"/>
  <c r="P435" i="40" s="1"/>
  <c r="H435" i="40"/>
  <c r="E436" i="40" s="1" a="1"/>
  <c r="E436" i="40" s="1"/>
  <c r="F436" i="40" s="1" a="1"/>
  <c r="F436" i="40" s="1"/>
  <c r="M436" i="40" s="1"/>
  <c r="I436" i="40" s="1"/>
  <c r="M523" i="39"/>
  <c r="H523" i="39" s="1"/>
  <c r="E524" i="39" s="1" a="1"/>
  <c r="E524" i="39" s="1"/>
  <c r="F524" i="39" s="1" a="1"/>
  <c r="F524" i="39" s="1"/>
  <c r="I378" i="35"/>
  <c r="G378" i="35"/>
  <c r="O378" i="35" s="1"/>
  <c r="P378" i="35" s="1"/>
  <c r="G379" i="35"/>
  <c r="O379" i="35" s="1"/>
  <c r="Q379" i="35" s="1"/>
  <c r="H379" i="35"/>
  <c r="E380" i="35" s="1" a="1"/>
  <c r="E380" i="35" s="1"/>
  <c r="F380" i="35" s="1" a="1"/>
  <c r="F380" i="35" s="1"/>
  <c r="N435" i="40" l="1"/>
  <c r="Q435" i="40"/>
  <c r="H436" i="40"/>
  <c r="E437" i="40" s="1" a="1"/>
  <c r="E437" i="40" s="1"/>
  <c r="F437" i="40" s="1" a="1"/>
  <c r="F437" i="40" s="1"/>
  <c r="M437" i="40" s="1"/>
  <c r="G436" i="40"/>
  <c r="O436" i="40" s="1"/>
  <c r="P436" i="40" s="1"/>
  <c r="I523" i="39"/>
  <c r="M524" i="39"/>
  <c r="G524" i="39" s="1"/>
  <c r="O524" i="39" s="1"/>
  <c r="G523" i="39"/>
  <c r="O523" i="39" s="1"/>
  <c r="Q378" i="35"/>
  <c r="N379" i="35"/>
  <c r="P379" i="35"/>
  <c r="N378" i="35"/>
  <c r="M380" i="35"/>
  <c r="I380" i="35" s="1"/>
  <c r="Q436" i="40" l="1"/>
  <c r="N436" i="40"/>
  <c r="I437" i="40"/>
  <c r="H437" i="40"/>
  <c r="E438" i="40" s="1" a="1"/>
  <c r="E438" i="40" s="1"/>
  <c r="F438" i="40" s="1" a="1"/>
  <c r="F438" i="40" s="1"/>
  <c r="M438" i="40" s="1"/>
  <c r="I438" i="40" s="1"/>
  <c r="G437" i="40"/>
  <c r="O437" i="40" s="1"/>
  <c r="P524" i="39"/>
  <c r="N524" i="39"/>
  <c r="Q524" i="39"/>
  <c r="Q523" i="39"/>
  <c r="P523" i="39"/>
  <c r="N523" i="39"/>
  <c r="H524" i="39"/>
  <c r="E525" i="39" s="1" a="1"/>
  <c r="E525" i="39" s="1"/>
  <c r="F525" i="39" s="1" a="1"/>
  <c r="F525" i="39" s="1"/>
  <c r="I524" i="39"/>
  <c r="G380" i="35"/>
  <c r="O380" i="35" s="1"/>
  <c r="N380" i="35" s="1"/>
  <c r="H380" i="35"/>
  <c r="E381" i="35" s="1" a="1"/>
  <c r="E381" i="35" s="1"/>
  <c r="F381" i="35" s="1" a="1"/>
  <c r="F381" i="35" s="1"/>
  <c r="M381" i="35" s="1"/>
  <c r="I381" i="35" s="1"/>
  <c r="N437" i="40" l="1"/>
  <c r="Q437" i="40"/>
  <c r="P437" i="40"/>
  <c r="H438" i="40"/>
  <c r="E439" i="40" s="1" a="1"/>
  <c r="E439" i="40" s="1"/>
  <c r="F439" i="40" s="1" a="1"/>
  <c r="F439" i="40" s="1"/>
  <c r="M439" i="40" s="1"/>
  <c r="I439" i="40" s="1"/>
  <c r="G438" i="40"/>
  <c r="O438" i="40" s="1"/>
  <c r="M525" i="39"/>
  <c r="H525" i="39" s="1"/>
  <c r="E526" i="39" s="1" a="1"/>
  <c r="E526" i="39" s="1"/>
  <c r="F526" i="39" s="1" a="1"/>
  <c r="F526" i="39" s="1"/>
  <c r="P380" i="35"/>
  <c r="Q380" i="35"/>
  <c r="H381" i="35"/>
  <c r="E382" i="35" s="1" a="1"/>
  <c r="E382" i="35" s="1"/>
  <c r="F382" i="35" s="1" a="1"/>
  <c r="F382" i="35" s="1"/>
  <c r="G381" i="35"/>
  <c r="O381" i="35" s="1"/>
  <c r="G439" i="40" l="1"/>
  <c r="O439" i="40" s="1"/>
  <c r="Q439" i="40" s="1"/>
  <c r="H439" i="40"/>
  <c r="E440" i="40" s="1" a="1"/>
  <c r="E440" i="40" s="1"/>
  <c r="F440" i="40" s="1" a="1"/>
  <c r="F440" i="40" s="1"/>
  <c r="M440" i="40" s="1"/>
  <c r="H440" i="40" s="1"/>
  <c r="E441" i="40" s="1" a="1"/>
  <c r="E441" i="40" s="1"/>
  <c r="F441" i="40" s="1" a="1"/>
  <c r="F441" i="40" s="1"/>
  <c r="Q438" i="40"/>
  <c r="N438" i="40"/>
  <c r="P438" i="40"/>
  <c r="I525" i="39"/>
  <c r="M526" i="39"/>
  <c r="H526" i="39" s="1"/>
  <c r="E527" i="39" s="1" a="1"/>
  <c r="E527" i="39" s="1"/>
  <c r="F527" i="39" s="1" a="1"/>
  <c r="F527" i="39" s="1"/>
  <c r="G525" i="39"/>
  <c r="O525" i="39" s="1"/>
  <c r="P381" i="35"/>
  <c r="N381" i="35"/>
  <c r="Q381" i="35"/>
  <c r="M382" i="35"/>
  <c r="I382" i="35" s="1"/>
  <c r="N439" i="40" l="1"/>
  <c r="P439" i="40"/>
  <c r="M441" i="40"/>
  <c r="H441" i="40" s="1"/>
  <c r="E442" i="40" s="1" a="1"/>
  <c r="E442" i="40" s="1"/>
  <c r="F442" i="40" s="1" a="1"/>
  <c r="F442" i="40" s="1"/>
  <c r="G440" i="40"/>
  <c r="O440" i="40" s="1"/>
  <c r="I440" i="40"/>
  <c r="I526" i="39"/>
  <c r="M527" i="39"/>
  <c r="H527" i="39" s="1"/>
  <c r="E528" i="39" s="1" a="1"/>
  <c r="E528" i="39" s="1"/>
  <c r="F528" i="39" s="1" a="1"/>
  <c r="F528" i="39" s="1"/>
  <c r="N525" i="39"/>
  <c r="P525" i="39"/>
  <c r="Q525" i="39"/>
  <c r="G526" i="39"/>
  <c r="O526" i="39" s="1"/>
  <c r="H382" i="35"/>
  <c r="E383" i="35" s="1" a="1"/>
  <c r="E383" i="35" s="1"/>
  <c r="F383" i="35" s="1" a="1"/>
  <c r="F383" i="35" s="1"/>
  <c r="M383" i="35" s="1"/>
  <c r="I383" i="35" s="1"/>
  <c r="G382" i="35"/>
  <c r="O382" i="35" s="1"/>
  <c r="G441" i="40" l="1"/>
  <c r="O441" i="40" s="1"/>
  <c r="N441" i="40" s="1"/>
  <c r="I441" i="40"/>
  <c r="M442" i="40"/>
  <c r="I442" i="40" s="1"/>
  <c r="P440" i="40"/>
  <c r="N440" i="40"/>
  <c r="Q440" i="40"/>
  <c r="I527" i="39"/>
  <c r="M528" i="39"/>
  <c r="I528" i="39" s="1"/>
  <c r="Q526" i="39"/>
  <c r="P526" i="39"/>
  <c r="N526" i="39"/>
  <c r="G527" i="39"/>
  <c r="O527" i="39" s="1"/>
  <c r="G383" i="35"/>
  <c r="O383" i="35" s="1"/>
  <c r="H383" i="35"/>
  <c r="E384" i="35" s="1" a="1"/>
  <c r="E384" i="35" s="1"/>
  <c r="F384" i="35" s="1" a="1"/>
  <c r="F384" i="35" s="1"/>
  <c r="N382" i="35"/>
  <c r="Q382" i="35"/>
  <c r="P382" i="35"/>
  <c r="Q441" i="40" l="1"/>
  <c r="P441" i="40"/>
  <c r="G442" i="40"/>
  <c r="O442" i="40" s="1"/>
  <c r="Q442" i="40" s="1"/>
  <c r="H442" i="40"/>
  <c r="E443" i="40" s="1" a="1"/>
  <c r="E443" i="40" s="1"/>
  <c r="F443" i="40" s="1" a="1"/>
  <c r="F443" i="40" s="1"/>
  <c r="G528" i="39"/>
  <c r="O528" i="39" s="1"/>
  <c r="Q528" i="39" s="1"/>
  <c r="H528" i="39"/>
  <c r="E529" i="39" s="1" a="1"/>
  <c r="E529" i="39" s="1"/>
  <c r="F529" i="39" s="1" a="1"/>
  <c r="F529" i="39" s="1"/>
  <c r="M529" i="39" s="1"/>
  <c r="G529" i="39" s="1"/>
  <c r="O529" i="39" s="1"/>
  <c r="N527" i="39"/>
  <c r="Q527" i="39"/>
  <c r="P527" i="39"/>
  <c r="M384" i="35"/>
  <c r="I384" i="35" s="1"/>
  <c r="Q383" i="35"/>
  <c r="P383" i="35"/>
  <c r="N383" i="35"/>
  <c r="N442" i="40" l="1"/>
  <c r="P442" i="40"/>
  <c r="P528" i="39"/>
  <c r="N528" i="39"/>
  <c r="M443" i="40"/>
  <c r="G443" i="40" s="1"/>
  <c r="O443" i="40" s="1"/>
  <c r="P529" i="39"/>
  <c r="N529" i="39"/>
  <c r="Q529" i="39"/>
  <c r="H529" i="39"/>
  <c r="E530" i="39" s="1" a="1"/>
  <c r="E530" i="39" s="1"/>
  <c r="F530" i="39" s="1" a="1"/>
  <c r="F530" i="39" s="1"/>
  <c r="I529" i="39"/>
  <c r="G384" i="35"/>
  <c r="O384" i="35" s="1"/>
  <c r="P384" i="35" s="1"/>
  <c r="H384" i="35"/>
  <c r="E385" i="35" s="1" a="1"/>
  <c r="E385" i="35" s="1"/>
  <c r="F385" i="35" s="1" a="1"/>
  <c r="F385" i="35" s="1"/>
  <c r="M385" i="35" s="1"/>
  <c r="H385" i="35" s="1"/>
  <c r="E386" i="35" s="1" a="1"/>
  <c r="E386" i="35" s="1"/>
  <c r="F386" i="35" s="1" a="1"/>
  <c r="F386" i="35" s="1"/>
  <c r="H443" i="40" l="1"/>
  <c r="E444" i="40" s="1" a="1"/>
  <c r="E444" i="40" s="1"/>
  <c r="F444" i="40" s="1" a="1"/>
  <c r="F444" i="40" s="1"/>
  <c r="M444" i="40" s="1"/>
  <c r="G444" i="40" s="1"/>
  <c r="O444" i="40" s="1"/>
  <c r="I443" i="40"/>
  <c r="Q443" i="40"/>
  <c r="P443" i="40"/>
  <c r="N443" i="40"/>
  <c r="M530" i="39"/>
  <c r="H530" i="39" s="1"/>
  <c r="E531" i="39" s="1" a="1"/>
  <c r="E531" i="39" s="1"/>
  <c r="F531" i="39" s="1" a="1"/>
  <c r="F531" i="39" s="1"/>
  <c r="N384" i="35"/>
  <c r="Q384" i="35"/>
  <c r="I385" i="35"/>
  <c r="M386" i="35"/>
  <c r="I386" i="35" s="1"/>
  <c r="G385" i="35"/>
  <c r="O385" i="35" s="1"/>
  <c r="Q444" i="40" l="1"/>
  <c r="N444" i="40"/>
  <c r="P444" i="40"/>
  <c r="I444" i="40"/>
  <c r="H444" i="40"/>
  <c r="E445" i="40" s="1" a="1"/>
  <c r="E445" i="40" s="1"/>
  <c r="F445" i="40" s="1" a="1"/>
  <c r="F445" i="40" s="1"/>
  <c r="I530" i="39"/>
  <c r="M531" i="39"/>
  <c r="H531" i="39" s="1"/>
  <c r="E532" i="39" s="1" a="1"/>
  <c r="E532" i="39" s="1"/>
  <c r="F532" i="39" s="1" a="1"/>
  <c r="F532" i="39" s="1"/>
  <c r="G530" i="39"/>
  <c r="O530" i="39" s="1"/>
  <c r="G386" i="35"/>
  <c r="O386" i="35" s="1"/>
  <c r="N386" i="35" s="1"/>
  <c r="H386" i="35"/>
  <c r="E387" i="35" s="1" a="1"/>
  <c r="E387" i="35" s="1"/>
  <c r="F387" i="35" s="1" a="1"/>
  <c r="F387" i="35" s="1"/>
  <c r="M387" i="35" s="1"/>
  <c r="G387" i="35" s="1"/>
  <c r="O387" i="35" s="1"/>
  <c r="N387" i="35" s="1"/>
  <c r="Q385" i="35"/>
  <c r="P385" i="35"/>
  <c r="N385" i="35"/>
  <c r="M445" i="40" l="1"/>
  <c r="G445" i="40" s="1"/>
  <c r="O445" i="40" s="1"/>
  <c r="M532" i="39"/>
  <c r="H532" i="39" s="1"/>
  <c r="E533" i="39" s="1" a="1"/>
  <c r="E533" i="39" s="1"/>
  <c r="F533" i="39" s="1" a="1"/>
  <c r="F533" i="39" s="1"/>
  <c r="G531" i="39"/>
  <c r="O531" i="39" s="1"/>
  <c r="Q530" i="39"/>
  <c r="P530" i="39"/>
  <c r="N530" i="39"/>
  <c r="I531" i="39"/>
  <c r="P386" i="35"/>
  <c r="Q386" i="35"/>
  <c r="H387" i="35"/>
  <c r="E388" i="35" s="1" a="1"/>
  <c r="E388" i="35" s="1"/>
  <c r="F388" i="35" s="1" a="1"/>
  <c r="F388" i="35" s="1"/>
  <c r="M388" i="35" s="1"/>
  <c r="I388" i="35" s="1"/>
  <c r="Q387" i="35"/>
  <c r="P387" i="35"/>
  <c r="I387" i="35"/>
  <c r="H445" i="40" l="1"/>
  <c r="E446" i="40" s="1" a="1"/>
  <c r="E446" i="40" s="1"/>
  <c r="F446" i="40" s="1" a="1"/>
  <c r="F446" i="40" s="1"/>
  <c r="M446" i="40" s="1"/>
  <c r="I446" i="40" s="1"/>
  <c r="I445" i="40"/>
  <c r="P445" i="40"/>
  <c r="Q445" i="40"/>
  <c r="N445" i="40"/>
  <c r="M533" i="39"/>
  <c r="H533" i="39" s="1"/>
  <c r="E534" i="39" s="1" a="1"/>
  <c r="E534" i="39" s="1"/>
  <c r="F534" i="39" s="1" a="1"/>
  <c r="F534" i="39" s="1"/>
  <c r="N531" i="39"/>
  <c r="Q531" i="39"/>
  <c r="P531" i="39"/>
  <c r="G532" i="39"/>
  <c r="O532" i="39" s="1"/>
  <c r="I532" i="39"/>
  <c r="G388" i="35"/>
  <c r="O388" i="35" s="1"/>
  <c r="H388" i="35"/>
  <c r="E389" i="35" s="1" a="1"/>
  <c r="E389" i="35" s="1"/>
  <c r="F389" i="35" s="1" a="1"/>
  <c r="F389" i="35" s="1"/>
  <c r="H446" i="40" l="1"/>
  <c r="E447" i="40" s="1" a="1"/>
  <c r="E447" i="40" s="1"/>
  <c r="F447" i="40" s="1" a="1"/>
  <c r="F447" i="40" s="1"/>
  <c r="G446" i="40"/>
  <c r="O446" i="40" s="1"/>
  <c r="M534" i="39"/>
  <c r="H534" i="39" s="1"/>
  <c r="E535" i="39" s="1" a="1"/>
  <c r="E535" i="39" s="1"/>
  <c r="F535" i="39" s="1" a="1"/>
  <c r="F535" i="39" s="1"/>
  <c r="N532" i="39"/>
  <c r="Q532" i="39"/>
  <c r="P532" i="39"/>
  <c r="I533" i="39"/>
  <c r="G533" i="39"/>
  <c r="O533" i="39" s="1"/>
  <c r="M389" i="35"/>
  <c r="I389" i="35" s="1"/>
  <c r="N388" i="35"/>
  <c r="P388" i="35"/>
  <c r="Q388" i="35"/>
  <c r="Q446" i="40" l="1"/>
  <c r="N446" i="40"/>
  <c r="P446" i="40"/>
  <c r="M447" i="40"/>
  <c r="G447" i="40" s="1"/>
  <c r="O447" i="40" s="1"/>
  <c r="M535" i="39"/>
  <c r="H535" i="39" s="1"/>
  <c r="E536" i="39" s="1" a="1"/>
  <c r="E536" i="39" s="1"/>
  <c r="F536" i="39" s="1" a="1"/>
  <c r="F536" i="39" s="1"/>
  <c r="Q533" i="39"/>
  <c r="P533" i="39"/>
  <c r="N533" i="39"/>
  <c r="I534" i="39"/>
  <c r="G534" i="39"/>
  <c r="O534" i="39" s="1"/>
  <c r="H389" i="35"/>
  <c r="E390" i="35" s="1" a="1"/>
  <c r="E390" i="35" s="1"/>
  <c r="F390" i="35" s="1" a="1"/>
  <c r="F390" i="35" s="1"/>
  <c r="H447" i="40" l="1"/>
  <c r="E448" i="40" s="1" a="1"/>
  <c r="E448" i="40" s="1"/>
  <c r="F448" i="40" s="1" a="1"/>
  <c r="F448" i="40" s="1"/>
  <c r="M448" i="40" s="1"/>
  <c r="I448" i="40" s="1"/>
  <c r="I447" i="40"/>
  <c r="Q447" i="40"/>
  <c r="P447" i="40"/>
  <c r="N447" i="40"/>
  <c r="M536" i="39"/>
  <c r="G536" i="39" s="1"/>
  <c r="O536" i="39" s="1"/>
  <c r="P534" i="39"/>
  <c r="Q534" i="39"/>
  <c r="N534" i="39"/>
  <c r="I535" i="39"/>
  <c r="G535" i="39"/>
  <c r="O535" i="39" s="1"/>
  <c r="M390" i="35"/>
  <c r="I390" i="35" s="1"/>
  <c r="G389" i="35"/>
  <c r="O389" i="35" s="1"/>
  <c r="I536" i="39" l="1"/>
  <c r="H536" i="39"/>
  <c r="E537" i="39" s="1" a="1"/>
  <c r="E537" i="39" s="1"/>
  <c r="F537" i="39" s="1" a="1"/>
  <c r="F537" i="39" s="1"/>
  <c r="M537" i="39" s="1"/>
  <c r="G537" i="39" s="1"/>
  <c r="O537" i="39" s="1"/>
  <c r="H448" i="40"/>
  <c r="E449" i="40" s="1" a="1"/>
  <c r="E449" i="40" s="1"/>
  <c r="F449" i="40" s="1" a="1"/>
  <c r="F449" i="40" s="1"/>
  <c r="M449" i="40" s="1"/>
  <c r="G448" i="40"/>
  <c r="O448" i="40" s="1"/>
  <c r="N535" i="39"/>
  <c r="Q535" i="39"/>
  <c r="P535" i="39"/>
  <c r="Q536" i="39"/>
  <c r="P536" i="39"/>
  <c r="N536" i="39"/>
  <c r="G390" i="35"/>
  <c r="O390" i="35" s="1"/>
  <c r="Q390" i="35" s="1"/>
  <c r="H390" i="35"/>
  <c r="E391" i="35" s="1" a="1"/>
  <c r="E391" i="35" s="1"/>
  <c r="F391" i="35" s="1" a="1"/>
  <c r="F391" i="35" s="1"/>
  <c r="P389" i="35"/>
  <c r="N389" i="35"/>
  <c r="Q389" i="35"/>
  <c r="H449" i="40" l="1"/>
  <c r="E450" i="40" s="1" a="1"/>
  <c r="E450" i="40" s="1"/>
  <c r="F450" i="40" s="1" a="1"/>
  <c r="F450" i="40" s="1"/>
  <c r="G449" i="40"/>
  <c r="O449" i="40" s="1"/>
  <c r="Q449" i="40" s="1"/>
  <c r="I449" i="40"/>
  <c r="N448" i="40"/>
  <c r="Q448" i="40"/>
  <c r="P448" i="40"/>
  <c r="I537" i="39"/>
  <c r="Q537" i="39"/>
  <c r="P537" i="39"/>
  <c r="N537" i="39"/>
  <c r="H537" i="39"/>
  <c r="E538" i="39" s="1" a="1"/>
  <c r="E538" i="39" s="1"/>
  <c r="F538" i="39" s="1" a="1"/>
  <c r="F538" i="39" s="1"/>
  <c r="P390" i="35"/>
  <c r="N390" i="35"/>
  <c r="M391" i="35"/>
  <c r="I391" i="35" s="1"/>
  <c r="P449" i="40" l="1"/>
  <c r="N449" i="40"/>
  <c r="M450" i="40"/>
  <c r="H450" i="40" s="1"/>
  <c r="E451" i="40" s="1" a="1"/>
  <c r="E451" i="40" s="1"/>
  <c r="F451" i="40" s="1" a="1"/>
  <c r="F451" i="40" s="1"/>
  <c r="M451" i="40" s="1"/>
  <c r="H451" i="40" s="1"/>
  <c r="E452" i="40" s="1" a="1"/>
  <c r="E452" i="40" s="1"/>
  <c r="F452" i="40" s="1" a="1"/>
  <c r="F452" i="40" s="1"/>
  <c r="M538" i="39"/>
  <c r="H538" i="39" s="1"/>
  <c r="E539" i="39" s="1" a="1"/>
  <c r="E539" i="39" s="1"/>
  <c r="F539" i="39" s="1" a="1"/>
  <c r="F539" i="39" s="1"/>
  <c r="I450" i="40" l="1"/>
  <c r="G450" i="40"/>
  <c r="O450" i="40" s="1"/>
  <c r="M452" i="40"/>
  <c r="I452" i="40" s="1"/>
  <c r="I451" i="40"/>
  <c r="G451" i="40"/>
  <c r="O451" i="40" s="1"/>
  <c r="I538" i="39"/>
  <c r="M539" i="39"/>
  <c r="I539" i="39" s="1"/>
  <c r="G538" i="39"/>
  <c r="O538" i="39" s="1"/>
  <c r="G391" i="35"/>
  <c r="O391" i="35" s="1"/>
  <c r="H391" i="35"/>
  <c r="E392" i="35" s="1" a="1"/>
  <c r="E392" i="35" s="1"/>
  <c r="F392" i="35" s="1" a="1"/>
  <c r="F392" i="35" s="1"/>
  <c r="G452" i="40" l="1"/>
  <c r="O452" i="40" s="1"/>
  <c r="P450" i="40"/>
  <c r="N450" i="40"/>
  <c r="Q450" i="40"/>
  <c r="P452" i="40"/>
  <c r="N452" i="40"/>
  <c r="Q452" i="40"/>
  <c r="P451" i="40"/>
  <c r="Q451" i="40"/>
  <c r="N451" i="40"/>
  <c r="H452" i="40"/>
  <c r="E453" i="40" s="1" a="1"/>
  <c r="E453" i="40" s="1"/>
  <c r="F453" i="40" s="1" a="1"/>
  <c r="F453" i="40" s="1"/>
  <c r="G539" i="39"/>
  <c r="O539" i="39" s="1"/>
  <c r="N539" i="39" s="1"/>
  <c r="H539" i="39"/>
  <c r="E540" i="39" s="1" a="1"/>
  <c r="E540" i="39" s="1"/>
  <c r="F540" i="39" s="1" a="1"/>
  <c r="F540" i="39" s="1"/>
  <c r="M540" i="39" s="1"/>
  <c r="G540" i="39" s="1"/>
  <c r="O540" i="39" s="1"/>
  <c r="N538" i="39"/>
  <c r="Q538" i="39"/>
  <c r="P538" i="39"/>
  <c r="M392" i="35"/>
  <c r="I392" i="35" s="1"/>
  <c r="P391" i="35"/>
  <c r="N391" i="35"/>
  <c r="Q391" i="35"/>
  <c r="P539" i="39" l="1"/>
  <c r="Q539" i="39"/>
  <c r="M453" i="40"/>
  <c r="I453" i="40" s="1"/>
  <c r="Q540" i="39"/>
  <c r="P540" i="39"/>
  <c r="N540" i="39"/>
  <c r="H540" i="39"/>
  <c r="E541" i="39" s="1" a="1"/>
  <c r="E541" i="39" s="1"/>
  <c r="F541" i="39" s="1" a="1"/>
  <c r="F541" i="39" s="1"/>
  <c r="I540" i="39"/>
  <c r="G392" i="35"/>
  <c r="O392" i="35" s="1"/>
  <c r="Q392" i="35" s="1"/>
  <c r="H392" i="35"/>
  <c r="E393" i="35" s="1" a="1"/>
  <c r="E393" i="35" s="1"/>
  <c r="F393" i="35" s="1" a="1"/>
  <c r="F393" i="35" s="1"/>
  <c r="G453" i="40" l="1"/>
  <c r="O453" i="40" s="1"/>
  <c r="Q453" i="40" s="1"/>
  <c r="H453" i="40"/>
  <c r="E454" i="40" s="1" a="1"/>
  <c r="E454" i="40" s="1"/>
  <c r="F454" i="40" s="1" a="1"/>
  <c r="F454" i="40" s="1"/>
  <c r="M454" i="40" s="1"/>
  <c r="H454" i="40" s="1"/>
  <c r="E455" i="40" s="1" a="1"/>
  <c r="E455" i="40" s="1"/>
  <c r="F455" i="40" s="1" a="1"/>
  <c r="F455" i="40" s="1"/>
  <c r="M541" i="39"/>
  <c r="I541" i="39" s="1"/>
  <c r="P392" i="35"/>
  <c r="N392" i="35"/>
  <c r="M393" i="35"/>
  <c r="I393" i="35" s="1"/>
  <c r="N453" i="40" l="1"/>
  <c r="P453" i="40"/>
  <c r="M455" i="40"/>
  <c r="G455" i="40" s="1"/>
  <c r="O455" i="40" s="1"/>
  <c r="G454" i="40"/>
  <c r="O454" i="40" s="1"/>
  <c r="I454" i="40"/>
  <c r="G541" i="39"/>
  <c r="O541" i="39" s="1"/>
  <c r="N541" i="39" s="1"/>
  <c r="H541" i="39"/>
  <c r="E542" i="39" s="1" a="1"/>
  <c r="E542" i="39" s="1"/>
  <c r="F542" i="39" s="1" a="1"/>
  <c r="F542" i="39" s="1"/>
  <c r="M542" i="39" s="1"/>
  <c r="H542" i="39" s="1"/>
  <c r="E543" i="39" s="1" a="1"/>
  <c r="E543" i="39" s="1"/>
  <c r="F543" i="39" s="1" a="1"/>
  <c r="F543" i="39" s="1"/>
  <c r="G393" i="35"/>
  <c r="O393" i="35" s="1"/>
  <c r="H393" i="35"/>
  <c r="E394" i="35" s="1" a="1"/>
  <c r="E394" i="35" s="1"/>
  <c r="F394" i="35" s="1" a="1"/>
  <c r="F394" i="35" s="1"/>
  <c r="P541" i="39" l="1"/>
  <c r="Q541" i="39"/>
  <c r="H455" i="40"/>
  <c r="E456" i="40" s="1" a="1"/>
  <c r="E456" i="40" s="1"/>
  <c r="F456" i="40" s="1" a="1"/>
  <c r="F456" i="40" s="1"/>
  <c r="M456" i="40" s="1"/>
  <c r="G456" i="40" s="1"/>
  <c r="O456" i="40" s="1"/>
  <c r="N455" i="40"/>
  <c r="Q455" i="40"/>
  <c r="P455" i="40"/>
  <c r="Q454" i="40"/>
  <c r="N454" i="40"/>
  <c r="P454" i="40"/>
  <c r="I455" i="40"/>
  <c r="M543" i="39"/>
  <c r="H543" i="39" s="1"/>
  <c r="E544" i="39" s="1" a="1"/>
  <c r="E544" i="39" s="1"/>
  <c r="F544" i="39" s="1" a="1"/>
  <c r="F544" i="39" s="1"/>
  <c r="G542" i="39"/>
  <c r="O542" i="39" s="1"/>
  <c r="I542" i="39"/>
  <c r="M394" i="35"/>
  <c r="I394" i="35" s="1"/>
  <c r="P393" i="35"/>
  <c r="Q393" i="35"/>
  <c r="N393" i="35"/>
  <c r="Q456" i="40" l="1"/>
  <c r="P456" i="40"/>
  <c r="N456" i="40"/>
  <c r="I543" i="39"/>
  <c r="H456" i="40"/>
  <c r="E457" i="40" s="1" a="1"/>
  <c r="E457" i="40" s="1"/>
  <c r="F457" i="40" s="1" a="1"/>
  <c r="F457" i="40" s="1"/>
  <c r="I456" i="40"/>
  <c r="M544" i="39"/>
  <c r="I544" i="39" s="1"/>
  <c r="P542" i="39"/>
  <c r="Q542" i="39"/>
  <c r="N542" i="39"/>
  <c r="G543" i="39"/>
  <c r="O543" i="39" s="1"/>
  <c r="H394" i="35"/>
  <c r="E395" i="35" s="1" a="1"/>
  <c r="E395" i="35" s="1"/>
  <c r="F395" i="35" s="1" a="1"/>
  <c r="F395" i="35" s="1"/>
  <c r="M395" i="35" s="1"/>
  <c r="I395" i="35" s="1"/>
  <c r="G394" i="35"/>
  <c r="O394" i="35" s="1"/>
  <c r="G544" i="39" l="1"/>
  <c r="O544" i="39" s="1"/>
  <c r="Q544" i="39" s="1"/>
  <c r="H544" i="39"/>
  <c r="E545" i="39" s="1" a="1"/>
  <c r="E545" i="39" s="1"/>
  <c r="F545" i="39" s="1" a="1"/>
  <c r="F545" i="39" s="1"/>
  <c r="M545" i="39" s="1"/>
  <c r="G545" i="39" s="1"/>
  <c r="O545" i="39" s="1"/>
  <c r="M457" i="40"/>
  <c r="I457" i="40" s="1"/>
  <c r="N543" i="39"/>
  <c r="Q543" i="39"/>
  <c r="P543" i="39"/>
  <c r="G395" i="35"/>
  <c r="O395" i="35" s="1"/>
  <c r="N395" i="35" s="1"/>
  <c r="P394" i="35"/>
  <c r="N394" i="35"/>
  <c r="Q394" i="35"/>
  <c r="H395" i="35"/>
  <c r="E396" i="35" s="1" a="1"/>
  <c r="E396" i="35" s="1"/>
  <c r="F396" i="35" s="1" a="1"/>
  <c r="F396" i="35" s="1"/>
  <c r="P544" i="39" l="1"/>
  <c r="N544" i="39"/>
  <c r="H457" i="40"/>
  <c r="E458" i="40" s="1" a="1"/>
  <c r="E458" i="40" s="1"/>
  <c r="F458" i="40" s="1" a="1"/>
  <c r="F458" i="40" s="1"/>
  <c r="M458" i="40" s="1"/>
  <c r="I458" i="40" s="1"/>
  <c r="G457" i="40"/>
  <c r="O457" i="40" s="1"/>
  <c r="Q457" i="40" s="1"/>
  <c r="Q545" i="39"/>
  <c r="P545" i="39"/>
  <c r="N545" i="39"/>
  <c r="H545" i="39"/>
  <c r="E546" i="39" s="1" a="1"/>
  <c r="E546" i="39" s="1"/>
  <c r="F546" i="39" s="1" a="1"/>
  <c r="F546" i="39" s="1"/>
  <c r="I545" i="39"/>
  <c r="P395" i="35"/>
  <c r="Q395" i="35"/>
  <c r="M396" i="35"/>
  <c r="I396" i="35" s="1"/>
  <c r="P457" i="40" l="1"/>
  <c r="N457" i="40"/>
  <c r="H458" i="40"/>
  <c r="E459" i="40" s="1" a="1"/>
  <c r="E459" i="40" s="1"/>
  <c r="F459" i="40" s="1" a="1"/>
  <c r="F459" i="40" s="1"/>
  <c r="M459" i="40" s="1"/>
  <c r="G458" i="40"/>
  <c r="O458" i="40" s="1"/>
  <c r="M546" i="39"/>
  <c r="H546" i="39" s="1"/>
  <c r="E547" i="39" s="1" a="1"/>
  <c r="E547" i="39" s="1"/>
  <c r="F547" i="39" s="1" a="1"/>
  <c r="F547" i="39" s="1"/>
  <c r="G396" i="35"/>
  <c r="O396" i="35" s="1"/>
  <c r="Q396" i="35" s="1"/>
  <c r="H396" i="35"/>
  <c r="E397" i="35" s="1" a="1"/>
  <c r="E397" i="35" s="1"/>
  <c r="F397" i="35" s="1" a="1"/>
  <c r="F397" i="35" s="1"/>
  <c r="I459" i="40" l="1"/>
  <c r="G459" i="40"/>
  <c r="O459" i="40" s="1"/>
  <c r="Q459" i="40" s="1"/>
  <c r="H459" i="40"/>
  <c r="E460" i="40" s="1" a="1"/>
  <c r="E460" i="40" s="1"/>
  <c r="F460" i="40" s="1" a="1"/>
  <c r="F460" i="40" s="1"/>
  <c r="M460" i="40" s="1"/>
  <c r="H460" i="40" s="1"/>
  <c r="E461" i="40" s="1" a="1"/>
  <c r="E461" i="40" s="1"/>
  <c r="F461" i="40" s="1" a="1"/>
  <c r="F461" i="40" s="1"/>
  <c r="Q458" i="40"/>
  <c r="N458" i="40"/>
  <c r="P458" i="40"/>
  <c r="M547" i="39"/>
  <c r="I547" i="39" s="1"/>
  <c r="I546" i="39"/>
  <c r="G546" i="39"/>
  <c r="O546" i="39" s="1"/>
  <c r="N396" i="35"/>
  <c r="P396" i="35"/>
  <c r="M397" i="35"/>
  <c r="I397" i="35" s="1"/>
  <c r="P459" i="40" l="1"/>
  <c r="N459" i="40"/>
  <c r="H547" i="39"/>
  <c r="E548" i="39" s="1" a="1"/>
  <c r="E548" i="39" s="1"/>
  <c r="F548" i="39" s="1" a="1"/>
  <c r="F548" i="39" s="1"/>
  <c r="M548" i="39" s="1"/>
  <c r="H548" i="39" s="1"/>
  <c r="E549" i="39" s="1" a="1"/>
  <c r="E549" i="39" s="1"/>
  <c r="F549" i="39" s="1" a="1"/>
  <c r="F549" i="39" s="1"/>
  <c r="G460" i="40"/>
  <c r="O460" i="40" s="1"/>
  <c r="Q460" i="40" s="1"/>
  <c r="M461" i="40"/>
  <c r="G461" i="40" s="1"/>
  <c r="O461" i="40" s="1"/>
  <c r="I460" i="40"/>
  <c r="G547" i="39"/>
  <c r="O547" i="39" s="1"/>
  <c r="N547" i="39" s="1"/>
  <c r="N546" i="39"/>
  <c r="Q546" i="39"/>
  <c r="P546" i="39"/>
  <c r="H397" i="35"/>
  <c r="E398" i="35" s="1" a="1"/>
  <c r="E398" i="35" s="1"/>
  <c r="F398" i="35" s="1" a="1"/>
  <c r="F398" i="35" s="1"/>
  <c r="M398" i="35" s="1"/>
  <c r="G397" i="35"/>
  <c r="O397" i="35" s="1"/>
  <c r="P460" i="40" l="1"/>
  <c r="N460" i="40"/>
  <c r="I461" i="40"/>
  <c r="H461" i="40"/>
  <c r="E462" i="40" s="1" a="1"/>
  <c r="E462" i="40" s="1"/>
  <c r="F462" i="40" s="1" a="1"/>
  <c r="F462" i="40" s="1"/>
  <c r="M462" i="40" s="1"/>
  <c r="G462" i="40" s="1"/>
  <c r="O462" i="40" s="1"/>
  <c r="Q547" i="39"/>
  <c r="P547" i="39"/>
  <c r="N461" i="40"/>
  <c r="P461" i="40"/>
  <c r="Q461" i="40"/>
  <c r="I548" i="39"/>
  <c r="M549" i="39"/>
  <c r="H549" i="39" s="1"/>
  <c r="E550" i="39" s="1" a="1"/>
  <c r="E550" i="39" s="1"/>
  <c r="F550" i="39" s="1" a="1"/>
  <c r="F550" i="39" s="1"/>
  <c r="G548" i="39"/>
  <c r="O548" i="39" s="1"/>
  <c r="I398" i="35"/>
  <c r="G398" i="35"/>
  <c r="O398" i="35" s="1"/>
  <c r="N398" i="35" s="1"/>
  <c r="H398" i="35"/>
  <c r="E399" i="35" s="1" a="1"/>
  <c r="E399" i="35" s="1"/>
  <c r="F399" i="35" s="1" a="1"/>
  <c r="F399" i="35" s="1"/>
  <c r="Q397" i="35"/>
  <c r="N397" i="35"/>
  <c r="P397" i="35"/>
  <c r="Q462" i="40" l="1"/>
  <c r="P462" i="40"/>
  <c r="N462" i="40"/>
  <c r="H462" i="40"/>
  <c r="E463" i="40" s="1" a="1"/>
  <c r="E463" i="40" s="1"/>
  <c r="F463" i="40" s="1" a="1"/>
  <c r="F463" i="40" s="1"/>
  <c r="I462" i="40"/>
  <c r="I549" i="39"/>
  <c r="M550" i="39"/>
  <c r="H550" i="39" s="1"/>
  <c r="E551" i="39" s="1" a="1"/>
  <c r="E551" i="39" s="1"/>
  <c r="F551" i="39" s="1" a="1"/>
  <c r="F551" i="39" s="1"/>
  <c r="G549" i="39"/>
  <c r="O549" i="39" s="1"/>
  <c r="Q548" i="39"/>
  <c r="P548" i="39"/>
  <c r="N548" i="39"/>
  <c r="Q398" i="35"/>
  <c r="P398" i="35"/>
  <c r="M399" i="35"/>
  <c r="H399" i="35" s="1"/>
  <c r="E400" i="35" s="1" a="1"/>
  <c r="E400" i="35" s="1"/>
  <c r="F400" i="35" s="1" a="1"/>
  <c r="F400" i="35" s="1"/>
  <c r="M463" i="40" l="1"/>
  <c r="H463" i="40" s="1"/>
  <c r="E464" i="40" s="1" a="1"/>
  <c r="E464" i="40" s="1"/>
  <c r="F464" i="40" s="1" a="1"/>
  <c r="F464" i="40" s="1"/>
  <c r="M551" i="39"/>
  <c r="H551" i="39" s="1"/>
  <c r="E552" i="39" s="1" a="1"/>
  <c r="E552" i="39" s="1"/>
  <c r="F552" i="39" s="1" a="1"/>
  <c r="F552" i="39" s="1"/>
  <c r="I550" i="39"/>
  <c r="N549" i="39"/>
  <c r="Q549" i="39"/>
  <c r="P549" i="39"/>
  <c r="G550" i="39"/>
  <c r="O550" i="39" s="1"/>
  <c r="I399" i="35"/>
  <c r="G399" i="35"/>
  <c r="O399" i="35" s="1"/>
  <c r="P399" i="35" s="1"/>
  <c r="M400" i="35"/>
  <c r="I400" i="35" s="1"/>
  <c r="M464" i="40" l="1"/>
  <c r="I464" i="40" s="1"/>
  <c r="I463" i="40"/>
  <c r="G463" i="40"/>
  <c r="O463" i="40" s="1"/>
  <c r="I551" i="39"/>
  <c r="M552" i="39"/>
  <c r="G552" i="39" s="1"/>
  <c r="O552" i="39" s="1"/>
  <c r="N550" i="39"/>
  <c r="P550" i="39"/>
  <c r="Q550" i="39"/>
  <c r="G551" i="39"/>
  <c r="O551" i="39" s="1"/>
  <c r="Q399" i="35"/>
  <c r="N399" i="35"/>
  <c r="H400" i="35"/>
  <c r="E401" i="35" s="1" a="1"/>
  <c r="E401" i="35" s="1"/>
  <c r="F401" i="35" s="1" a="1"/>
  <c r="F401" i="35" s="1"/>
  <c r="P463" i="40" l="1"/>
  <c r="Q463" i="40"/>
  <c r="N463" i="40"/>
  <c r="G464" i="40"/>
  <c r="O464" i="40" s="1"/>
  <c r="H464" i="40"/>
  <c r="E465" i="40" s="1" a="1"/>
  <c r="E465" i="40" s="1"/>
  <c r="F465" i="40" s="1" a="1"/>
  <c r="F465" i="40" s="1"/>
  <c r="I552" i="39"/>
  <c r="H552" i="39"/>
  <c r="E553" i="39" s="1" a="1"/>
  <c r="E553" i="39" s="1"/>
  <c r="F553" i="39" s="1" a="1"/>
  <c r="F553" i="39" s="1"/>
  <c r="M553" i="39" s="1"/>
  <c r="N551" i="39"/>
  <c r="Q551" i="39"/>
  <c r="P551" i="39"/>
  <c r="Q552" i="39"/>
  <c r="N552" i="39"/>
  <c r="P552" i="39"/>
  <c r="M401" i="35"/>
  <c r="I401" i="35" s="1"/>
  <c r="G400" i="35"/>
  <c r="O400" i="35" s="1"/>
  <c r="P464" i="40" l="1"/>
  <c r="Q464" i="40"/>
  <c r="N464" i="40"/>
  <c r="M465" i="40"/>
  <c r="H465" i="40" s="1"/>
  <c r="E466" i="40" s="1" a="1"/>
  <c r="E466" i="40" s="1"/>
  <c r="F466" i="40" s="1" a="1"/>
  <c r="F466" i="40" s="1"/>
  <c r="G553" i="39"/>
  <c r="O553" i="39" s="1"/>
  <c r="N553" i="39" s="1"/>
  <c r="H553" i="39"/>
  <c r="E554" i="39" s="1" a="1"/>
  <c r="E554" i="39" s="1"/>
  <c r="F554" i="39" s="1" a="1"/>
  <c r="F554" i="39" s="1"/>
  <c r="M554" i="39" s="1"/>
  <c r="G554" i="39" s="1"/>
  <c r="O554" i="39" s="1"/>
  <c r="I553" i="39"/>
  <c r="Q400" i="35"/>
  <c r="N400" i="35"/>
  <c r="P400" i="35"/>
  <c r="G401" i="35"/>
  <c r="O401" i="35" s="1"/>
  <c r="P553" i="39" l="1"/>
  <c r="Q553" i="39"/>
  <c r="I465" i="40"/>
  <c r="M466" i="40"/>
  <c r="G466" i="40" s="1"/>
  <c r="O466" i="40" s="1"/>
  <c r="G465" i="40"/>
  <c r="O465" i="40" s="1"/>
  <c r="I554" i="39"/>
  <c r="Q554" i="39"/>
  <c r="P554" i="39"/>
  <c r="N554" i="39"/>
  <c r="H554" i="39"/>
  <c r="E555" i="39" s="1" a="1"/>
  <c r="E555" i="39" s="1"/>
  <c r="F555" i="39" s="1" a="1"/>
  <c r="F555" i="39" s="1"/>
  <c r="Q401" i="35"/>
  <c r="P401" i="35"/>
  <c r="N401" i="35"/>
  <c r="H401" i="35"/>
  <c r="E402" i="35" s="1" a="1"/>
  <c r="E402" i="35" s="1"/>
  <c r="F402" i="35" s="1" a="1"/>
  <c r="F402" i="35" s="1"/>
  <c r="I466" i="40" l="1"/>
  <c r="H466" i="40"/>
  <c r="E467" i="40" s="1" a="1"/>
  <c r="E467" i="40" s="1"/>
  <c r="F467" i="40" s="1" a="1"/>
  <c r="F467" i="40" s="1"/>
  <c r="N465" i="40"/>
  <c r="P465" i="40"/>
  <c r="Q465" i="40"/>
  <c r="Q466" i="40"/>
  <c r="N466" i="40"/>
  <c r="P466" i="40"/>
  <c r="M555" i="39"/>
  <c r="H555" i="39" s="1"/>
  <c r="E556" i="39" s="1" a="1"/>
  <c r="E556" i="39" s="1"/>
  <c r="F556" i="39" s="1" a="1"/>
  <c r="F556" i="39" s="1"/>
  <c r="M402" i="35"/>
  <c r="I402" i="35" s="1"/>
  <c r="M467" i="40" l="1"/>
  <c r="G467" i="40" s="1"/>
  <c r="O467" i="40" s="1"/>
  <c r="N467" i="40" s="1"/>
  <c r="I555" i="39"/>
  <c r="M556" i="39"/>
  <c r="I556" i="39" s="1"/>
  <c r="G555" i="39"/>
  <c r="O555" i="39" s="1"/>
  <c r="H402" i="35"/>
  <c r="E403" i="35" s="1" a="1"/>
  <c r="E403" i="35" s="1"/>
  <c r="F403" i="35" s="1" a="1"/>
  <c r="F403" i="35" s="1"/>
  <c r="G402" i="35"/>
  <c r="O402" i="35" s="1"/>
  <c r="I467" i="40" l="1"/>
  <c r="P467" i="40"/>
  <c r="Q467" i="40"/>
  <c r="H467" i="40"/>
  <c r="E468" i="40" s="1" a="1"/>
  <c r="E468" i="40" s="1"/>
  <c r="F468" i="40" s="1" a="1"/>
  <c r="F468" i="40" s="1"/>
  <c r="G556" i="39"/>
  <c r="O556" i="39" s="1"/>
  <c r="N556" i="39" s="1"/>
  <c r="H556" i="39"/>
  <c r="E557" i="39" s="1" a="1"/>
  <c r="E557" i="39" s="1"/>
  <c r="F557" i="39" s="1" a="1"/>
  <c r="F557" i="39" s="1"/>
  <c r="M557" i="39" s="1"/>
  <c r="H557" i="39" s="1"/>
  <c r="E558" i="39" s="1" a="1"/>
  <c r="E558" i="39" s="1"/>
  <c r="F558" i="39" s="1" a="1"/>
  <c r="F558" i="39" s="1"/>
  <c r="N555" i="39"/>
  <c r="Q555" i="39"/>
  <c r="P555" i="39"/>
  <c r="M403" i="35"/>
  <c r="I403" i="35" s="1"/>
  <c r="N402" i="35"/>
  <c r="Q402" i="35"/>
  <c r="P402" i="35"/>
  <c r="Q556" i="39" l="1"/>
  <c r="P556" i="39"/>
  <c r="M468" i="40"/>
  <c r="I468" i="40" s="1"/>
  <c r="I557" i="39"/>
  <c r="M558" i="39"/>
  <c r="H558" i="39" s="1"/>
  <c r="E559" i="39" s="1" a="1"/>
  <c r="E559" i="39" s="1"/>
  <c r="F559" i="39" s="1" a="1"/>
  <c r="F559" i="39" s="1"/>
  <c r="G557" i="39"/>
  <c r="O557" i="39" s="1"/>
  <c r="H403" i="35"/>
  <c r="E404" i="35" s="1" a="1"/>
  <c r="E404" i="35" s="1"/>
  <c r="F404" i="35" s="1" a="1"/>
  <c r="F404" i="35" s="1"/>
  <c r="M404" i="35" s="1"/>
  <c r="I404" i="35" s="1"/>
  <c r="G403" i="35"/>
  <c r="O403" i="35" s="1"/>
  <c r="H468" i="40" l="1"/>
  <c r="E469" i="40" s="1" a="1"/>
  <c r="E469" i="40" s="1"/>
  <c r="F469" i="40" s="1" a="1"/>
  <c r="F469" i="40" s="1"/>
  <c r="G468" i="40"/>
  <c r="O468" i="40" s="1"/>
  <c r="I558" i="39"/>
  <c r="M559" i="39"/>
  <c r="H559" i="39" s="1"/>
  <c r="E560" i="39" s="1" a="1"/>
  <c r="E560" i="39" s="1"/>
  <c r="F560" i="39" s="1" a="1"/>
  <c r="F560" i="39" s="1"/>
  <c r="P557" i="39"/>
  <c r="N557" i="39"/>
  <c r="Q557" i="39"/>
  <c r="G558" i="39"/>
  <c r="O558" i="39" s="1"/>
  <c r="G404" i="35"/>
  <c r="O404" i="35" s="1"/>
  <c r="Q404" i="35" s="1"/>
  <c r="P403" i="35"/>
  <c r="Q403" i="35"/>
  <c r="N403" i="35"/>
  <c r="H404" i="35"/>
  <c r="E405" i="35" s="1" a="1"/>
  <c r="E405" i="35" s="1"/>
  <c r="F405" i="35" s="1" a="1"/>
  <c r="F405" i="35" s="1"/>
  <c r="Q468" i="40" l="1"/>
  <c r="N468" i="40"/>
  <c r="P468" i="40"/>
  <c r="M469" i="40"/>
  <c r="I469" i="40" s="1"/>
  <c r="I559" i="39"/>
  <c r="M560" i="39"/>
  <c r="I560" i="39" s="1"/>
  <c r="Q558" i="39"/>
  <c r="P558" i="39"/>
  <c r="N558" i="39"/>
  <c r="G559" i="39"/>
  <c r="O559" i="39" s="1"/>
  <c r="P404" i="35"/>
  <c r="N404" i="35"/>
  <c r="M405" i="35"/>
  <c r="I405" i="35" s="1"/>
  <c r="G469" i="40" l="1"/>
  <c r="O469" i="40" s="1"/>
  <c r="H469" i="40"/>
  <c r="E470" i="40" s="1" a="1"/>
  <c r="E470" i="40" s="1"/>
  <c r="F470" i="40" s="1" a="1"/>
  <c r="F470" i="40" s="1"/>
  <c r="G560" i="39"/>
  <c r="O560" i="39" s="1"/>
  <c r="Q560" i="39" s="1"/>
  <c r="H560" i="39"/>
  <c r="E561" i="39" s="1" a="1"/>
  <c r="E561" i="39" s="1"/>
  <c r="F561" i="39" s="1" a="1"/>
  <c r="F561" i="39" s="1"/>
  <c r="M561" i="39" s="1"/>
  <c r="H561" i="39" s="1"/>
  <c r="E562" i="39" s="1" a="1"/>
  <c r="E562" i="39" s="1"/>
  <c r="F562" i="39" s="1" a="1"/>
  <c r="F562" i="39" s="1"/>
  <c r="N559" i="39"/>
  <c r="Q559" i="39"/>
  <c r="P559" i="39"/>
  <c r="H405" i="35"/>
  <c r="E406" i="35" s="1" a="1"/>
  <c r="E406" i="35" s="1"/>
  <c r="F406" i="35" s="1" a="1"/>
  <c r="F406" i="35" s="1"/>
  <c r="N560" i="39" l="1"/>
  <c r="P560" i="39"/>
  <c r="M470" i="40"/>
  <c r="I470" i="40" s="1"/>
  <c r="P469" i="40"/>
  <c r="Q469" i="40"/>
  <c r="N469" i="40"/>
  <c r="I561" i="39"/>
  <c r="M562" i="39"/>
  <c r="H562" i="39" s="1"/>
  <c r="E563" i="39" s="1" a="1"/>
  <c r="E563" i="39" s="1"/>
  <c r="F563" i="39" s="1" a="1"/>
  <c r="F563" i="39" s="1"/>
  <c r="G561" i="39"/>
  <c r="O561" i="39" s="1"/>
  <c r="M406" i="35"/>
  <c r="I406" i="35" s="1"/>
  <c r="G405" i="35"/>
  <c r="O405" i="35" s="1"/>
  <c r="H470" i="40" l="1"/>
  <c r="E471" i="40" s="1" a="1"/>
  <c r="E471" i="40" s="1"/>
  <c r="F471" i="40" s="1" a="1"/>
  <c r="F471" i="40" s="1"/>
  <c r="M471" i="40" s="1"/>
  <c r="G471" i="40" s="1"/>
  <c r="O471" i="40" s="1"/>
  <c r="P471" i="40" s="1"/>
  <c r="G470" i="40"/>
  <c r="O470" i="40" s="1"/>
  <c r="M563" i="39"/>
  <c r="G563" i="39" s="1"/>
  <c r="O563" i="39" s="1"/>
  <c r="Q561" i="39"/>
  <c r="P561" i="39"/>
  <c r="N561" i="39"/>
  <c r="G562" i="39"/>
  <c r="O562" i="39" s="1"/>
  <c r="I562" i="39"/>
  <c r="N405" i="35"/>
  <c r="P405" i="35"/>
  <c r="Q405" i="35"/>
  <c r="H471" i="40" l="1"/>
  <c r="E472" i="40" s="1" a="1"/>
  <c r="E472" i="40" s="1"/>
  <c r="F472" i="40" s="1" a="1"/>
  <c r="F472" i="40" s="1"/>
  <c r="M472" i="40" s="1"/>
  <c r="H472" i="40" s="1"/>
  <c r="E473" i="40" s="1" a="1"/>
  <c r="E473" i="40" s="1"/>
  <c r="F473" i="40" s="1" a="1"/>
  <c r="F473" i="40" s="1"/>
  <c r="M473" i="40" s="1"/>
  <c r="N471" i="40"/>
  <c r="Q471" i="40"/>
  <c r="I471" i="40"/>
  <c r="P470" i="40"/>
  <c r="N470" i="40"/>
  <c r="Q470" i="40"/>
  <c r="H563" i="39"/>
  <c r="E564" i="39" s="1" a="1"/>
  <c r="E564" i="39" s="1"/>
  <c r="F564" i="39" s="1" a="1"/>
  <c r="F564" i="39" s="1"/>
  <c r="M564" i="39" s="1"/>
  <c r="G564" i="39" s="1"/>
  <c r="O564" i="39" s="1"/>
  <c r="I563" i="39"/>
  <c r="N563" i="39"/>
  <c r="P563" i="39"/>
  <c r="Q563" i="39"/>
  <c r="Q562" i="39"/>
  <c r="P562" i="39"/>
  <c r="N562" i="39"/>
  <c r="G406" i="35"/>
  <c r="O406" i="35" s="1"/>
  <c r="H406" i="35"/>
  <c r="E407" i="35" s="1" a="1"/>
  <c r="E407" i="35" s="1"/>
  <c r="F407" i="35" s="1" a="1"/>
  <c r="F407" i="35" s="1"/>
  <c r="H473" i="40" l="1"/>
  <c r="E474" i="40" s="1" a="1"/>
  <c r="E474" i="40" s="1"/>
  <c r="F474" i="40" s="1" a="1"/>
  <c r="F474" i="40" s="1"/>
  <c r="M474" i="40" s="1"/>
  <c r="G474" i="40" s="1"/>
  <c r="O474" i="40" s="1"/>
  <c r="I472" i="40"/>
  <c r="G472" i="40"/>
  <c r="O472" i="40" s="1"/>
  <c r="Q472" i="40" s="1"/>
  <c r="G473" i="40"/>
  <c r="O473" i="40" s="1"/>
  <c r="P473" i="40" s="1"/>
  <c r="I473" i="40"/>
  <c r="Q564" i="39"/>
  <c r="P564" i="39"/>
  <c r="N564" i="39"/>
  <c r="I564" i="39"/>
  <c r="H564" i="39"/>
  <c r="E565" i="39" s="1" a="1"/>
  <c r="E565" i="39" s="1"/>
  <c r="F565" i="39" s="1" a="1"/>
  <c r="F565" i="39" s="1"/>
  <c r="M407" i="35"/>
  <c r="I407" i="35" s="1"/>
  <c r="Q406" i="35"/>
  <c r="P406" i="35"/>
  <c r="N406" i="35"/>
  <c r="N472" i="40" l="1"/>
  <c r="P472" i="40"/>
  <c r="N473" i="40"/>
  <c r="Q473" i="40"/>
  <c r="Q474" i="40"/>
  <c r="P474" i="40"/>
  <c r="N474" i="40"/>
  <c r="I474" i="40"/>
  <c r="H474" i="40"/>
  <c r="E475" i="40" s="1" a="1"/>
  <c r="E475" i="40" s="1"/>
  <c r="F475" i="40" s="1" a="1"/>
  <c r="F475" i="40" s="1"/>
  <c r="M565" i="39"/>
  <c r="I565" i="39" s="1"/>
  <c r="G407" i="35"/>
  <c r="O407" i="35" s="1"/>
  <c r="M475" i="40" l="1"/>
  <c r="H475" i="40" s="1"/>
  <c r="E476" i="40" s="1" a="1"/>
  <c r="E476" i="40" s="1"/>
  <c r="F476" i="40" s="1" a="1"/>
  <c r="F476" i="40" s="1"/>
  <c r="G565" i="39"/>
  <c r="O565" i="39" s="1"/>
  <c r="Q565" i="39" s="1"/>
  <c r="H565" i="39"/>
  <c r="E566" i="39" s="1" a="1"/>
  <c r="E566" i="39" s="1"/>
  <c r="F566" i="39" s="1" a="1"/>
  <c r="F566" i="39" s="1"/>
  <c r="M566" i="39" s="1"/>
  <c r="H566" i="39" s="1"/>
  <c r="E567" i="39" s="1" a="1"/>
  <c r="E567" i="39" s="1"/>
  <c r="F567" i="39" s="1" a="1"/>
  <c r="F567" i="39" s="1"/>
  <c r="Q407" i="35"/>
  <c r="N407" i="35"/>
  <c r="P407" i="35"/>
  <c r="H407" i="35"/>
  <c r="E408" i="35" s="1" a="1"/>
  <c r="E408" i="35" s="1"/>
  <c r="F408" i="35" s="1" a="1"/>
  <c r="F408" i="35" s="1"/>
  <c r="G475" i="40" l="1"/>
  <c r="O475" i="40" s="1"/>
  <c r="N475" i="40" s="1"/>
  <c r="N565" i="39"/>
  <c r="P565" i="39"/>
  <c r="I475" i="40"/>
  <c r="M476" i="40"/>
  <c r="I476" i="40" s="1"/>
  <c r="M567" i="39"/>
  <c r="H567" i="39" s="1"/>
  <c r="E568" i="39" s="1" a="1"/>
  <c r="E568" i="39" s="1"/>
  <c r="F568" i="39" s="1" a="1"/>
  <c r="F568" i="39" s="1"/>
  <c r="G566" i="39"/>
  <c r="O566" i="39" s="1"/>
  <c r="I566" i="39"/>
  <c r="M408" i="35"/>
  <c r="I408" i="35" s="1"/>
  <c r="P475" i="40" l="1"/>
  <c r="Q475" i="40"/>
  <c r="G476" i="40"/>
  <c r="O476" i="40" s="1"/>
  <c r="H476" i="40"/>
  <c r="E477" i="40" s="1" a="1"/>
  <c r="E477" i="40" s="1"/>
  <c r="F477" i="40" s="1" a="1"/>
  <c r="F477" i="40" s="1"/>
  <c r="I567" i="39"/>
  <c r="M568" i="39"/>
  <c r="I568" i="39" s="1"/>
  <c r="Q566" i="39"/>
  <c r="P566" i="39"/>
  <c r="N566" i="39"/>
  <c r="G567" i="39"/>
  <c r="O567" i="39" s="1"/>
  <c r="M477" i="40" l="1"/>
  <c r="H477" i="40" s="1"/>
  <c r="E478" i="40" s="1" a="1"/>
  <c r="E478" i="40" s="1"/>
  <c r="F478" i="40" s="1" a="1"/>
  <c r="F478" i="40" s="1"/>
  <c r="N476" i="40"/>
  <c r="P476" i="40"/>
  <c r="Q476" i="40"/>
  <c r="G568" i="39"/>
  <c r="O568" i="39" s="1"/>
  <c r="H568" i="39"/>
  <c r="E569" i="39" s="1" a="1"/>
  <c r="E569" i="39" s="1"/>
  <c r="F569" i="39" s="1" a="1"/>
  <c r="F569" i="39" s="1"/>
  <c r="N567" i="39"/>
  <c r="Q567" i="39"/>
  <c r="P567" i="39"/>
  <c r="G408" i="35"/>
  <c r="O408" i="35" s="1"/>
  <c r="H408" i="35"/>
  <c r="E409" i="35" s="1" a="1"/>
  <c r="E409" i="35" s="1"/>
  <c r="F409" i="35" s="1" a="1"/>
  <c r="F409" i="35" s="1"/>
  <c r="I477" i="40" l="1"/>
  <c r="G477" i="40"/>
  <c r="O477" i="40" s="1"/>
  <c r="P477" i="40" s="1"/>
  <c r="M478" i="40"/>
  <c r="H478" i="40" s="1"/>
  <c r="E479" i="40" s="1" a="1"/>
  <c r="E479" i="40" s="1"/>
  <c r="F479" i="40" s="1" a="1"/>
  <c r="F479" i="40" s="1"/>
  <c r="M569" i="39"/>
  <c r="H569" i="39" s="1"/>
  <c r="E570" i="39" s="1" a="1"/>
  <c r="E570" i="39" s="1"/>
  <c r="F570" i="39" s="1" a="1"/>
  <c r="F570" i="39" s="1"/>
  <c r="Q568" i="39"/>
  <c r="P568" i="39"/>
  <c r="N568" i="39"/>
  <c r="M409" i="35"/>
  <c r="I409" i="35" s="1"/>
  <c r="N408" i="35"/>
  <c r="Q408" i="35"/>
  <c r="P408" i="35"/>
  <c r="Q477" i="40" l="1"/>
  <c r="N477" i="40"/>
  <c r="M479" i="40"/>
  <c r="I479" i="40" s="1"/>
  <c r="I478" i="40"/>
  <c r="G478" i="40"/>
  <c r="O478" i="40" s="1"/>
  <c r="I569" i="39"/>
  <c r="M570" i="39"/>
  <c r="H570" i="39" s="1"/>
  <c r="E571" i="39" s="1" a="1"/>
  <c r="E571" i="39" s="1"/>
  <c r="F571" i="39" s="1" a="1"/>
  <c r="F571" i="39" s="1"/>
  <c r="G569" i="39"/>
  <c r="O569" i="39" s="1"/>
  <c r="H409" i="35"/>
  <c r="E410" i="35" s="1" a="1"/>
  <c r="E410" i="35" s="1"/>
  <c r="F410" i="35" s="1" a="1"/>
  <c r="F410" i="35" s="1"/>
  <c r="G409" i="35"/>
  <c r="O409" i="35" s="1"/>
  <c r="G479" i="40" l="1"/>
  <c r="O479" i="40" s="1"/>
  <c r="N479" i="40" s="1"/>
  <c r="H479" i="40"/>
  <c r="E480" i="40" s="1" a="1"/>
  <c r="E480" i="40" s="1"/>
  <c r="F480" i="40" s="1" a="1"/>
  <c r="F480" i="40" s="1"/>
  <c r="M480" i="40" s="1"/>
  <c r="G480" i="40" s="1"/>
  <c r="O480" i="40" s="1"/>
  <c r="Q478" i="40"/>
  <c r="N478" i="40"/>
  <c r="P478" i="40"/>
  <c r="I570" i="39"/>
  <c r="M571" i="39"/>
  <c r="I571" i="39" s="1"/>
  <c r="N569" i="39"/>
  <c r="Q569" i="39"/>
  <c r="P569" i="39"/>
  <c r="G570" i="39"/>
  <c r="O570" i="39" s="1"/>
  <c r="M410" i="35"/>
  <c r="I410" i="35" s="1"/>
  <c r="N409" i="35"/>
  <c r="Q409" i="35"/>
  <c r="P409" i="35"/>
  <c r="Q479" i="40" l="1"/>
  <c r="P479" i="40"/>
  <c r="Q480" i="40"/>
  <c r="N480" i="40"/>
  <c r="P480" i="40"/>
  <c r="H480" i="40"/>
  <c r="E481" i="40" s="1" a="1"/>
  <c r="E481" i="40" s="1"/>
  <c r="F481" i="40" s="1" a="1"/>
  <c r="F481" i="40" s="1"/>
  <c r="I480" i="40"/>
  <c r="G571" i="39"/>
  <c r="O571" i="39" s="1"/>
  <c r="N571" i="39" s="1"/>
  <c r="H571" i="39"/>
  <c r="E572" i="39" s="1" a="1"/>
  <c r="E572" i="39" s="1"/>
  <c r="F572" i="39" s="1" a="1"/>
  <c r="F572" i="39" s="1"/>
  <c r="M572" i="39" s="1"/>
  <c r="H572" i="39" s="1"/>
  <c r="E573" i="39" s="1" a="1"/>
  <c r="E573" i="39" s="1"/>
  <c r="F573" i="39" s="1" a="1"/>
  <c r="F573" i="39" s="1"/>
  <c r="N570" i="39"/>
  <c r="P570" i="39"/>
  <c r="Q570" i="39"/>
  <c r="H410" i="35"/>
  <c r="E411" i="35" s="1" a="1"/>
  <c r="E411" i="35" s="1"/>
  <c r="F411" i="35" s="1" a="1"/>
  <c r="F411" i="35" s="1"/>
  <c r="G410" i="35"/>
  <c r="O410" i="35" s="1"/>
  <c r="M481" i="40" l="1"/>
  <c r="I481" i="40" s="1"/>
  <c r="P571" i="39"/>
  <c r="Q571" i="39"/>
  <c r="M573" i="39"/>
  <c r="I573" i="39" s="1"/>
  <c r="G572" i="39"/>
  <c r="O572" i="39" s="1"/>
  <c r="I572" i="39"/>
  <c r="M411" i="35"/>
  <c r="I411" i="35" s="1"/>
  <c r="P410" i="35"/>
  <c r="Q410" i="35"/>
  <c r="N410" i="35"/>
  <c r="G481" i="40" l="1"/>
  <c r="O481" i="40" s="1"/>
  <c r="Q481" i="40" s="1"/>
  <c r="H481" i="40"/>
  <c r="E482" i="40" s="1" a="1"/>
  <c r="E482" i="40" s="1"/>
  <c r="F482" i="40" s="1" a="1"/>
  <c r="F482" i="40" s="1"/>
  <c r="M482" i="40" s="1"/>
  <c r="I482" i="40" s="1"/>
  <c r="G573" i="39"/>
  <c r="O573" i="39" s="1"/>
  <c r="Q573" i="39" s="1"/>
  <c r="H573" i="39"/>
  <c r="E574" i="39" s="1" a="1"/>
  <c r="E574" i="39" s="1"/>
  <c r="F574" i="39" s="1" a="1"/>
  <c r="F574" i="39" s="1"/>
  <c r="M574" i="39" s="1"/>
  <c r="H574" i="39" s="1"/>
  <c r="E575" i="39" s="1" a="1"/>
  <c r="E575" i="39" s="1"/>
  <c r="F575" i="39" s="1" a="1"/>
  <c r="F575" i="39" s="1"/>
  <c r="N572" i="39"/>
  <c r="Q572" i="39"/>
  <c r="P572" i="39"/>
  <c r="G411" i="35"/>
  <c r="O411" i="35" s="1"/>
  <c r="H411" i="35"/>
  <c r="E412" i="35" s="1" a="1"/>
  <c r="E412" i="35" s="1"/>
  <c r="F412" i="35" s="1" a="1"/>
  <c r="F412" i="35" s="1"/>
  <c r="N481" i="40" l="1"/>
  <c r="P481" i="40"/>
  <c r="N573" i="39"/>
  <c r="P573" i="39"/>
  <c r="G482" i="40"/>
  <c r="O482" i="40" s="1"/>
  <c r="H482" i="40"/>
  <c r="E483" i="40" s="1" a="1"/>
  <c r="E483" i="40" s="1"/>
  <c r="F483" i="40" s="1" a="1"/>
  <c r="F483" i="40" s="1"/>
  <c r="I574" i="39"/>
  <c r="M575" i="39"/>
  <c r="H575" i="39" s="1"/>
  <c r="E576" i="39" s="1" a="1"/>
  <c r="E576" i="39" s="1"/>
  <c r="F576" i="39" s="1" a="1"/>
  <c r="F576" i="39" s="1"/>
  <c r="G574" i="39"/>
  <c r="O574" i="39" s="1"/>
  <c r="M412" i="35"/>
  <c r="I412" i="35" s="1"/>
  <c r="N411" i="35"/>
  <c r="P411" i="35"/>
  <c r="Q411" i="35"/>
  <c r="M483" i="40" l="1"/>
  <c r="I483" i="40" s="1"/>
  <c r="Q482" i="40"/>
  <c r="N482" i="40"/>
  <c r="P482" i="40"/>
  <c r="I575" i="39"/>
  <c r="M576" i="39"/>
  <c r="I576" i="39" s="1"/>
  <c r="Q574" i="39"/>
  <c r="P574" i="39"/>
  <c r="N574" i="39"/>
  <c r="G575" i="39"/>
  <c r="O575" i="39" s="1"/>
  <c r="H483" i="40" l="1"/>
  <c r="E484" i="40" s="1" a="1"/>
  <c r="E484" i="40" s="1"/>
  <c r="F484" i="40" s="1" a="1"/>
  <c r="F484" i="40" s="1"/>
  <c r="G483" i="40"/>
  <c r="O483" i="40" s="1"/>
  <c r="G576" i="39"/>
  <c r="O576" i="39" s="1"/>
  <c r="N576" i="39" s="1"/>
  <c r="H576" i="39"/>
  <c r="E577" i="39" s="1" a="1"/>
  <c r="E577" i="39" s="1"/>
  <c r="F577" i="39" s="1" a="1"/>
  <c r="F577" i="39" s="1"/>
  <c r="M577" i="39" s="1"/>
  <c r="N575" i="39"/>
  <c r="P575" i="39"/>
  <c r="Q575" i="39"/>
  <c r="H412" i="35"/>
  <c r="E413" i="35" s="1" a="1"/>
  <c r="E413" i="35" s="1"/>
  <c r="F413" i="35" s="1" a="1"/>
  <c r="F413" i="35" s="1"/>
  <c r="G412" i="35"/>
  <c r="O412" i="35" s="1"/>
  <c r="P576" i="39" l="1"/>
  <c r="Q576" i="39"/>
  <c r="Q483" i="40"/>
  <c r="P483" i="40"/>
  <c r="N483" i="40"/>
  <c r="M484" i="40"/>
  <c r="H484" i="40" s="1"/>
  <c r="E485" i="40" s="1" a="1"/>
  <c r="E485" i="40" s="1"/>
  <c r="F485" i="40" s="1" a="1"/>
  <c r="F485" i="40" s="1"/>
  <c r="H577" i="39"/>
  <c r="E578" i="39" s="1" a="1"/>
  <c r="E578" i="39" s="1"/>
  <c r="F578" i="39" s="1" a="1"/>
  <c r="F578" i="39" s="1"/>
  <c r="M578" i="39" s="1"/>
  <c r="H578" i="39" s="1"/>
  <c r="E579" i="39" s="1" a="1"/>
  <c r="E579" i="39" s="1"/>
  <c r="F579" i="39" s="1" a="1"/>
  <c r="F579" i="39" s="1"/>
  <c r="G577" i="39"/>
  <c r="O577" i="39" s="1"/>
  <c r="Q577" i="39" s="1"/>
  <c r="I577" i="39"/>
  <c r="M413" i="35"/>
  <c r="I413" i="35" s="1"/>
  <c r="Q412" i="35"/>
  <c r="N412" i="35"/>
  <c r="P412" i="35"/>
  <c r="N577" i="39" l="1"/>
  <c r="P577" i="39"/>
  <c r="G484" i="40"/>
  <c r="O484" i="40" s="1"/>
  <c r="Q484" i="40" s="1"/>
  <c r="I484" i="40"/>
  <c r="M485" i="40"/>
  <c r="I485" i="40" s="1"/>
  <c r="M579" i="39"/>
  <c r="G579" i="39" s="1"/>
  <c r="O579" i="39" s="1"/>
  <c r="I578" i="39"/>
  <c r="G578" i="39"/>
  <c r="O578" i="39" s="1"/>
  <c r="G413" i="35"/>
  <c r="O413" i="35" s="1"/>
  <c r="N413" i="35" s="1"/>
  <c r="H413" i="35"/>
  <c r="E414" i="35" s="1" a="1"/>
  <c r="E414" i="35" s="1"/>
  <c r="F414" i="35" s="1" a="1"/>
  <c r="F414" i="35" s="1"/>
  <c r="M414" i="35" s="1"/>
  <c r="I414" i="35" s="1"/>
  <c r="P484" i="40" l="1"/>
  <c r="G485" i="40"/>
  <c r="O485" i="40" s="1"/>
  <c r="N484" i="40"/>
  <c r="H485" i="40"/>
  <c r="E486" i="40" s="1" a="1"/>
  <c r="E486" i="40" s="1"/>
  <c r="F486" i="40" s="1" a="1"/>
  <c r="F486" i="40" s="1"/>
  <c r="M486" i="40" s="1"/>
  <c r="I486" i="40" s="1"/>
  <c r="I579" i="39"/>
  <c r="H579" i="39"/>
  <c r="E580" i="39" s="1" a="1"/>
  <c r="E580" i="39" s="1"/>
  <c r="F580" i="39" s="1" a="1"/>
  <c r="F580" i="39" s="1"/>
  <c r="M580" i="39" s="1"/>
  <c r="H580" i="39" s="1"/>
  <c r="E581" i="39" s="1" a="1"/>
  <c r="E581" i="39" s="1"/>
  <c r="F581" i="39" s="1" a="1"/>
  <c r="F581" i="39" s="1"/>
  <c r="N485" i="40"/>
  <c r="Q485" i="40"/>
  <c r="P485" i="40"/>
  <c r="N579" i="39"/>
  <c r="Q579" i="39"/>
  <c r="P579" i="39"/>
  <c r="N578" i="39"/>
  <c r="Q578" i="39"/>
  <c r="P578" i="39"/>
  <c r="Q413" i="35"/>
  <c r="P413" i="35"/>
  <c r="H414" i="35"/>
  <c r="E415" i="35" s="1" a="1"/>
  <c r="E415" i="35" s="1"/>
  <c r="F415" i="35" s="1" a="1"/>
  <c r="F415" i="35" s="1"/>
  <c r="M415" i="35" s="1"/>
  <c r="I415" i="35" s="1"/>
  <c r="G414" i="35"/>
  <c r="O414" i="35" s="1"/>
  <c r="G486" i="40" l="1"/>
  <c r="O486" i="40" s="1"/>
  <c r="Q486" i="40" s="1"/>
  <c r="H486" i="40"/>
  <c r="E487" i="40" s="1" a="1"/>
  <c r="E487" i="40" s="1"/>
  <c r="F487" i="40" s="1" a="1"/>
  <c r="F487" i="40" s="1"/>
  <c r="I580" i="39"/>
  <c r="G580" i="39"/>
  <c r="O580" i="39" s="1"/>
  <c r="P580" i="39" s="1"/>
  <c r="M581" i="39"/>
  <c r="G581" i="39" s="1"/>
  <c r="O581" i="39" s="1"/>
  <c r="H415" i="35"/>
  <c r="E416" i="35" s="1" a="1"/>
  <c r="E416" i="35" s="1"/>
  <c r="F416" i="35" s="1" a="1"/>
  <c r="F416" i="35" s="1"/>
  <c r="N414" i="35"/>
  <c r="P414" i="35"/>
  <c r="Q414" i="35"/>
  <c r="P486" i="40" l="1"/>
  <c r="N486" i="40"/>
  <c r="M487" i="40"/>
  <c r="G487" i="40" s="1"/>
  <c r="O487" i="40" s="1"/>
  <c r="Q580" i="39"/>
  <c r="N580" i="39"/>
  <c r="I581" i="39"/>
  <c r="H581" i="39"/>
  <c r="E582" i="39" s="1" a="1"/>
  <c r="E582" i="39" s="1"/>
  <c r="F582" i="39" s="1" a="1"/>
  <c r="F582" i="39" s="1"/>
  <c r="M582" i="39" s="1"/>
  <c r="H582" i="39" s="1"/>
  <c r="E583" i="39" s="1" a="1"/>
  <c r="E583" i="39" s="1"/>
  <c r="F583" i="39" s="1" a="1"/>
  <c r="F583" i="39" s="1"/>
  <c r="N581" i="39"/>
  <c r="Q581" i="39"/>
  <c r="P581" i="39"/>
  <c r="M416" i="35"/>
  <c r="I416" i="35" s="1"/>
  <c r="G415" i="35"/>
  <c r="O415" i="35" s="1"/>
  <c r="N487" i="40" l="1"/>
  <c r="Q487" i="40"/>
  <c r="P487" i="40"/>
  <c r="H487" i="40"/>
  <c r="E488" i="40" s="1" a="1"/>
  <c r="E488" i="40" s="1"/>
  <c r="F488" i="40" s="1" a="1"/>
  <c r="F488" i="40" s="1"/>
  <c r="I487" i="40"/>
  <c r="I582" i="39"/>
  <c r="M583" i="39"/>
  <c r="H583" i="39" s="1"/>
  <c r="E584" i="39" s="1" a="1"/>
  <c r="E584" i="39" s="1"/>
  <c r="F584" i="39" s="1" a="1"/>
  <c r="F584" i="39" s="1"/>
  <c r="G582" i="39"/>
  <c r="O582" i="39" s="1"/>
  <c r="H416" i="35"/>
  <c r="E417" i="35" s="1" a="1"/>
  <c r="E417" i="35" s="1"/>
  <c r="F417" i="35" s="1" a="1"/>
  <c r="F417" i="35" s="1"/>
  <c r="M417" i="35" s="1"/>
  <c r="I417" i="35" s="1"/>
  <c r="G416" i="35"/>
  <c r="O416" i="35" s="1"/>
  <c r="N415" i="35"/>
  <c r="P415" i="35"/>
  <c r="Q415" i="35"/>
  <c r="M488" i="40" l="1"/>
  <c r="H488" i="40" s="1"/>
  <c r="E489" i="40" s="1" a="1"/>
  <c r="E489" i="40" s="1"/>
  <c r="F489" i="40" s="1" a="1"/>
  <c r="F489" i="40" s="1"/>
  <c r="M584" i="39"/>
  <c r="I584" i="39" s="1"/>
  <c r="N582" i="39"/>
  <c r="Q582" i="39"/>
  <c r="P582" i="39"/>
  <c r="G583" i="39"/>
  <c r="O583" i="39" s="1"/>
  <c r="I583" i="39"/>
  <c r="P416" i="35"/>
  <c r="N416" i="35"/>
  <c r="Q416" i="35"/>
  <c r="H417" i="35"/>
  <c r="E418" i="35" s="1" a="1"/>
  <c r="E418" i="35" s="1"/>
  <c r="F418" i="35" s="1" a="1"/>
  <c r="F418" i="35" s="1"/>
  <c r="G417" i="35"/>
  <c r="O417" i="35" s="1"/>
  <c r="G488" i="40" l="1"/>
  <c r="O488" i="40" s="1"/>
  <c r="P488" i="40" s="1"/>
  <c r="M489" i="40"/>
  <c r="H489" i="40" s="1"/>
  <c r="E490" i="40" s="1" a="1"/>
  <c r="E490" i="40" s="1"/>
  <c r="F490" i="40" s="1" a="1"/>
  <c r="F490" i="40" s="1"/>
  <c r="I488" i="40"/>
  <c r="N583" i="39"/>
  <c r="Q583" i="39"/>
  <c r="P583" i="39"/>
  <c r="H584" i="39"/>
  <c r="E585" i="39" s="1" a="1"/>
  <c r="E585" i="39" s="1"/>
  <c r="F585" i="39" s="1" a="1"/>
  <c r="F585" i="39" s="1"/>
  <c r="G584" i="39"/>
  <c r="O584" i="39" s="1"/>
  <c r="M418" i="35"/>
  <c r="I418" i="35" s="1"/>
  <c r="Q417" i="35"/>
  <c r="N417" i="35"/>
  <c r="P417" i="35"/>
  <c r="N488" i="40" l="1"/>
  <c r="Q488" i="40"/>
  <c r="I489" i="40"/>
  <c r="G489" i="40"/>
  <c r="O489" i="40" s="1"/>
  <c r="P489" i="40" s="1"/>
  <c r="M490" i="40"/>
  <c r="G490" i="40" s="1"/>
  <c r="O490" i="40" s="1"/>
  <c r="M585" i="39"/>
  <c r="I585" i="39" s="1"/>
  <c r="Q584" i="39"/>
  <c r="P584" i="39"/>
  <c r="N584" i="39"/>
  <c r="H418" i="35"/>
  <c r="E419" i="35" s="1" a="1"/>
  <c r="E419" i="35" s="1"/>
  <c r="F419" i="35" s="1" a="1"/>
  <c r="F419" i="35" s="1"/>
  <c r="G418" i="35"/>
  <c r="O418" i="35" s="1"/>
  <c r="Q489" i="40" l="1"/>
  <c r="N489" i="40"/>
  <c r="Q490" i="40"/>
  <c r="P490" i="40"/>
  <c r="N490" i="40"/>
  <c r="I490" i="40"/>
  <c r="H490" i="40"/>
  <c r="E491" i="40" s="1" a="1"/>
  <c r="E491" i="40" s="1"/>
  <c r="F491" i="40" s="1" a="1"/>
  <c r="F491" i="40" s="1"/>
  <c r="G585" i="39"/>
  <c r="O585" i="39" s="1"/>
  <c r="N585" i="39" s="1"/>
  <c r="H585" i="39"/>
  <c r="E586" i="39" s="1" a="1"/>
  <c r="E586" i="39" s="1"/>
  <c r="F586" i="39" s="1" a="1"/>
  <c r="F586" i="39" s="1"/>
  <c r="M586" i="39" s="1"/>
  <c r="H586" i="39" s="1"/>
  <c r="E587" i="39" s="1" a="1"/>
  <c r="E587" i="39" s="1"/>
  <c r="F587" i="39" s="1" a="1"/>
  <c r="F587" i="39" s="1"/>
  <c r="M419" i="35"/>
  <c r="I419" i="35" s="1"/>
  <c r="Q418" i="35"/>
  <c r="N418" i="35"/>
  <c r="P418" i="35"/>
  <c r="Q585" i="39" l="1"/>
  <c r="P585" i="39"/>
  <c r="M491" i="40"/>
  <c r="I491" i="40" s="1"/>
  <c r="M587" i="39"/>
  <c r="I587" i="39" s="1"/>
  <c r="I586" i="39"/>
  <c r="G586" i="39"/>
  <c r="O586" i="39" s="1"/>
  <c r="G419" i="35"/>
  <c r="O419" i="35" s="1"/>
  <c r="H419" i="35"/>
  <c r="E420" i="35" s="1" a="1"/>
  <c r="E420" i="35" s="1"/>
  <c r="F420" i="35" s="1" a="1"/>
  <c r="F420" i="35" s="1"/>
  <c r="H491" i="40" l="1"/>
  <c r="E492" i="40" s="1" a="1"/>
  <c r="E492" i="40" s="1"/>
  <c r="F492" i="40" s="1" a="1"/>
  <c r="F492" i="40" s="1"/>
  <c r="M492" i="40" s="1"/>
  <c r="G492" i="40" s="1"/>
  <c r="O492" i="40" s="1"/>
  <c r="G491" i="40"/>
  <c r="O491" i="40" s="1"/>
  <c r="G587" i="39"/>
  <c r="O587" i="39" s="1"/>
  <c r="Q587" i="39" s="1"/>
  <c r="H587" i="39"/>
  <c r="E588" i="39" s="1" a="1"/>
  <c r="E588" i="39" s="1"/>
  <c r="F588" i="39" s="1" a="1"/>
  <c r="F588" i="39" s="1"/>
  <c r="M588" i="39" s="1"/>
  <c r="H588" i="39" s="1"/>
  <c r="E589" i="39" s="1" a="1"/>
  <c r="E589" i="39" s="1"/>
  <c r="F589" i="39" s="1" a="1"/>
  <c r="F589" i="39" s="1"/>
  <c r="N586" i="39"/>
  <c r="Q586" i="39"/>
  <c r="P586" i="39"/>
  <c r="N419" i="35"/>
  <c r="P419" i="35"/>
  <c r="Q419" i="35"/>
  <c r="M420" i="35"/>
  <c r="I420" i="35" s="1"/>
  <c r="P587" i="39" l="1"/>
  <c r="N587" i="39"/>
  <c r="H492" i="40"/>
  <c r="E493" i="40" s="1" a="1"/>
  <c r="E493" i="40" s="1"/>
  <c r="F493" i="40" s="1" a="1"/>
  <c r="F493" i="40" s="1"/>
  <c r="M493" i="40" s="1"/>
  <c r="H493" i="40" s="1"/>
  <c r="E494" i="40" s="1" a="1"/>
  <c r="E494" i="40" s="1"/>
  <c r="F494" i="40" s="1" a="1"/>
  <c r="F494" i="40" s="1"/>
  <c r="N492" i="40"/>
  <c r="P492" i="40"/>
  <c r="Q492" i="40"/>
  <c r="I492" i="40"/>
  <c r="N491" i="40"/>
  <c r="Q491" i="40"/>
  <c r="P491" i="40"/>
  <c r="I588" i="39"/>
  <c r="M589" i="39"/>
  <c r="H589" i="39" s="1"/>
  <c r="E590" i="39" s="1" a="1"/>
  <c r="E590" i="39" s="1"/>
  <c r="F590" i="39" s="1" a="1"/>
  <c r="F590" i="39" s="1"/>
  <c r="G588" i="39"/>
  <c r="O588" i="39" s="1"/>
  <c r="G420" i="35"/>
  <c r="O420" i="35" s="1"/>
  <c r="H420" i="35"/>
  <c r="E421" i="35" s="1" a="1"/>
  <c r="E421" i="35" s="1"/>
  <c r="F421" i="35" s="1" a="1"/>
  <c r="F421" i="35" s="1"/>
  <c r="M421" i="35" s="1"/>
  <c r="I421" i="35" s="1"/>
  <c r="I493" i="40" l="1"/>
  <c r="G493" i="40"/>
  <c r="O493" i="40" s="1"/>
  <c r="N493" i="40" s="1"/>
  <c r="M494" i="40"/>
  <c r="I494" i="40" s="1"/>
  <c r="G589" i="39"/>
  <c r="O589" i="39" s="1"/>
  <c r="P589" i="39" s="1"/>
  <c r="I589" i="39"/>
  <c r="M590" i="39"/>
  <c r="H590" i="39" s="1"/>
  <c r="E591" i="39" s="1" a="1"/>
  <c r="E591" i="39" s="1"/>
  <c r="F591" i="39" s="1" a="1"/>
  <c r="F591" i="39" s="1"/>
  <c r="N588" i="39"/>
  <c r="Q588" i="39"/>
  <c r="P588" i="39"/>
  <c r="H421" i="35"/>
  <c r="E422" i="35" s="1" a="1"/>
  <c r="E422" i="35" s="1"/>
  <c r="F422" i="35" s="1" a="1"/>
  <c r="F422" i="35" s="1"/>
  <c r="G421" i="35"/>
  <c r="O421" i="35" s="1"/>
  <c r="N421" i="35" s="1"/>
  <c r="P420" i="35"/>
  <c r="Q420" i="35"/>
  <c r="N420" i="35"/>
  <c r="Q493" i="40" l="1"/>
  <c r="P493" i="40"/>
  <c r="G494" i="40"/>
  <c r="O494" i="40" s="1"/>
  <c r="Q494" i="40" s="1"/>
  <c r="H494" i="40"/>
  <c r="E495" i="40" s="1" a="1"/>
  <c r="E495" i="40" s="1"/>
  <c r="F495" i="40" s="1" a="1"/>
  <c r="F495" i="40" s="1"/>
  <c r="M495" i="40" s="1"/>
  <c r="I495" i="40" s="1"/>
  <c r="Q589" i="39"/>
  <c r="N589" i="39"/>
  <c r="M591" i="39"/>
  <c r="I591" i="39" s="1"/>
  <c r="I590" i="39"/>
  <c r="G590" i="39"/>
  <c r="O590" i="39" s="1"/>
  <c r="P421" i="35"/>
  <c r="Q421" i="35"/>
  <c r="M422" i="35"/>
  <c r="I422" i="35" s="1"/>
  <c r="N494" i="40" l="1"/>
  <c r="P494" i="40"/>
  <c r="H495" i="40"/>
  <c r="E496" i="40" s="1" a="1"/>
  <c r="E496" i="40" s="1"/>
  <c r="F496" i="40" s="1" a="1"/>
  <c r="F496" i="40" s="1"/>
  <c r="G495" i="40"/>
  <c r="O495" i="40" s="1"/>
  <c r="N590" i="39"/>
  <c r="Q590" i="39"/>
  <c r="P590" i="39"/>
  <c r="G591" i="39"/>
  <c r="O591" i="39" s="1"/>
  <c r="H591" i="39"/>
  <c r="E592" i="39" s="1" a="1"/>
  <c r="E592" i="39" s="1"/>
  <c r="F592" i="39" s="1" a="1"/>
  <c r="F592" i="39" s="1"/>
  <c r="H422" i="35"/>
  <c r="E423" i="35" s="1" a="1"/>
  <c r="E423" i="35" s="1"/>
  <c r="F423" i="35" s="1" a="1"/>
  <c r="F423" i="35" s="1"/>
  <c r="M423" i="35" s="1"/>
  <c r="I423" i="35" s="1"/>
  <c r="G422" i="35"/>
  <c r="O422" i="35" s="1"/>
  <c r="Q495" i="40" l="1"/>
  <c r="N495" i="40"/>
  <c r="P495" i="40"/>
  <c r="M496" i="40"/>
  <c r="I496" i="40" s="1"/>
  <c r="N591" i="39"/>
  <c r="Q591" i="39"/>
  <c r="P591" i="39"/>
  <c r="M592" i="39"/>
  <c r="H592" i="39" s="1"/>
  <c r="E593" i="39" s="1" a="1"/>
  <c r="E593" i="39" s="1"/>
  <c r="F593" i="39" s="1" a="1"/>
  <c r="F593" i="39" s="1"/>
  <c r="P422" i="35"/>
  <c r="N422" i="35"/>
  <c r="Q422" i="35"/>
  <c r="H496" i="40" l="1"/>
  <c r="E497" i="40" s="1" a="1"/>
  <c r="E497" i="40" s="1"/>
  <c r="F497" i="40" s="1" a="1"/>
  <c r="F497" i="40" s="1"/>
  <c r="M497" i="40" s="1"/>
  <c r="G497" i="40" s="1"/>
  <c r="O497" i="40" s="1"/>
  <c r="G496" i="40"/>
  <c r="O496" i="40" s="1"/>
  <c r="Q496" i="40" s="1"/>
  <c r="M593" i="39"/>
  <c r="H593" i="39" s="1"/>
  <c r="E594" i="39" s="1" a="1"/>
  <c r="E594" i="39" s="1"/>
  <c r="F594" i="39" s="1" a="1"/>
  <c r="F594" i="39" s="1"/>
  <c r="I592" i="39"/>
  <c r="G592" i="39"/>
  <c r="O592" i="39" s="1"/>
  <c r="H423" i="35"/>
  <c r="E424" i="35" s="1" a="1"/>
  <c r="E424" i="35" s="1"/>
  <c r="F424" i="35" s="1" a="1"/>
  <c r="F424" i="35" s="1"/>
  <c r="G423" i="35"/>
  <c r="O423" i="35" s="1"/>
  <c r="N496" i="40" l="1"/>
  <c r="P496" i="40"/>
  <c r="H497" i="40"/>
  <c r="E498" i="40" s="1" a="1"/>
  <c r="E498" i="40" s="1"/>
  <c r="F498" i="40" s="1" a="1"/>
  <c r="F498" i="40" s="1"/>
  <c r="M498" i="40" s="1"/>
  <c r="G498" i="40" s="1"/>
  <c r="O498" i="40" s="1"/>
  <c r="I497" i="40"/>
  <c r="N497" i="40"/>
  <c r="Q497" i="40"/>
  <c r="P497" i="40"/>
  <c r="M594" i="39"/>
  <c r="H594" i="39" s="1"/>
  <c r="E595" i="39" s="1" a="1"/>
  <c r="E595" i="39" s="1"/>
  <c r="F595" i="39" s="1" a="1"/>
  <c r="F595" i="39" s="1"/>
  <c r="Q592" i="39"/>
  <c r="P592" i="39"/>
  <c r="N592" i="39"/>
  <c r="I593" i="39"/>
  <c r="G593" i="39"/>
  <c r="O593" i="39" s="1"/>
  <c r="M424" i="35"/>
  <c r="I424" i="35" s="1"/>
  <c r="Q423" i="35"/>
  <c r="N423" i="35"/>
  <c r="P423" i="35"/>
  <c r="Q498" i="40" l="1"/>
  <c r="P498" i="40"/>
  <c r="N498" i="40"/>
  <c r="I594" i="39"/>
  <c r="I498" i="40"/>
  <c r="H498" i="40"/>
  <c r="E499" i="40" s="1" a="1"/>
  <c r="E499" i="40" s="1"/>
  <c r="F499" i="40" s="1" a="1"/>
  <c r="F499" i="40" s="1"/>
  <c r="M595" i="39"/>
  <c r="H595" i="39" s="1"/>
  <c r="E596" i="39" s="1" a="1"/>
  <c r="E596" i="39" s="1"/>
  <c r="F596" i="39" s="1" a="1"/>
  <c r="F596" i="39" s="1"/>
  <c r="N593" i="39"/>
  <c r="P593" i="39"/>
  <c r="Q593" i="39"/>
  <c r="G594" i="39"/>
  <c r="O594" i="39" s="1"/>
  <c r="H424" i="35"/>
  <c r="E425" i="35" s="1" a="1"/>
  <c r="E425" i="35" s="1"/>
  <c r="F425" i="35" s="1" a="1"/>
  <c r="F425" i="35" s="1"/>
  <c r="M499" i="40" l="1"/>
  <c r="H499" i="40" s="1"/>
  <c r="E500" i="40" s="1" a="1"/>
  <c r="E500" i="40" s="1"/>
  <c r="F500" i="40" s="1" a="1"/>
  <c r="F500" i="40" s="1"/>
  <c r="M596" i="39"/>
  <c r="H596" i="39" s="1"/>
  <c r="E597" i="39" s="1" a="1"/>
  <c r="E597" i="39" s="1"/>
  <c r="F597" i="39" s="1" a="1"/>
  <c r="F597" i="39" s="1"/>
  <c r="G595" i="39"/>
  <c r="O595" i="39" s="1"/>
  <c r="Q594" i="39"/>
  <c r="P594" i="39"/>
  <c r="N594" i="39"/>
  <c r="I595" i="39"/>
  <c r="M425" i="35"/>
  <c r="I425" i="35" s="1"/>
  <c r="G424" i="35"/>
  <c r="O424" i="35" s="1"/>
  <c r="I499" i="40" l="1"/>
  <c r="G499" i="40"/>
  <c r="O499" i="40" s="1"/>
  <c r="P499" i="40" s="1"/>
  <c r="M500" i="40"/>
  <c r="H500" i="40" s="1"/>
  <c r="E501" i="40" s="1" a="1"/>
  <c r="E501" i="40" s="1"/>
  <c r="F501" i="40" s="1" a="1"/>
  <c r="F501" i="40" s="1"/>
  <c r="M597" i="39"/>
  <c r="I597" i="39" s="1"/>
  <c r="I596" i="39"/>
  <c r="G596" i="39"/>
  <c r="O596" i="39" s="1"/>
  <c r="N595" i="39"/>
  <c r="Q595" i="39"/>
  <c r="P595" i="39"/>
  <c r="Q424" i="35"/>
  <c r="P424" i="35"/>
  <c r="N424" i="35"/>
  <c r="Q499" i="40" l="1"/>
  <c r="N499" i="40"/>
  <c r="G597" i="39"/>
  <c r="O597" i="39" s="1"/>
  <c r="Q597" i="39" s="1"/>
  <c r="M501" i="40"/>
  <c r="H501" i="40" s="1"/>
  <c r="E502" i="40" s="1" a="1"/>
  <c r="E502" i="40" s="1"/>
  <c r="F502" i="40" s="1" a="1"/>
  <c r="F502" i="40" s="1"/>
  <c r="I500" i="40"/>
  <c r="G500" i="40"/>
  <c r="O500" i="40" s="1"/>
  <c r="Q596" i="39"/>
  <c r="P596" i="39"/>
  <c r="N596" i="39"/>
  <c r="H597" i="39"/>
  <c r="E598" i="39" s="1" a="1"/>
  <c r="E598" i="39" s="1"/>
  <c r="F598" i="39" s="1" a="1"/>
  <c r="F598" i="39" s="1"/>
  <c r="G425" i="35"/>
  <c r="O425" i="35" s="1"/>
  <c r="H425" i="35"/>
  <c r="E426" i="35" s="1" a="1"/>
  <c r="E426" i="35" s="1"/>
  <c r="F426" i="35" s="1" a="1"/>
  <c r="F426" i="35" s="1"/>
  <c r="N597" i="39" l="1"/>
  <c r="P597" i="39"/>
  <c r="G501" i="40"/>
  <c r="O501" i="40" s="1"/>
  <c r="P501" i="40" s="1"/>
  <c r="I501" i="40"/>
  <c r="P500" i="40"/>
  <c r="Q500" i="40"/>
  <c r="N500" i="40"/>
  <c r="M502" i="40"/>
  <c r="I502" i="40" s="1"/>
  <c r="M598" i="39"/>
  <c r="H598" i="39" s="1"/>
  <c r="E599" i="39" s="1" a="1"/>
  <c r="E599" i="39" s="1"/>
  <c r="F599" i="39" s="1" a="1"/>
  <c r="F599" i="39" s="1"/>
  <c r="M426" i="35"/>
  <c r="I426" i="35" s="1"/>
  <c r="N425" i="35"/>
  <c r="Q425" i="35"/>
  <c r="P425" i="35"/>
  <c r="Q501" i="40" l="1"/>
  <c r="N501" i="40"/>
  <c r="G502" i="40"/>
  <c r="O502" i="40" s="1"/>
  <c r="Q502" i="40" s="1"/>
  <c r="H502" i="40"/>
  <c r="E503" i="40" s="1" a="1"/>
  <c r="E503" i="40" s="1"/>
  <c r="F503" i="40" s="1" a="1"/>
  <c r="F503" i="40" s="1"/>
  <c r="M599" i="39"/>
  <c r="H599" i="39" s="1"/>
  <c r="E600" i="39" s="1" a="1"/>
  <c r="E600" i="39" s="1"/>
  <c r="F600" i="39" s="1" a="1"/>
  <c r="F600" i="39" s="1"/>
  <c r="I598" i="39"/>
  <c r="G598" i="39"/>
  <c r="O598" i="39" s="1"/>
  <c r="G426" i="35"/>
  <c r="O426" i="35" s="1"/>
  <c r="P426" i="35" s="1"/>
  <c r="H426" i="35"/>
  <c r="E427" i="35" s="1" a="1"/>
  <c r="E427" i="35" s="1"/>
  <c r="F427" i="35" s="1" a="1"/>
  <c r="F427" i="35" s="1"/>
  <c r="M427" i="35" s="1"/>
  <c r="I427" i="35" s="1"/>
  <c r="N502" i="40" l="1"/>
  <c r="P502" i="40"/>
  <c r="M503" i="40"/>
  <c r="H503" i="40" s="1"/>
  <c r="E504" i="40" s="1" a="1"/>
  <c r="E504" i="40" s="1"/>
  <c r="F504" i="40" s="1" a="1"/>
  <c r="F504" i="40" s="1"/>
  <c r="M600" i="39"/>
  <c r="I600" i="39" s="1"/>
  <c r="I599" i="39"/>
  <c r="G599" i="39"/>
  <c r="O599" i="39" s="1"/>
  <c r="Q598" i="39"/>
  <c r="P598" i="39"/>
  <c r="N598" i="39"/>
  <c r="Q426" i="35"/>
  <c r="N426" i="35"/>
  <c r="I503" i="40" l="1"/>
  <c r="G600" i="39"/>
  <c r="O600" i="39" s="1"/>
  <c r="Q600" i="39" s="1"/>
  <c r="H600" i="39"/>
  <c r="E601" i="39" s="1" a="1"/>
  <c r="E601" i="39" s="1"/>
  <c r="F601" i="39" s="1" a="1"/>
  <c r="F601" i="39" s="1"/>
  <c r="M601" i="39" s="1"/>
  <c r="I601" i="39" s="1"/>
  <c r="M504" i="40"/>
  <c r="G504" i="40" s="1"/>
  <c r="O504" i="40" s="1"/>
  <c r="G503" i="40"/>
  <c r="O503" i="40" s="1"/>
  <c r="N599" i="39"/>
  <c r="Q599" i="39"/>
  <c r="P599" i="39"/>
  <c r="H427" i="35"/>
  <c r="E428" i="35" s="1" a="1"/>
  <c r="E428" i="35" s="1"/>
  <c r="F428" i="35" s="1" a="1"/>
  <c r="F428" i="35" s="1"/>
  <c r="G427" i="35"/>
  <c r="O427" i="35" s="1"/>
  <c r="P600" i="39" l="1"/>
  <c r="N600" i="39"/>
  <c r="I504" i="40"/>
  <c r="H504" i="40"/>
  <c r="E505" i="40" s="1" a="1"/>
  <c r="E505" i="40" s="1"/>
  <c r="F505" i="40" s="1" a="1"/>
  <c r="F505" i="40" s="1"/>
  <c r="M505" i="40" s="1"/>
  <c r="I505" i="40" s="1"/>
  <c r="N503" i="40"/>
  <c r="P503" i="40"/>
  <c r="Q503" i="40"/>
  <c r="N504" i="40"/>
  <c r="Q504" i="40"/>
  <c r="P504" i="40"/>
  <c r="G601" i="39"/>
  <c r="O601" i="39" s="1"/>
  <c r="N601" i="39" s="1"/>
  <c r="H601" i="39"/>
  <c r="E602" i="39" s="1" a="1"/>
  <c r="E602" i="39" s="1"/>
  <c r="F602" i="39" s="1" a="1"/>
  <c r="F602" i="39" s="1"/>
  <c r="M602" i="39" s="1"/>
  <c r="H602" i="39" s="1"/>
  <c r="E603" i="39" s="1" a="1"/>
  <c r="E603" i="39" s="1"/>
  <c r="F603" i="39" s="1" a="1"/>
  <c r="F603" i="39" s="1"/>
  <c r="M428" i="35"/>
  <c r="I428" i="35" s="1"/>
  <c r="Q427" i="35"/>
  <c r="P427" i="35"/>
  <c r="N427" i="35"/>
  <c r="Q601" i="39" l="1"/>
  <c r="H505" i="40"/>
  <c r="E506" i="40" s="1" a="1"/>
  <c r="E506" i="40" s="1"/>
  <c r="F506" i="40" s="1" a="1"/>
  <c r="F506" i="40" s="1"/>
  <c r="P601" i="39"/>
  <c r="G505" i="40"/>
  <c r="O505" i="40" s="1"/>
  <c r="I602" i="39"/>
  <c r="M603" i="39"/>
  <c r="I603" i="39" s="1"/>
  <c r="G602" i="39"/>
  <c r="O602" i="39" s="1"/>
  <c r="H428" i="35"/>
  <c r="E429" i="35" s="1" a="1"/>
  <c r="E429" i="35" s="1"/>
  <c r="F429" i="35" s="1" a="1"/>
  <c r="F429" i="35" s="1"/>
  <c r="M429" i="35" s="1"/>
  <c r="I429" i="35" s="1"/>
  <c r="G428" i="35"/>
  <c r="O428" i="35" s="1"/>
  <c r="Q505" i="40" l="1"/>
  <c r="P505" i="40"/>
  <c r="N505" i="40"/>
  <c r="M506" i="40"/>
  <c r="H506" i="40" s="1"/>
  <c r="E507" i="40" s="1" a="1"/>
  <c r="E507" i="40" s="1"/>
  <c r="F507" i="40" s="1" a="1"/>
  <c r="F507" i="40" s="1"/>
  <c r="G603" i="39"/>
  <c r="O603" i="39" s="1"/>
  <c r="N603" i="39" s="1"/>
  <c r="H603" i="39"/>
  <c r="E604" i="39" s="1" a="1"/>
  <c r="E604" i="39" s="1"/>
  <c r="F604" i="39" s="1" a="1"/>
  <c r="F604" i="39" s="1"/>
  <c r="M604" i="39" s="1"/>
  <c r="H604" i="39" s="1"/>
  <c r="E605" i="39" s="1" a="1"/>
  <c r="E605" i="39" s="1"/>
  <c r="F605" i="39" s="1" a="1"/>
  <c r="F605" i="39" s="1"/>
  <c r="P602" i="39"/>
  <c r="Q602" i="39"/>
  <c r="N602" i="39"/>
  <c r="G429" i="35"/>
  <c r="O429" i="35" s="1"/>
  <c r="P429" i="35" s="1"/>
  <c r="H429" i="35"/>
  <c r="E430" i="35" s="1" a="1"/>
  <c r="E430" i="35" s="1"/>
  <c r="F430" i="35" s="1" a="1"/>
  <c r="F430" i="35" s="1"/>
  <c r="M430" i="35" s="1"/>
  <c r="H430" i="35" s="1"/>
  <c r="E431" i="35" s="1" a="1"/>
  <c r="E431" i="35" s="1"/>
  <c r="F431" i="35" s="1" a="1"/>
  <c r="F431" i="35" s="1"/>
  <c r="Q428" i="35"/>
  <c r="N428" i="35"/>
  <c r="P428" i="35"/>
  <c r="P603" i="39" l="1"/>
  <c r="Q603" i="39"/>
  <c r="M507" i="40"/>
  <c r="I507" i="40" s="1"/>
  <c r="I506" i="40"/>
  <c r="G506" i="40"/>
  <c r="O506" i="40" s="1"/>
  <c r="G604" i="39"/>
  <c r="O604" i="39" s="1"/>
  <c r="P604" i="39" s="1"/>
  <c r="M605" i="39"/>
  <c r="I605" i="39" s="1"/>
  <c r="I604" i="39"/>
  <c r="Q429" i="35"/>
  <c r="N429" i="35"/>
  <c r="M431" i="35"/>
  <c r="I431" i="35" s="1"/>
  <c r="I430" i="35"/>
  <c r="G430" i="35"/>
  <c r="O430" i="35" s="1"/>
  <c r="N604" i="39" l="1"/>
  <c r="Q604" i="39"/>
  <c r="G507" i="40"/>
  <c r="O507" i="40" s="1"/>
  <c r="H507" i="40"/>
  <c r="E508" i="40" s="1" a="1"/>
  <c r="E508" i="40" s="1"/>
  <c r="F508" i="40" s="1" a="1"/>
  <c r="F508" i="40" s="1"/>
  <c r="Q506" i="40"/>
  <c r="P506" i="40"/>
  <c r="N506" i="40"/>
  <c r="G605" i="39"/>
  <c r="O605" i="39" s="1"/>
  <c r="Q605" i="39" s="1"/>
  <c r="H605" i="39"/>
  <c r="E606" i="39" s="1" a="1"/>
  <c r="E606" i="39" s="1"/>
  <c r="F606" i="39" s="1" a="1"/>
  <c r="F606" i="39" s="1"/>
  <c r="M606" i="39" s="1"/>
  <c r="H606" i="39" s="1"/>
  <c r="E607" i="39" s="1" a="1"/>
  <c r="E607" i="39" s="1"/>
  <c r="F607" i="39" s="1" a="1"/>
  <c r="F607" i="39" s="1"/>
  <c r="H431" i="35"/>
  <c r="E432" i="35" s="1" a="1"/>
  <c r="E432" i="35" s="1"/>
  <c r="F432" i="35" s="1" a="1"/>
  <c r="F432" i="35" s="1"/>
  <c r="M432" i="35" s="1"/>
  <c r="I432" i="35" s="1"/>
  <c r="G431" i="35"/>
  <c r="O431" i="35" s="1"/>
  <c r="Q431" i="35" s="1"/>
  <c r="N430" i="35"/>
  <c r="Q430" i="35"/>
  <c r="P430" i="35"/>
  <c r="P605" i="39" l="1"/>
  <c r="N605" i="39"/>
  <c r="M508" i="40"/>
  <c r="G508" i="40" s="1"/>
  <c r="O508" i="40" s="1"/>
  <c r="Q507" i="40"/>
  <c r="P507" i="40"/>
  <c r="N507" i="40"/>
  <c r="I606" i="39"/>
  <c r="M607" i="39"/>
  <c r="I607" i="39" s="1"/>
  <c r="G606" i="39"/>
  <c r="O606" i="39" s="1"/>
  <c r="P431" i="35"/>
  <c r="N431" i="35"/>
  <c r="Q508" i="40" l="1"/>
  <c r="P508" i="40"/>
  <c r="N508" i="40"/>
  <c r="I508" i="40"/>
  <c r="H508" i="40"/>
  <c r="E509" i="40" s="1" a="1"/>
  <c r="E509" i="40" s="1"/>
  <c r="F509" i="40" s="1" a="1"/>
  <c r="F509" i="40" s="1"/>
  <c r="G607" i="39"/>
  <c r="O607" i="39" s="1"/>
  <c r="N607" i="39" s="1"/>
  <c r="H607" i="39"/>
  <c r="E608" i="39" s="1" a="1"/>
  <c r="E608" i="39" s="1"/>
  <c r="F608" i="39" s="1" a="1"/>
  <c r="F608" i="39" s="1"/>
  <c r="M608" i="39" s="1"/>
  <c r="I608" i="39" s="1"/>
  <c r="Q606" i="39"/>
  <c r="P606" i="39"/>
  <c r="N606" i="39"/>
  <c r="G432" i="35"/>
  <c r="O432" i="35" s="1"/>
  <c r="H432" i="35"/>
  <c r="E433" i="35" s="1" a="1"/>
  <c r="E433" i="35" s="1"/>
  <c r="F433" i="35" s="1" a="1"/>
  <c r="F433" i="35" s="1"/>
  <c r="Q607" i="39" l="1"/>
  <c r="P607" i="39"/>
  <c r="M509" i="40"/>
  <c r="G509" i="40" s="1"/>
  <c r="O509" i="40" s="1"/>
  <c r="G608" i="39"/>
  <c r="O608" i="39" s="1"/>
  <c r="Q608" i="39" s="1"/>
  <c r="H608" i="39"/>
  <c r="E609" i="39" s="1" a="1"/>
  <c r="E609" i="39" s="1"/>
  <c r="F609" i="39" s="1" a="1"/>
  <c r="F609" i="39" s="1"/>
  <c r="M609" i="39" s="1"/>
  <c r="H609" i="39" s="1"/>
  <c r="E610" i="39" s="1" a="1"/>
  <c r="E610" i="39" s="1"/>
  <c r="F610" i="39" s="1" a="1"/>
  <c r="F610" i="39" s="1"/>
  <c r="M433" i="35"/>
  <c r="I433" i="35" s="1"/>
  <c r="Q432" i="35"/>
  <c r="N432" i="35"/>
  <c r="P432" i="35"/>
  <c r="H509" i="40" l="1"/>
  <c r="E510" i="40" s="1" a="1"/>
  <c r="E510" i="40" s="1"/>
  <c r="F510" i="40" s="1" a="1"/>
  <c r="F510" i="40" s="1"/>
  <c r="M510" i="40" s="1"/>
  <c r="G510" i="40" s="1"/>
  <c r="O510" i="40" s="1"/>
  <c r="I509" i="40"/>
  <c r="P608" i="39"/>
  <c r="N608" i="39"/>
  <c r="N509" i="40"/>
  <c r="P509" i="40"/>
  <c r="Q509" i="40"/>
  <c r="M610" i="39"/>
  <c r="H610" i="39" s="1"/>
  <c r="E611" i="39" s="1" a="1"/>
  <c r="E611" i="39" s="1"/>
  <c r="F611" i="39" s="1" a="1"/>
  <c r="F611" i="39" s="1"/>
  <c r="I609" i="39"/>
  <c r="G609" i="39"/>
  <c r="O609" i="39" s="1"/>
  <c r="I510" i="40" l="1"/>
  <c r="Q510" i="40"/>
  <c r="N510" i="40"/>
  <c r="P510" i="40"/>
  <c r="H510" i="40"/>
  <c r="E511" i="40" s="1" a="1"/>
  <c r="E511" i="40" s="1"/>
  <c r="F511" i="40" s="1" a="1"/>
  <c r="F511" i="40" s="1"/>
  <c r="I610" i="39"/>
  <c r="M611" i="39"/>
  <c r="I611" i="39" s="1"/>
  <c r="Q609" i="39"/>
  <c r="N609" i="39"/>
  <c r="P609" i="39"/>
  <c r="G610" i="39"/>
  <c r="O610" i="39" s="1"/>
  <c r="H433" i="35"/>
  <c r="E434" i="35" s="1" a="1"/>
  <c r="E434" i="35" s="1"/>
  <c r="F434" i="35" s="1" a="1"/>
  <c r="F434" i="35" s="1"/>
  <c r="G433" i="35"/>
  <c r="O433" i="35" s="1"/>
  <c r="M511" i="40" l="1"/>
  <c r="G511" i="40" s="1"/>
  <c r="O511" i="40" s="1"/>
  <c r="G611" i="39"/>
  <c r="O611" i="39" s="1"/>
  <c r="N611" i="39" s="1"/>
  <c r="H611" i="39"/>
  <c r="E612" i="39" s="1" a="1"/>
  <c r="E612" i="39" s="1"/>
  <c r="F612" i="39" s="1" a="1"/>
  <c r="F612" i="39" s="1"/>
  <c r="M612" i="39" s="1"/>
  <c r="I612" i="39" s="1"/>
  <c r="Q610" i="39"/>
  <c r="P610" i="39"/>
  <c r="N610" i="39"/>
  <c r="M434" i="35"/>
  <c r="I434" i="35" s="1"/>
  <c r="Q433" i="35"/>
  <c r="P433" i="35"/>
  <c r="N433" i="35"/>
  <c r="H511" i="40" l="1"/>
  <c r="E512" i="40" s="1" a="1"/>
  <c r="E512" i="40" s="1"/>
  <c r="F512" i="40" s="1" a="1"/>
  <c r="F512" i="40" s="1"/>
  <c r="M512" i="40" s="1"/>
  <c r="I512" i="40" s="1"/>
  <c r="I511" i="40"/>
  <c r="P611" i="39"/>
  <c r="Q611" i="39"/>
  <c r="N511" i="40"/>
  <c r="Q511" i="40"/>
  <c r="P511" i="40"/>
  <c r="H612" i="39"/>
  <c r="E613" i="39" s="1" a="1"/>
  <c r="E613" i="39" s="1"/>
  <c r="F613" i="39" s="1" a="1"/>
  <c r="F613" i="39" s="1"/>
  <c r="M613" i="39" s="1"/>
  <c r="G612" i="39"/>
  <c r="O612" i="39" s="1"/>
  <c r="N612" i="39" s="1"/>
  <c r="G434" i="35"/>
  <c r="O434" i="35" s="1"/>
  <c r="H434" i="35"/>
  <c r="E435" i="35" s="1" a="1"/>
  <c r="E435" i="35" s="1"/>
  <c r="F435" i="35" s="1" a="1"/>
  <c r="F435" i="35" s="1"/>
  <c r="G512" i="40" l="1"/>
  <c r="O512" i="40" s="1"/>
  <c r="P512" i="40" s="1"/>
  <c r="H512" i="40"/>
  <c r="E513" i="40" s="1" a="1"/>
  <c r="E513" i="40" s="1"/>
  <c r="F513" i="40" s="1" a="1"/>
  <c r="F513" i="40" s="1"/>
  <c r="P612" i="39"/>
  <c r="Q612" i="39"/>
  <c r="H613" i="39"/>
  <c r="E614" i="39" s="1" a="1"/>
  <c r="E614" i="39" s="1"/>
  <c r="F614" i="39" s="1" a="1"/>
  <c r="F614" i="39" s="1"/>
  <c r="M614" i="39" s="1"/>
  <c r="H614" i="39" s="1"/>
  <c r="E615" i="39" s="1" a="1"/>
  <c r="E615" i="39" s="1"/>
  <c r="F615" i="39" s="1" a="1"/>
  <c r="F615" i="39" s="1"/>
  <c r="I613" i="39"/>
  <c r="G613" i="39"/>
  <c r="O613" i="39" s="1"/>
  <c r="Q613" i="39" s="1"/>
  <c r="M435" i="35"/>
  <c r="I435" i="35" s="1"/>
  <c r="P434" i="35"/>
  <c r="N434" i="35"/>
  <c r="Q434" i="35"/>
  <c r="N512" i="40" l="1"/>
  <c r="Q512" i="40"/>
  <c r="M513" i="40"/>
  <c r="H513" i="40" s="1"/>
  <c r="E514" i="40" s="1" a="1"/>
  <c r="E514" i="40" s="1"/>
  <c r="F514" i="40" s="1" a="1"/>
  <c r="F514" i="40" s="1"/>
  <c r="M514" i="40" s="1"/>
  <c r="H514" i="40" s="1"/>
  <c r="E515" i="40" s="1" a="1"/>
  <c r="E515" i="40" s="1"/>
  <c r="F515" i="40" s="1" a="1"/>
  <c r="F515" i="40" s="1"/>
  <c r="N613" i="39"/>
  <c r="P613" i="39"/>
  <c r="I614" i="39"/>
  <c r="M615" i="39"/>
  <c r="G615" i="39" s="1"/>
  <c r="O615" i="39" s="1"/>
  <c r="G614" i="39"/>
  <c r="O614" i="39" s="1"/>
  <c r="H435" i="35"/>
  <c r="E436" i="35" s="1" a="1"/>
  <c r="E436" i="35" s="1"/>
  <c r="F436" i="35" s="1" a="1"/>
  <c r="F436" i="35" s="1"/>
  <c r="G513" i="40" l="1"/>
  <c r="O513" i="40" s="1"/>
  <c r="G514" i="40"/>
  <c r="O514" i="40" s="1"/>
  <c r="N514" i="40" s="1"/>
  <c r="I513" i="40"/>
  <c r="M515" i="40"/>
  <c r="H515" i="40" s="1"/>
  <c r="E516" i="40" s="1" a="1"/>
  <c r="E516" i="40" s="1"/>
  <c r="F516" i="40" s="1" a="1"/>
  <c r="F516" i="40" s="1"/>
  <c r="I514" i="40"/>
  <c r="I615" i="39"/>
  <c r="H615" i="39"/>
  <c r="E616" i="39" s="1" a="1"/>
  <c r="E616" i="39" s="1"/>
  <c r="F616" i="39" s="1" a="1"/>
  <c r="F616" i="39" s="1"/>
  <c r="M616" i="39" s="1"/>
  <c r="H616" i="39" s="1"/>
  <c r="E617" i="39" s="1" a="1"/>
  <c r="E617" i="39" s="1"/>
  <c r="F617" i="39" s="1" a="1"/>
  <c r="F617" i="39" s="1"/>
  <c r="N615" i="39"/>
  <c r="P615" i="39"/>
  <c r="Q615" i="39"/>
  <c r="N614" i="39"/>
  <c r="Q614" i="39"/>
  <c r="P614" i="39"/>
  <c r="M436" i="35"/>
  <c r="I436" i="35" s="1"/>
  <c r="G435" i="35"/>
  <c r="O435" i="35" s="1"/>
  <c r="Q514" i="40" l="1"/>
  <c r="P514" i="40"/>
  <c r="N513" i="40"/>
  <c r="P513" i="40"/>
  <c r="Q513" i="40"/>
  <c r="M516" i="40"/>
  <c r="I516" i="40" s="1"/>
  <c r="I515" i="40"/>
  <c r="G515" i="40"/>
  <c r="O515" i="40" s="1"/>
  <c r="I616" i="39"/>
  <c r="G616" i="39"/>
  <c r="O616" i="39" s="1"/>
  <c r="Q616" i="39" s="1"/>
  <c r="M617" i="39"/>
  <c r="H617" i="39" s="1"/>
  <c r="E618" i="39" s="1" a="1"/>
  <c r="E618" i="39" s="1"/>
  <c r="F618" i="39" s="1" a="1"/>
  <c r="F618" i="39" s="1"/>
  <c r="G436" i="35"/>
  <c r="O436" i="35" s="1"/>
  <c r="Q436" i="35" s="1"/>
  <c r="N435" i="35"/>
  <c r="Q435" i="35"/>
  <c r="P435" i="35"/>
  <c r="H436" i="35"/>
  <c r="E437" i="35" s="1" a="1"/>
  <c r="E437" i="35" s="1"/>
  <c r="F437" i="35" s="1" a="1"/>
  <c r="F437" i="35" s="1"/>
  <c r="G516" i="40" l="1"/>
  <c r="O516" i="40" s="1"/>
  <c r="H516" i="40"/>
  <c r="E517" i="40" s="1" a="1"/>
  <c r="E517" i="40" s="1"/>
  <c r="F517" i="40" s="1" a="1"/>
  <c r="F517" i="40" s="1"/>
  <c r="N616" i="39"/>
  <c r="P616" i="39"/>
  <c r="P515" i="40"/>
  <c r="Q515" i="40"/>
  <c r="N515" i="40"/>
  <c r="M618" i="39"/>
  <c r="H618" i="39" s="1"/>
  <c r="E619" i="39" s="1" a="1"/>
  <c r="E619" i="39" s="1"/>
  <c r="F619" i="39" s="1" a="1"/>
  <c r="F619" i="39" s="1"/>
  <c r="I617" i="39"/>
  <c r="G617" i="39"/>
  <c r="O617" i="39" s="1"/>
  <c r="N436" i="35"/>
  <c r="P436" i="35"/>
  <c r="M437" i="35"/>
  <c r="I437" i="35" s="1"/>
  <c r="M517" i="40" l="1"/>
  <c r="I517" i="40" s="1"/>
  <c r="P516" i="40"/>
  <c r="Q516" i="40"/>
  <c r="N516" i="40"/>
  <c r="M619" i="39"/>
  <c r="I619" i="39" s="1"/>
  <c r="N617" i="39"/>
  <c r="Q617" i="39"/>
  <c r="P617" i="39"/>
  <c r="I618" i="39"/>
  <c r="G618" i="39"/>
  <c r="O618" i="39" s="1"/>
  <c r="G437" i="35"/>
  <c r="O437" i="35" s="1"/>
  <c r="Q437" i="35" s="1"/>
  <c r="H437" i="35"/>
  <c r="E438" i="35" s="1" a="1"/>
  <c r="E438" i="35" s="1"/>
  <c r="F438" i="35" s="1" a="1"/>
  <c r="F438" i="35" s="1"/>
  <c r="M438" i="35" s="1"/>
  <c r="I438" i="35" s="1"/>
  <c r="G619" i="39" l="1"/>
  <c r="O619" i="39" s="1"/>
  <c r="Q619" i="39" s="1"/>
  <c r="G517" i="40"/>
  <c r="O517" i="40" s="1"/>
  <c r="Q517" i="40" s="1"/>
  <c r="H517" i="40"/>
  <c r="E518" i="40" s="1" a="1"/>
  <c r="E518" i="40" s="1"/>
  <c r="F518" i="40" s="1" a="1"/>
  <c r="F518" i="40" s="1"/>
  <c r="M518" i="40" s="1"/>
  <c r="G518" i="40" s="1"/>
  <c r="O518" i="40" s="1"/>
  <c r="H619" i="39"/>
  <c r="E620" i="39" s="1" a="1"/>
  <c r="E620" i="39" s="1"/>
  <c r="F620" i="39" s="1" a="1"/>
  <c r="F620" i="39" s="1"/>
  <c r="M620" i="39" s="1"/>
  <c r="H620" i="39" s="1"/>
  <c r="E621" i="39" s="1" a="1"/>
  <c r="E621" i="39" s="1"/>
  <c r="F621" i="39" s="1" a="1"/>
  <c r="F621" i="39" s="1"/>
  <c r="P517" i="40"/>
  <c r="Q618" i="39"/>
  <c r="P618" i="39"/>
  <c r="N618" i="39"/>
  <c r="N437" i="35"/>
  <c r="P437" i="35"/>
  <c r="G438" i="35"/>
  <c r="O438" i="35" s="1"/>
  <c r="P438" i="35" s="1"/>
  <c r="H438" i="35"/>
  <c r="E439" i="35" s="1" a="1"/>
  <c r="E439" i="35" s="1"/>
  <c r="F439" i="35" s="1" a="1"/>
  <c r="F439" i="35" s="1"/>
  <c r="N619" i="39" l="1"/>
  <c r="P619" i="39"/>
  <c r="N517" i="40"/>
  <c r="H518" i="40"/>
  <c r="E519" i="40" s="1" a="1"/>
  <c r="E519" i="40" s="1"/>
  <c r="F519" i="40" s="1" a="1"/>
  <c r="F519" i="40" s="1"/>
  <c r="M519" i="40" s="1"/>
  <c r="I519" i="40" s="1"/>
  <c r="I518" i="40"/>
  <c r="Q518" i="40"/>
  <c r="N518" i="40"/>
  <c r="P518" i="40"/>
  <c r="I620" i="39"/>
  <c r="G620" i="39"/>
  <c r="O620" i="39" s="1"/>
  <c r="N620" i="39" s="1"/>
  <c r="M621" i="39"/>
  <c r="H621" i="39" s="1"/>
  <c r="E622" i="39" s="1" a="1"/>
  <c r="E622" i="39" s="1"/>
  <c r="F622" i="39" s="1" a="1"/>
  <c r="F622" i="39" s="1"/>
  <c r="Q438" i="35"/>
  <c r="N438" i="35"/>
  <c r="M439" i="35"/>
  <c r="I439" i="35" s="1"/>
  <c r="Q620" i="39" l="1"/>
  <c r="G519" i="40"/>
  <c r="O519" i="40" s="1"/>
  <c r="H519" i="40"/>
  <c r="E520" i="40" s="1" a="1"/>
  <c r="E520" i="40" s="1"/>
  <c r="F520" i="40" s="1" a="1"/>
  <c r="F520" i="40" s="1"/>
  <c r="P620" i="39"/>
  <c r="G621" i="39"/>
  <c r="O621" i="39" s="1"/>
  <c r="Q621" i="39" s="1"/>
  <c r="I621" i="39"/>
  <c r="M622" i="39"/>
  <c r="H622" i="39" s="1"/>
  <c r="E623" i="39" s="1" a="1"/>
  <c r="E623" i="39" s="1"/>
  <c r="F623" i="39" s="1" a="1"/>
  <c r="F623" i="39" s="1"/>
  <c r="G439" i="35"/>
  <c r="O439" i="35" s="1"/>
  <c r="H439" i="35"/>
  <c r="E440" i="35" s="1" a="1"/>
  <c r="E440" i="35" s="1"/>
  <c r="F440" i="35" s="1" a="1"/>
  <c r="F440" i="35" s="1"/>
  <c r="P621" i="39" l="1"/>
  <c r="M520" i="40"/>
  <c r="G520" i="40" s="1"/>
  <c r="O520" i="40" s="1"/>
  <c r="N621" i="39"/>
  <c r="N519" i="40"/>
  <c r="Q519" i="40"/>
  <c r="P519" i="40"/>
  <c r="M623" i="39"/>
  <c r="I623" i="39" s="1"/>
  <c r="I622" i="39"/>
  <c r="G622" i="39"/>
  <c r="O622" i="39" s="1"/>
  <c r="M440" i="35"/>
  <c r="I440" i="35" s="1"/>
  <c r="Q439" i="35"/>
  <c r="N439" i="35"/>
  <c r="P439" i="35"/>
  <c r="H520" i="40" l="1"/>
  <c r="E521" i="40" s="1" a="1"/>
  <c r="E521" i="40" s="1"/>
  <c r="F521" i="40" s="1" a="1"/>
  <c r="F521" i="40" s="1"/>
  <c r="M521" i="40" s="1"/>
  <c r="I521" i="40" s="1"/>
  <c r="P520" i="40"/>
  <c r="N520" i="40"/>
  <c r="Q520" i="40"/>
  <c r="I520" i="40"/>
  <c r="G623" i="39"/>
  <c r="O623" i="39" s="1"/>
  <c r="N623" i="39" s="1"/>
  <c r="Q622" i="39"/>
  <c r="P622" i="39"/>
  <c r="N622" i="39"/>
  <c r="H623" i="39"/>
  <c r="E624" i="39" s="1" a="1"/>
  <c r="E624" i="39" s="1"/>
  <c r="F624" i="39" s="1" a="1"/>
  <c r="F624" i="39" s="1"/>
  <c r="H521" i="40" l="1"/>
  <c r="E522" i="40" s="1" a="1"/>
  <c r="E522" i="40" s="1"/>
  <c r="F522" i="40" s="1" a="1"/>
  <c r="F522" i="40" s="1"/>
  <c r="G521" i="40"/>
  <c r="O521" i="40" s="1"/>
  <c r="P623" i="39"/>
  <c r="Q623" i="39"/>
  <c r="M624" i="39"/>
  <c r="H624" i="39" s="1"/>
  <c r="E625" i="39" s="1" a="1"/>
  <c r="E625" i="39" s="1"/>
  <c r="F625" i="39" s="1" a="1"/>
  <c r="F625" i="39" s="1"/>
  <c r="H440" i="35"/>
  <c r="E441" i="35" s="1" a="1"/>
  <c r="E441" i="35" s="1"/>
  <c r="F441" i="35" s="1" a="1"/>
  <c r="F441" i="35" s="1"/>
  <c r="G440" i="35"/>
  <c r="O440" i="35" s="1"/>
  <c r="P521" i="40" l="1"/>
  <c r="N521" i="40"/>
  <c r="Q521" i="40"/>
  <c r="M522" i="40"/>
  <c r="G522" i="40" s="1"/>
  <c r="O522" i="40" s="1"/>
  <c r="I624" i="39"/>
  <c r="M625" i="39"/>
  <c r="H625" i="39" s="1"/>
  <c r="E626" i="39" s="1" a="1"/>
  <c r="E626" i="39" s="1"/>
  <c r="F626" i="39" s="1" a="1"/>
  <c r="F626" i="39" s="1"/>
  <c r="G624" i="39"/>
  <c r="O624" i="39" s="1"/>
  <c r="M441" i="35"/>
  <c r="I441" i="35" s="1"/>
  <c r="N440" i="35"/>
  <c r="P440" i="35"/>
  <c r="Q440" i="35"/>
  <c r="N522" i="40" l="1"/>
  <c r="P522" i="40"/>
  <c r="Q522" i="40"/>
  <c r="I522" i="40"/>
  <c r="H522" i="40"/>
  <c r="E523" i="40" s="1" a="1"/>
  <c r="E523" i="40" s="1"/>
  <c r="F523" i="40" s="1" a="1"/>
  <c r="F523" i="40" s="1"/>
  <c r="M626" i="39"/>
  <c r="H626" i="39" s="1"/>
  <c r="E627" i="39" s="1" a="1"/>
  <c r="E627" i="39" s="1"/>
  <c r="F627" i="39" s="1" a="1"/>
  <c r="F627" i="39" s="1"/>
  <c r="Q624" i="39"/>
  <c r="P624" i="39"/>
  <c r="N624" i="39"/>
  <c r="G625" i="39"/>
  <c r="O625" i="39" s="1"/>
  <c r="I625" i="39"/>
  <c r="G441" i="35"/>
  <c r="O441" i="35" s="1"/>
  <c r="H441" i="35"/>
  <c r="E442" i="35" s="1" a="1"/>
  <c r="E442" i="35" s="1"/>
  <c r="F442" i="35" s="1" a="1"/>
  <c r="F442" i="35" s="1"/>
  <c r="M523" i="40" l="1"/>
  <c r="H523" i="40" s="1"/>
  <c r="E524" i="40" s="1" a="1"/>
  <c r="E524" i="40" s="1"/>
  <c r="F524" i="40" s="1" a="1"/>
  <c r="F524" i="40" s="1"/>
  <c r="M627" i="39"/>
  <c r="G627" i="39" s="1"/>
  <c r="O627" i="39" s="1"/>
  <c r="I626" i="39"/>
  <c r="G626" i="39"/>
  <c r="O626" i="39" s="1"/>
  <c r="Q625" i="39"/>
  <c r="P625" i="39"/>
  <c r="N625" i="39"/>
  <c r="M442" i="35"/>
  <c r="I442" i="35" s="1"/>
  <c r="N441" i="35"/>
  <c r="P441" i="35"/>
  <c r="Q441" i="35"/>
  <c r="H627" i="39" l="1"/>
  <c r="E628" i="39" s="1" a="1"/>
  <c r="E628" i="39" s="1"/>
  <c r="F628" i="39" s="1" a="1"/>
  <c r="F628" i="39" s="1"/>
  <c r="M628" i="39" s="1"/>
  <c r="H628" i="39" s="1"/>
  <c r="E629" i="39" s="1" a="1"/>
  <c r="E629" i="39" s="1"/>
  <c r="F629" i="39" s="1" a="1"/>
  <c r="F629" i="39" s="1"/>
  <c r="I627" i="39"/>
  <c r="I523" i="40"/>
  <c r="M524" i="40"/>
  <c r="H524" i="40" s="1"/>
  <c r="E525" i="40" s="1" a="1"/>
  <c r="E525" i="40" s="1"/>
  <c r="F525" i="40" s="1" a="1"/>
  <c r="F525" i="40" s="1"/>
  <c r="G523" i="40"/>
  <c r="O523" i="40" s="1"/>
  <c r="N627" i="39"/>
  <c r="Q627" i="39"/>
  <c r="P627" i="39"/>
  <c r="Q626" i="39"/>
  <c r="P626" i="39"/>
  <c r="N626" i="39"/>
  <c r="G442" i="35"/>
  <c r="O442" i="35" s="1"/>
  <c r="N442" i="35" s="1"/>
  <c r="H442" i="35"/>
  <c r="E443" i="35" s="1" a="1"/>
  <c r="E443" i="35" s="1"/>
  <c r="F443" i="35" s="1" a="1"/>
  <c r="F443" i="35" s="1"/>
  <c r="M443" i="35" s="1"/>
  <c r="I443" i="35" s="1"/>
  <c r="G524" i="40" l="1"/>
  <c r="O524" i="40" s="1"/>
  <c r="Q524" i="40" s="1"/>
  <c r="I524" i="40"/>
  <c r="P523" i="40"/>
  <c r="Q523" i="40"/>
  <c r="N523" i="40"/>
  <c r="M525" i="40"/>
  <c r="G525" i="40" s="1"/>
  <c r="O525" i="40" s="1"/>
  <c r="M629" i="39"/>
  <c r="I629" i="39" s="1"/>
  <c r="G628" i="39"/>
  <c r="O628" i="39" s="1"/>
  <c r="I628" i="39"/>
  <c r="Q442" i="35"/>
  <c r="P442" i="35"/>
  <c r="H443" i="35"/>
  <c r="E444" i="35" s="1" a="1"/>
  <c r="E444" i="35" s="1"/>
  <c r="F444" i="35" s="1" a="1"/>
  <c r="F444" i="35" s="1"/>
  <c r="M444" i="35" s="1"/>
  <c r="I444" i="35" s="1"/>
  <c r="G443" i="35"/>
  <c r="O443" i="35" s="1"/>
  <c r="P524" i="40" l="1"/>
  <c r="N524" i="40"/>
  <c r="I525" i="40"/>
  <c r="Q525" i="40"/>
  <c r="P525" i="40"/>
  <c r="N525" i="40"/>
  <c r="H525" i="40"/>
  <c r="E526" i="40" s="1" a="1"/>
  <c r="E526" i="40" s="1"/>
  <c r="F526" i="40" s="1" a="1"/>
  <c r="F526" i="40" s="1"/>
  <c r="G629" i="39"/>
  <c r="O629" i="39" s="1"/>
  <c r="Q629" i="39" s="1"/>
  <c r="H629" i="39"/>
  <c r="E630" i="39" s="1" a="1"/>
  <c r="E630" i="39" s="1"/>
  <c r="F630" i="39" s="1" a="1"/>
  <c r="F630" i="39" s="1"/>
  <c r="M630" i="39" s="1"/>
  <c r="H630" i="39" s="1"/>
  <c r="E631" i="39" s="1" a="1"/>
  <c r="E631" i="39" s="1"/>
  <c r="F631" i="39" s="1" a="1"/>
  <c r="F631" i="39" s="1"/>
  <c r="Q628" i="39"/>
  <c r="P628" i="39"/>
  <c r="N628" i="39"/>
  <c r="G444" i="35"/>
  <c r="O444" i="35" s="1"/>
  <c r="Q444" i="35" s="1"/>
  <c r="H444" i="35"/>
  <c r="E445" i="35" s="1" a="1"/>
  <c r="E445" i="35" s="1"/>
  <c r="F445" i="35" s="1" a="1"/>
  <c r="F445" i="35" s="1"/>
  <c r="N443" i="35"/>
  <c r="Q443" i="35"/>
  <c r="P443" i="35"/>
  <c r="N629" i="39" l="1"/>
  <c r="P629" i="39"/>
  <c r="M526" i="40"/>
  <c r="I526" i="40" s="1"/>
  <c r="I630" i="39"/>
  <c r="M631" i="39"/>
  <c r="H631" i="39" s="1"/>
  <c r="E632" i="39" s="1" a="1"/>
  <c r="E632" i="39" s="1"/>
  <c r="F632" i="39" s="1" a="1"/>
  <c r="F632" i="39" s="1"/>
  <c r="G630" i="39"/>
  <c r="O630" i="39" s="1"/>
  <c r="N444" i="35"/>
  <c r="P444" i="35"/>
  <c r="M445" i="35"/>
  <c r="I445" i="35" s="1"/>
  <c r="G526" i="40" l="1"/>
  <c r="O526" i="40" s="1"/>
  <c r="Q526" i="40" s="1"/>
  <c r="H526" i="40"/>
  <c r="E527" i="40" s="1" a="1"/>
  <c r="E527" i="40" s="1"/>
  <c r="F527" i="40" s="1" a="1"/>
  <c r="F527" i="40" s="1"/>
  <c r="M527" i="40" s="1"/>
  <c r="H527" i="40" s="1"/>
  <c r="E528" i="40" s="1" a="1"/>
  <c r="E528" i="40" s="1"/>
  <c r="F528" i="40" s="1" a="1"/>
  <c r="F528" i="40" s="1"/>
  <c r="M632" i="39"/>
  <c r="I632" i="39" s="1"/>
  <c r="Q630" i="39"/>
  <c r="P630" i="39"/>
  <c r="N630" i="39"/>
  <c r="I631" i="39"/>
  <c r="G631" i="39"/>
  <c r="O631" i="39" s="1"/>
  <c r="G445" i="35"/>
  <c r="O445" i="35" s="1"/>
  <c r="P445" i="35" s="1"/>
  <c r="H445" i="35"/>
  <c r="E446" i="35" s="1" a="1"/>
  <c r="E446" i="35" s="1"/>
  <c r="F446" i="35" s="1" a="1"/>
  <c r="F446" i="35" s="1"/>
  <c r="M446" i="35" s="1"/>
  <c r="N526" i="40" l="1"/>
  <c r="P526" i="40"/>
  <c r="G527" i="40"/>
  <c r="O527" i="40" s="1"/>
  <c r="Q527" i="40" s="1"/>
  <c r="I527" i="40"/>
  <c r="M528" i="40"/>
  <c r="H528" i="40" s="1"/>
  <c r="E529" i="40" s="1" a="1"/>
  <c r="E529" i="40" s="1"/>
  <c r="F529" i="40" s="1" a="1"/>
  <c r="F529" i="40" s="1"/>
  <c r="H632" i="39"/>
  <c r="E633" i="39" s="1" a="1"/>
  <c r="E633" i="39" s="1"/>
  <c r="F633" i="39" s="1" a="1"/>
  <c r="F633" i="39" s="1"/>
  <c r="M633" i="39" s="1"/>
  <c r="H633" i="39" s="1"/>
  <c r="E634" i="39" s="1" a="1"/>
  <c r="E634" i="39" s="1"/>
  <c r="F634" i="39" s="1" a="1"/>
  <c r="F634" i="39" s="1"/>
  <c r="G632" i="39"/>
  <c r="O632" i="39" s="1"/>
  <c r="Q632" i="39" s="1"/>
  <c r="N631" i="39"/>
  <c r="Q631" i="39"/>
  <c r="P631" i="39"/>
  <c r="Q445" i="35"/>
  <c r="N445" i="35"/>
  <c r="I446" i="35"/>
  <c r="H446" i="35"/>
  <c r="E447" i="35" s="1" a="1"/>
  <c r="E447" i="35" s="1"/>
  <c r="F447" i="35" s="1" a="1"/>
  <c r="F447" i="35" s="1"/>
  <c r="M447" i="35" s="1"/>
  <c r="G446" i="35"/>
  <c r="O446" i="35" s="1"/>
  <c r="N527" i="40" l="1"/>
  <c r="P527" i="40"/>
  <c r="M529" i="40"/>
  <c r="H529" i="40" s="1"/>
  <c r="E530" i="40" s="1" a="1"/>
  <c r="E530" i="40" s="1"/>
  <c r="F530" i="40" s="1" a="1"/>
  <c r="F530" i="40" s="1"/>
  <c r="G528" i="40"/>
  <c r="O528" i="40" s="1"/>
  <c r="I528" i="40"/>
  <c r="N632" i="39"/>
  <c r="P632" i="39"/>
  <c r="M634" i="39"/>
  <c r="H634" i="39" s="1"/>
  <c r="E635" i="39" s="1" a="1"/>
  <c r="E635" i="39" s="1"/>
  <c r="F635" i="39" s="1" a="1"/>
  <c r="F635" i="39" s="1"/>
  <c r="G633" i="39"/>
  <c r="O633" i="39" s="1"/>
  <c r="I633" i="39"/>
  <c r="N446" i="35"/>
  <c r="P446" i="35"/>
  <c r="Q446" i="35"/>
  <c r="G447" i="35"/>
  <c r="O447" i="35" s="1"/>
  <c r="N447" i="35" s="1"/>
  <c r="H447" i="35"/>
  <c r="E448" i="35" s="1" a="1"/>
  <c r="E448" i="35" s="1"/>
  <c r="F448" i="35" s="1" a="1"/>
  <c r="F448" i="35" s="1"/>
  <c r="I447" i="35"/>
  <c r="M530" i="40" l="1"/>
  <c r="G530" i="40" s="1"/>
  <c r="O530" i="40" s="1"/>
  <c r="I529" i="40"/>
  <c r="P528" i="40"/>
  <c r="Q528" i="40"/>
  <c r="N528" i="40"/>
  <c r="G529" i="40"/>
  <c r="O529" i="40" s="1"/>
  <c r="I634" i="39"/>
  <c r="M635" i="39"/>
  <c r="H635" i="39" s="1"/>
  <c r="E636" i="39" s="1" a="1"/>
  <c r="E636" i="39" s="1"/>
  <c r="F636" i="39" s="1" a="1"/>
  <c r="F636" i="39" s="1"/>
  <c r="G634" i="39"/>
  <c r="O634" i="39" s="1"/>
  <c r="N633" i="39"/>
  <c r="P633" i="39"/>
  <c r="Q633" i="39"/>
  <c r="Q447" i="35"/>
  <c r="P447" i="35"/>
  <c r="M448" i="35"/>
  <c r="I448" i="35" s="1"/>
  <c r="I530" i="40" l="1"/>
  <c r="Q530" i="40"/>
  <c r="P530" i="40"/>
  <c r="N530" i="40"/>
  <c r="H530" i="40"/>
  <c r="E531" i="40" s="1" a="1"/>
  <c r="E531" i="40" s="1"/>
  <c r="F531" i="40" s="1" a="1"/>
  <c r="F531" i="40" s="1"/>
  <c r="Q529" i="40"/>
  <c r="N529" i="40"/>
  <c r="P529" i="40"/>
  <c r="M636" i="39"/>
  <c r="H636" i="39" s="1"/>
  <c r="E637" i="39" s="1" a="1"/>
  <c r="E637" i="39" s="1"/>
  <c r="F637" i="39" s="1" a="1"/>
  <c r="F637" i="39" s="1"/>
  <c r="I635" i="39"/>
  <c r="Q634" i="39"/>
  <c r="P634" i="39"/>
  <c r="N634" i="39"/>
  <c r="G635" i="39"/>
  <c r="O635" i="39" s="1"/>
  <c r="H448" i="35"/>
  <c r="E449" i="35" s="1" a="1"/>
  <c r="E449" i="35" s="1"/>
  <c r="F449" i="35" s="1" a="1"/>
  <c r="F449" i="35" s="1"/>
  <c r="M449" i="35" s="1"/>
  <c r="G448" i="35"/>
  <c r="O448" i="35" s="1"/>
  <c r="M531" i="40" l="1"/>
  <c r="H531" i="40" s="1"/>
  <c r="E532" i="40" s="1" a="1"/>
  <c r="E532" i="40" s="1"/>
  <c r="F532" i="40" s="1" a="1"/>
  <c r="F532" i="40" s="1"/>
  <c r="M637" i="39"/>
  <c r="I637" i="39" s="1"/>
  <c r="I636" i="39"/>
  <c r="N635" i="39"/>
  <c r="Q635" i="39"/>
  <c r="P635" i="39"/>
  <c r="G636" i="39"/>
  <c r="O636" i="39" s="1"/>
  <c r="I449" i="35"/>
  <c r="G449" i="35"/>
  <c r="O449" i="35" s="1"/>
  <c r="H449" i="35"/>
  <c r="E450" i="35" s="1" a="1"/>
  <c r="E450" i="35" s="1"/>
  <c r="F450" i="35" s="1" a="1"/>
  <c r="F450" i="35" s="1"/>
  <c r="Q448" i="35"/>
  <c r="P448" i="35"/>
  <c r="N448" i="35"/>
  <c r="G637" i="39" l="1"/>
  <c r="O637" i="39" s="1"/>
  <c r="P637" i="39" s="1"/>
  <c r="H637" i="39"/>
  <c r="E638" i="39" s="1" a="1"/>
  <c r="E638" i="39" s="1"/>
  <c r="F638" i="39" s="1" a="1"/>
  <c r="F638" i="39" s="1"/>
  <c r="M638" i="39" s="1"/>
  <c r="H638" i="39" s="1"/>
  <c r="E639" i="39" s="1" a="1"/>
  <c r="E639" i="39" s="1"/>
  <c r="F639" i="39" s="1" a="1"/>
  <c r="F639" i="39" s="1"/>
  <c r="M532" i="40"/>
  <c r="I532" i="40" s="1"/>
  <c r="I531" i="40"/>
  <c r="G531" i="40"/>
  <c r="O531" i="40" s="1"/>
  <c r="N636" i="39"/>
  <c r="Q636" i="39"/>
  <c r="P636" i="39"/>
  <c r="M450" i="35"/>
  <c r="I450" i="35" s="1"/>
  <c r="N449" i="35"/>
  <c r="Q449" i="35"/>
  <c r="P449" i="35"/>
  <c r="Q637" i="39" l="1"/>
  <c r="N637" i="39"/>
  <c r="G532" i="40"/>
  <c r="O532" i="40" s="1"/>
  <c r="Q532" i="40" s="1"/>
  <c r="H532" i="40"/>
  <c r="E533" i="40" s="1" a="1"/>
  <c r="E533" i="40" s="1"/>
  <c r="F533" i="40" s="1" a="1"/>
  <c r="F533" i="40" s="1"/>
  <c r="M533" i="40" s="1"/>
  <c r="I533" i="40" s="1"/>
  <c r="N531" i="40"/>
  <c r="P531" i="40"/>
  <c r="Q531" i="40"/>
  <c r="M639" i="39"/>
  <c r="I639" i="39" s="1"/>
  <c r="I638" i="39"/>
  <c r="G638" i="39"/>
  <c r="O638" i="39" s="1"/>
  <c r="G450" i="35"/>
  <c r="O450" i="35" s="1"/>
  <c r="H450" i="35"/>
  <c r="E451" i="35" s="1" a="1"/>
  <c r="E451" i="35" s="1"/>
  <c r="F451" i="35" s="1" a="1"/>
  <c r="F451" i="35" s="1"/>
  <c r="P532" i="40" l="1"/>
  <c r="N532" i="40"/>
  <c r="H639" i="39"/>
  <c r="E640" i="39" s="1" a="1"/>
  <c r="E640" i="39" s="1"/>
  <c r="F640" i="39" s="1" a="1"/>
  <c r="F640" i="39" s="1"/>
  <c r="M640" i="39" s="1"/>
  <c r="I640" i="39" s="1"/>
  <c r="G639" i="39"/>
  <c r="O639" i="39" s="1"/>
  <c r="N639" i="39" s="1"/>
  <c r="G533" i="40"/>
  <c r="O533" i="40" s="1"/>
  <c r="H533" i="40"/>
  <c r="E534" i="40" s="1" a="1"/>
  <c r="E534" i="40" s="1"/>
  <c r="F534" i="40" s="1" a="1"/>
  <c r="F534" i="40" s="1"/>
  <c r="Q638" i="39"/>
  <c r="P638" i="39"/>
  <c r="N638" i="39"/>
  <c r="M451" i="35"/>
  <c r="I451" i="35" s="1"/>
  <c r="Q450" i="35"/>
  <c r="P450" i="35"/>
  <c r="N450" i="35"/>
  <c r="P639" i="39" l="1"/>
  <c r="Q639" i="39"/>
  <c r="M534" i="40"/>
  <c r="I534" i="40" s="1"/>
  <c r="N533" i="40"/>
  <c r="P533" i="40"/>
  <c r="Q533" i="40"/>
  <c r="G640" i="39"/>
  <c r="O640" i="39" s="1"/>
  <c r="Q640" i="39" s="1"/>
  <c r="H640" i="39"/>
  <c r="E641" i="39" s="1" a="1"/>
  <c r="E641" i="39" s="1"/>
  <c r="F641" i="39" s="1" a="1"/>
  <c r="F641" i="39" s="1"/>
  <c r="M641" i="39" s="1"/>
  <c r="I641" i="39" s="1"/>
  <c r="H451" i="35"/>
  <c r="E452" i="35" s="1" a="1"/>
  <c r="E452" i="35" s="1"/>
  <c r="F452" i="35" s="1" a="1"/>
  <c r="F452" i="35" s="1"/>
  <c r="G451" i="35"/>
  <c r="O451" i="35" s="1"/>
  <c r="Q451" i="35" s="1"/>
  <c r="N640" i="39" l="1"/>
  <c r="P640" i="39"/>
  <c r="G534" i="40"/>
  <c r="O534" i="40" s="1"/>
  <c r="H534" i="40"/>
  <c r="E535" i="40" s="1" a="1"/>
  <c r="E535" i="40" s="1"/>
  <c r="F535" i="40" s="1" a="1"/>
  <c r="F535" i="40" s="1"/>
  <c r="H641" i="39"/>
  <c r="E642" i="39" s="1" a="1"/>
  <c r="E642" i="39" s="1"/>
  <c r="F642" i="39" s="1" a="1"/>
  <c r="F642" i="39" s="1"/>
  <c r="G641" i="39"/>
  <c r="O641" i="39" s="1"/>
  <c r="N451" i="35"/>
  <c r="P451" i="35"/>
  <c r="M452" i="35"/>
  <c r="I452" i="35" s="1"/>
  <c r="M535" i="40" l="1"/>
  <c r="G535" i="40" s="1"/>
  <c r="O535" i="40" s="1"/>
  <c r="Q534" i="40"/>
  <c r="N534" i="40"/>
  <c r="P534" i="40"/>
  <c r="Q641" i="39"/>
  <c r="P641" i="39"/>
  <c r="N641" i="39"/>
  <c r="M642" i="39"/>
  <c r="G642" i="39" s="1"/>
  <c r="O642" i="39" s="1"/>
  <c r="G452" i="35"/>
  <c r="O452" i="35" s="1"/>
  <c r="H452" i="35"/>
  <c r="E453" i="35" s="1" a="1"/>
  <c r="E453" i="35" s="1"/>
  <c r="F453" i="35" s="1" a="1"/>
  <c r="F453" i="35" s="1"/>
  <c r="H535" i="40" l="1"/>
  <c r="E536" i="40" s="1" a="1"/>
  <c r="E536" i="40" s="1"/>
  <c r="F536" i="40" s="1" a="1"/>
  <c r="F536" i="40" s="1"/>
  <c r="M536" i="40" s="1"/>
  <c r="H536" i="40" s="1"/>
  <c r="E537" i="40" s="1" a="1"/>
  <c r="E537" i="40" s="1"/>
  <c r="F537" i="40" s="1" a="1"/>
  <c r="F537" i="40" s="1"/>
  <c r="Q535" i="40"/>
  <c r="P535" i="40"/>
  <c r="N535" i="40"/>
  <c r="I535" i="40"/>
  <c r="I642" i="39"/>
  <c r="Q642" i="39"/>
  <c r="P642" i="39"/>
  <c r="N642" i="39"/>
  <c r="H642" i="39"/>
  <c r="E643" i="39" s="1" a="1"/>
  <c r="E643" i="39" s="1"/>
  <c r="F643" i="39" s="1" a="1"/>
  <c r="F643" i="39" s="1"/>
  <c r="M453" i="35"/>
  <c r="I453" i="35" s="1"/>
  <c r="P452" i="35"/>
  <c r="Q452" i="35"/>
  <c r="N452" i="35"/>
  <c r="M537" i="40" l="1"/>
  <c r="H537" i="40" s="1"/>
  <c r="E538" i="40" s="1" a="1"/>
  <c r="E538" i="40" s="1"/>
  <c r="F538" i="40" s="1" a="1"/>
  <c r="F538" i="40" s="1"/>
  <c r="G536" i="40"/>
  <c r="O536" i="40" s="1"/>
  <c r="I536" i="40"/>
  <c r="M643" i="39"/>
  <c r="I643" i="39" s="1"/>
  <c r="I537" i="40" l="1"/>
  <c r="M538" i="40"/>
  <c r="G538" i="40" s="1"/>
  <c r="O538" i="40" s="1"/>
  <c r="N536" i="40"/>
  <c r="Q536" i="40"/>
  <c r="P536" i="40"/>
  <c r="G537" i="40"/>
  <c r="O537" i="40" s="1"/>
  <c r="G643" i="39"/>
  <c r="O643" i="39" s="1"/>
  <c r="N643" i="39" s="1"/>
  <c r="H643" i="39"/>
  <c r="E644" i="39" s="1" a="1"/>
  <c r="E644" i="39" s="1"/>
  <c r="F644" i="39" s="1" a="1"/>
  <c r="F644" i="39" s="1"/>
  <c r="M644" i="39" s="1"/>
  <c r="H453" i="35"/>
  <c r="E454" i="35" s="1" a="1"/>
  <c r="E454" i="35" s="1"/>
  <c r="F454" i="35" s="1" a="1"/>
  <c r="F454" i="35" s="1"/>
  <c r="G453" i="35"/>
  <c r="O453" i="35" s="1"/>
  <c r="I538" i="40" l="1"/>
  <c r="P643" i="39"/>
  <c r="P538" i="40"/>
  <c r="N538" i="40"/>
  <c r="Q538" i="40"/>
  <c r="Q643" i="39"/>
  <c r="Q537" i="40"/>
  <c r="P537" i="40"/>
  <c r="N537" i="40"/>
  <c r="H538" i="40"/>
  <c r="E539" i="40" s="1" a="1"/>
  <c r="E539" i="40" s="1"/>
  <c r="F539" i="40" s="1" a="1"/>
  <c r="F539" i="40" s="1"/>
  <c r="G644" i="39"/>
  <c r="O644" i="39" s="1"/>
  <c r="Q644" i="39" s="1"/>
  <c r="H644" i="39"/>
  <c r="E645" i="39" s="1" a="1"/>
  <c r="E645" i="39" s="1"/>
  <c r="F645" i="39" s="1" a="1"/>
  <c r="F645" i="39" s="1"/>
  <c r="I644" i="39"/>
  <c r="M454" i="35"/>
  <c r="I454" i="35" s="1"/>
  <c r="P453" i="35"/>
  <c r="Q453" i="35"/>
  <c r="N453" i="35"/>
  <c r="M539" i="40" l="1"/>
  <c r="H539" i="40" s="1"/>
  <c r="E540" i="40" s="1" a="1"/>
  <c r="E540" i="40" s="1"/>
  <c r="F540" i="40" s="1" a="1"/>
  <c r="F540" i="40" s="1"/>
  <c r="N644" i="39"/>
  <c r="P644" i="39"/>
  <c r="M645" i="39"/>
  <c r="H645" i="39" s="1"/>
  <c r="E646" i="39" s="1" a="1"/>
  <c r="E646" i="39" s="1"/>
  <c r="F646" i="39" s="1" a="1"/>
  <c r="F646" i="39" s="1"/>
  <c r="M646" i="39" s="1"/>
  <c r="H646" i="39" s="1"/>
  <c r="E647" i="39" s="1" a="1"/>
  <c r="E647" i="39" s="1"/>
  <c r="F647" i="39" s="1" a="1"/>
  <c r="F647" i="39" s="1"/>
  <c r="H454" i="35"/>
  <c r="E455" i="35" s="1" a="1"/>
  <c r="E455" i="35" s="1"/>
  <c r="F455" i="35" s="1" a="1"/>
  <c r="F455" i="35" s="1"/>
  <c r="M540" i="40" l="1"/>
  <c r="I540" i="40" s="1"/>
  <c r="G539" i="40"/>
  <c r="O539" i="40" s="1"/>
  <c r="I539" i="40"/>
  <c r="G645" i="39"/>
  <c r="O645" i="39" s="1"/>
  <c r="Q645" i="39" s="1"/>
  <c r="I645" i="39"/>
  <c r="M647" i="39"/>
  <c r="I647" i="39" s="1"/>
  <c r="I646" i="39"/>
  <c r="G646" i="39"/>
  <c r="O646" i="39" s="1"/>
  <c r="M455" i="35"/>
  <c r="I455" i="35" s="1"/>
  <c r="G454" i="35"/>
  <c r="O454" i="35" s="1"/>
  <c r="G540" i="40" l="1"/>
  <c r="O540" i="40" s="1"/>
  <c r="Q540" i="40" s="1"/>
  <c r="H540" i="40"/>
  <c r="E541" i="40" s="1" a="1"/>
  <c r="E541" i="40" s="1"/>
  <c r="F541" i="40" s="1" a="1"/>
  <c r="F541" i="40" s="1"/>
  <c r="M541" i="40" s="1"/>
  <c r="H541" i="40" s="1"/>
  <c r="E542" i="40" s="1" a="1"/>
  <c r="E542" i="40" s="1"/>
  <c r="F542" i="40" s="1" a="1"/>
  <c r="F542" i="40" s="1"/>
  <c r="P645" i="39"/>
  <c r="N645" i="39"/>
  <c r="P539" i="40"/>
  <c r="N539" i="40"/>
  <c r="Q539" i="40"/>
  <c r="G647" i="39"/>
  <c r="O647" i="39" s="1"/>
  <c r="N647" i="39" s="1"/>
  <c r="H647" i="39"/>
  <c r="E648" i="39" s="1" a="1"/>
  <c r="E648" i="39" s="1"/>
  <c r="F648" i="39" s="1" a="1"/>
  <c r="F648" i="39" s="1"/>
  <c r="M648" i="39" s="1"/>
  <c r="I648" i="39" s="1"/>
  <c r="N646" i="39"/>
  <c r="Q646" i="39"/>
  <c r="P646" i="39"/>
  <c r="N454" i="35"/>
  <c r="P454" i="35"/>
  <c r="Q454" i="35"/>
  <c r="P540" i="40" l="1"/>
  <c r="N540" i="40"/>
  <c r="G541" i="40"/>
  <c r="O541" i="40" s="1"/>
  <c r="N541" i="40" s="1"/>
  <c r="I541" i="40"/>
  <c r="M542" i="40"/>
  <c r="H542" i="40" s="1"/>
  <c r="E543" i="40" s="1" a="1"/>
  <c r="E543" i="40" s="1"/>
  <c r="F543" i="40" s="1" a="1"/>
  <c r="F543" i="40" s="1"/>
  <c r="P647" i="39"/>
  <c r="Q647" i="39"/>
  <c r="G648" i="39"/>
  <c r="O648" i="39" s="1"/>
  <c r="H648" i="39"/>
  <c r="E649" i="39" s="1" a="1"/>
  <c r="E649" i="39" s="1"/>
  <c r="F649" i="39" s="1" a="1"/>
  <c r="F649" i="39" s="1"/>
  <c r="G455" i="35"/>
  <c r="O455" i="35" s="1"/>
  <c r="H455" i="35"/>
  <c r="E456" i="35" s="1" a="1"/>
  <c r="E456" i="35" s="1"/>
  <c r="F456" i="35" s="1" a="1"/>
  <c r="F456" i="35" s="1"/>
  <c r="Q541" i="40" l="1"/>
  <c r="P541" i="40"/>
  <c r="M543" i="40"/>
  <c r="I543" i="40" s="1"/>
  <c r="G542" i="40"/>
  <c r="O542" i="40" s="1"/>
  <c r="I542" i="40"/>
  <c r="M649" i="39"/>
  <c r="H649" i="39" s="1"/>
  <c r="E650" i="39" s="1" a="1"/>
  <c r="E650" i="39" s="1"/>
  <c r="F650" i="39" s="1" a="1"/>
  <c r="F650" i="39" s="1"/>
  <c r="N648" i="39"/>
  <c r="Q648" i="39"/>
  <c r="P648" i="39"/>
  <c r="M456" i="35"/>
  <c r="I456" i="35" s="1"/>
  <c r="N455" i="35"/>
  <c r="P455" i="35"/>
  <c r="Q455" i="35"/>
  <c r="H543" i="40" l="1"/>
  <c r="E544" i="40" s="1" a="1"/>
  <c r="E544" i="40" s="1"/>
  <c r="F544" i="40" s="1" a="1"/>
  <c r="F544" i="40" s="1"/>
  <c r="M544" i="40" s="1"/>
  <c r="I544" i="40" s="1"/>
  <c r="G543" i="40"/>
  <c r="O543" i="40" s="1"/>
  <c r="P543" i="40" s="1"/>
  <c r="Q542" i="40"/>
  <c r="P542" i="40"/>
  <c r="N542" i="40"/>
  <c r="M650" i="39"/>
  <c r="H650" i="39" s="1"/>
  <c r="E651" i="39" s="1" a="1"/>
  <c r="E651" i="39" s="1"/>
  <c r="F651" i="39" s="1" a="1"/>
  <c r="F651" i="39" s="1"/>
  <c r="I649" i="39"/>
  <c r="G649" i="39"/>
  <c r="O649" i="39" s="1"/>
  <c r="H456" i="35"/>
  <c r="E457" i="35" s="1" a="1"/>
  <c r="E457" i="35" s="1"/>
  <c r="F457" i="35" s="1" a="1"/>
  <c r="F457" i="35" s="1"/>
  <c r="N543" i="40" l="1"/>
  <c r="Q543" i="40"/>
  <c r="G544" i="40"/>
  <c r="O544" i="40" s="1"/>
  <c r="H544" i="40"/>
  <c r="E545" i="40" s="1" a="1"/>
  <c r="E545" i="40" s="1"/>
  <c r="F545" i="40" s="1" a="1"/>
  <c r="F545" i="40" s="1"/>
  <c r="M651" i="39"/>
  <c r="I651" i="39" s="1"/>
  <c r="I650" i="39"/>
  <c r="G650" i="39"/>
  <c r="O650" i="39" s="1"/>
  <c r="N649" i="39"/>
  <c r="Q649" i="39"/>
  <c r="P649" i="39"/>
  <c r="M457" i="35"/>
  <c r="I457" i="35" s="1"/>
  <c r="G456" i="35"/>
  <c r="O456" i="35" s="1"/>
  <c r="G651" i="39" l="1"/>
  <c r="O651" i="39" s="1"/>
  <c r="H651" i="39"/>
  <c r="E652" i="39" s="1" a="1"/>
  <c r="E652" i="39" s="1"/>
  <c r="F652" i="39" s="1" a="1"/>
  <c r="F652" i="39" s="1"/>
  <c r="M652" i="39" s="1"/>
  <c r="I652" i="39" s="1"/>
  <c r="M545" i="40"/>
  <c r="H545" i="40" s="1"/>
  <c r="E546" i="40" s="1" a="1"/>
  <c r="E546" i="40" s="1"/>
  <c r="F546" i="40" s="1" a="1"/>
  <c r="F546" i="40" s="1"/>
  <c r="Q544" i="40"/>
  <c r="P544" i="40"/>
  <c r="N544" i="40"/>
  <c r="N651" i="39"/>
  <c r="Q651" i="39"/>
  <c r="P651" i="39"/>
  <c r="N650" i="39"/>
  <c r="Q650" i="39"/>
  <c r="P650" i="39"/>
  <c r="G457" i="35"/>
  <c r="O457" i="35" s="1"/>
  <c r="Q457" i="35" s="1"/>
  <c r="H457" i="35"/>
  <c r="E458" i="35" s="1" a="1"/>
  <c r="E458" i="35" s="1"/>
  <c r="F458" i="35" s="1" a="1"/>
  <c r="F458" i="35" s="1"/>
  <c r="N456" i="35"/>
  <c r="Q456" i="35"/>
  <c r="P456" i="35"/>
  <c r="M546" i="40" l="1"/>
  <c r="G546" i="40" s="1"/>
  <c r="O546" i="40" s="1"/>
  <c r="I545" i="40"/>
  <c r="G545" i="40"/>
  <c r="O545" i="40" s="1"/>
  <c r="G652" i="39"/>
  <c r="O652" i="39" s="1"/>
  <c r="N652" i="39" s="1"/>
  <c r="H652" i="39"/>
  <c r="E653" i="39" s="1" a="1"/>
  <c r="E653" i="39" s="1"/>
  <c r="F653" i="39" s="1" a="1"/>
  <c r="F653" i="39" s="1"/>
  <c r="P457" i="35"/>
  <c r="N457" i="35"/>
  <c r="M458" i="35"/>
  <c r="G458" i="35" s="1"/>
  <c r="O458" i="35" s="1"/>
  <c r="H546" i="40" l="1"/>
  <c r="E547" i="40" s="1" a="1"/>
  <c r="E547" i="40" s="1"/>
  <c r="F547" i="40" s="1" a="1"/>
  <c r="F547" i="40" s="1"/>
  <c r="M547" i="40" s="1"/>
  <c r="G547" i="40" s="1"/>
  <c r="O547" i="40" s="1"/>
  <c r="I546" i="40"/>
  <c r="Q545" i="40"/>
  <c r="N545" i="40"/>
  <c r="P545" i="40"/>
  <c r="Q546" i="40"/>
  <c r="P546" i="40"/>
  <c r="N546" i="40"/>
  <c r="P652" i="39"/>
  <c r="Q652" i="39"/>
  <c r="M653" i="39"/>
  <c r="I653" i="39" s="1"/>
  <c r="P458" i="35"/>
  <c r="N458" i="35"/>
  <c r="Q458" i="35"/>
  <c r="H458" i="35"/>
  <c r="E459" i="35" s="1" a="1"/>
  <c r="E459" i="35" s="1"/>
  <c r="F459" i="35" s="1" a="1"/>
  <c r="F459" i="35" s="1"/>
  <c r="I458" i="35"/>
  <c r="P547" i="40" l="1"/>
  <c r="Q547" i="40"/>
  <c r="N547" i="40"/>
  <c r="H547" i="40"/>
  <c r="E548" i="40" s="1" a="1"/>
  <c r="E548" i="40" s="1"/>
  <c r="F548" i="40" s="1" a="1"/>
  <c r="F548" i="40" s="1"/>
  <c r="I547" i="40"/>
  <c r="G653" i="39"/>
  <c r="O653" i="39" s="1"/>
  <c r="N653" i="39" s="1"/>
  <c r="H653" i="39"/>
  <c r="E654" i="39" s="1" a="1"/>
  <c r="E654" i="39" s="1"/>
  <c r="F654" i="39" s="1" a="1"/>
  <c r="F654" i="39" s="1"/>
  <c r="M654" i="39" s="1"/>
  <c r="H654" i="39" s="1"/>
  <c r="E655" i="39" s="1" a="1"/>
  <c r="E655" i="39" s="1"/>
  <c r="F655" i="39" s="1" a="1"/>
  <c r="F655" i="39" s="1"/>
  <c r="M459" i="35"/>
  <c r="I459" i="35" s="1"/>
  <c r="Q653" i="39" l="1"/>
  <c r="P653" i="39"/>
  <c r="M548" i="40"/>
  <c r="I548" i="40" s="1"/>
  <c r="M655" i="39"/>
  <c r="H655" i="39" s="1"/>
  <c r="E656" i="39" s="1" a="1"/>
  <c r="E656" i="39" s="1"/>
  <c r="F656" i="39" s="1" a="1"/>
  <c r="F656" i="39" s="1"/>
  <c r="I654" i="39"/>
  <c r="G654" i="39"/>
  <c r="O654" i="39" s="1"/>
  <c r="H459" i="35"/>
  <c r="E460" i="35" s="1" a="1"/>
  <c r="E460" i="35" s="1"/>
  <c r="F460" i="35" s="1" a="1"/>
  <c r="F460" i="35" s="1"/>
  <c r="G459" i="35"/>
  <c r="O459" i="35" s="1"/>
  <c r="P459" i="35" s="1"/>
  <c r="G548" i="40" l="1"/>
  <c r="O548" i="40" s="1"/>
  <c r="H548" i="40"/>
  <c r="E549" i="40" s="1" a="1"/>
  <c r="E549" i="40" s="1"/>
  <c r="F549" i="40" s="1" a="1"/>
  <c r="F549" i="40" s="1"/>
  <c r="M656" i="39"/>
  <c r="H656" i="39" s="1"/>
  <c r="E657" i="39" s="1" a="1"/>
  <c r="E657" i="39" s="1"/>
  <c r="F657" i="39" s="1" a="1"/>
  <c r="F657" i="39" s="1"/>
  <c r="I655" i="39"/>
  <c r="G655" i="39"/>
  <c r="O655" i="39" s="1"/>
  <c r="N654" i="39"/>
  <c r="Q654" i="39"/>
  <c r="P654" i="39"/>
  <c r="Q459" i="35"/>
  <c r="N459" i="35"/>
  <c r="M460" i="35"/>
  <c r="I460" i="35" s="1"/>
  <c r="M549" i="40" l="1"/>
  <c r="H549" i="40" s="1"/>
  <c r="E550" i="40" s="1" a="1"/>
  <c r="E550" i="40" s="1"/>
  <c r="F550" i="40" s="1" a="1"/>
  <c r="F550" i="40" s="1"/>
  <c r="P548" i="40"/>
  <c r="Q548" i="40"/>
  <c r="N548" i="40"/>
  <c r="M657" i="39"/>
  <c r="H657" i="39" s="1"/>
  <c r="E658" i="39" s="1" a="1"/>
  <c r="E658" i="39" s="1"/>
  <c r="F658" i="39" s="1" a="1"/>
  <c r="F658" i="39" s="1"/>
  <c r="N655" i="39"/>
  <c r="Q655" i="39"/>
  <c r="P655" i="39"/>
  <c r="G656" i="39"/>
  <c r="O656" i="39" s="1"/>
  <c r="I656" i="39"/>
  <c r="H460" i="35"/>
  <c r="E461" i="35" s="1" a="1"/>
  <c r="E461" i="35" s="1"/>
  <c r="F461" i="35" s="1" a="1"/>
  <c r="F461" i="35" s="1"/>
  <c r="M461" i="35" s="1"/>
  <c r="I461" i="35" s="1"/>
  <c r="G460" i="35"/>
  <c r="O460" i="35" s="1"/>
  <c r="G549" i="40" l="1"/>
  <c r="O549" i="40" s="1"/>
  <c r="N549" i="40" s="1"/>
  <c r="I549" i="40"/>
  <c r="M550" i="40"/>
  <c r="I550" i="40" s="1"/>
  <c r="M658" i="39"/>
  <c r="H658" i="39" s="1"/>
  <c r="E659" i="39" s="1" a="1"/>
  <c r="E659" i="39" s="1"/>
  <c r="F659" i="39" s="1" a="1"/>
  <c r="F659" i="39" s="1"/>
  <c r="N656" i="39"/>
  <c r="Q656" i="39"/>
  <c r="P656" i="39"/>
  <c r="G657" i="39"/>
  <c r="O657" i="39" s="1"/>
  <c r="I657" i="39"/>
  <c r="H461" i="35"/>
  <c r="E462" i="35" s="1" a="1"/>
  <c r="E462" i="35" s="1"/>
  <c r="F462" i="35" s="1" a="1"/>
  <c r="F462" i="35" s="1"/>
  <c r="M462" i="35" s="1"/>
  <c r="P460" i="35"/>
  <c r="N460" i="35"/>
  <c r="Q460" i="35"/>
  <c r="G461" i="35"/>
  <c r="O461" i="35" s="1"/>
  <c r="Q549" i="40" l="1"/>
  <c r="P549" i="40"/>
  <c r="H550" i="40"/>
  <c r="E551" i="40" s="1" a="1"/>
  <c r="E551" i="40" s="1"/>
  <c r="F551" i="40" s="1" a="1"/>
  <c r="F551" i="40" s="1"/>
  <c r="M551" i="40" s="1"/>
  <c r="I551" i="40" s="1"/>
  <c r="G550" i="40"/>
  <c r="O550" i="40" s="1"/>
  <c r="M659" i="39"/>
  <c r="G659" i="39" s="1"/>
  <c r="O659" i="39" s="1"/>
  <c r="G658" i="39"/>
  <c r="O658" i="39" s="1"/>
  <c r="Q657" i="39"/>
  <c r="P657" i="39"/>
  <c r="N657" i="39"/>
  <c r="I658" i="39"/>
  <c r="I462" i="35"/>
  <c r="N461" i="35"/>
  <c r="Q461" i="35"/>
  <c r="P461" i="35"/>
  <c r="H551" i="40" l="1"/>
  <c r="E552" i="40" s="1" a="1"/>
  <c r="E552" i="40" s="1"/>
  <c r="F552" i="40" s="1" a="1"/>
  <c r="F552" i="40" s="1"/>
  <c r="M552" i="40" s="1"/>
  <c r="G551" i="40"/>
  <c r="O551" i="40" s="1"/>
  <c r="P551" i="40" s="1"/>
  <c r="Q550" i="40"/>
  <c r="P550" i="40"/>
  <c r="N550" i="40"/>
  <c r="N659" i="39"/>
  <c r="Q659" i="39"/>
  <c r="P659" i="39"/>
  <c r="Q658" i="39"/>
  <c r="P658" i="39"/>
  <c r="N658" i="39"/>
  <c r="H659" i="39"/>
  <c r="E660" i="39" s="1" a="1"/>
  <c r="E660" i="39" s="1"/>
  <c r="F660" i="39" s="1" a="1"/>
  <c r="F660" i="39" s="1"/>
  <c r="I659" i="39"/>
  <c r="H462" i="35"/>
  <c r="E463" i="35" s="1" a="1"/>
  <c r="E463" i="35" s="1"/>
  <c r="F463" i="35" s="1" a="1"/>
  <c r="F463" i="35" s="1"/>
  <c r="G462" i="35"/>
  <c r="O462" i="35" s="1"/>
  <c r="N551" i="40" l="1"/>
  <c r="Q551" i="40"/>
  <c r="H552" i="40"/>
  <c r="E553" i="40" s="1" a="1"/>
  <c r="E553" i="40" s="1"/>
  <c r="F553" i="40" s="1" a="1"/>
  <c r="F553" i="40" s="1"/>
  <c r="M553" i="40" s="1"/>
  <c r="I553" i="40" s="1"/>
  <c r="I552" i="40"/>
  <c r="G552" i="40"/>
  <c r="O552" i="40" s="1"/>
  <c r="N552" i="40" s="1"/>
  <c r="M660" i="39"/>
  <c r="H660" i="39" s="1"/>
  <c r="E661" i="39" s="1" a="1"/>
  <c r="E661" i="39" s="1"/>
  <c r="F661" i="39" s="1" a="1"/>
  <c r="F661" i="39" s="1"/>
  <c r="M463" i="35"/>
  <c r="H463" i="35" s="1"/>
  <c r="E464" i="35" s="1" a="1"/>
  <c r="E464" i="35" s="1"/>
  <c r="F464" i="35" s="1" a="1"/>
  <c r="F464" i="35" s="1"/>
  <c r="Q462" i="35"/>
  <c r="N462" i="35"/>
  <c r="P462" i="35"/>
  <c r="P552" i="40" l="1"/>
  <c r="Q552" i="40"/>
  <c r="H553" i="40"/>
  <c r="E554" i="40" s="1" a="1"/>
  <c r="E554" i="40" s="1"/>
  <c r="F554" i="40" s="1" a="1"/>
  <c r="F554" i="40" s="1"/>
  <c r="G553" i="40"/>
  <c r="O553" i="40" s="1"/>
  <c r="M661" i="39"/>
  <c r="I661" i="39" s="1"/>
  <c r="I660" i="39"/>
  <c r="G660" i="39"/>
  <c r="O660" i="39" s="1"/>
  <c r="M464" i="35"/>
  <c r="I464" i="35" s="1"/>
  <c r="G463" i="35"/>
  <c r="O463" i="35" s="1"/>
  <c r="N463" i="35" s="1"/>
  <c r="I463" i="35"/>
  <c r="H661" i="39" l="1"/>
  <c r="E662" i="39" s="1" a="1"/>
  <c r="E662" i="39" s="1"/>
  <c r="F662" i="39" s="1" a="1"/>
  <c r="F662" i="39" s="1"/>
  <c r="M662" i="39" s="1"/>
  <c r="G662" i="39" s="1"/>
  <c r="O662" i="39" s="1"/>
  <c r="G661" i="39"/>
  <c r="O661" i="39" s="1"/>
  <c r="Q661" i="39" s="1"/>
  <c r="Q553" i="40"/>
  <c r="P553" i="40"/>
  <c r="N553" i="40"/>
  <c r="M554" i="40"/>
  <c r="G554" i="40" s="1"/>
  <c r="O554" i="40" s="1"/>
  <c r="N660" i="39"/>
  <c r="Q660" i="39"/>
  <c r="P660" i="39"/>
  <c r="G464" i="35"/>
  <c r="O464" i="35" s="1"/>
  <c r="P464" i="35" s="1"/>
  <c r="H464" i="35"/>
  <c r="E465" i="35" s="1" a="1"/>
  <c r="E465" i="35" s="1"/>
  <c r="F465" i="35" s="1" a="1"/>
  <c r="F465" i="35" s="1"/>
  <c r="M465" i="35" s="1"/>
  <c r="I465" i="35" s="1"/>
  <c r="Q463" i="35"/>
  <c r="P463" i="35"/>
  <c r="P661" i="39" l="1"/>
  <c r="N661" i="39"/>
  <c r="I554" i="40"/>
  <c r="Q554" i="40"/>
  <c r="P554" i="40"/>
  <c r="N554" i="40"/>
  <c r="H554" i="40"/>
  <c r="E555" i="40" s="1" a="1"/>
  <c r="E555" i="40" s="1"/>
  <c r="F555" i="40" s="1" a="1"/>
  <c r="F555" i="40" s="1"/>
  <c r="I662" i="39"/>
  <c r="N662" i="39"/>
  <c r="Q662" i="39"/>
  <c r="P662" i="39"/>
  <c r="H662" i="39"/>
  <c r="E663" i="39" s="1" a="1"/>
  <c r="E663" i="39" s="1"/>
  <c r="F663" i="39" s="1" a="1"/>
  <c r="F663" i="39" s="1"/>
  <c r="N464" i="35"/>
  <c r="Q464" i="35"/>
  <c r="H465" i="35"/>
  <c r="E466" i="35" s="1" a="1"/>
  <c r="E466" i="35" s="1"/>
  <c r="F466" i="35" s="1" a="1"/>
  <c r="F466" i="35" s="1"/>
  <c r="M466" i="35" s="1"/>
  <c r="I466" i="35" s="1"/>
  <c r="G465" i="35"/>
  <c r="O465" i="35" s="1"/>
  <c r="M555" i="40" l="1"/>
  <c r="H555" i="40" s="1"/>
  <c r="E556" i="40" s="1" a="1"/>
  <c r="E556" i="40" s="1"/>
  <c r="F556" i="40" s="1" a="1"/>
  <c r="F556" i="40" s="1"/>
  <c r="M663" i="39"/>
  <c r="H663" i="39" s="1"/>
  <c r="E664" i="39" s="1" a="1"/>
  <c r="E664" i="39" s="1"/>
  <c r="F664" i="39" s="1" a="1"/>
  <c r="F664" i="39" s="1"/>
  <c r="G466" i="35"/>
  <c r="O466" i="35" s="1"/>
  <c r="H466" i="35"/>
  <c r="E467" i="35" s="1" a="1"/>
  <c r="E467" i="35" s="1"/>
  <c r="F467" i="35" s="1" a="1"/>
  <c r="F467" i="35" s="1"/>
  <c r="N465" i="35"/>
  <c r="P465" i="35"/>
  <c r="Q465" i="35"/>
  <c r="I555" i="40" l="1"/>
  <c r="G555" i="40"/>
  <c r="O555" i="40" s="1"/>
  <c r="P555" i="40" s="1"/>
  <c r="M556" i="40"/>
  <c r="H556" i="40" s="1"/>
  <c r="E557" i="40" s="1" a="1"/>
  <c r="E557" i="40" s="1"/>
  <c r="F557" i="40" s="1" a="1"/>
  <c r="F557" i="40" s="1"/>
  <c r="M664" i="39"/>
  <c r="I664" i="39" s="1"/>
  <c r="I663" i="39"/>
  <c r="G663" i="39"/>
  <c r="O663" i="39" s="1"/>
  <c r="M467" i="35"/>
  <c r="I467" i="35" s="1"/>
  <c r="Q466" i="35"/>
  <c r="N466" i="35"/>
  <c r="P466" i="35"/>
  <c r="Q555" i="40" l="1"/>
  <c r="N555" i="40"/>
  <c r="H664" i="39"/>
  <c r="E665" i="39" s="1" a="1"/>
  <c r="E665" i="39" s="1"/>
  <c r="F665" i="39" s="1" a="1"/>
  <c r="F665" i="39" s="1"/>
  <c r="M665" i="39" s="1"/>
  <c r="I665" i="39" s="1"/>
  <c r="G664" i="39"/>
  <c r="O664" i="39" s="1"/>
  <c r="Q664" i="39" s="1"/>
  <c r="M557" i="40"/>
  <c r="H557" i="40" s="1"/>
  <c r="E558" i="40" s="1" a="1"/>
  <c r="E558" i="40" s="1"/>
  <c r="F558" i="40" s="1" a="1"/>
  <c r="F558" i="40" s="1"/>
  <c r="G556" i="40"/>
  <c r="O556" i="40" s="1"/>
  <c r="I556" i="40"/>
  <c r="N663" i="39"/>
  <c r="Q663" i="39"/>
  <c r="P663" i="39"/>
  <c r="G467" i="35"/>
  <c r="O467" i="35" s="1"/>
  <c r="H467" i="35"/>
  <c r="E468" i="35" s="1" a="1"/>
  <c r="E468" i="35" s="1"/>
  <c r="F468" i="35" s="1" a="1"/>
  <c r="F468" i="35" s="1"/>
  <c r="N664" i="39" l="1"/>
  <c r="P664" i="39"/>
  <c r="M558" i="40"/>
  <c r="I558" i="40" s="1"/>
  <c r="G557" i="40"/>
  <c r="O557" i="40" s="1"/>
  <c r="I557" i="40"/>
  <c r="Q556" i="40"/>
  <c r="P556" i="40"/>
  <c r="N556" i="40"/>
  <c r="G665" i="39"/>
  <c r="O665" i="39" s="1"/>
  <c r="H665" i="39"/>
  <c r="E666" i="39" s="1" a="1"/>
  <c r="E666" i="39" s="1"/>
  <c r="F666" i="39" s="1" a="1"/>
  <c r="F666" i="39" s="1"/>
  <c r="M468" i="35"/>
  <c r="I468" i="35" s="1"/>
  <c r="P467" i="35"/>
  <c r="Q467" i="35"/>
  <c r="N467" i="35"/>
  <c r="G558" i="40" l="1"/>
  <c r="O558" i="40" s="1"/>
  <c r="N558" i="40" s="1"/>
  <c r="H558" i="40"/>
  <c r="E559" i="40" s="1" a="1"/>
  <c r="E559" i="40" s="1"/>
  <c r="F559" i="40" s="1" a="1"/>
  <c r="F559" i="40" s="1"/>
  <c r="M559" i="40" s="1"/>
  <c r="G559" i="40" s="1"/>
  <c r="O559" i="40" s="1"/>
  <c r="N557" i="40"/>
  <c r="Q557" i="40"/>
  <c r="P557" i="40"/>
  <c r="M666" i="39"/>
  <c r="H666" i="39" s="1"/>
  <c r="E667" i="39" s="1" a="1"/>
  <c r="E667" i="39" s="1"/>
  <c r="F667" i="39" s="1" a="1"/>
  <c r="F667" i="39" s="1"/>
  <c r="Q665" i="39"/>
  <c r="P665" i="39"/>
  <c r="N665" i="39"/>
  <c r="G468" i="35"/>
  <c r="O468" i="35" s="1"/>
  <c r="P558" i="40" l="1"/>
  <c r="Q558" i="40"/>
  <c r="H559" i="40"/>
  <c r="E560" i="40" s="1" a="1"/>
  <c r="E560" i="40" s="1"/>
  <c r="F560" i="40" s="1" a="1"/>
  <c r="F560" i="40" s="1"/>
  <c r="M560" i="40" s="1"/>
  <c r="G560" i="40" s="1"/>
  <c r="O560" i="40" s="1"/>
  <c r="Q559" i="40"/>
  <c r="P559" i="40"/>
  <c r="N559" i="40"/>
  <c r="I559" i="40"/>
  <c r="I666" i="39"/>
  <c r="M667" i="39"/>
  <c r="H667" i="39" s="1"/>
  <c r="E668" i="39" s="1" a="1"/>
  <c r="E668" i="39" s="1"/>
  <c r="F668" i="39" s="1" a="1"/>
  <c r="F668" i="39" s="1"/>
  <c r="G666" i="39"/>
  <c r="O666" i="39" s="1"/>
  <c r="Q468" i="35"/>
  <c r="P468" i="35"/>
  <c r="N468" i="35"/>
  <c r="H468" i="35"/>
  <c r="E469" i="35" s="1" a="1"/>
  <c r="E469" i="35" s="1"/>
  <c r="F469" i="35" s="1" a="1"/>
  <c r="F469" i="35" s="1"/>
  <c r="N560" i="40" l="1"/>
  <c r="Q560" i="40"/>
  <c r="P560" i="40"/>
  <c r="H560" i="40"/>
  <c r="E561" i="40" s="1" a="1"/>
  <c r="E561" i="40" s="1"/>
  <c r="F561" i="40" s="1" a="1"/>
  <c r="F561" i="40" s="1"/>
  <c r="I560" i="40"/>
  <c r="I667" i="39"/>
  <c r="M668" i="39"/>
  <c r="I668" i="39" s="1"/>
  <c r="Q666" i="39"/>
  <c r="P666" i="39"/>
  <c r="N666" i="39"/>
  <c r="G667" i="39"/>
  <c r="O667" i="39" s="1"/>
  <c r="M469" i="35"/>
  <c r="I469" i="35" s="1"/>
  <c r="M561" i="40" l="1"/>
  <c r="H561" i="40" s="1"/>
  <c r="E562" i="40" s="1" a="1"/>
  <c r="E562" i="40" s="1"/>
  <c r="F562" i="40" s="1" a="1"/>
  <c r="F562" i="40" s="1"/>
  <c r="G668" i="39"/>
  <c r="O668" i="39" s="1"/>
  <c r="N668" i="39" s="1"/>
  <c r="H668" i="39"/>
  <c r="E669" i="39" s="1" a="1"/>
  <c r="E669" i="39" s="1"/>
  <c r="F669" i="39" s="1" a="1"/>
  <c r="F669" i="39" s="1"/>
  <c r="M669" i="39" s="1"/>
  <c r="I669" i="39" s="1"/>
  <c r="N667" i="39"/>
  <c r="Q667" i="39"/>
  <c r="P667" i="39"/>
  <c r="Q668" i="39"/>
  <c r="H469" i="35"/>
  <c r="E470" i="35" s="1" a="1"/>
  <c r="E470" i="35" s="1"/>
  <c r="F470" i="35" s="1" a="1"/>
  <c r="F470" i="35" s="1"/>
  <c r="G469" i="35"/>
  <c r="O469" i="35" s="1"/>
  <c r="P668" i="39" l="1"/>
  <c r="G561" i="40"/>
  <c r="O561" i="40" s="1"/>
  <c r="P561" i="40" s="1"/>
  <c r="I561" i="40"/>
  <c r="M562" i="40"/>
  <c r="H562" i="40" s="1"/>
  <c r="E563" i="40" s="1" a="1"/>
  <c r="E563" i="40" s="1"/>
  <c r="F563" i="40" s="1" a="1"/>
  <c r="F563" i="40" s="1"/>
  <c r="G669" i="39"/>
  <c r="O669" i="39" s="1"/>
  <c r="N669" i="39" s="1"/>
  <c r="H669" i="39"/>
  <c r="E670" i="39" s="1" a="1"/>
  <c r="E670" i="39" s="1"/>
  <c r="F670" i="39" s="1" a="1"/>
  <c r="F670" i="39" s="1"/>
  <c r="M670" i="39" s="1"/>
  <c r="H670" i="39" s="1"/>
  <c r="E671" i="39" s="1" a="1"/>
  <c r="E671" i="39" s="1"/>
  <c r="F671" i="39" s="1" a="1"/>
  <c r="F671" i="39" s="1"/>
  <c r="M470" i="35"/>
  <c r="I470" i="35" s="1"/>
  <c r="N469" i="35"/>
  <c r="Q469" i="35"/>
  <c r="P469" i="35"/>
  <c r="N561" i="40" l="1"/>
  <c r="Q561" i="40"/>
  <c r="G562" i="40"/>
  <c r="O562" i="40" s="1"/>
  <c r="P562" i="40" s="1"/>
  <c r="I562" i="40"/>
  <c r="P669" i="39"/>
  <c r="Q669" i="39"/>
  <c r="M563" i="40"/>
  <c r="G563" i="40" s="1"/>
  <c r="O563" i="40" s="1"/>
  <c r="I670" i="39"/>
  <c r="M671" i="39"/>
  <c r="I671" i="39" s="1"/>
  <c r="G670" i="39"/>
  <c r="O670" i="39" s="1"/>
  <c r="G470" i="35"/>
  <c r="O470" i="35" s="1"/>
  <c r="N470" i="35" s="1"/>
  <c r="H470" i="35"/>
  <c r="E471" i="35" s="1" a="1"/>
  <c r="E471" i="35" s="1"/>
  <c r="F471" i="35" s="1" a="1"/>
  <c r="F471" i="35" s="1"/>
  <c r="M471" i="35" s="1"/>
  <c r="H471" i="35" s="1"/>
  <c r="E472" i="35" s="1" a="1"/>
  <c r="E472" i="35" s="1"/>
  <c r="F472" i="35" s="1" a="1"/>
  <c r="F472" i="35" s="1"/>
  <c r="Q562" i="40" l="1"/>
  <c r="N562" i="40"/>
  <c r="H563" i="40"/>
  <c r="E564" i="40" s="1" a="1"/>
  <c r="E564" i="40" s="1"/>
  <c r="F564" i="40" s="1" a="1"/>
  <c r="F564" i="40" s="1"/>
  <c r="M564" i="40" s="1"/>
  <c r="G564" i="40" s="1"/>
  <c r="O564" i="40" s="1"/>
  <c r="I563" i="40"/>
  <c r="N563" i="40"/>
  <c r="P563" i="40"/>
  <c r="Q563" i="40"/>
  <c r="G671" i="39"/>
  <c r="O671" i="39" s="1"/>
  <c r="N671" i="39" s="1"/>
  <c r="H671" i="39"/>
  <c r="E672" i="39" s="1" a="1"/>
  <c r="E672" i="39" s="1"/>
  <c r="F672" i="39" s="1" a="1"/>
  <c r="F672" i="39" s="1"/>
  <c r="M672" i="39" s="1"/>
  <c r="I672" i="39" s="1"/>
  <c r="N670" i="39"/>
  <c r="Q670" i="39"/>
  <c r="P670" i="39"/>
  <c r="P470" i="35"/>
  <c r="Q470" i="35"/>
  <c r="G471" i="35"/>
  <c r="O471" i="35" s="1"/>
  <c r="N471" i="35" s="1"/>
  <c r="M472" i="35"/>
  <c r="I472" i="35" s="1"/>
  <c r="I471" i="35"/>
  <c r="I564" i="40" l="1"/>
  <c r="P564" i="40"/>
  <c r="Q564" i="40"/>
  <c r="N564" i="40"/>
  <c r="H564" i="40"/>
  <c r="E565" i="40" s="1" a="1"/>
  <c r="E565" i="40" s="1"/>
  <c r="F565" i="40" s="1" a="1"/>
  <c r="F565" i="40" s="1"/>
  <c r="P671" i="39"/>
  <c r="Q671" i="39"/>
  <c r="H672" i="39"/>
  <c r="E673" i="39" s="1" a="1"/>
  <c r="E673" i="39" s="1"/>
  <c r="F673" i="39" s="1" a="1"/>
  <c r="F673" i="39" s="1"/>
  <c r="G672" i="39"/>
  <c r="O672" i="39" s="1"/>
  <c r="P471" i="35"/>
  <c r="Q471" i="35"/>
  <c r="H472" i="35"/>
  <c r="E473" i="35" s="1" a="1"/>
  <c r="E473" i="35" s="1"/>
  <c r="F473" i="35" s="1" a="1"/>
  <c r="F473" i="35" s="1"/>
  <c r="M565" i="40" l="1"/>
  <c r="H565" i="40" s="1"/>
  <c r="E566" i="40" s="1" a="1"/>
  <c r="E566" i="40" s="1"/>
  <c r="F566" i="40" s="1" a="1"/>
  <c r="F566" i="40" s="1"/>
  <c r="N672" i="39"/>
  <c r="Q672" i="39"/>
  <c r="P672" i="39"/>
  <c r="M673" i="39"/>
  <c r="I673" i="39" s="1"/>
  <c r="M473" i="35"/>
  <c r="I473" i="35" s="1"/>
  <c r="G472" i="35"/>
  <c r="O472" i="35" s="1"/>
  <c r="M566" i="40" l="1"/>
  <c r="G566" i="40" s="1"/>
  <c r="O566" i="40" s="1"/>
  <c r="G565" i="40"/>
  <c r="O565" i="40" s="1"/>
  <c r="I565" i="40"/>
  <c r="G673" i="39"/>
  <c r="O673" i="39" s="1"/>
  <c r="H673" i="39"/>
  <c r="E674" i="39" s="1" a="1"/>
  <c r="E674" i="39" s="1"/>
  <c r="F674" i="39" s="1" a="1"/>
  <c r="F674" i="39" s="1"/>
  <c r="P472" i="35"/>
  <c r="Q472" i="35"/>
  <c r="N472" i="35"/>
  <c r="G473" i="35"/>
  <c r="O473" i="35" s="1"/>
  <c r="H566" i="40" l="1"/>
  <c r="E567" i="40" s="1" a="1"/>
  <c r="E567" i="40" s="1"/>
  <c r="F567" i="40" s="1" a="1"/>
  <c r="F567" i="40" s="1"/>
  <c r="M567" i="40" s="1"/>
  <c r="I567" i="40" s="1"/>
  <c r="N566" i="40"/>
  <c r="P566" i="40"/>
  <c r="Q566" i="40"/>
  <c r="P565" i="40"/>
  <c r="N565" i="40"/>
  <c r="Q565" i="40"/>
  <c r="I566" i="40"/>
  <c r="M674" i="39"/>
  <c r="H674" i="39" s="1"/>
  <c r="E675" i="39" s="1" a="1"/>
  <c r="E675" i="39" s="1"/>
  <c r="F675" i="39" s="1" a="1"/>
  <c r="F675" i="39" s="1"/>
  <c r="N673" i="39"/>
  <c r="Q673" i="39"/>
  <c r="P673" i="39"/>
  <c r="Q473" i="35"/>
  <c r="P473" i="35"/>
  <c r="N473" i="35"/>
  <c r="H473" i="35"/>
  <c r="E474" i="35" s="1" a="1"/>
  <c r="E474" i="35" s="1"/>
  <c r="F474" i="35" s="1" a="1"/>
  <c r="F474" i="35" s="1"/>
  <c r="G567" i="40" l="1"/>
  <c r="O567" i="40" s="1"/>
  <c r="P567" i="40" s="1"/>
  <c r="H567" i="40"/>
  <c r="E568" i="40" s="1" a="1"/>
  <c r="E568" i="40" s="1"/>
  <c r="F568" i="40" s="1" a="1"/>
  <c r="F568" i="40" s="1"/>
  <c r="M568" i="40" s="1"/>
  <c r="G568" i="40" s="1"/>
  <c r="O568" i="40" s="1"/>
  <c r="M675" i="39"/>
  <c r="I675" i="39" s="1"/>
  <c r="G674" i="39"/>
  <c r="O674" i="39" s="1"/>
  <c r="I674" i="39"/>
  <c r="M474" i="35"/>
  <c r="I474" i="35" s="1"/>
  <c r="N567" i="40" l="1"/>
  <c r="Q567" i="40"/>
  <c r="N568" i="40"/>
  <c r="Q568" i="40"/>
  <c r="P568" i="40"/>
  <c r="G675" i="39"/>
  <c r="O675" i="39" s="1"/>
  <c r="N675" i="39" s="1"/>
  <c r="H568" i="40"/>
  <c r="E569" i="40" s="1" a="1"/>
  <c r="E569" i="40" s="1"/>
  <c r="F569" i="40" s="1" a="1"/>
  <c r="F569" i="40" s="1"/>
  <c r="H675" i="39"/>
  <c r="E676" i="39" s="1" a="1"/>
  <c r="E676" i="39" s="1"/>
  <c r="F676" i="39" s="1" a="1"/>
  <c r="F676" i="39" s="1"/>
  <c r="M676" i="39" s="1"/>
  <c r="I676" i="39" s="1"/>
  <c r="I568" i="40"/>
  <c r="N674" i="39"/>
  <c r="Q674" i="39"/>
  <c r="P674" i="39"/>
  <c r="P675" i="39" l="1"/>
  <c r="Q675" i="39"/>
  <c r="M569" i="40"/>
  <c r="H569" i="40" s="1"/>
  <c r="E570" i="40" s="1" a="1"/>
  <c r="E570" i="40" s="1"/>
  <c r="F570" i="40" s="1" a="1"/>
  <c r="F570" i="40" s="1"/>
  <c r="G676" i="39"/>
  <c r="O676" i="39" s="1"/>
  <c r="H676" i="39"/>
  <c r="E677" i="39" s="1" a="1"/>
  <c r="E677" i="39" s="1"/>
  <c r="F677" i="39" s="1" a="1"/>
  <c r="F677" i="39" s="1"/>
  <c r="H474" i="35"/>
  <c r="E475" i="35" s="1" a="1"/>
  <c r="E475" i="35" s="1"/>
  <c r="F475" i="35" s="1" a="1"/>
  <c r="F475" i="35" s="1"/>
  <c r="G474" i="35"/>
  <c r="O474" i="35" s="1"/>
  <c r="I569" i="40" l="1"/>
  <c r="M570" i="40"/>
  <c r="I570" i="40" s="1"/>
  <c r="G569" i="40"/>
  <c r="O569" i="40" s="1"/>
  <c r="M677" i="39"/>
  <c r="H677" i="39" s="1"/>
  <c r="E678" i="39" s="1" a="1"/>
  <c r="E678" i="39" s="1"/>
  <c r="F678" i="39" s="1" a="1"/>
  <c r="F678" i="39" s="1"/>
  <c r="N676" i="39"/>
  <c r="Q676" i="39"/>
  <c r="P676" i="39"/>
  <c r="M475" i="35"/>
  <c r="I475" i="35" s="1"/>
  <c r="N474" i="35"/>
  <c r="P474" i="35"/>
  <c r="Q474" i="35"/>
  <c r="H570" i="40" l="1"/>
  <c r="E571" i="40" s="1" a="1"/>
  <c r="E571" i="40" s="1"/>
  <c r="F571" i="40" s="1" a="1"/>
  <c r="F571" i="40" s="1"/>
  <c r="M571" i="40" s="1"/>
  <c r="I571" i="40" s="1"/>
  <c r="G570" i="40"/>
  <c r="O570" i="40" s="1"/>
  <c r="N570" i="40" s="1"/>
  <c r="N569" i="40"/>
  <c r="Q569" i="40"/>
  <c r="P569" i="40"/>
  <c r="M678" i="39"/>
  <c r="H678" i="39" s="1"/>
  <c r="E679" i="39" s="1" a="1"/>
  <c r="E679" i="39" s="1"/>
  <c r="F679" i="39" s="1" a="1"/>
  <c r="F679" i="39" s="1"/>
  <c r="G677" i="39"/>
  <c r="O677" i="39" s="1"/>
  <c r="I677" i="39"/>
  <c r="H475" i="35"/>
  <c r="E476" i="35" s="1" a="1"/>
  <c r="E476" i="35" s="1"/>
  <c r="F476" i="35" s="1" a="1"/>
  <c r="F476" i="35" s="1"/>
  <c r="M476" i="35" s="1"/>
  <c r="I476" i="35" s="1"/>
  <c r="G475" i="35"/>
  <c r="O475" i="35" s="1"/>
  <c r="Q475" i="35" s="1"/>
  <c r="Q570" i="40" l="1"/>
  <c r="P570" i="40"/>
  <c r="H571" i="40"/>
  <c r="E572" i="40" s="1" a="1"/>
  <c r="E572" i="40" s="1"/>
  <c r="F572" i="40" s="1" a="1"/>
  <c r="F572" i="40" s="1"/>
  <c r="I678" i="39"/>
  <c r="G571" i="40"/>
  <c r="O571" i="40" s="1"/>
  <c r="M679" i="39"/>
  <c r="H679" i="39" s="1"/>
  <c r="E680" i="39" s="1" a="1"/>
  <c r="E680" i="39" s="1"/>
  <c r="F680" i="39" s="1" a="1"/>
  <c r="F680" i="39" s="1"/>
  <c r="G678" i="39"/>
  <c r="O678" i="39" s="1"/>
  <c r="Q677" i="39"/>
  <c r="P677" i="39"/>
  <c r="N677" i="39"/>
  <c r="N475" i="35"/>
  <c r="P475" i="35"/>
  <c r="H476" i="35"/>
  <c r="E477" i="35" s="1" a="1"/>
  <c r="E477" i="35" s="1"/>
  <c r="F477" i="35" s="1" a="1"/>
  <c r="F477" i="35" s="1"/>
  <c r="N571" i="40" l="1"/>
  <c r="Q571" i="40"/>
  <c r="P571" i="40"/>
  <c r="M572" i="40"/>
  <c r="H572" i="40" s="1"/>
  <c r="E573" i="40" s="1" a="1"/>
  <c r="E573" i="40" s="1"/>
  <c r="F573" i="40" s="1" a="1"/>
  <c r="F573" i="40" s="1"/>
  <c r="M680" i="39"/>
  <c r="I680" i="39" s="1"/>
  <c r="I679" i="39"/>
  <c r="G679" i="39"/>
  <c r="O679" i="39" s="1"/>
  <c r="N678" i="39"/>
  <c r="Q678" i="39"/>
  <c r="P678" i="39"/>
  <c r="M477" i="35"/>
  <c r="I477" i="35" s="1"/>
  <c r="G476" i="35"/>
  <c r="O476" i="35" s="1"/>
  <c r="H680" i="39" l="1"/>
  <c r="E681" i="39" s="1" a="1"/>
  <c r="E681" i="39" s="1"/>
  <c r="F681" i="39" s="1" a="1"/>
  <c r="F681" i="39" s="1"/>
  <c r="M681" i="39" s="1"/>
  <c r="I681" i="39" s="1"/>
  <c r="G680" i="39"/>
  <c r="O680" i="39" s="1"/>
  <c r="N680" i="39" s="1"/>
  <c r="M573" i="40"/>
  <c r="H573" i="40" s="1"/>
  <c r="E574" i="40" s="1" a="1"/>
  <c r="E574" i="40" s="1"/>
  <c r="F574" i="40" s="1" a="1"/>
  <c r="F574" i="40" s="1"/>
  <c r="I572" i="40"/>
  <c r="G572" i="40"/>
  <c r="O572" i="40" s="1"/>
  <c r="N679" i="39"/>
  <c r="Q679" i="39"/>
  <c r="P679" i="39"/>
  <c r="H477" i="35"/>
  <c r="E478" i="35" s="1" a="1"/>
  <c r="E478" i="35" s="1"/>
  <c r="F478" i="35" s="1" a="1"/>
  <c r="F478" i="35" s="1"/>
  <c r="M478" i="35" s="1"/>
  <c r="H478" i="35" s="1"/>
  <c r="E479" i="35" s="1" a="1"/>
  <c r="E479" i="35" s="1"/>
  <c r="F479" i="35" s="1" a="1"/>
  <c r="F479" i="35" s="1"/>
  <c r="G477" i="35"/>
  <c r="O477" i="35" s="1"/>
  <c r="N477" i="35" s="1"/>
  <c r="Q476" i="35"/>
  <c r="P476" i="35"/>
  <c r="N476" i="35"/>
  <c r="P680" i="39" l="1"/>
  <c r="Q680" i="39"/>
  <c r="M574" i="40"/>
  <c r="G574" i="40" s="1"/>
  <c r="O574" i="40" s="1"/>
  <c r="Q572" i="40"/>
  <c r="P572" i="40"/>
  <c r="N572" i="40"/>
  <c r="G573" i="40"/>
  <c r="O573" i="40" s="1"/>
  <c r="I573" i="40"/>
  <c r="G681" i="39"/>
  <c r="O681" i="39" s="1"/>
  <c r="N681" i="39" s="1"/>
  <c r="H681" i="39"/>
  <c r="E682" i="39" s="1" a="1"/>
  <c r="E682" i="39" s="1"/>
  <c r="F682" i="39" s="1" a="1"/>
  <c r="F682" i="39" s="1"/>
  <c r="M682" i="39" s="1"/>
  <c r="G682" i="39" s="1"/>
  <c r="O682" i="39" s="1"/>
  <c r="P477" i="35"/>
  <c r="Q477" i="35"/>
  <c r="G478" i="35"/>
  <c r="O478" i="35" s="1"/>
  <c r="Q478" i="35" s="1"/>
  <c r="M479" i="35"/>
  <c r="I479" i="35" s="1"/>
  <c r="I478" i="35"/>
  <c r="P681" i="39" l="1"/>
  <c r="H574" i="40"/>
  <c r="E575" i="40" s="1" a="1"/>
  <c r="E575" i="40" s="1"/>
  <c r="F575" i="40" s="1" a="1"/>
  <c r="F575" i="40" s="1"/>
  <c r="M575" i="40" s="1"/>
  <c r="I575" i="40" s="1"/>
  <c r="P574" i="40"/>
  <c r="Q574" i="40"/>
  <c r="N574" i="40"/>
  <c r="Q681" i="39"/>
  <c r="I574" i="40"/>
  <c r="Q573" i="40"/>
  <c r="N573" i="40"/>
  <c r="P573" i="40"/>
  <c r="I682" i="39"/>
  <c r="N682" i="39"/>
  <c r="Q682" i="39"/>
  <c r="P682" i="39"/>
  <c r="H682" i="39"/>
  <c r="E683" i="39" s="1" a="1"/>
  <c r="E683" i="39" s="1"/>
  <c r="F683" i="39" s="1" a="1"/>
  <c r="F683" i="39" s="1"/>
  <c r="P478" i="35"/>
  <c r="N478" i="35"/>
  <c r="G479" i="35"/>
  <c r="O479" i="35" s="1"/>
  <c r="P479" i="35" s="1"/>
  <c r="H479" i="35"/>
  <c r="E480" i="35" s="1" a="1"/>
  <c r="E480" i="35" s="1"/>
  <c r="F480" i="35" s="1" a="1"/>
  <c r="F480" i="35" s="1"/>
  <c r="G575" i="40" l="1"/>
  <c r="O575" i="40" s="1"/>
  <c r="H575" i="40"/>
  <c r="E576" i="40" s="1" a="1"/>
  <c r="E576" i="40" s="1"/>
  <c r="F576" i="40" s="1" a="1"/>
  <c r="F576" i="40" s="1"/>
  <c r="M683" i="39"/>
  <c r="H683" i="39" s="1"/>
  <c r="E684" i="39" s="1" a="1"/>
  <c r="E684" i="39" s="1"/>
  <c r="F684" i="39" s="1" a="1"/>
  <c r="F684" i="39" s="1"/>
  <c r="Q479" i="35"/>
  <c r="N479" i="35"/>
  <c r="M480" i="35"/>
  <c r="H480" i="35" s="1"/>
  <c r="E481" i="35" s="1" a="1"/>
  <c r="E481" i="35" s="1"/>
  <c r="F481" i="35" s="1" a="1"/>
  <c r="F481" i="35" s="1"/>
  <c r="M576" i="40" l="1"/>
  <c r="I576" i="40" s="1"/>
  <c r="P575" i="40"/>
  <c r="N575" i="40"/>
  <c r="Q575" i="40"/>
  <c r="M684" i="39"/>
  <c r="I684" i="39" s="1"/>
  <c r="I683" i="39"/>
  <c r="G683" i="39"/>
  <c r="O683" i="39" s="1"/>
  <c r="I480" i="35"/>
  <c r="G480" i="35"/>
  <c r="O480" i="35" s="1"/>
  <c r="M481" i="35"/>
  <c r="H481" i="35" s="1"/>
  <c r="E482" i="35" s="1" a="1"/>
  <c r="E482" i="35" s="1"/>
  <c r="F482" i="35" s="1" a="1"/>
  <c r="F482" i="35" s="1"/>
  <c r="H576" i="40" l="1"/>
  <c r="E577" i="40" s="1" a="1"/>
  <c r="E577" i="40" s="1"/>
  <c r="F577" i="40" s="1" a="1"/>
  <c r="F577" i="40" s="1"/>
  <c r="M577" i="40" s="1"/>
  <c r="G577" i="40" s="1"/>
  <c r="O577" i="40" s="1"/>
  <c r="G684" i="39"/>
  <c r="O684" i="39" s="1"/>
  <c r="Q684" i="39" s="1"/>
  <c r="G576" i="40"/>
  <c r="O576" i="40" s="1"/>
  <c r="P576" i="40" s="1"/>
  <c r="H684" i="39"/>
  <c r="E685" i="39" s="1" a="1"/>
  <c r="E685" i="39" s="1"/>
  <c r="F685" i="39" s="1" a="1"/>
  <c r="F685" i="39" s="1"/>
  <c r="M685" i="39" s="1"/>
  <c r="I685" i="39" s="1"/>
  <c r="N683" i="39"/>
  <c r="Q683" i="39"/>
  <c r="P683" i="39"/>
  <c r="P480" i="35"/>
  <c r="N480" i="35"/>
  <c r="Q480" i="35"/>
  <c r="G481" i="35"/>
  <c r="O481" i="35" s="1"/>
  <c r="Q481" i="35" s="1"/>
  <c r="I481" i="35"/>
  <c r="M482" i="35"/>
  <c r="I482" i="35" s="1"/>
  <c r="P684" i="39" l="1"/>
  <c r="N684" i="39"/>
  <c r="Q576" i="40"/>
  <c r="N576" i="40"/>
  <c r="N577" i="40"/>
  <c r="Q577" i="40"/>
  <c r="P577" i="40"/>
  <c r="I577" i="40"/>
  <c r="H577" i="40"/>
  <c r="E578" i="40" s="1" a="1"/>
  <c r="E578" i="40" s="1"/>
  <c r="F578" i="40" s="1" a="1"/>
  <c r="F578" i="40" s="1"/>
  <c r="H685" i="39"/>
  <c r="E686" i="39" s="1" a="1"/>
  <c r="E686" i="39" s="1"/>
  <c r="F686" i="39" s="1" a="1"/>
  <c r="F686" i="39" s="1"/>
  <c r="M686" i="39" s="1"/>
  <c r="H686" i="39" s="1"/>
  <c r="E687" i="39" s="1" a="1"/>
  <c r="E687" i="39" s="1"/>
  <c r="F687" i="39" s="1" a="1"/>
  <c r="F687" i="39" s="1"/>
  <c r="G685" i="39"/>
  <c r="O685" i="39" s="1"/>
  <c r="N481" i="35"/>
  <c r="P481" i="35"/>
  <c r="H482" i="35"/>
  <c r="E483" i="35" s="1" a="1"/>
  <c r="E483" i="35" s="1"/>
  <c r="F483" i="35" s="1" a="1"/>
  <c r="F483" i="35" s="1"/>
  <c r="M578" i="40" l="1"/>
  <c r="H578" i="40" s="1"/>
  <c r="E579" i="40" s="1" a="1"/>
  <c r="E579" i="40" s="1"/>
  <c r="F579" i="40" s="1" a="1"/>
  <c r="F579" i="40" s="1"/>
  <c r="M687" i="39"/>
  <c r="H687" i="39" s="1"/>
  <c r="E688" i="39" s="1" a="1"/>
  <c r="E688" i="39" s="1"/>
  <c r="F688" i="39" s="1" a="1"/>
  <c r="F688" i="39" s="1"/>
  <c r="Q685" i="39"/>
  <c r="P685" i="39"/>
  <c r="N685" i="39"/>
  <c r="I686" i="39"/>
  <c r="G686" i="39"/>
  <c r="O686" i="39" s="1"/>
  <c r="M483" i="35"/>
  <c r="I483" i="35" s="1"/>
  <c r="G482" i="35"/>
  <c r="O482" i="35" s="1"/>
  <c r="I578" i="40" l="1"/>
  <c r="G578" i="40"/>
  <c r="O578" i="40" s="1"/>
  <c r="Q578" i="40" s="1"/>
  <c r="G687" i="39"/>
  <c r="O687" i="39" s="1"/>
  <c r="Q687" i="39" s="1"/>
  <c r="I687" i="39"/>
  <c r="M579" i="40"/>
  <c r="I579" i="40" s="1"/>
  <c r="M688" i="39"/>
  <c r="H688" i="39" s="1"/>
  <c r="E689" i="39" s="1" a="1"/>
  <c r="E689" i="39" s="1"/>
  <c r="F689" i="39" s="1" a="1"/>
  <c r="F689" i="39" s="1"/>
  <c r="N686" i="39"/>
  <c r="Q686" i="39"/>
  <c r="P686" i="39"/>
  <c r="G483" i="35"/>
  <c r="O483" i="35" s="1"/>
  <c r="Q483" i="35" s="1"/>
  <c r="N482" i="35"/>
  <c r="Q482" i="35"/>
  <c r="P482" i="35"/>
  <c r="H483" i="35"/>
  <c r="E484" i="35" s="1" a="1"/>
  <c r="E484" i="35" s="1"/>
  <c r="F484" i="35" s="1" a="1"/>
  <c r="F484" i="35" s="1"/>
  <c r="P578" i="40" l="1"/>
  <c r="N578" i="40"/>
  <c r="N687" i="39"/>
  <c r="P687" i="39"/>
  <c r="G688" i="39"/>
  <c r="O688" i="39" s="1"/>
  <c r="P688" i="39" s="1"/>
  <c r="G579" i="40"/>
  <c r="O579" i="40" s="1"/>
  <c r="P579" i="40" s="1"/>
  <c r="H579" i="40"/>
  <c r="E580" i="40" s="1" a="1"/>
  <c r="E580" i="40" s="1"/>
  <c r="F580" i="40" s="1" a="1"/>
  <c r="F580" i="40" s="1"/>
  <c r="I688" i="39"/>
  <c r="M689" i="39"/>
  <c r="H689" i="39" s="1"/>
  <c r="E690" i="39" s="1" a="1"/>
  <c r="E690" i="39" s="1"/>
  <c r="F690" i="39" s="1" a="1"/>
  <c r="F690" i="39" s="1"/>
  <c r="P483" i="35"/>
  <c r="N483" i="35"/>
  <c r="M484" i="35"/>
  <c r="I484" i="35" s="1"/>
  <c r="N688" i="39" l="1"/>
  <c r="Q688" i="39"/>
  <c r="N579" i="40"/>
  <c r="Q579" i="40"/>
  <c r="M580" i="40"/>
  <c r="H580" i="40" s="1"/>
  <c r="E581" i="40" s="1" a="1"/>
  <c r="E581" i="40" s="1"/>
  <c r="F581" i="40" s="1" a="1"/>
  <c r="F581" i="40" s="1"/>
  <c r="M690" i="39"/>
  <c r="H690" i="39" s="1"/>
  <c r="E691" i="39" s="1" a="1"/>
  <c r="E691" i="39" s="1"/>
  <c r="F691" i="39" s="1" a="1"/>
  <c r="F691" i="39" s="1"/>
  <c r="I689" i="39"/>
  <c r="G689" i="39"/>
  <c r="O689" i="39" s="1"/>
  <c r="H484" i="35"/>
  <c r="E485" i="35" s="1" a="1"/>
  <c r="E485" i="35" s="1"/>
  <c r="F485" i="35" s="1" a="1"/>
  <c r="F485" i="35" s="1"/>
  <c r="G484" i="35"/>
  <c r="O484" i="35" s="1"/>
  <c r="G580" i="40" l="1"/>
  <c r="O580" i="40" s="1"/>
  <c r="Q580" i="40" s="1"/>
  <c r="M581" i="40"/>
  <c r="H581" i="40" s="1"/>
  <c r="E582" i="40" s="1" a="1"/>
  <c r="E582" i="40" s="1"/>
  <c r="F582" i="40" s="1" a="1"/>
  <c r="F582" i="40" s="1"/>
  <c r="I580" i="40"/>
  <c r="I690" i="39"/>
  <c r="M691" i="39"/>
  <c r="G691" i="39" s="1"/>
  <c r="O691" i="39" s="1"/>
  <c r="N689" i="39"/>
  <c r="P689" i="39"/>
  <c r="Q689" i="39"/>
  <c r="G690" i="39"/>
  <c r="O690" i="39" s="1"/>
  <c r="M485" i="35"/>
  <c r="I485" i="35" s="1"/>
  <c r="P484" i="35"/>
  <c r="N484" i="35"/>
  <c r="Q484" i="35"/>
  <c r="N580" i="40" l="1"/>
  <c r="P580" i="40"/>
  <c r="M582" i="40"/>
  <c r="H582" i="40" s="1"/>
  <c r="E583" i="40" s="1" a="1"/>
  <c r="E583" i="40" s="1"/>
  <c r="F583" i="40" s="1" a="1"/>
  <c r="F583" i="40" s="1"/>
  <c r="G581" i="40"/>
  <c r="O581" i="40" s="1"/>
  <c r="I581" i="40"/>
  <c r="H691" i="39"/>
  <c r="E692" i="39" s="1" a="1"/>
  <c r="E692" i="39" s="1"/>
  <c r="F692" i="39" s="1" a="1"/>
  <c r="F692" i="39" s="1"/>
  <c r="M692" i="39" s="1"/>
  <c r="G692" i="39" s="1"/>
  <c r="O692" i="39" s="1"/>
  <c r="I691" i="39"/>
  <c r="N691" i="39"/>
  <c r="Q691" i="39"/>
  <c r="P691" i="39"/>
  <c r="Q690" i="39"/>
  <c r="P690" i="39"/>
  <c r="N690" i="39"/>
  <c r="G485" i="35"/>
  <c r="O485" i="35" s="1"/>
  <c r="N485" i="35" s="1"/>
  <c r="H485" i="35"/>
  <c r="E486" i="35" s="1" a="1"/>
  <c r="E486" i="35" s="1"/>
  <c r="F486" i="35" s="1" a="1"/>
  <c r="F486" i="35" s="1"/>
  <c r="M583" i="40" l="1"/>
  <c r="H583" i="40" s="1"/>
  <c r="E584" i="40" s="1" a="1"/>
  <c r="E584" i="40" s="1"/>
  <c r="F584" i="40" s="1" a="1"/>
  <c r="F584" i="40" s="1"/>
  <c r="Q581" i="40"/>
  <c r="P581" i="40"/>
  <c r="N581" i="40"/>
  <c r="G582" i="40"/>
  <c r="O582" i="40" s="1"/>
  <c r="I582" i="40"/>
  <c r="Q692" i="39"/>
  <c r="P692" i="39"/>
  <c r="N692" i="39"/>
  <c r="I692" i="39"/>
  <c r="H692" i="39"/>
  <c r="E693" i="39" s="1" a="1"/>
  <c r="E693" i="39" s="1"/>
  <c r="F693" i="39" s="1" a="1"/>
  <c r="F693" i="39" s="1"/>
  <c r="Q485" i="35"/>
  <c r="P485" i="35"/>
  <c r="M486" i="35"/>
  <c r="I486" i="35" s="1"/>
  <c r="M584" i="40" l="1"/>
  <c r="G584" i="40" s="1"/>
  <c r="O584" i="40" s="1"/>
  <c r="G583" i="40"/>
  <c r="O583" i="40" s="1"/>
  <c r="Q582" i="40"/>
  <c r="N582" i="40"/>
  <c r="P582" i="40"/>
  <c r="I583" i="40"/>
  <c r="M693" i="39"/>
  <c r="I693" i="39" s="1"/>
  <c r="H486" i="35"/>
  <c r="E487" i="35" s="1" a="1"/>
  <c r="E487" i="35" s="1"/>
  <c r="F487" i="35" s="1" a="1"/>
  <c r="F487" i="35" s="1"/>
  <c r="M487" i="35" s="1"/>
  <c r="G486" i="35"/>
  <c r="O486" i="35" s="1"/>
  <c r="H584" i="40" l="1"/>
  <c r="E585" i="40" s="1" a="1"/>
  <c r="E585" i="40" s="1"/>
  <c r="F585" i="40" s="1" a="1"/>
  <c r="F585" i="40" s="1"/>
  <c r="M585" i="40" s="1"/>
  <c r="H585" i="40" s="1"/>
  <c r="E586" i="40" s="1" a="1"/>
  <c r="E586" i="40" s="1"/>
  <c r="F586" i="40" s="1" a="1"/>
  <c r="F586" i="40" s="1"/>
  <c r="I584" i="40"/>
  <c r="Q584" i="40"/>
  <c r="N584" i="40"/>
  <c r="P584" i="40"/>
  <c r="P583" i="40"/>
  <c r="N583" i="40"/>
  <c r="Q583" i="40"/>
  <c r="G693" i="39"/>
  <c r="O693" i="39" s="1"/>
  <c r="Q693" i="39" s="1"/>
  <c r="H693" i="39"/>
  <c r="E694" i="39" s="1" a="1"/>
  <c r="E694" i="39" s="1"/>
  <c r="F694" i="39" s="1" a="1"/>
  <c r="F694" i="39" s="1"/>
  <c r="M694" i="39" s="1"/>
  <c r="H694" i="39" s="1"/>
  <c r="E695" i="39" s="1" a="1"/>
  <c r="E695" i="39" s="1"/>
  <c r="F695" i="39" s="1" a="1"/>
  <c r="F695" i="39" s="1"/>
  <c r="G487" i="35"/>
  <c r="O487" i="35" s="1"/>
  <c r="Q487" i="35" s="1"/>
  <c r="H487" i="35"/>
  <c r="E488" i="35" s="1" a="1"/>
  <c r="E488" i="35" s="1"/>
  <c r="F488" i="35" s="1" a="1"/>
  <c r="F488" i="35" s="1"/>
  <c r="M488" i="35" s="1"/>
  <c r="I488" i="35" s="1"/>
  <c r="I487" i="35"/>
  <c r="N486" i="35"/>
  <c r="Q486" i="35"/>
  <c r="P486" i="35"/>
  <c r="I585" i="40" l="1"/>
  <c r="G585" i="40"/>
  <c r="O585" i="40" s="1"/>
  <c r="Q585" i="40" s="1"/>
  <c r="M586" i="40"/>
  <c r="H586" i="40" s="1"/>
  <c r="E587" i="40" s="1" a="1"/>
  <c r="E587" i="40" s="1"/>
  <c r="F587" i="40" s="1" a="1"/>
  <c r="F587" i="40" s="1"/>
  <c r="N693" i="39"/>
  <c r="P693" i="39"/>
  <c r="I694" i="39"/>
  <c r="M695" i="39"/>
  <c r="H695" i="39" s="1"/>
  <c r="E696" i="39" s="1" a="1"/>
  <c r="E696" i="39" s="1"/>
  <c r="F696" i="39" s="1" a="1"/>
  <c r="F696" i="39" s="1"/>
  <c r="G694" i="39"/>
  <c r="O694" i="39" s="1"/>
  <c r="P487" i="35"/>
  <c r="N487" i="35"/>
  <c r="H488" i="35"/>
  <c r="E489" i="35" s="1" a="1"/>
  <c r="E489" i="35" s="1"/>
  <c r="F489" i="35" s="1" a="1"/>
  <c r="F489" i="35" s="1"/>
  <c r="G488" i="35"/>
  <c r="O488" i="35" s="1"/>
  <c r="N585" i="40" l="1"/>
  <c r="P585" i="40"/>
  <c r="M587" i="40"/>
  <c r="G587" i="40" s="1"/>
  <c r="O587" i="40" s="1"/>
  <c r="G586" i="40"/>
  <c r="O586" i="40" s="1"/>
  <c r="I586" i="40"/>
  <c r="I695" i="39"/>
  <c r="M696" i="39"/>
  <c r="H696" i="39" s="1"/>
  <c r="E697" i="39" s="1" a="1"/>
  <c r="E697" i="39" s="1"/>
  <c r="F697" i="39" s="1" a="1"/>
  <c r="F697" i="39" s="1"/>
  <c r="N694" i="39"/>
  <c r="Q694" i="39"/>
  <c r="P694" i="39"/>
  <c r="G695" i="39"/>
  <c r="O695" i="39" s="1"/>
  <c r="M489" i="35"/>
  <c r="I489" i="35" s="1"/>
  <c r="Q488" i="35"/>
  <c r="P488" i="35"/>
  <c r="N488" i="35"/>
  <c r="H587" i="40" l="1"/>
  <c r="E588" i="40" s="1" a="1"/>
  <c r="E588" i="40" s="1"/>
  <c r="F588" i="40" s="1" a="1"/>
  <c r="F588" i="40" s="1"/>
  <c r="M588" i="40" s="1"/>
  <c r="G588" i="40" s="1"/>
  <c r="O588" i="40" s="1"/>
  <c r="I587" i="40"/>
  <c r="Q586" i="40"/>
  <c r="N586" i="40"/>
  <c r="P586" i="40"/>
  <c r="Q587" i="40"/>
  <c r="P587" i="40"/>
  <c r="N587" i="40"/>
  <c r="I696" i="39"/>
  <c r="M697" i="39"/>
  <c r="H697" i="39" s="1"/>
  <c r="E698" i="39" s="1" a="1"/>
  <c r="E698" i="39" s="1"/>
  <c r="F698" i="39" s="1" a="1"/>
  <c r="F698" i="39" s="1"/>
  <c r="G696" i="39"/>
  <c r="O696" i="39" s="1"/>
  <c r="N695" i="39"/>
  <c r="Q695" i="39"/>
  <c r="P695" i="39"/>
  <c r="H489" i="35"/>
  <c r="E490" i="35" s="1" a="1"/>
  <c r="E490" i="35" s="1"/>
  <c r="F490" i="35" s="1" a="1"/>
  <c r="F490" i="35" s="1"/>
  <c r="M490" i="35" s="1"/>
  <c r="I490" i="35" s="1"/>
  <c r="G489" i="35"/>
  <c r="O489" i="35" s="1"/>
  <c r="Q489" i="35" s="1"/>
  <c r="H588" i="40" l="1"/>
  <c r="E589" i="40" s="1" a="1"/>
  <c r="E589" i="40" s="1"/>
  <c r="F589" i="40" s="1" a="1"/>
  <c r="F589" i="40" s="1"/>
  <c r="M589" i="40" s="1"/>
  <c r="H589" i="40" s="1"/>
  <c r="E590" i="40" s="1" a="1"/>
  <c r="E590" i="40" s="1"/>
  <c r="F590" i="40" s="1" a="1"/>
  <c r="F590" i="40" s="1"/>
  <c r="N588" i="40"/>
  <c r="P588" i="40"/>
  <c r="Q588" i="40"/>
  <c r="I588" i="40"/>
  <c r="M698" i="39"/>
  <c r="H698" i="39" s="1"/>
  <c r="E699" i="39" s="1" a="1"/>
  <c r="E699" i="39" s="1"/>
  <c r="F699" i="39" s="1" a="1"/>
  <c r="F699" i="39" s="1"/>
  <c r="I697" i="39"/>
  <c r="G697" i="39"/>
  <c r="O697" i="39" s="1"/>
  <c r="Q696" i="39"/>
  <c r="P696" i="39"/>
  <c r="N696" i="39"/>
  <c r="N489" i="35"/>
  <c r="P489" i="35"/>
  <c r="M590" i="40" l="1"/>
  <c r="G590" i="40" s="1"/>
  <c r="O590" i="40" s="1"/>
  <c r="G589" i="40"/>
  <c r="O589" i="40" s="1"/>
  <c r="I589" i="40"/>
  <c r="I698" i="39"/>
  <c r="M699" i="39"/>
  <c r="I699" i="39" s="1"/>
  <c r="P697" i="39"/>
  <c r="Q697" i="39"/>
  <c r="N697" i="39"/>
  <c r="G698" i="39"/>
  <c r="O698" i="39" s="1"/>
  <c r="H490" i="35"/>
  <c r="E491" i="35" s="1" a="1"/>
  <c r="E491" i="35" s="1"/>
  <c r="F491" i="35" s="1" a="1"/>
  <c r="F491" i="35" s="1"/>
  <c r="G490" i="35"/>
  <c r="O490" i="35" s="1"/>
  <c r="I590" i="40" l="1"/>
  <c r="H590" i="40"/>
  <c r="E591" i="40" s="1" a="1"/>
  <c r="E591" i="40" s="1"/>
  <c r="F591" i="40" s="1" a="1"/>
  <c r="F591" i="40" s="1"/>
  <c r="M591" i="40" s="1"/>
  <c r="H591" i="40" s="1"/>
  <c r="E592" i="40" s="1" a="1"/>
  <c r="E592" i="40" s="1"/>
  <c r="F592" i="40" s="1" a="1"/>
  <c r="F592" i="40" s="1"/>
  <c r="Q589" i="40"/>
  <c r="P589" i="40"/>
  <c r="N589" i="40"/>
  <c r="P590" i="40"/>
  <c r="Q590" i="40"/>
  <c r="N590" i="40"/>
  <c r="G699" i="39"/>
  <c r="O699" i="39" s="1"/>
  <c r="N699" i="39" s="1"/>
  <c r="H699" i="39"/>
  <c r="E700" i="39" s="1" a="1"/>
  <c r="E700" i="39" s="1"/>
  <c r="F700" i="39" s="1" a="1"/>
  <c r="F700" i="39" s="1"/>
  <c r="M700" i="39" s="1"/>
  <c r="I700" i="39" s="1"/>
  <c r="N698" i="39"/>
  <c r="Q698" i="39"/>
  <c r="P698" i="39"/>
  <c r="M491" i="35"/>
  <c r="I491" i="35" s="1"/>
  <c r="Q490" i="35"/>
  <c r="P490" i="35"/>
  <c r="N490" i="35"/>
  <c r="M592" i="40" l="1"/>
  <c r="I592" i="40" s="1"/>
  <c r="Q699" i="39"/>
  <c r="I591" i="40"/>
  <c r="P699" i="39"/>
  <c r="G591" i="40"/>
  <c r="O591" i="40" s="1"/>
  <c r="G700" i="39"/>
  <c r="O700" i="39" s="1"/>
  <c r="N700" i="39" s="1"/>
  <c r="H700" i="39"/>
  <c r="E701" i="39" s="1" a="1"/>
  <c r="E701" i="39" s="1"/>
  <c r="F701" i="39" s="1" a="1"/>
  <c r="F701" i="39" s="1"/>
  <c r="M701" i="39" s="1"/>
  <c r="G701" i="39" s="1"/>
  <c r="O701" i="39" s="1"/>
  <c r="H592" i="40" l="1"/>
  <c r="E593" i="40" s="1" a="1"/>
  <c r="E593" i="40" s="1"/>
  <c r="F593" i="40" s="1" a="1"/>
  <c r="F593" i="40" s="1"/>
  <c r="M593" i="40" s="1"/>
  <c r="H593" i="40" s="1"/>
  <c r="E594" i="40" s="1" a="1"/>
  <c r="E594" i="40" s="1"/>
  <c r="F594" i="40" s="1" a="1"/>
  <c r="F594" i="40" s="1"/>
  <c r="G592" i="40"/>
  <c r="O592" i="40" s="1"/>
  <c r="P592" i="40" s="1"/>
  <c r="Q700" i="39"/>
  <c r="P700" i="39"/>
  <c r="P591" i="40"/>
  <c r="N591" i="40"/>
  <c r="Q591" i="40"/>
  <c r="N701" i="39"/>
  <c r="Q701" i="39"/>
  <c r="P701" i="39"/>
  <c r="H701" i="39"/>
  <c r="E702" i="39" s="1" a="1"/>
  <c r="E702" i="39" s="1"/>
  <c r="F702" i="39" s="1" a="1"/>
  <c r="F702" i="39" s="1"/>
  <c r="I701" i="39"/>
  <c r="G491" i="35"/>
  <c r="O491" i="35" s="1"/>
  <c r="H491" i="35"/>
  <c r="E492" i="35" s="1" a="1"/>
  <c r="E492" i="35" s="1"/>
  <c r="F492" i="35" s="1" a="1"/>
  <c r="F492" i="35" s="1"/>
  <c r="Q592" i="40" l="1"/>
  <c r="N592" i="40"/>
  <c r="M594" i="40"/>
  <c r="G594" i="40" s="1"/>
  <c r="O594" i="40" s="1"/>
  <c r="G593" i="40"/>
  <c r="O593" i="40" s="1"/>
  <c r="I593" i="40"/>
  <c r="M702" i="39"/>
  <c r="H702" i="39" s="1"/>
  <c r="E703" i="39" s="1" a="1"/>
  <c r="E703" i="39" s="1"/>
  <c r="F703" i="39" s="1" a="1"/>
  <c r="F703" i="39" s="1"/>
  <c r="M492" i="35"/>
  <c r="I492" i="35" s="1"/>
  <c r="P491" i="35"/>
  <c r="Q491" i="35"/>
  <c r="N491" i="35"/>
  <c r="I594" i="40" l="1"/>
  <c r="Q594" i="40"/>
  <c r="P594" i="40"/>
  <c r="N594" i="40"/>
  <c r="N593" i="40"/>
  <c r="P593" i="40"/>
  <c r="Q593" i="40"/>
  <c r="H594" i="40"/>
  <c r="E595" i="40" s="1" a="1"/>
  <c r="E595" i="40" s="1"/>
  <c r="F595" i="40" s="1" a="1"/>
  <c r="F595" i="40" s="1"/>
  <c r="M703" i="39"/>
  <c r="H703" i="39" s="1"/>
  <c r="E704" i="39" s="1" a="1"/>
  <c r="E704" i="39" s="1"/>
  <c r="F704" i="39" s="1" a="1"/>
  <c r="F704" i="39" s="1"/>
  <c r="G702" i="39"/>
  <c r="O702" i="39" s="1"/>
  <c r="I702" i="39"/>
  <c r="I703" i="39" l="1"/>
  <c r="M595" i="40"/>
  <c r="I595" i="40" s="1"/>
  <c r="M704" i="39"/>
  <c r="I704" i="39" s="1"/>
  <c r="Q702" i="39"/>
  <c r="P702" i="39"/>
  <c r="N702" i="39"/>
  <c r="G703" i="39"/>
  <c r="O703" i="39" s="1"/>
  <c r="G492" i="35"/>
  <c r="O492" i="35" s="1"/>
  <c r="H492" i="35"/>
  <c r="E493" i="35" s="1" a="1"/>
  <c r="E493" i="35" s="1"/>
  <c r="F493" i="35" s="1" a="1"/>
  <c r="F493" i="35" s="1"/>
  <c r="H595" i="40" l="1"/>
  <c r="E596" i="40" s="1" a="1"/>
  <c r="E596" i="40" s="1"/>
  <c r="F596" i="40" s="1" a="1"/>
  <c r="F596" i="40" s="1"/>
  <c r="M596" i="40" s="1"/>
  <c r="I596" i="40" s="1"/>
  <c r="H704" i="39"/>
  <c r="E705" i="39" s="1" a="1"/>
  <c r="E705" i="39" s="1"/>
  <c r="F705" i="39" s="1" a="1"/>
  <c r="F705" i="39" s="1"/>
  <c r="M705" i="39" s="1"/>
  <c r="H705" i="39" s="1"/>
  <c r="E706" i="39" s="1" a="1"/>
  <c r="E706" i="39" s="1"/>
  <c r="F706" i="39" s="1" a="1"/>
  <c r="F706" i="39" s="1"/>
  <c r="G595" i="40"/>
  <c r="O595" i="40" s="1"/>
  <c r="G704" i="39"/>
  <c r="O704" i="39" s="1"/>
  <c r="Q704" i="39" s="1"/>
  <c r="N703" i="39"/>
  <c r="Q703" i="39"/>
  <c r="P703" i="39"/>
  <c r="M493" i="35"/>
  <c r="I493" i="35" s="1"/>
  <c r="N492" i="35"/>
  <c r="P492" i="35"/>
  <c r="Q492" i="35"/>
  <c r="N704" i="39" l="1"/>
  <c r="P704" i="39"/>
  <c r="G596" i="40"/>
  <c r="O596" i="40" s="1"/>
  <c r="N596" i="40" s="1"/>
  <c r="H596" i="40"/>
  <c r="E597" i="40" s="1" a="1"/>
  <c r="E597" i="40" s="1"/>
  <c r="F597" i="40" s="1" a="1"/>
  <c r="F597" i="40" s="1"/>
  <c r="N595" i="40"/>
  <c r="Q595" i="40"/>
  <c r="P595" i="40"/>
  <c r="M706" i="39"/>
  <c r="H706" i="39" s="1"/>
  <c r="E707" i="39" s="1" a="1"/>
  <c r="E707" i="39" s="1"/>
  <c r="F707" i="39" s="1" a="1"/>
  <c r="F707" i="39" s="1"/>
  <c r="I705" i="39"/>
  <c r="G705" i="39"/>
  <c r="O705" i="39" s="1"/>
  <c r="H493" i="35"/>
  <c r="E494" i="35" s="1" a="1"/>
  <c r="E494" i="35" s="1"/>
  <c r="F494" i="35" s="1" a="1"/>
  <c r="F494" i="35" s="1"/>
  <c r="Q596" i="40" l="1"/>
  <c r="P596" i="40"/>
  <c r="M597" i="40"/>
  <c r="H597" i="40" s="1"/>
  <c r="E598" i="40" s="1" a="1"/>
  <c r="E598" i="40" s="1"/>
  <c r="F598" i="40" s="1" a="1"/>
  <c r="F598" i="40" s="1"/>
  <c r="M707" i="39"/>
  <c r="I707" i="39" s="1"/>
  <c r="I706" i="39"/>
  <c r="G706" i="39"/>
  <c r="O706" i="39" s="1"/>
  <c r="Q705" i="39"/>
  <c r="P705" i="39"/>
  <c r="N705" i="39"/>
  <c r="M494" i="35"/>
  <c r="I494" i="35" s="1"/>
  <c r="G493" i="35"/>
  <c r="O493" i="35" s="1"/>
  <c r="M598" i="40" l="1"/>
  <c r="I598" i="40" s="1"/>
  <c r="G707" i="39"/>
  <c r="O707" i="39" s="1"/>
  <c r="N707" i="39" s="1"/>
  <c r="H707" i="39"/>
  <c r="E708" i="39" s="1" a="1"/>
  <c r="E708" i="39" s="1"/>
  <c r="F708" i="39" s="1" a="1"/>
  <c r="F708" i="39" s="1"/>
  <c r="M708" i="39" s="1"/>
  <c r="I708" i="39" s="1"/>
  <c r="I597" i="40"/>
  <c r="G597" i="40"/>
  <c r="O597" i="40" s="1"/>
  <c r="Q706" i="39"/>
  <c r="P706" i="39"/>
  <c r="N706" i="39"/>
  <c r="H494" i="35"/>
  <c r="E495" i="35" s="1" a="1"/>
  <c r="E495" i="35" s="1"/>
  <c r="F495" i="35" s="1" a="1"/>
  <c r="F495" i="35" s="1"/>
  <c r="M495" i="35" s="1"/>
  <c r="I495" i="35" s="1"/>
  <c r="G494" i="35"/>
  <c r="O494" i="35" s="1"/>
  <c r="N494" i="35" s="1"/>
  <c r="P493" i="35"/>
  <c r="N493" i="35"/>
  <c r="Q493" i="35"/>
  <c r="P707" i="39" l="1"/>
  <c r="Q707" i="39"/>
  <c r="G598" i="40"/>
  <c r="O598" i="40" s="1"/>
  <c r="N598" i="40" s="1"/>
  <c r="H598" i="40"/>
  <c r="E599" i="40" s="1" a="1"/>
  <c r="E599" i="40" s="1"/>
  <c r="F599" i="40" s="1" a="1"/>
  <c r="F599" i="40" s="1"/>
  <c r="Q597" i="40"/>
  <c r="P597" i="40"/>
  <c r="N597" i="40"/>
  <c r="H708" i="39"/>
  <c r="E709" i="39" s="1" a="1"/>
  <c r="E709" i="39" s="1"/>
  <c r="F709" i="39" s="1" a="1"/>
  <c r="F709" i="39" s="1"/>
  <c r="M709" i="39" s="1"/>
  <c r="H709" i="39" s="1"/>
  <c r="E710" i="39" s="1" a="1"/>
  <c r="E710" i="39" s="1"/>
  <c r="F710" i="39" s="1" a="1"/>
  <c r="F710" i="39" s="1"/>
  <c r="G708" i="39"/>
  <c r="O708" i="39" s="1"/>
  <c r="Q708" i="39" s="1"/>
  <c r="Q494" i="35"/>
  <c r="P494" i="35"/>
  <c r="P598" i="40" l="1"/>
  <c r="Q598" i="40"/>
  <c r="M599" i="40"/>
  <c r="H599" i="40" s="1"/>
  <c r="E600" i="40" s="1" a="1"/>
  <c r="E600" i="40" s="1"/>
  <c r="F600" i="40" s="1" a="1"/>
  <c r="F600" i="40" s="1"/>
  <c r="N708" i="39"/>
  <c r="P708" i="39"/>
  <c r="G709" i="39"/>
  <c r="O709" i="39" s="1"/>
  <c r="Q709" i="39" s="1"/>
  <c r="I709" i="39"/>
  <c r="M710" i="39"/>
  <c r="H710" i="39" s="1"/>
  <c r="E711" i="39" s="1" a="1"/>
  <c r="E711" i="39" s="1"/>
  <c r="F711" i="39" s="1" a="1"/>
  <c r="F711" i="39" s="1"/>
  <c r="H495" i="35"/>
  <c r="E496" i="35" s="1" a="1"/>
  <c r="E496" i="35" s="1"/>
  <c r="F496" i="35" s="1" a="1"/>
  <c r="F496" i="35" s="1"/>
  <c r="G495" i="35"/>
  <c r="O495" i="35" s="1"/>
  <c r="N709" i="39" l="1"/>
  <c r="M600" i="40"/>
  <c r="I600" i="40" s="1"/>
  <c r="I599" i="40"/>
  <c r="G599" i="40"/>
  <c r="O599" i="40" s="1"/>
  <c r="P709" i="39"/>
  <c r="M711" i="39"/>
  <c r="H711" i="39" s="1"/>
  <c r="E712" i="39" s="1" a="1"/>
  <c r="E712" i="39" s="1"/>
  <c r="F712" i="39" s="1" a="1"/>
  <c r="F712" i="39" s="1"/>
  <c r="I710" i="39"/>
  <c r="G710" i="39"/>
  <c r="O710" i="39" s="1"/>
  <c r="M496" i="35"/>
  <c r="G496" i="35" s="1"/>
  <c r="O496" i="35" s="1"/>
  <c r="N495" i="35"/>
  <c r="P495" i="35"/>
  <c r="Q495" i="35"/>
  <c r="G600" i="40" l="1"/>
  <c r="O600" i="40" s="1"/>
  <c r="P600" i="40" s="1"/>
  <c r="Q599" i="40"/>
  <c r="N599" i="40"/>
  <c r="P599" i="40"/>
  <c r="H600" i="40"/>
  <c r="E601" i="40" s="1" a="1"/>
  <c r="E601" i="40" s="1"/>
  <c r="F601" i="40" s="1" a="1"/>
  <c r="F601" i="40" s="1"/>
  <c r="M712" i="39"/>
  <c r="G712" i="39" s="1"/>
  <c r="O712" i="39" s="1"/>
  <c r="G711" i="39"/>
  <c r="O711" i="39" s="1"/>
  <c r="N710" i="39"/>
  <c r="Q710" i="39"/>
  <c r="P710" i="39"/>
  <c r="I711" i="39"/>
  <c r="I496" i="35"/>
  <c r="Q496" i="35"/>
  <c r="N496" i="35"/>
  <c r="P496" i="35"/>
  <c r="H496" i="35"/>
  <c r="E497" i="35" s="1" a="1"/>
  <c r="E497" i="35" s="1"/>
  <c r="F497" i="35" s="1" a="1"/>
  <c r="F497" i="35" s="1"/>
  <c r="Q600" i="40" l="1"/>
  <c r="N600" i="40"/>
  <c r="M601" i="40"/>
  <c r="H601" i="40" s="1"/>
  <c r="E602" i="40" s="1" a="1"/>
  <c r="E602" i="40" s="1"/>
  <c r="F602" i="40" s="1" a="1"/>
  <c r="F602" i="40" s="1"/>
  <c r="H712" i="39"/>
  <c r="E713" i="39" s="1" a="1"/>
  <c r="E713" i="39" s="1"/>
  <c r="F713" i="39" s="1" a="1"/>
  <c r="F713" i="39" s="1"/>
  <c r="M713" i="39" s="1"/>
  <c r="G713" i="39" s="1"/>
  <c r="O713" i="39" s="1"/>
  <c r="N712" i="39"/>
  <c r="Q712" i="39"/>
  <c r="P712" i="39"/>
  <c r="I712" i="39"/>
  <c r="N711" i="39"/>
  <c r="P711" i="39"/>
  <c r="Q711" i="39"/>
  <c r="M497" i="35"/>
  <c r="I497" i="35" s="1"/>
  <c r="M602" i="40" l="1"/>
  <c r="H602" i="40" s="1"/>
  <c r="E603" i="40" s="1" a="1"/>
  <c r="E603" i="40" s="1"/>
  <c r="F603" i="40" s="1" a="1"/>
  <c r="F603" i="40" s="1"/>
  <c r="I601" i="40"/>
  <c r="G601" i="40"/>
  <c r="O601" i="40" s="1"/>
  <c r="Q713" i="39"/>
  <c r="P713" i="39"/>
  <c r="N713" i="39"/>
  <c r="H713" i="39"/>
  <c r="E714" i="39" s="1" a="1"/>
  <c r="E714" i="39" s="1"/>
  <c r="F714" i="39" s="1" a="1"/>
  <c r="F714" i="39" s="1"/>
  <c r="I713" i="39"/>
  <c r="G602" i="40" l="1"/>
  <c r="O602" i="40" s="1"/>
  <c r="P602" i="40" s="1"/>
  <c r="I602" i="40"/>
  <c r="M603" i="40"/>
  <c r="H603" i="40" s="1"/>
  <c r="E604" i="40" s="1" a="1"/>
  <c r="E604" i="40" s="1"/>
  <c r="F604" i="40" s="1" a="1"/>
  <c r="F604" i="40" s="1"/>
  <c r="N601" i="40"/>
  <c r="Q601" i="40"/>
  <c r="P601" i="40"/>
  <c r="M714" i="39"/>
  <c r="I714" i="39" s="1"/>
  <c r="G497" i="35"/>
  <c r="O497" i="35" s="1"/>
  <c r="H497" i="35"/>
  <c r="E498" i="35" s="1" a="1"/>
  <c r="E498" i="35" s="1"/>
  <c r="F498" i="35" s="1" a="1"/>
  <c r="F498" i="35" s="1"/>
  <c r="N602" i="40" l="1"/>
  <c r="Q602" i="40"/>
  <c r="I603" i="40"/>
  <c r="M604" i="40"/>
  <c r="G604" i="40" s="1"/>
  <c r="O604" i="40" s="1"/>
  <c r="G603" i="40"/>
  <c r="O603" i="40" s="1"/>
  <c r="H714" i="39"/>
  <c r="E715" i="39" s="1" a="1"/>
  <c r="E715" i="39" s="1"/>
  <c r="F715" i="39" s="1" a="1"/>
  <c r="F715" i="39" s="1"/>
  <c r="M715" i="39" s="1"/>
  <c r="I715" i="39" s="1"/>
  <c r="G714" i="39"/>
  <c r="O714" i="39" s="1"/>
  <c r="Q714" i="39" s="1"/>
  <c r="M498" i="35"/>
  <c r="I498" i="35" s="1"/>
  <c r="Q497" i="35"/>
  <c r="P497" i="35"/>
  <c r="N497" i="35"/>
  <c r="H604" i="40" l="1"/>
  <c r="E605" i="40" s="1" a="1"/>
  <c r="E605" i="40" s="1"/>
  <c r="F605" i="40" s="1" a="1"/>
  <c r="F605" i="40" s="1"/>
  <c r="M605" i="40" s="1"/>
  <c r="I605" i="40" s="1"/>
  <c r="I604" i="40"/>
  <c r="N604" i="40"/>
  <c r="P604" i="40"/>
  <c r="Q604" i="40"/>
  <c r="Q603" i="40"/>
  <c r="P603" i="40"/>
  <c r="N603" i="40"/>
  <c r="P714" i="39"/>
  <c r="N714" i="39"/>
  <c r="G715" i="39"/>
  <c r="O715" i="39" s="1"/>
  <c r="H715" i="39"/>
  <c r="E716" i="39" s="1" a="1"/>
  <c r="E716" i="39" s="1"/>
  <c r="F716" i="39" s="1" a="1"/>
  <c r="F716" i="39" s="1"/>
  <c r="G498" i="35"/>
  <c r="O498" i="35" s="1"/>
  <c r="N498" i="35" s="1"/>
  <c r="H498" i="35"/>
  <c r="E499" i="35" s="1" a="1"/>
  <c r="E499" i="35" s="1"/>
  <c r="F499" i="35" s="1" a="1"/>
  <c r="F499" i="35" s="1"/>
  <c r="M499" i="35" s="1"/>
  <c r="I499" i="35" s="1"/>
  <c r="H605" i="40" l="1"/>
  <c r="E606" i="40" s="1" a="1"/>
  <c r="E606" i="40" s="1"/>
  <c r="F606" i="40" s="1" a="1"/>
  <c r="F606" i="40" s="1"/>
  <c r="G605" i="40"/>
  <c r="O605" i="40" s="1"/>
  <c r="M716" i="39"/>
  <c r="G716" i="39" s="1"/>
  <c r="O716" i="39" s="1"/>
  <c r="Q715" i="39"/>
  <c r="P715" i="39"/>
  <c r="N715" i="39"/>
  <c r="Q498" i="35"/>
  <c r="P498" i="35"/>
  <c r="G499" i="35"/>
  <c r="O499" i="35" s="1"/>
  <c r="P499" i="35" s="1"/>
  <c r="H499" i="35"/>
  <c r="E500" i="35" s="1" a="1"/>
  <c r="E500" i="35" s="1"/>
  <c r="F500" i="35" s="1" a="1"/>
  <c r="F500" i="35" s="1"/>
  <c r="N605" i="40" l="1"/>
  <c r="P605" i="40"/>
  <c r="Q605" i="40"/>
  <c r="M606" i="40"/>
  <c r="H606" i="40" s="1"/>
  <c r="E607" i="40" s="1" a="1"/>
  <c r="E607" i="40" s="1"/>
  <c r="F607" i="40" s="1" a="1"/>
  <c r="F607" i="40" s="1"/>
  <c r="H716" i="39"/>
  <c r="E717" i="39" s="1" a="1"/>
  <c r="E717" i="39" s="1"/>
  <c r="F717" i="39" s="1" a="1"/>
  <c r="F717" i="39" s="1"/>
  <c r="I716" i="39"/>
  <c r="N716" i="39"/>
  <c r="P716" i="39"/>
  <c r="Q716" i="39"/>
  <c r="N499" i="35"/>
  <c r="Q499" i="35"/>
  <c r="M500" i="35"/>
  <c r="I500" i="35" s="1"/>
  <c r="G606" i="40" l="1"/>
  <c r="O606" i="40" s="1"/>
  <c r="P606" i="40" s="1"/>
  <c r="M607" i="40"/>
  <c r="G607" i="40" s="1"/>
  <c r="O607" i="40" s="1"/>
  <c r="I606" i="40"/>
  <c r="M717" i="39"/>
  <c r="H717" i="39" s="1"/>
  <c r="E718" i="39" s="1" a="1"/>
  <c r="E718" i="39" s="1"/>
  <c r="F718" i="39" s="1" a="1"/>
  <c r="F718" i="39" s="1"/>
  <c r="M718" i="39" s="1"/>
  <c r="H500" i="35"/>
  <c r="E501" i="35" s="1" a="1"/>
  <c r="E501" i="35" s="1"/>
  <c r="F501" i="35" s="1" a="1"/>
  <c r="F501" i="35" s="1"/>
  <c r="G500" i="35"/>
  <c r="O500" i="35" s="1"/>
  <c r="P500" i="35" s="1"/>
  <c r="Q606" i="40" l="1"/>
  <c r="N606" i="40"/>
  <c r="I717" i="39"/>
  <c r="N607" i="40"/>
  <c r="P607" i="40"/>
  <c r="Q607" i="40"/>
  <c r="H607" i="40"/>
  <c r="E608" i="40" s="1" a="1"/>
  <c r="E608" i="40" s="1"/>
  <c r="F608" i="40" s="1" a="1"/>
  <c r="F608" i="40" s="1"/>
  <c r="I607" i="40"/>
  <c r="H718" i="39"/>
  <c r="E719" i="39" s="1" a="1"/>
  <c r="E719" i="39" s="1"/>
  <c r="F719" i="39" s="1" a="1"/>
  <c r="F719" i="39" s="1"/>
  <c r="M719" i="39" s="1"/>
  <c r="I719" i="39" s="1"/>
  <c r="G718" i="39"/>
  <c r="O718" i="39" s="1"/>
  <c r="P718" i="39" s="1"/>
  <c r="I718" i="39"/>
  <c r="G717" i="39"/>
  <c r="O717" i="39" s="1"/>
  <c r="Q500" i="35"/>
  <c r="N500" i="35"/>
  <c r="M501" i="35"/>
  <c r="I501" i="35" s="1"/>
  <c r="M608" i="40" l="1"/>
  <c r="I608" i="40" s="1"/>
  <c r="Q718" i="39"/>
  <c r="N718" i="39"/>
  <c r="Q717" i="39"/>
  <c r="N717" i="39"/>
  <c r="P717" i="39"/>
  <c r="H719" i="39"/>
  <c r="E720" i="39" s="1" a="1"/>
  <c r="E720" i="39" s="1"/>
  <c r="F720" i="39" s="1" a="1"/>
  <c r="F720" i="39" s="1"/>
  <c r="M720" i="39" s="1"/>
  <c r="G720" i="39" s="1"/>
  <c r="O720" i="39" s="1"/>
  <c r="G719" i="39"/>
  <c r="O719" i="39" s="1"/>
  <c r="G501" i="35"/>
  <c r="O501" i="35" s="1"/>
  <c r="Q501" i="35" s="1"/>
  <c r="H501" i="35"/>
  <c r="E502" i="35" s="1" a="1"/>
  <c r="E502" i="35" s="1"/>
  <c r="F502" i="35" s="1" a="1"/>
  <c r="F502" i="35" s="1"/>
  <c r="M502" i="35" s="1"/>
  <c r="H502" i="35" s="1"/>
  <c r="E503" i="35" s="1" a="1"/>
  <c r="E503" i="35" s="1"/>
  <c r="F503" i="35" s="1" a="1"/>
  <c r="F503" i="35" s="1"/>
  <c r="G608" i="40" l="1"/>
  <c r="O608" i="40" s="1"/>
  <c r="P608" i="40" s="1"/>
  <c r="H608" i="40"/>
  <c r="E609" i="40" s="1" a="1"/>
  <c r="E609" i="40" s="1"/>
  <c r="F609" i="40" s="1" a="1"/>
  <c r="F609" i="40" s="1"/>
  <c r="M609" i="40" s="1"/>
  <c r="H609" i="40" s="1"/>
  <c r="E610" i="40" s="1" a="1"/>
  <c r="E610" i="40" s="1"/>
  <c r="F610" i="40" s="1" a="1"/>
  <c r="F610" i="40" s="1"/>
  <c r="Q720" i="39"/>
  <c r="P720" i="39"/>
  <c r="N720" i="39"/>
  <c r="Q719" i="39"/>
  <c r="P719" i="39"/>
  <c r="N719" i="39"/>
  <c r="H720" i="39"/>
  <c r="E721" i="39" s="1" a="1"/>
  <c r="E721" i="39" s="1"/>
  <c r="F721" i="39" s="1" a="1"/>
  <c r="F721" i="39" s="1"/>
  <c r="I720" i="39"/>
  <c r="P501" i="35"/>
  <c r="N501" i="35"/>
  <c r="G502" i="35"/>
  <c r="O502" i="35" s="1"/>
  <c r="N502" i="35" s="1"/>
  <c r="I502" i="35"/>
  <c r="M503" i="35"/>
  <c r="H503" i="35" s="1"/>
  <c r="E504" i="35" s="1" a="1"/>
  <c r="E504" i="35" s="1"/>
  <c r="F504" i="35" s="1" a="1"/>
  <c r="F504" i="35" s="1"/>
  <c r="N608" i="40" l="1"/>
  <c r="Q608" i="40"/>
  <c r="G609" i="40"/>
  <c r="O609" i="40" s="1"/>
  <c r="Q609" i="40" s="1"/>
  <c r="M610" i="40"/>
  <c r="G610" i="40" s="1"/>
  <c r="O610" i="40" s="1"/>
  <c r="I609" i="40"/>
  <c r="M721" i="39"/>
  <c r="G721" i="39" s="1"/>
  <c r="O721" i="39" s="1"/>
  <c r="P502" i="35"/>
  <c r="Q502" i="35"/>
  <c r="G503" i="35"/>
  <c r="O503" i="35" s="1"/>
  <c r="I503" i="35"/>
  <c r="M504" i="35"/>
  <c r="H504" i="35" s="1"/>
  <c r="E505" i="35" s="1" a="1"/>
  <c r="E505" i="35" s="1"/>
  <c r="F505" i="35" s="1" a="1"/>
  <c r="F505" i="35" s="1"/>
  <c r="M505" i="35" s="1"/>
  <c r="I505" i="35" s="1"/>
  <c r="P609" i="40" l="1"/>
  <c r="N609" i="40"/>
  <c r="H610" i="40"/>
  <c r="E611" i="40" s="1" a="1"/>
  <c r="E611" i="40" s="1"/>
  <c r="F611" i="40" s="1" a="1"/>
  <c r="F611" i="40" s="1"/>
  <c r="M611" i="40" s="1"/>
  <c r="H611" i="40" s="1"/>
  <c r="E612" i="40" s="1" a="1"/>
  <c r="E612" i="40" s="1"/>
  <c r="F612" i="40" s="1" a="1"/>
  <c r="F612" i="40" s="1"/>
  <c r="I610" i="40"/>
  <c r="N610" i="40"/>
  <c r="P610" i="40"/>
  <c r="Q610" i="40"/>
  <c r="H721" i="39"/>
  <c r="E722" i="39" s="1" a="1"/>
  <c r="E722" i="39" s="1"/>
  <c r="F722" i="39" s="1" a="1"/>
  <c r="F722" i="39" s="1"/>
  <c r="M722" i="39" s="1"/>
  <c r="I722" i="39" s="1"/>
  <c r="I721" i="39"/>
  <c r="N721" i="39"/>
  <c r="P721" i="39"/>
  <c r="Q721" i="39"/>
  <c r="I504" i="35"/>
  <c r="N503" i="35"/>
  <c r="Q503" i="35"/>
  <c r="P503" i="35"/>
  <c r="G504" i="35"/>
  <c r="O504" i="35" s="1"/>
  <c r="G505" i="35"/>
  <c r="O505" i="35" s="1"/>
  <c r="H505" i="35"/>
  <c r="E506" i="35" s="1" a="1"/>
  <c r="E506" i="35" s="1"/>
  <c r="F506" i="35" s="1" a="1"/>
  <c r="F506" i="35" s="1"/>
  <c r="I611" i="40" l="1"/>
  <c r="M612" i="40"/>
  <c r="H612" i="40" s="1"/>
  <c r="E613" i="40" s="1" a="1"/>
  <c r="E613" i="40" s="1"/>
  <c r="F613" i="40" s="1" a="1"/>
  <c r="F613" i="40" s="1"/>
  <c r="G611" i="40"/>
  <c r="O611" i="40" s="1"/>
  <c r="G722" i="39"/>
  <c r="O722" i="39" s="1"/>
  <c r="Q722" i="39" s="1"/>
  <c r="H722" i="39"/>
  <c r="E723" i="39" s="1" a="1"/>
  <c r="E723" i="39" s="1"/>
  <c r="F723" i="39" s="1" a="1"/>
  <c r="F723" i="39" s="1"/>
  <c r="Q504" i="35"/>
  <c r="N504" i="35"/>
  <c r="P504" i="35"/>
  <c r="M506" i="35"/>
  <c r="I506" i="35" s="1"/>
  <c r="Q505" i="35"/>
  <c r="N505" i="35"/>
  <c r="P505" i="35"/>
  <c r="P722" i="39" l="1"/>
  <c r="M613" i="40"/>
  <c r="H613" i="40" s="1"/>
  <c r="E614" i="40" s="1" a="1"/>
  <c r="E614" i="40" s="1"/>
  <c r="F614" i="40" s="1" a="1"/>
  <c r="F614" i="40" s="1"/>
  <c r="G612" i="40"/>
  <c r="O612" i="40" s="1"/>
  <c r="N722" i="39"/>
  <c r="P611" i="40"/>
  <c r="Q611" i="40"/>
  <c r="N611" i="40"/>
  <c r="I612" i="40"/>
  <c r="M723" i="39"/>
  <c r="G723" i="39" s="1"/>
  <c r="O723" i="39" s="1"/>
  <c r="G506" i="35"/>
  <c r="O506" i="35" s="1"/>
  <c r="H506" i="35"/>
  <c r="E507" i="35" s="1" a="1"/>
  <c r="E507" i="35" s="1"/>
  <c r="F507" i="35" s="1" a="1"/>
  <c r="F507" i="35" s="1"/>
  <c r="H723" i="39" l="1"/>
  <c r="E724" i="39" s="1" a="1"/>
  <c r="E724" i="39" s="1"/>
  <c r="F724" i="39" s="1" a="1"/>
  <c r="F724" i="39" s="1"/>
  <c r="M724" i="39" s="1"/>
  <c r="H724" i="39" s="1"/>
  <c r="E725" i="39" s="1" a="1"/>
  <c r="E725" i="39" s="1"/>
  <c r="F725" i="39" s="1" a="1"/>
  <c r="F725" i="39" s="1"/>
  <c r="M614" i="40"/>
  <c r="I614" i="40" s="1"/>
  <c r="Q612" i="40"/>
  <c r="P612" i="40"/>
  <c r="N612" i="40"/>
  <c r="I613" i="40"/>
  <c r="G613" i="40"/>
  <c r="O613" i="40" s="1"/>
  <c r="I723" i="39"/>
  <c r="N723" i="39"/>
  <c r="Q723" i="39"/>
  <c r="P723" i="39"/>
  <c r="M507" i="35"/>
  <c r="I507" i="35" s="1"/>
  <c r="P506" i="35"/>
  <c r="N506" i="35"/>
  <c r="Q506" i="35"/>
  <c r="G614" i="40" l="1"/>
  <c r="O614" i="40" s="1"/>
  <c r="Q614" i="40" s="1"/>
  <c r="H614" i="40"/>
  <c r="E615" i="40" s="1" a="1"/>
  <c r="E615" i="40" s="1"/>
  <c r="F615" i="40" s="1" a="1"/>
  <c r="F615" i="40" s="1"/>
  <c r="M615" i="40" s="1"/>
  <c r="G615" i="40" s="1"/>
  <c r="O615" i="40" s="1"/>
  <c r="P613" i="40"/>
  <c r="N613" i="40"/>
  <c r="Q613" i="40"/>
  <c r="G724" i="39"/>
  <c r="O724" i="39" s="1"/>
  <c r="P724" i="39" s="1"/>
  <c r="I724" i="39"/>
  <c r="M725" i="39"/>
  <c r="H725" i="39" s="1"/>
  <c r="E726" i="39" s="1" a="1"/>
  <c r="E726" i="39" s="1"/>
  <c r="F726" i="39" s="1" a="1"/>
  <c r="F726" i="39" s="1"/>
  <c r="G507" i="35"/>
  <c r="O507" i="35" s="1"/>
  <c r="P507" i="35" s="1"/>
  <c r="H507" i="35"/>
  <c r="E508" i="35" s="1" a="1"/>
  <c r="E508" i="35" s="1"/>
  <c r="F508" i="35" s="1" a="1"/>
  <c r="F508" i="35" s="1"/>
  <c r="M508" i="35" s="1"/>
  <c r="H508" i="35" s="1"/>
  <c r="E509" i="35" s="1" a="1"/>
  <c r="E509" i="35" s="1"/>
  <c r="F509" i="35" s="1" a="1"/>
  <c r="F509" i="35" s="1"/>
  <c r="N614" i="40" l="1"/>
  <c r="P614" i="40"/>
  <c r="H615" i="40"/>
  <c r="E616" i="40" s="1" a="1"/>
  <c r="E616" i="40" s="1"/>
  <c r="F616" i="40" s="1" a="1"/>
  <c r="F616" i="40" s="1"/>
  <c r="M616" i="40" s="1"/>
  <c r="I616" i="40" s="1"/>
  <c r="I615" i="40"/>
  <c r="Q615" i="40"/>
  <c r="P615" i="40"/>
  <c r="N615" i="40"/>
  <c r="N724" i="39"/>
  <c r="Q724" i="39"/>
  <c r="I725" i="39"/>
  <c r="G725" i="39"/>
  <c r="O725" i="39" s="1"/>
  <c r="P725" i="39" s="1"/>
  <c r="M726" i="39"/>
  <c r="I726" i="39" s="1"/>
  <c r="Q507" i="35"/>
  <c r="N507" i="35"/>
  <c r="I508" i="35"/>
  <c r="G508" i="35"/>
  <c r="O508" i="35" s="1"/>
  <c r="Q508" i="35" s="1"/>
  <c r="M509" i="35"/>
  <c r="I509" i="35" s="1"/>
  <c r="H616" i="40" l="1"/>
  <c r="E617" i="40" s="1" a="1"/>
  <c r="E617" i="40" s="1"/>
  <c r="F617" i="40" s="1" a="1"/>
  <c r="F617" i="40" s="1"/>
  <c r="G616" i="40"/>
  <c r="O616" i="40" s="1"/>
  <c r="N725" i="39"/>
  <c r="Q725" i="39"/>
  <c r="G726" i="39"/>
  <c r="O726" i="39" s="1"/>
  <c r="H726" i="39"/>
  <c r="E727" i="39" s="1" a="1"/>
  <c r="E727" i="39" s="1"/>
  <c r="F727" i="39" s="1" a="1"/>
  <c r="F727" i="39" s="1"/>
  <c r="P508" i="35"/>
  <c r="N508" i="35"/>
  <c r="H509" i="35"/>
  <c r="E510" i="35" s="1" a="1"/>
  <c r="E510" i="35" s="1"/>
  <c r="F510" i="35" s="1" a="1"/>
  <c r="F510" i="35" s="1"/>
  <c r="M510" i="35" s="1"/>
  <c r="I510" i="35" s="1"/>
  <c r="G509" i="35"/>
  <c r="O509" i="35" s="1"/>
  <c r="P616" i="40" l="1"/>
  <c r="Q616" i="40"/>
  <c r="N616" i="40"/>
  <c r="M617" i="40"/>
  <c r="H617" i="40" s="1"/>
  <c r="E618" i="40" s="1" a="1"/>
  <c r="E618" i="40" s="1"/>
  <c r="F618" i="40" s="1" a="1"/>
  <c r="F618" i="40" s="1"/>
  <c r="M727" i="39"/>
  <c r="H727" i="39" s="1"/>
  <c r="E728" i="39" s="1" a="1"/>
  <c r="E728" i="39" s="1"/>
  <c r="F728" i="39" s="1" a="1"/>
  <c r="F728" i="39" s="1"/>
  <c r="Q726" i="39"/>
  <c r="P726" i="39"/>
  <c r="N726" i="39"/>
  <c r="N509" i="35"/>
  <c r="Q509" i="35"/>
  <c r="P509" i="35"/>
  <c r="G510" i="35"/>
  <c r="O510" i="35" s="1"/>
  <c r="G617" i="40" l="1"/>
  <c r="O617" i="40" s="1"/>
  <c r="Q617" i="40" s="1"/>
  <c r="M618" i="40"/>
  <c r="H618" i="40" s="1"/>
  <c r="E619" i="40" s="1" a="1"/>
  <c r="E619" i="40" s="1"/>
  <c r="F619" i="40" s="1" a="1"/>
  <c r="F619" i="40" s="1"/>
  <c r="I617" i="40"/>
  <c r="M728" i="39"/>
  <c r="I728" i="39" s="1"/>
  <c r="I727" i="39"/>
  <c r="G727" i="39"/>
  <c r="O727" i="39" s="1"/>
  <c r="Q510" i="35"/>
  <c r="P510" i="35"/>
  <c r="N510" i="35"/>
  <c r="H510" i="35"/>
  <c r="E511" i="35" s="1" a="1"/>
  <c r="E511" i="35" s="1"/>
  <c r="F511" i="35" s="1" a="1"/>
  <c r="F511" i="35" s="1"/>
  <c r="N617" i="40" l="1"/>
  <c r="P617" i="40"/>
  <c r="G618" i="40"/>
  <c r="O618" i="40" s="1"/>
  <c r="N618" i="40" s="1"/>
  <c r="M619" i="40"/>
  <c r="H619" i="40" s="1"/>
  <c r="E620" i="40" s="1" a="1"/>
  <c r="E620" i="40" s="1"/>
  <c r="F620" i="40" s="1" a="1"/>
  <c r="F620" i="40" s="1"/>
  <c r="I618" i="40"/>
  <c r="G728" i="39"/>
  <c r="O728" i="39" s="1"/>
  <c r="P728" i="39" s="1"/>
  <c r="N727" i="39"/>
  <c r="Q727" i="39"/>
  <c r="P727" i="39"/>
  <c r="H728" i="39"/>
  <c r="E729" i="39" s="1" a="1"/>
  <c r="E729" i="39" s="1"/>
  <c r="F729" i="39" s="1" a="1"/>
  <c r="F729" i="39" s="1"/>
  <c r="M511" i="35"/>
  <c r="I511" i="35" s="1"/>
  <c r="Q618" i="40" l="1"/>
  <c r="P618" i="40"/>
  <c r="N728" i="39"/>
  <c r="Q728" i="39"/>
  <c r="G619" i="40"/>
  <c r="O619" i="40" s="1"/>
  <c r="Q619" i="40" s="1"/>
  <c r="I619" i="40"/>
  <c r="M620" i="40"/>
  <c r="G620" i="40" s="1"/>
  <c r="O620" i="40" s="1"/>
  <c r="M729" i="39"/>
  <c r="I729" i="39" s="1"/>
  <c r="H511" i="35"/>
  <c r="E512" i="35" s="1" a="1"/>
  <c r="E512" i="35" s="1"/>
  <c r="F512" i="35" s="1" a="1"/>
  <c r="F512" i="35" s="1"/>
  <c r="M512" i="35" s="1"/>
  <c r="I512" i="35" s="1"/>
  <c r="G511" i="35"/>
  <c r="O511" i="35" s="1"/>
  <c r="Q511" i="35" s="1"/>
  <c r="N619" i="40" l="1"/>
  <c r="P619" i="40"/>
  <c r="Q620" i="40"/>
  <c r="N620" i="40"/>
  <c r="P620" i="40"/>
  <c r="I620" i="40"/>
  <c r="H620" i="40"/>
  <c r="E621" i="40" s="1" a="1"/>
  <c r="E621" i="40" s="1"/>
  <c r="F621" i="40" s="1" a="1"/>
  <c r="F621" i="40" s="1"/>
  <c r="G729" i="39"/>
  <c r="O729" i="39" s="1"/>
  <c r="Q729" i="39" s="1"/>
  <c r="H729" i="39"/>
  <c r="E730" i="39" s="1" a="1"/>
  <c r="E730" i="39" s="1"/>
  <c r="F730" i="39" s="1" a="1"/>
  <c r="F730" i="39" s="1"/>
  <c r="M730" i="39" s="1"/>
  <c r="I730" i="39" s="1"/>
  <c r="P511" i="35"/>
  <c r="N511" i="35"/>
  <c r="H512" i="35"/>
  <c r="E513" i="35" s="1" a="1"/>
  <c r="E513" i="35" s="1"/>
  <c r="F513" i="35" s="1" a="1"/>
  <c r="F513" i="35" s="1"/>
  <c r="N729" i="39" l="1"/>
  <c r="P729" i="39"/>
  <c r="M621" i="40"/>
  <c r="H621" i="40" s="1"/>
  <c r="E622" i="40" s="1" a="1"/>
  <c r="E622" i="40" s="1"/>
  <c r="F622" i="40" s="1" a="1"/>
  <c r="F622" i="40" s="1"/>
  <c r="G730" i="39"/>
  <c r="O730" i="39" s="1"/>
  <c r="Q730" i="39" s="1"/>
  <c r="H730" i="39"/>
  <c r="E731" i="39" s="1" a="1"/>
  <c r="E731" i="39" s="1"/>
  <c r="F731" i="39" s="1" a="1"/>
  <c r="F731" i="39" s="1"/>
  <c r="M731" i="39" s="1"/>
  <c r="I731" i="39" s="1"/>
  <c r="M513" i="35"/>
  <c r="I513" i="35" s="1"/>
  <c r="G512" i="35"/>
  <c r="O512" i="35" s="1"/>
  <c r="M622" i="40" l="1"/>
  <c r="H622" i="40" s="1"/>
  <c r="E623" i="40" s="1" a="1"/>
  <c r="E623" i="40" s="1"/>
  <c r="F623" i="40" s="1" a="1"/>
  <c r="F623" i="40" s="1"/>
  <c r="I621" i="40"/>
  <c r="G621" i="40"/>
  <c r="O621" i="40" s="1"/>
  <c r="P730" i="39"/>
  <c r="N730" i="39"/>
  <c r="H731" i="39"/>
  <c r="E732" i="39" s="1" a="1"/>
  <c r="E732" i="39" s="1"/>
  <c r="F732" i="39" s="1" a="1"/>
  <c r="F732" i="39" s="1"/>
  <c r="G731" i="39"/>
  <c r="O731" i="39" s="1"/>
  <c r="N731" i="39" s="1"/>
  <c r="G513" i="35"/>
  <c r="O513" i="35" s="1"/>
  <c r="P513" i="35" s="1"/>
  <c r="H513" i="35"/>
  <c r="E514" i="35" s="1" a="1"/>
  <c r="E514" i="35" s="1"/>
  <c r="F514" i="35" s="1" a="1"/>
  <c r="F514" i="35" s="1"/>
  <c r="M514" i="35" s="1"/>
  <c r="Q512" i="35"/>
  <c r="N512" i="35"/>
  <c r="P512" i="35"/>
  <c r="G622" i="40" l="1"/>
  <c r="O622" i="40" s="1"/>
  <c r="N622" i="40" s="1"/>
  <c r="I622" i="40"/>
  <c r="M623" i="40"/>
  <c r="G623" i="40" s="1"/>
  <c r="O623" i="40" s="1"/>
  <c r="N621" i="40"/>
  <c r="Q621" i="40"/>
  <c r="P621" i="40"/>
  <c r="Q731" i="39"/>
  <c r="P731" i="39"/>
  <c r="M732" i="39"/>
  <c r="G732" i="39" s="1"/>
  <c r="O732" i="39" s="1"/>
  <c r="N513" i="35"/>
  <c r="Q513" i="35"/>
  <c r="G514" i="35"/>
  <c r="O514" i="35" s="1"/>
  <c r="N514" i="35" s="1"/>
  <c r="H514" i="35"/>
  <c r="E515" i="35" s="1" a="1"/>
  <c r="E515" i="35" s="1"/>
  <c r="F515" i="35" s="1" a="1"/>
  <c r="F515" i="35" s="1"/>
  <c r="M515" i="35" s="1"/>
  <c r="I515" i="35" s="1"/>
  <c r="I514" i="35"/>
  <c r="P622" i="40" l="1"/>
  <c r="Q622" i="40"/>
  <c r="H623" i="40"/>
  <c r="E624" i="40" s="1" a="1"/>
  <c r="E624" i="40" s="1"/>
  <c r="F624" i="40" s="1" a="1"/>
  <c r="F624" i="40" s="1"/>
  <c r="M624" i="40" s="1"/>
  <c r="H624" i="40" s="1"/>
  <c r="E625" i="40" s="1" a="1"/>
  <c r="E625" i="40" s="1"/>
  <c r="F625" i="40" s="1" a="1"/>
  <c r="F625" i="40" s="1"/>
  <c r="I623" i="40"/>
  <c r="Q623" i="40"/>
  <c r="N623" i="40"/>
  <c r="P623" i="40"/>
  <c r="Q732" i="39"/>
  <c r="P732" i="39"/>
  <c r="N732" i="39"/>
  <c r="I732" i="39"/>
  <c r="H732" i="39"/>
  <c r="E733" i="39" s="1" a="1"/>
  <c r="E733" i="39" s="1"/>
  <c r="F733" i="39" s="1" a="1"/>
  <c r="F733" i="39" s="1"/>
  <c r="P514" i="35"/>
  <c r="Q514" i="35"/>
  <c r="G515" i="35"/>
  <c r="O515" i="35" s="1"/>
  <c r="Q515" i="35" s="1"/>
  <c r="H515" i="35"/>
  <c r="E516" i="35" s="1" a="1"/>
  <c r="E516" i="35" s="1"/>
  <c r="F516" i="35" s="1" a="1"/>
  <c r="F516" i="35" s="1"/>
  <c r="M625" i="40" l="1"/>
  <c r="H625" i="40" s="1"/>
  <c r="E626" i="40" s="1" a="1"/>
  <c r="E626" i="40" s="1"/>
  <c r="F626" i="40" s="1" a="1"/>
  <c r="F626" i="40" s="1"/>
  <c r="G624" i="40"/>
  <c r="O624" i="40" s="1"/>
  <c r="I624" i="40"/>
  <c r="M733" i="39"/>
  <c r="H733" i="39" s="1"/>
  <c r="E734" i="39" s="1" a="1"/>
  <c r="E734" i="39" s="1"/>
  <c r="F734" i="39" s="1" a="1"/>
  <c r="F734" i="39" s="1"/>
  <c r="P515" i="35"/>
  <c r="N515" i="35"/>
  <c r="M516" i="35"/>
  <c r="I516" i="35" s="1"/>
  <c r="M626" i="40" l="1"/>
  <c r="I626" i="40" s="1"/>
  <c r="P624" i="40"/>
  <c r="Q624" i="40"/>
  <c r="N624" i="40"/>
  <c r="G625" i="40"/>
  <c r="O625" i="40" s="1"/>
  <c r="I625" i="40"/>
  <c r="G733" i="39"/>
  <c r="O733" i="39" s="1"/>
  <c r="Q733" i="39" s="1"/>
  <c r="M734" i="39"/>
  <c r="G734" i="39" s="1"/>
  <c r="O734" i="39" s="1"/>
  <c r="I733" i="39"/>
  <c r="G516" i="35"/>
  <c r="O516" i="35" s="1"/>
  <c r="P516" i="35" s="1"/>
  <c r="H516" i="35"/>
  <c r="E517" i="35" s="1" a="1"/>
  <c r="E517" i="35" s="1"/>
  <c r="F517" i="35" s="1" a="1"/>
  <c r="F517" i="35" s="1"/>
  <c r="P733" i="39" l="1"/>
  <c r="N733" i="39"/>
  <c r="Q625" i="40"/>
  <c r="P625" i="40"/>
  <c r="N625" i="40"/>
  <c r="G626" i="40"/>
  <c r="O626" i="40" s="1"/>
  <c r="H626" i="40"/>
  <c r="E627" i="40" s="1" a="1"/>
  <c r="E627" i="40" s="1"/>
  <c r="F627" i="40" s="1" a="1"/>
  <c r="F627" i="40" s="1"/>
  <c r="H734" i="39"/>
  <c r="E735" i="39" s="1" a="1"/>
  <c r="E735" i="39" s="1"/>
  <c r="F735" i="39" s="1" a="1"/>
  <c r="F735" i="39" s="1"/>
  <c r="M735" i="39" s="1"/>
  <c r="G735" i="39" s="1"/>
  <c r="O735" i="39" s="1"/>
  <c r="Q735" i="39" s="1"/>
  <c r="I734" i="39"/>
  <c r="N734" i="39"/>
  <c r="P734" i="39"/>
  <c r="Q734" i="39"/>
  <c r="N516" i="35"/>
  <c r="Q516" i="35"/>
  <c r="M517" i="35"/>
  <c r="I517" i="35" s="1"/>
  <c r="M627" i="40" l="1"/>
  <c r="H627" i="40" s="1"/>
  <c r="E628" i="40" s="1" a="1"/>
  <c r="E628" i="40" s="1"/>
  <c r="F628" i="40" s="1" a="1"/>
  <c r="F628" i="40" s="1"/>
  <c r="N626" i="40"/>
  <c r="Q626" i="40"/>
  <c r="P626" i="40"/>
  <c r="I735" i="39"/>
  <c r="P735" i="39"/>
  <c r="H735" i="39"/>
  <c r="E736" i="39" s="1" a="1"/>
  <c r="E736" i="39" s="1"/>
  <c r="F736" i="39" s="1" a="1"/>
  <c r="F736" i="39" s="1"/>
  <c r="M736" i="39" s="1"/>
  <c r="H736" i="39" s="1"/>
  <c r="E737" i="39" s="1" a="1"/>
  <c r="E737" i="39" s="1"/>
  <c r="F737" i="39" s="1" a="1"/>
  <c r="F737" i="39" s="1"/>
  <c r="N735" i="39"/>
  <c r="G517" i="35"/>
  <c r="O517" i="35" s="1"/>
  <c r="M628" i="40" l="1"/>
  <c r="H628" i="40" s="1"/>
  <c r="E629" i="40" s="1" a="1"/>
  <c r="E629" i="40" s="1"/>
  <c r="F629" i="40" s="1" a="1"/>
  <c r="F629" i="40" s="1"/>
  <c r="G627" i="40"/>
  <c r="O627" i="40" s="1"/>
  <c r="I627" i="40"/>
  <c r="I736" i="39"/>
  <c r="M737" i="39"/>
  <c r="I737" i="39" s="1"/>
  <c r="G736" i="39"/>
  <c r="O736" i="39" s="1"/>
  <c r="N517" i="35"/>
  <c r="Q517" i="35"/>
  <c r="P517" i="35"/>
  <c r="H517" i="35"/>
  <c r="E518" i="35" s="1" a="1"/>
  <c r="E518" i="35" s="1"/>
  <c r="F518" i="35" s="1" a="1"/>
  <c r="F518" i="35" s="1"/>
  <c r="M629" i="40" l="1"/>
  <c r="H629" i="40" s="1"/>
  <c r="E630" i="40" s="1" a="1"/>
  <c r="E630" i="40" s="1"/>
  <c r="F630" i="40" s="1" a="1"/>
  <c r="F630" i="40" s="1"/>
  <c r="N627" i="40"/>
  <c r="Q627" i="40"/>
  <c r="P627" i="40"/>
  <c r="G628" i="40"/>
  <c r="O628" i="40" s="1"/>
  <c r="I628" i="40"/>
  <c r="G737" i="39"/>
  <c r="O737" i="39" s="1"/>
  <c r="N737" i="39" s="1"/>
  <c r="H737" i="39"/>
  <c r="E738" i="39" s="1" a="1"/>
  <c r="E738" i="39" s="1"/>
  <c r="F738" i="39" s="1" a="1"/>
  <c r="F738" i="39" s="1"/>
  <c r="M738" i="39" s="1"/>
  <c r="H738" i="39" s="1"/>
  <c r="E739" i="39" s="1" a="1"/>
  <c r="E739" i="39" s="1"/>
  <c r="F739" i="39" s="1" a="1"/>
  <c r="F739" i="39" s="1"/>
  <c r="N736" i="39"/>
  <c r="Q736" i="39"/>
  <c r="P736" i="39"/>
  <c r="M518" i="35"/>
  <c r="I518" i="35" s="1"/>
  <c r="G629" i="40" l="1"/>
  <c r="O629" i="40" s="1"/>
  <c r="P629" i="40" s="1"/>
  <c r="I629" i="40"/>
  <c r="M630" i="40"/>
  <c r="H630" i="40" s="1"/>
  <c r="E631" i="40" s="1" a="1"/>
  <c r="E631" i="40" s="1"/>
  <c r="F631" i="40" s="1" a="1"/>
  <c r="F631" i="40" s="1"/>
  <c r="Q628" i="40"/>
  <c r="P628" i="40"/>
  <c r="N628" i="40"/>
  <c r="P737" i="39"/>
  <c r="Q737" i="39"/>
  <c r="M739" i="39"/>
  <c r="I739" i="39" s="1"/>
  <c r="G738" i="39"/>
  <c r="O738" i="39" s="1"/>
  <c r="I738" i="39"/>
  <c r="G518" i="35"/>
  <c r="O518" i="35" s="1"/>
  <c r="Q518" i="35" s="1"/>
  <c r="H518" i="35"/>
  <c r="E519" i="35" s="1" a="1"/>
  <c r="E519" i="35" s="1"/>
  <c r="F519" i="35" s="1" a="1"/>
  <c r="F519" i="35" s="1"/>
  <c r="M519" i="35" s="1"/>
  <c r="I519" i="35" s="1"/>
  <c r="N629" i="40" l="1"/>
  <c r="Q629" i="40"/>
  <c r="M631" i="40"/>
  <c r="I631" i="40" s="1"/>
  <c r="G630" i="40"/>
  <c r="O630" i="40" s="1"/>
  <c r="I630" i="40"/>
  <c r="Q738" i="39"/>
  <c r="P738" i="39"/>
  <c r="N738" i="39"/>
  <c r="G739" i="39"/>
  <c r="O739" i="39" s="1"/>
  <c r="H739" i="39"/>
  <c r="E740" i="39" s="1" a="1"/>
  <c r="E740" i="39" s="1"/>
  <c r="F740" i="39" s="1" a="1"/>
  <c r="F740" i="39" s="1"/>
  <c r="N518" i="35"/>
  <c r="P518" i="35"/>
  <c r="G519" i="35"/>
  <c r="O519" i="35" s="1"/>
  <c r="G631" i="40" l="1"/>
  <c r="O631" i="40" s="1"/>
  <c r="P631" i="40" s="1"/>
  <c r="H631" i="40"/>
  <c r="E632" i="40" s="1" a="1"/>
  <c r="E632" i="40" s="1"/>
  <c r="F632" i="40" s="1" a="1"/>
  <c r="F632" i="40" s="1"/>
  <c r="M632" i="40" s="1"/>
  <c r="G632" i="40" s="1"/>
  <c r="O632" i="40" s="1"/>
  <c r="N630" i="40"/>
  <c r="Q630" i="40"/>
  <c r="P630" i="40"/>
  <c r="M740" i="39"/>
  <c r="I740" i="39" s="1"/>
  <c r="N739" i="39"/>
  <c r="P739" i="39"/>
  <c r="Q739" i="39"/>
  <c r="H519" i="35"/>
  <c r="E520" i="35" s="1" a="1"/>
  <c r="E520" i="35" s="1"/>
  <c r="F520" i="35" s="1" a="1"/>
  <c r="F520" i="35" s="1"/>
  <c r="Q519" i="35"/>
  <c r="P519" i="35"/>
  <c r="N519" i="35"/>
  <c r="N631" i="40" l="1"/>
  <c r="Q631" i="40"/>
  <c r="N632" i="40"/>
  <c r="Q632" i="40"/>
  <c r="P632" i="40"/>
  <c r="H632" i="40"/>
  <c r="E633" i="40" s="1" a="1"/>
  <c r="E633" i="40" s="1"/>
  <c r="F633" i="40" s="1" a="1"/>
  <c r="F633" i="40" s="1"/>
  <c r="I632" i="40"/>
  <c r="G740" i="39"/>
  <c r="O740" i="39" s="1"/>
  <c r="N740" i="39" s="1"/>
  <c r="H740" i="39"/>
  <c r="E741" i="39" s="1" a="1"/>
  <c r="E741" i="39" s="1"/>
  <c r="F741" i="39" s="1" a="1"/>
  <c r="F741" i="39" s="1"/>
  <c r="M741" i="39" s="1"/>
  <c r="I741" i="39" s="1"/>
  <c r="M520" i="35"/>
  <c r="I520" i="35" s="1"/>
  <c r="P740" i="39" l="1"/>
  <c r="Q740" i="39"/>
  <c r="M633" i="40"/>
  <c r="H633" i="40" s="1"/>
  <c r="E634" i="40" s="1" a="1"/>
  <c r="E634" i="40" s="1"/>
  <c r="F634" i="40" s="1" a="1"/>
  <c r="F634" i="40" s="1"/>
  <c r="G741" i="39"/>
  <c r="O741" i="39" s="1"/>
  <c r="P741" i="39" s="1"/>
  <c r="H741" i="39"/>
  <c r="E742" i="39" s="1" a="1"/>
  <c r="E742" i="39" s="1"/>
  <c r="F742" i="39" s="1" a="1"/>
  <c r="F742" i="39" s="1"/>
  <c r="M742" i="39" s="1"/>
  <c r="H742" i="39" s="1"/>
  <c r="E743" i="39" s="1" a="1"/>
  <c r="E743" i="39" s="1"/>
  <c r="F743" i="39" s="1" a="1"/>
  <c r="F743" i="39" s="1"/>
  <c r="G520" i="35"/>
  <c r="O520" i="35" s="1"/>
  <c r="P520" i="35" s="1"/>
  <c r="H520" i="35"/>
  <c r="E521" i="35" s="1" a="1"/>
  <c r="E521" i="35" s="1"/>
  <c r="F521" i="35" s="1" a="1"/>
  <c r="F521" i="35" s="1"/>
  <c r="M634" i="40" l="1"/>
  <c r="I634" i="40" s="1"/>
  <c r="N741" i="39"/>
  <c r="Q741" i="39"/>
  <c r="I633" i="40"/>
  <c r="G633" i="40"/>
  <c r="O633" i="40" s="1"/>
  <c r="I742" i="39"/>
  <c r="M743" i="39"/>
  <c r="I743" i="39" s="1"/>
  <c r="G742" i="39"/>
  <c r="O742" i="39" s="1"/>
  <c r="N520" i="35"/>
  <c r="Q520" i="35"/>
  <c r="M521" i="35"/>
  <c r="I521" i="35" s="1"/>
  <c r="G634" i="40" l="1"/>
  <c r="O634" i="40" s="1"/>
  <c r="Q634" i="40" s="1"/>
  <c r="H634" i="40"/>
  <c r="E635" i="40" s="1" a="1"/>
  <c r="E635" i="40" s="1"/>
  <c r="F635" i="40" s="1" a="1"/>
  <c r="F635" i="40" s="1"/>
  <c r="M635" i="40" s="1"/>
  <c r="H635" i="40" s="1"/>
  <c r="E636" i="40" s="1" a="1"/>
  <c r="E636" i="40" s="1"/>
  <c r="F636" i="40" s="1" a="1"/>
  <c r="F636" i="40" s="1"/>
  <c r="Q633" i="40"/>
  <c r="N633" i="40"/>
  <c r="P633" i="40"/>
  <c r="G743" i="39"/>
  <c r="O743" i="39" s="1"/>
  <c r="N743" i="39" s="1"/>
  <c r="H743" i="39"/>
  <c r="E744" i="39" s="1" a="1"/>
  <c r="E744" i="39" s="1"/>
  <c r="F744" i="39" s="1" a="1"/>
  <c r="F744" i="39" s="1"/>
  <c r="M744" i="39" s="1"/>
  <c r="H744" i="39" s="1"/>
  <c r="E745" i="39" s="1" a="1"/>
  <c r="E745" i="39" s="1"/>
  <c r="F745" i="39" s="1" a="1"/>
  <c r="F745" i="39" s="1"/>
  <c r="Q742" i="39"/>
  <c r="P742" i="39"/>
  <c r="N742" i="39"/>
  <c r="G521" i="35"/>
  <c r="O521" i="35" s="1"/>
  <c r="N521" i="35" s="1"/>
  <c r="H521" i="35"/>
  <c r="E522" i="35" s="1" a="1"/>
  <c r="E522" i="35" s="1"/>
  <c r="F522" i="35" s="1" a="1"/>
  <c r="F522" i="35" s="1"/>
  <c r="P634" i="40" l="1"/>
  <c r="N634" i="40"/>
  <c r="M636" i="40"/>
  <c r="I636" i="40" s="1"/>
  <c r="P743" i="39"/>
  <c r="Q743" i="39"/>
  <c r="G635" i="40"/>
  <c r="O635" i="40" s="1"/>
  <c r="I635" i="40"/>
  <c r="M745" i="39"/>
  <c r="I745" i="39" s="1"/>
  <c r="I744" i="39"/>
  <c r="G744" i="39"/>
  <c r="O744" i="39" s="1"/>
  <c r="Q521" i="35"/>
  <c r="P521" i="35"/>
  <c r="M522" i="35"/>
  <c r="I522" i="35" s="1"/>
  <c r="G636" i="40" l="1"/>
  <c r="O636" i="40" s="1"/>
  <c r="Q636" i="40" s="1"/>
  <c r="H636" i="40"/>
  <c r="E637" i="40" s="1" a="1"/>
  <c r="E637" i="40" s="1"/>
  <c r="F637" i="40" s="1" a="1"/>
  <c r="F637" i="40" s="1"/>
  <c r="M637" i="40" s="1"/>
  <c r="H637" i="40" s="1"/>
  <c r="E638" i="40" s="1" a="1"/>
  <c r="E638" i="40" s="1"/>
  <c r="F638" i="40" s="1" a="1"/>
  <c r="F638" i="40" s="1"/>
  <c r="N635" i="40"/>
  <c r="Q635" i="40"/>
  <c r="P635" i="40"/>
  <c r="G745" i="39"/>
  <c r="O745" i="39" s="1"/>
  <c r="Q745" i="39" s="1"/>
  <c r="H745" i="39"/>
  <c r="E746" i="39" s="1" a="1"/>
  <c r="E746" i="39" s="1"/>
  <c r="F746" i="39" s="1" a="1"/>
  <c r="F746" i="39" s="1"/>
  <c r="M746" i="39" s="1"/>
  <c r="Q744" i="39"/>
  <c r="P744" i="39"/>
  <c r="N744" i="39"/>
  <c r="H522" i="35"/>
  <c r="E523" i="35" s="1" a="1"/>
  <c r="E523" i="35" s="1"/>
  <c r="F523" i="35" s="1" a="1"/>
  <c r="F523" i="35" s="1"/>
  <c r="M523" i="35" s="1"/>
  <c r="I523" i="35" s="1"/>
  <c r="G522" i="35"/>
  <c r="O522" i="35" s="1"/>
  <c r="P522" i="35" s="1"/>
  <c r="N636" i="40" l="1"/>
  <c r="P636" i="40"/>
  <c r="P745" i="39"/>
  <c r="M638" i="40"/>
  <c r="G638" i="40" s="1"/>
  <c r="O638" i="40" s="1"/>
  <c r="G637" i="40"/>
  <c r="O637" i="40" s="1"/>
  <c r="I637" i="40"/>
  <c r="N745" i="39"/>
  <c r="I746" i="39"/>
  <c r="G746" i="39"/>
  <c r="O746" i="39" s="1"/>
  <c r="Q746" i="39" s="1"/>
  <c r="H746" i="39"/>
  <c r="E747" i="39" s="1" a="1"/>
  <c r="E747" i="39" s="1"/>
  <c r="F747" i="39" s="1" a="1"/>
  <c r="F747" i="39" s="1"/>
  <c r="M747" i="39" s="1"/>
  <c r="G747" i="39" s="1"/>
  <c r="O747" i="39" s="1"/>
  <c r="N522" i="35"/>
  <c r="Q522" i="35"/>
  <c r="G523" i="35"/>
  <c r="O523" i="35" s="1"/>
  <c r="N746" i="39" l="1"/>
  <c r="P746" i="39"/>
  <c r="P638" i="40"/>
  <c r="N638" i="40"/>
  <c r="Q638" i="40"/>
  <c r="N637" i="40"/>
  <c r="Q637" i="40"/>
  <c r="P637" i="40"/>
  <c r="I638" i="40"/>
  <c r="H638" i="40"/>
  <c r="E639" i="40" s="1" a="1"/>
  <c r="E639" i="40" s="1"/>
  <c r="F639" i="40" s="1" a="1"/>
  <c r="F639" i="40" s="1"/>
  <c r="N747" i="39"/>
  <c r="Q747" i="39"/>
  <c r="P747" i="39"/>
  <c r="I747" i="39"/>
  <c r="H747" i="39"/>
  <c r="E748" i="39" s="1" a="1"/>
  <c r="E748" i="39" s="1"/>
  <c r="F748" i="39" s="1" a="1"/>
  <c r="F748" i="39" s="1"/>
  <c r="Q523" i="35"/>
  <c r="N523" i="35"/>
  <c r="P523" i="35"/>
  <c r="H523" i="35"/>
  <c r="E524" i="35" s="1" a="1"/>
  <c r="E524" i="35" s="1"/>
  <c r="F524" i="35" s="1" a="1"/>
  <c r="F524" i="35" s="1"/>
  <c r="M639" i="40" l="1"/>
  <c r="I639" i="40" s="1"/>
  <c r="M748" i="39"/>
  <c r="H748" i="39" s="1"/>
  <c r="E749" i="39" s="1" a="1"/>
  <c r="E749" i="39" s="1"/>
  <c r="F749" i="39" s="1" a="1"/>
  <c r="F749" i="39" s="1"/>
  <c r="M524" i="35"/>
  <c r="I524" i="35" s="1"/>
  <c r="G639" i="40" l="1"/>
  <c r="O639" i="40" s="1"/>
  <c r="H639" i="40"/>
  <c r="E640" i="40" s="1" a="1"/>
  <c r="E640" i="40" s="1"/>
  <c r="F640" i="40" s="1" a="1"/>
  <c r="F640" i="40" s="1"/>
  <c r="I748" i="39"/>
  <c r="M749" i="39"/>
  <c r="I749" i="39" s="1"/>
  <c r="G748" i="39"/>
  <c r="O748" i="39" s="1"/>
  <c r="H524" i="35"/>
  <c r="E525" i="35" s="1" a="1"/>
  <c r="E525" i="35" s="1"/>
  <c r="F525" i="35" s="1" a="1"/>
  <c r="F525" i="35" s="1"/>
  <c r="M640" i="40" l="1"/>
  <c r="I640" i="40" s="1"/>
  <c r="P639" i="40"/>
  <c r="Q639" i="40"/>
  <c r="N639" i="40"/>
  <c r="H749" i="39"/>
  <c r="E750" i="39" s="1" a="1"/>
  <c r="E750" i="39" s="1"/>
  <c r="F750" i="39" s="1" a="1"/>
  <c r="F750" i="39" s="1"/>
  <c r="M750" i="39" s="1"/>
  <c r="I750" i="39" s="1"/>
  <c r="G749" i="39"/>
  <c r="O749" i="39" s="1"/>
  <c r="N749" i="39" s="1"/>
  <c r="Q748" i="39"/>
  <c r="P748" i="39"/>
  <c r="N748" i="39"/>
  <c r="M525" i="35"/>
  <c r="I525" i="35" s="1"/>
  <c r="G524" i="35"/>
  <c r="O524" i="35" s="1"/>
  <c r="G640" i="40" l="1"/>
  <c r="O640" i="40" s="1"/>
  <c r="N640" i="40" s="1"/>
  <c r="H640" i="40"/>
  <c r="E641" i="40" s="1" a="1"/>
  <c r="E641" i="40" s="1"/>
  <c r="F641" i="40" s="1" a="1"/>
  <c r="F641" i="40" s="1"/>
  <c r="M641" i="40" s="1"/>
  <c r="H641" i="40" s="1"/>
  <c r="E642" i="40" s="1" a="1"/>
  <c r="E642" i="40" s="1"/>
  <c r="F642" i="40" s="1" a="1"/>
  <c r="F642" i="40" s="1"/>
  <c r="P749" i="39"/>
  <c r="Q749" i="39"/>
  <c r="G750" i="39"/>
  <c r="O750" i="39" s="1"/>
  <c r="Q750" i="39" s="1"/>
  <c r="H750" i="39"/>
  <c r="E751" i="39" s="1" a="1"/>
  <c r="E751" i="39" s="1"/>
  <c r="F751" i="39" s="1" a="1"/>
  <c r="F751" i="39" s="1"/>
  <c r="M751" i="39" s="1"/>
  <c r="G751" i="39" s="1"/>
  <c r="O751" i="39" s="1"/>
  <c r="N524" i="35"/>
  <c r="P524" i="35"/>
  <c r="Q524" i="35"/>
  <c r="H525" i="35"/>
  <c r="E526" i="35" s="1" a="1"/>
  <c r="E526" i="35" s="1"/>
  <c r="F526" i="35" s="1" a="1"/>
  <c r="F526" i="35" s="1"/>
  <c r="P640" i="40" l="1"/>
  <c r="Q640" i="40"/>
  <c r="I641" i="40"/>
  <c r="G641" i="40"/>
  <c r="O641" i="40" s="1"/>
  <c r="Q641" i="40" s="1"/>
  <c r="M642" i="40"/>
  <c r="I642" i="40" s="1"/>
  <c r="N750" i="39"/>
  <c r="P750" i="39"/>
  <c r="H751" i="39"/>
  <c r="E752" i="39" s="1" a="1"/>
  <c r="E752" i="39" s="1"/>
  <c r="F752" i="39" s="1" a="1"/>
  <c r="F752" i="39" s="1"/>
  <c r="M752" i="39" s="1"/>
  <c r="G752" i="39" s="1"/>
  <c r="O752" i="39" s="1"/>
  <c r="I751" i="39"/>
  <c r="N751" i="39"/>
  <c r="P751" i="39"/>
  <c r="Q751" i="39"/>
  <c r="M526" i="35"/>
  <c r="I526" i="35" s="1"/>
  <c r="G525" i="35"/>
  <c r="O525" i="35" s="1"/>
  <c r="N641" i="40" l="1"/>
  <c r="P641" i="40"/>
  <c r="G642" i="40"/>
  <c r="O642" i="40" s="1"/>
  <c r="P642" i="40" s="1"/>
  <c r="H642" i="40"/>
  <c r="E643" i="40" s="1" a="1"/>
  <c r="E643" i="40" s="1"/>
  <c r="F643" i="40" s="1" a="1"/>
  <c r="F643" i="40" s="1"/>
  <c r="M643" i="40" s="1"/>
  <c r="I643" i="40" s="1"/>
  <c r="I752" i="39"/>
  <c r="N752" i="39"/>
  <c r="Q752" i="39"/>
  <c r="P752" i="39"/>
  <c r="H752" i="39"/>
  <c r="E753" i="39" s="1" a="1"/>
  <c r="E753" i="39" s="1"/>
  <c r="F753" i="39" s="1" a="1"/>
  <c r="F753" i="39" s="1"/>
  <c r="H526" i="35"/>
  <c r="E527" i="35" s="1" a="1"/>
  <c r="E527" i="35" s="1"/>
  <c r="F527" i="35" s="1" a="1"/>
  <c r="F527" i="35" s="1"/>
  <c r="M527" i="35" s="1"/>
  <c r="I527" i="35" s="1"/>
  <c r="G526" i="35"/>
  <c r="O526" i="35" s="1"/>
  <c r="P526" i="35" s="1"/>
  <c r="N525" i="35"/>
  <c r="P525" i="35"/>
  <c r="Q525" i="35"/>
  <c r="N642" i="40" l="1"/>
  <c r="Q642" i="40"/>
  <c r="G643" i="40"/>
  <c r="O643" i="40" s="1"/>
  <c r="N643" i="40" s="1"/>
  <c r="H643" i="40"/>
  <c r="E644" i="40" s="1" a="1"/>
  <c r="E644" i="40" s="1"/>
  <c r="F644" i="40" s="1" a="1"/>
  <c r="F644" i="40" s="1"/>
  <c r="M753" i="39"/>
  <c r="I753" i="39" s="1"/>
  <c r="Q526" i="35"/>
  <c r="N526" i="35"/>
  <c r="G527" i="35"/>
  <c r="O527" i="35" s="1"/>
  <c r="N527" i="35" s="1"/>
  <c r="H527" i="35"/>
  <c r="E528" i="35" s="1" a="1"/>
  <c r="E528" i="35" s="1"/>
  <c r="F528" i="35" s="1" a="1"/>
  <c r="F528" i="35" s="1"/>
  <c r="P643" i="40" l="1"/>
  <c r="Q643" i="40"/>
  <c r="M644" i="40"/>
  <c r="I644" i="40" s="1"/>
  <c r="G753" i="39"/>
  <c r="O753" i="39" s="1"/>
  <c r="Q753" i="39" s="1"/>
  <c r="H753" i="39"/>
  <c r="E754" i="39" s="1" a="1"/>
  <c r="E754" i="39" s="1"/>
  <c r="F754" i="39" s="1" a="1"/>
  <c r="F754" i="39" s="1"/>
  <c r="M754" i="39" s="1"/>
  <c r="H754" i="39" s="1"/>
  <c r="E755" i="39" s="1" a="1"/>
  <c r="E755" i="39" s="1"/>
  <c r="F755" i="39" s="1" a="1"/>
  <c r="F755" i="39" s="1"/>
  <c r="P527" i="35"/>
  <c r="Q527" i="35"/>
  <c r="M528" i="35"/>
  <c r="I528" i="35" s="1"/>
  <c r="G644" i="40" l="1"/>
  <c r="O644" i="40" s="1"/>
  <c r="P644" i="40" s="1"/>
  <c r="N753" i="39"/>
  <c r="H644" i="40"/>
  <c r="E645" i="40" s="1" a="1"/>
  <c r="E645" i="40" s="1"/>
  <c r="F645" i="40" s="1" a="1"/>
  <c r="F645" i="40" s="1"/>
  <c r="M645" i="40" s="1"/>
  <c r="H645" i="40" s="1"/>
  <c r="E646" i="40" s="1" a="1"/>
  <c r="E646" i="40" s="1"/>
  <c r="F646" i="40" s="1" a="1"/>
  <c r="F646" i="40" s="1"/>
  <c r="P753" i="39"/>
  <c r="I754" i="39"/>
  <c r="M755" i="39"/>
  <c r="H755" i="39" s="1"/>
  <c r="E756" i="39" s="1" a="1"/>
  <c r="E756" i="39" s="1"/>
  <c r="F756" i="39" s="1" a="1"/>
  <c r="F756" i="39" s="1"/>
  <c r="G754" i="39"/>
  <c r="O754" i="39" s="1"/>
  <c r="G528" i="35"/>
  <c r="O528" i="35" s="1"/>
  <c r="H528" i="35"/>
  <c r="E529" i="35" s="1" a="1"/>
  <c r="E529" i="35" s="1"/>
  <c r="F529" i="35" s="1" a="1"/>
  <c r="F529" i="35" s="1"/>
  <c r="Q644" i="40" l="1"/>
  <c r="N644" i="40"/>
  <c r="G645" i="40"/>
  <c r="O645" i="40" s="1"/>
  <c r="N645" i="40" s="1"/>
  <c r="M646" i="40"/>
  <c r="I646" i="40" s="1"/>
  <c r="I645" i="40"/>
  <c r="M756" i="39"/>
  <c r="H756" i="39" s="1"/>
  <c r="E757" i="39" s="1" a="1"/>
  <c r="E757" i="39" s="1"/>
  <c r="F757" i="39" s="1" a="1"/>
  <c r="F757" i="39" s="1"/>
  <c r="Q754" i="39"/>
  <c r="P754" i="39"/>
  <c r="N754" i="39"/>
  <c r="I755" i="39"/>
  <c r="G755" i="39"/>
  <c r="O755" i="39" s="1"/>
  <c r="M529" i="35"/>
  <c r="I529" i="35" s="1"/>
  <c r="N528" i="35"/>
  <c r="P528" i="35"/>
  <c r="Q528" i="35"/>
  <c r="Q645" i="40" l="1"/>
  <c r="P645" i="40"/>
  <c r="G646" i="40"/>
  <c r="O646" i="40" s="1"/>
  <c r="Q646" i="40" s="1"/>
  <c r="H646" i="40"/>
  <c r="E647" i="40" s="1" a="1"/>
  <c r="E647" i="40" s="1"/>
  <c r="F647" i="40" s="1" a="1"/>
  <c r="F647" i="40" s="1"/>
  <c r="M647" i="40" s="1"/>
  <c r="I647" i="40" s="1"/>
  <c r="M757" i="39"/>
  <c r="I757" i="39" s="1"/>
  <c r="N755" i="39"/>
  <c r="Q755" i="39"/>
  <c r="P755" i="39"/>
  <c r="I756" i="39"/>
  <c r="G756" i="39"/>
  <c r="O756" i="39" s="1"/>
  <c r="H529" i="35"/>
  <c r="E530" i="35" s="1" a="1"/>
  <c r="E530" i="35" s="1"/>
  <c r="F530" i="35" s="1" a="1"/>
  <c r="F530" i="35" s="1"/>
  <c r="M530" i="35" s="1"/>
  <c r="I530" i="35" s="1"/>
  <c r="G529" i="35"/>
  <c r="O529" i="35" s="1"/>
  <c r="N529" i="35" s="1"/>
  <c r="N646" i="40" l="1"/>
  <c r="P646" i="40"/>
  <c r="H647" i="40"/>
  <c r="E648" i="40" s="1" a="1"/>
  <c r="E648" i="40" s="1"/>
  <c r="F648" i="40" s="1" a="1"/>
  <c r="F648" i="40" s="1"/>
  <c r="M648" i="40" s="1"/>
  <c r="G648" i="40" s="1"/>
  <c r="O648" i="40" s="1"/>
  <c r="H757" i="39"/>
  <c r="E758" i="39" s="1" a="1"/>
  <c r="E758" i="39" s="1"/>
  <c r="F758" i="39" s="1" a="1"/>
  <c r="F758" i="39" s="1"/>
  <c r="M758" i="39" s="1"/>
  <c r="I758" i="39" s="1"/>
  <c r="G647" i="40"/>
  <c r="O647" i="40" s="1"/>
  <c r="P647" i="40" s="1"/>
  <c r="G757" i="39"/>
  <c r="O757" i="39" s="1"/>
  <c r="N757" i="39" s="1"/>
  <c r="P756" i="39"/>
  <c r="N756" i="39"/>
  <c r="Q756" i="39"/>
  <c r="P529" i="35"/>
  <c r="Q529" i="35"/>
  <c r="H530" i="35"/>
  <c r="E531" i="35" s="1" a="1"/>
  <c r="E531" i="35" s="1"/>
  <c r="F531" i="35" s="1" a="1"/>
  <c r="F531" i="35" s="1"/>
  <c r="M531" i="35" s="1"/>
  <c r="I531" i="35" s="1"/>
  <c r="G530" i="35"/>
  <c r="O530" i="35" s="1"/>
  <c r="P530" i="35" s="1"/>
  <c r="N647" i="40" l="1"/>
  <c r="Q757" i="39"/>
  <c r="P757" i="39"/>
  <c r="Q647" i="40"/>
  <c r="I648" i="40"/>
  <c r="H648" i="40"/>
  <c r="E649" i="40" s="1" a="1"/>
  <c r="E649" i="40" s="1"/>
  <c r="F649" i="40" s="1" a="1"/>
  <c r="F649" i="40" s="1"/>
  <c r="M649" i="40" s="1"/>
  <c r="H649" i="40" s="1"/>
  <c r="E650" i="40" s="1" a="1"/>
  <c r="E650" i="40" s="1"/>
  <c r="F650" i="40" s="1" a="1"/>
  <c r="F650" i="40" s="1"/>
  <c r="N648" i="40"/>
  <c r="Q648" i="40"/>
  <c r="P648" i="40"/>
  <c r="G758" i="39"/>
  <c r="O758" i="39" s="1"/>
  <c r="Q758" i="39" s="1"/>
  <c r="H758" i="39"/>
  <c r="E759" i="39" s="1" a="1"/>
  <c r="E759" i="39" s="1"/>
  <c r="F759" i="39" s="1" a="1"/>
  <c r="F759" i="39" s="1"/>
  <c r="M759" i="39" s="1"/>
  <c r="H759" i="39" s="1"/>
  <c r="E760" i="39" s="1" a="1"/>
  <c r="E760" i="39" s="1"/>
  <c r="F760" i="39" s="1" a="1"/>
  <c r="F760" i="39" s="1"/>
  <c r="Q530" i="35"/>
  <c r="N530" i="35"/>
  <c r="H531" i="35"/>
  <c r="E532" i="35" s="1" a="1"/>
  <c r="E532" i="35" s="1"/>
  <c r="F532" i="35" s="1" a="1"/>
  <c r="F532" i="35" s="1"/>
  <c r="M532" i="35" s="1"/>
  <c r="I532" i="35" s="1"/>
  <c r="G531" i="35"/>
  <c r="O531" i="35" s="1"/>
  <c r="Q531" i="35" s="1"/>
  <c r="N758" i="39" l="1"/>
  <c r="P758" i="39"/>
  <c r="M650" i="40"/>
  <c r="H650" i="40" s="1"/>
  <c r="E651" i="40" s="1" a="1"/>
  <c r="E651" i="40" s="1"/>
  <c r="F651" i="40" s="1" a="1"/>
  <c r="F651" i="40" s="1"/>
  <c r="G649" i="40"/>
  <c r="O649" i="40" s="1"/>
  <c r="I649" i="40"/>
  <c r="M760" i="39"/>
  <c r="H760" i="39" s="1"/>
  <c r="E761" i="39" s="1" a="1"/>
  <c r="E761" i="39" s="1"/>
  <c r="F761" i="39" s="1" a="1"/>
  <c r="F761" i="39" s="1"/>
  <c r="I759" i="39"/>
  <c r="G759" i="39"/>
  <c r="O759" i="39" s="1"/>
  <c r="N531" i="35"/>
  <c r="P531" i="35"/>
  <c r="G532" i="35"/>
  <c r="O532" i="35" s="1"/>
  <c r="M651" i="40" l="1"/>
  <c r="G651" i="40" s="1"/>
  <c r="O651" i="40" s="1"/>
  <c r="P649" i="40"/>
  <c r="Q649" i="40"/>
  <c r="N649" i="40"/>
  <c r="G650" i="40"/>
  <c r="O650" i="40" s="1"/>
  <c r="I650" i="40"/>
  <c r="M761" i="39"/>
  <c r="I761" i="39" s="1"/>
  <c r="Q759" i="39"/>
  <c r="P759" i="39"/>
  <c r="N759" i="39"/>
  <c r="G760" i="39"/>
  <c r="O760" i="39" s="1"/>
  <c r="I760" i="39"/>
  <c r="N532" i="35"/>
  <c r="Q532" i="35"/>
  <c r="P532" i="35"/>
  <c r="H532" i="35"/>
  <c r="E533" i="35" s="1" a="1"/>
  <c r="E533" i="35" s="1"/>
  <c r="F533" i="35" s="1" a="1"/>
  <c r="F533" i="35" s="1"/>
  <c r="H761" i="39" l="1"/>
  <c r="E762" i="39" s="1" a="1"/>
  <c r="E762" i="39" s="1"/>
  <c r="F762" i="39" s="1" a="1"/>
  <c r="F762" i="39" s="1"/>
  <c r="M762" i="39" s="1"/>
  <c r="G762" i="39" s="1"/>
  <c r="O762" i="39" s="1"/>
  <c r="N651" i="40"/>
  <c r="Q651" i="40"/>
  <c r="P651" i="40"/>
  <c r="G761" i="39"/>
  <c r="O761" i="39" s="1"/>
  <c r="Q761" i="39" s="1"/>
  <c r="I651" i="40"/>
  <c r="H651" i="40"/>
  <c r="E652" i="40" s="1" a="1"/>
  <c r="E652" i="40" s="1"/>
  <c r="F652" i="40" s="1" a="1"/>
  <c r="F652" i="40" s="1"/>
  <c r="P650" i="40"/>
  <c r="Q650" i="40"/>
  <c r="N650" i="40"/>
  <c r="Q760" i="39"/>
  <c r="P760" i="39"/>
  <c r="N760" i="39"/>
  <c r="M533" i="35"/>
  <c r="I533" i="35" s="1"/>
  <c r="N761" i="39" l="1"/>
  <c r="P761" i="39"/>
  <c r="M652" i="40"/>
  <c r="I652" i="40" s="1"/>
  <c r="H762" i="39"/>
  <c r="E763" i="39" s="1" a="1"/>
  <c r="E763" i="39" s="1"/>
  <c r="F763" i="39" s="1" a="1"/>
  <c r="F763" i="39" s="1"/>
  <c r="M763" i="39" s="1"/>
  <c r="H763" i="39" s="1"/>
  <c r="E764" i="39" s="1" a="1"/>
  <c r="E764" i="39" s="1"/>
  <c r="F764" i="39" s="1" a="1"/>
  <c r="F764" i="39" s="1"/>
  <c r="I762" i="39"/>
  <c r="Q762" i="39"/>
  <c r="P762" i="39"/>
  <c r="N762" i="39"/>
  <c r="G652" i="40" l="1"/>
  <c r="O652" i="40" s="1"/>
  <c r="Q652" i="40" s="1"/>
  <c r="H652" i="40"/>
  <c r="E653" i="40" s="1" a="1"/>
  <c r="E653" i="40" s="1"/>
  <c r="F653" i="40" s="1" a="1"/>
  <c r="F653" i="40" s="1"/>
  <c r="M653" i="40" s="1"/>
  <c r="H653" i="40" s="1"/>
  <c r="E654" i="40" s="1" a="1"/>
  <c r="E654" i="40" s="1"/>
  <c r="F654" i="40" s="1" a="1"/>
  <c r="F654" i="40" s="1"/>
  <c r="M764" i="39"/>
  <c r="H764" i="39" s="1"/>
  <c r="E765" i="39" s="1" a="1"/>
  <c r="E765" i="39" s="1"/>
  <c r="F765" i="39" s="1" a="1"/>
  <c r="F765" i="39" s="1"/>
  <c r="I763" i="39"/>
  <c r="G763" i="39"/>
  <c r="O763" i="39" s="1"/>
  <c r="G533" i="35"/>
  <c r="O533" i="35" s="1"/>
  <c r="H533" i="35"/>
  <c r="E534" i="35" s="1" a="1"/>
  <c r="E534" i="35" s="1"/>
  <c r="F534" i="35" s="1" a="1"/>
  <c r="F534" i="35" s="1"/>
  <c r="N652" i="40" l="1"/>
  <c r="P652" i="40"/>
  <c r="M654" i="40"/>
  <c r="G654" i="40" s="1"/>
  <c r="O654" i="40" s="1"/>
  <c r="I764" i="39"/>
  <c r="I653" i="40"/>
  <c r="G764" i="39"/>
  <c r="O764" i="39" s="1"/>
  <c r="N764" i="39" s="1"/>
  <c r="G653" i="40"/>
  <c r="O653" i="40" s="1"/>
  <c r="M765" i="39"/>
  <c r="I765" i="39" s="1"/>
  <c r="N763" i="39"/>
  <c r="P763" i="39"/>
  <c r="Q763" i="39"/>
  <c r="M534" i="35"/>
  <c r="I534" i="35" s="1"/>
  <c r="N533" i="35"/>
  <c r="P533" i="35"/>
  <c r="Q533" i="35"/>
  <c r="P764" i="39" l="1"/>
  <c r="N654" i="40"/>
  <c r="Q654" i="40"/>
  <c r="P654" i="40"/>
  <c r="H654" i="40"/>
  <c r="E655" i="40" s="1" a="1"/>
  <c r="E655" i="40" s="1"/>
  <c r="F655" i="40" s="1" a="1"/>
  <c r="F655" i="40" s="1"/>
  <c r="N653" i="40"/>
  <c r="Q653" i="40"/>
  <c r="P653" i="40"/>
  <c r="I654" i="40"/>
  <c r="Q764" i="39"/>
  <c r="G765" i="39"/>
  <c r="O765" i="39" s="1"/>
  <c r="Q765" i="39" s="1"/>
  <c r="H765" i="39"/>
  <c r="E766" i="39" s="1" a="1"/>
  <c r="E766" i="39" s="1"/>
  <c r="F766" i="39" s="1" a="1"/>
  <c r="F766" i="39" s="1"/>
  <c r="M766" i="39" s="1"/>
  <c r="H534" i="35"/>
  <c r="E535" i="35" s="1" a="1"/>
  <c r="E535" i="35" s="1"/>
  <c r="F535" i="35" s="1" a="1"/>
  <c r="F535" i="35" s="1"/>
  <c r="N765" i="39" l="1"/>
  <c r="P765" i="39"/>
  <c r="M655" i="40"/>
  <c r="G655" i="40" s="1"/>
  <c r="O655" i="40" s="1"/>
  <c r="G766" i="39"/>
  <c r="O766" i="39" s="1"/>
  <c r="Q766" i="39" s="1"/>
  <c r="H766" i="39"/>
  <c r="E767" i="39" s="1" a="1"/>
  <c r="E767" i="39" s="1"/>
  <c r="F767" i="39" s="1" a="1"/>
  <c r="F767" i="39" s="1"/>
  <c r="M767" i="39" s="1"/>
  <c r="H767" i="39" s="1"/>
  <c r="E768" i="39" s="1" a="1"/>
  <c r="E768" i="39" s="1"/>
  <c r="F768" i="39" s="1" a="1"/>
  <c r="F768" i="39" s="1"/>
  <c r="I766" i="39"/>
  <c r="M535" i="35"/>
  <c r="I535" i="35" s="1"/>
  <c r="G534" i="35"/>
  <c r="O534" i="35" s="1"/>
  <c r="P766" i="39" l="1"/>
  <c r="I655" i="40"/>
  <c r="N766" i="39"/>
  <c r="P655" i="40"/>
  <c r="Q655" i="40"/>
  <c r="N655" i="40"/>
  <c r="H655" i="40"/>
  <c r="E656" i="40" s="1" a="1"/>
  <c r="E656" i="40" s="1"/>
  <c r="F656" i="40" s="1" a="1"/>
  <c r="F656" i="40" s="1"/>
  <c r="I767" i="39"/>
  <c r="M768" i="39"/>
  <c r="I768" i="39" s="1"/>
  <c r="G767" i="39"/>
  <c r="O767" i="39" s="1"/>
  <c r="H535" i="35"/>
  <c r="E536" i="35" s="1" a="1"/>
  <c r="E536" i="35" s="1"/>
  <c r="F536" i="35" s="1" a="1"/>
  <c r="F536" i="35" s="1"/>
  <c r="M536" i="35" s="1"/>
  <c r="I536" i="35" s="1"/>
  <c r="G535" i="35"/>
  <c r="O535" i="35" s="1"/>
  <c r="Q535" i="35" s="1"/>
  <c r="P534" i="35"/>
  <c r="N534" i="35"/>
  <c r="Q534" i="35"/>
  <c r="M656" i="40" l="1"/>
  <c r="H656" i="40" s="1"/>
  <c r="E657" i="40" s="1" a="1"/>
  <c r="E657" i="40" s="1"/>
  <c r="F657" i="40" s="1" a="1"/>
  <c r="F657" i="40" s="1"/>
  <c r="G768" i="39"/>
  <c r="O768" i="39" s="1"/>
  <c r="Q768" i="39" s="1"/>
  <c r="H768" i="39"/>
  <c r="E769" i="39" s="1" a="1"/>
  <c r="E769" i="39" s="1"/>
  <c r="F769" i="39" s="1" a="1"/>
  <c r="F769" i="39" s="1"/>
  <c r="M769" i="39" s="1"/>
  <c r="G769" i="39" s="1"/>
  <c r="O769" i="39" s="1"/>
  <c r="Q767" i="39"/>
  <c r="P767" i="39"/>
  <c r="N767" i="39"/>
  <c r="P535" i="35"/>
  <c r="N535" i="35"/>
  <c r="H536" i="35"/>
  <c r="E537" i="35" s="1" a="1"/>
  <c r="E537" i="35" s="1"/>
  <c r="F537" i="35" s="1" a="1"/>
  <c r="F537" i="35" s="1"/>
  <c r="I656" i="40" l="1"/>
  <c r="G656" i="40"/>
  <c r="O656" i="40" s="1"/>
  <c r="P656" i="40" s="1"/>
  <c r="N768" i="39"/>
  <c r="P768" i="39"/>
  <c r="M657" i="40"/>
  <c r="H657" i="40" s="1"/>
  <c r="E658" i="40" s="1" a="1"/>
  <c r="E658" i="40" s="1"/>
  <c r="F658" i="40" s="1" a="1"/>
  <c r="F658" i="40" s="1"/>
  <c r="I769" i="39"/>
  <c r="Q769" i="39"/>
  <c r="P769" i="39"/>
  <c r="N769" i="39"/>
  <c r="H769" i="39"/>
  <c r="E770" i="39" s="1" a="1"/>
  <c r="E770" i="39" s="1"/>
  <c r="F770" i="39" s="1" a="1"/>
  <c r="F770" i="39" s="1"/>
  <c r="M537" i="35"/>
  <c r="I537" i="35" s="1"/>
  <c r="G536" i="35"/>
  <c r="O536" i="35" s="1"/>
  <c r="N656" i="40" l="1"/>
  <c r="Q656" i="40"/>
  <c r="M658" i="40"/>
  <c r="G658" i="40" s="1"/>
  <c r="O658" i="40" s="1"/>
  <c r="G657" i="40"/>
  <c r="O657" i="40" s="1"/>
  <c r="I657" i="40"/>
  <c r="M770" i="39"/>
  <c r="H770" i="39" s="1"/>
  <c r="E771" i="39" s="1" a="1"/>
  <c r="E771" i="39" s="1"/>
  <c r="F771" i="39" s="1" a="1"/>
  <c r="F771" i="39" s="1"/>
  <c r="G537" i="35"/>
  <c r="O537" i="35" s="1"/>
  <c r="P537" i="35" s="1"/>
  <c r="H537" i="35"/>
  <c r="E538" i="35" s="1" a="1"/>
  <c r="E538" i="35" s="1"/>
  <c r="F538" i="35" s="1" a="1"/>
  <c r="F538" i="35" s="1"/>
  <c r="M538" i="35" s="1"/>
  <c r="H538" i="35" s="1"/>
  <c r="E539" i="35" s="1" a="1"/>
  <c r="E539" i="35" s="1"/>
  <c r="F539" i="35" s="1" a="1"/>
  <c r="F539" i="35" s="1"/>
  <c r="P536" i="35"/>
  <c r="N536" i="35"/>
  <c r="Q536" i="35"/>
  <c r="H658" i="40" l="1"/>
  <c r="E659" i="40" s="1" a="1"/>
  <c r="E659" i="40" s="1"/>
  <c r="F659" i="40" s="1" a="1"/>
  <c r="F659" i="40" s="1"/>
  <c r="M659" i="40" s="1"/>
  <c r="G659" i="40" s="1"/>
  <c r="O659" i="40" s="1"/>
  <c r="Q658" i="40"/>
  <c r="N658" i="40"/>
  <c r="P658" i="40"/>
  <c r="P657" i="40"/>
  <c r="Q657" i="40"/>
  <c r="N657" i="40"/>
  <c r="I658" i="40"/>
  <c r="M771" i="39"/>
  <c r="I771" i="39" s="1"/>
  <c r="G770" i="39"/>
  <c r="O770" i="39" s="1"/>
  <c r="I770" i="39"/>
  <c r="Q537" i="35"/>
  <c r="N537" i="35"/>
  <c r="I538" i="35"/>
  <c r="G538" i="35"/>
  <c r="O538" i="35" s="1"/>
  <c r="N538" i="35" s="1"/>
  <c r="M539" i="35"/>
  <c r="I539" i="35" s="1"/>
  <c r="G771" i="39" l="1"/>
  <c r="O771" i="39" s="1"/>
  <c r="P771" i="39" s="1"/>
  <c r="H771" i="39"/>
  <c r="E772" i="39" s="1" a="1"/>
  <c r="E772" i="39" s="1"/>
  <c r="F772" i="39" s="1" a="1"/>
  <c r="F772" i="39" s="1"/>
  <c r="M772" i="39" s="1"/>
  <c r="I772" i="39" s="1"/>
  <c r="H659" i="40"/>
  <c r="E660" i="40" s="1" a="1"/>
  <c r="E660" i="40" s="1"/>
  <c r="F660" i="40" s="1" a="1"/>
  <c r="F660" i="40" s="1"/>
  <c r="N659" i="40"/>
  <c r="Q659" i="40"/>
  <c r="P659" i="40"/>
  <c r="I659" i="40"/>
  <c r="N770" i="39"/>
  <c r="Q770" i="39"/>
  <c r="P770" i="39"/>
  <c r="P538" i="35"/>
  <c r="Q538" i="35"/>
  <c r="H539" i="35"/>
  <c r="E540" i="35" s="1" a="1"/>
  <c r="E540" i="35" s="1"/>
  <c r="F540" i="35" s="1" a="1"/>
  <c r="F540" i="35" s="1"/>
  <c r="N771" i="39" l="1"/>
  <c r="Q771" i="39"/>
  <c r="M660" i="40"/>
  <c r="I660" i="40" s="1"/>
  <c r="G772" i="39"/>
  <c r="O772" i="39" s="1"/>
  <c r="N772" i="39" s="1"/>
  <c r="H772" i="39"/>
  <c r="E773" i="39" s="1" a="1"/>
  <c r="E773" i="39" s="1"/>
  <c r="F773" i="39" s="1" a="1"/>
  <c r="F773" i="39" s="1"/>
  <c r="M773" i="39" s="1"/>
  <c r="H773" i="39" s="1"/>
  <c r="E774" i="39" s="1" a="1"/>
  <c r="E774" i="39" s="1"/>
  <c r="F774" i="39" s="1" a="1"/>
  <c r="F774" i="39" s="1"/>
  <c r="M540" i="35"/>
  <c r="I540" i="35" s="1"/>
  <c r="G539" i="35"/>
  <c r="O539" i="35" s="1"/>
  <c r="H660" i="40" l="1"/>
  <c r="E661" i="40" s="1" a="1"/>
  <c r="E661" i="40" s="1"/>
  <c r="F661" i="40" s="1" a="1"/>
  <c r="F661" i="40" s="1"/>
  <c r="M661" i="40" s="1"/>
  <c r="I661" i="40" s="1"/>
  <c r="G660" i="40"/>
  <c r="O660" i="40" s="1"/>
  <c r="P772" i="39"/>
  <c r="Q772" i="39"/>
  <c r="M774" i="39"/>
  <c r="I774" i="39" s="1"/>
  <c r="G773" i="39"/>
  <c r="O773" i="39" s="1"/>
  <c r="I773" i="39"/>
  <c r="G540" i="35"/>
  <c r="O540" i="35" s="1"/>
  <c r="Q540" i="35" s="1"/>
  <c r="H540" i="35"/>
  <c r="E541" i="35" s="1" a="1"/>
  <c r="E541" i="35" s="1"/>
  <c r="F541" i="35" s="1" a="1"/>
  <c r="F541" i="35" s="1"/>
  <c r="M541" i="35" s="1"/>
  <c r="H541" i="35" s="1"/>
  <c r="E542" i="35" s="1" a="1"/>
  <c r="E542" i="35" s="1"/>
  <c r="F542" i="35" s="1" a="1"/>
  <c r="F542" i="35" s="1"/>
  <c r="P539" i="35"/>
  <c r="N539" i="35"/>
  <c r="Q539" i="35"/>
  <c r="G661" i="40" l="1"/>
  <c r="O661" i="40" s="1"/>
  <c r="P661" i="40" s="1"/>
  <c r="N660" i="40"/>
  <c r="P660" i="40"/>
  <c r="Q660" i="40"/>
  <c r="H661" i="40"/>
  <c r="E662" i="40" s="1" a="1"/>
  <c r="E662" i="40" s="1"/>
  <c r="F662" i="40" s="1" a="1"/>
  <c r="F662" i="40" s="1"/>
  <c r="G774" i="39"/>
  <c r="O774" i="39" s="1"/>
  <c r="Q774" i="39" s="1"/>
  <c r="H774" i="39"/>
  <c r="E775" i="39" s="1" a="1"/>
  <c r="E775" i="39" s="1"/>
  <c r="F775" i="39" s="1" a="1"/>
  <c r="F775" i="39" s="1"/>
  <c r="M775" i="39" s="1"/>
  <c r="I775" i="39" s="1"/>
  <c r="Q773" i="39"/>
  <c r="P773" i="39"/>
  <c r="N773" i="39"/>
  <c r="N540" i="35"/>
  <c r="P540" i="35"/>
  <c r="G541" i="35"/>
  <c r="O541" i="35" s="1"/>
  <c r="P541" i="35" s="1"/>
  <c r="I541" i="35"/>
  <c r="M542" i="35"/>
  <c r="I542" i="35" s="1"/>
  <c r="Q661" i="40" l="1"/>
  <c r="N661" i="40"/>
  <c r="N774" i="39"/>
  <c r="P774" i="39"/>
  <c r="M662" i="40"/>
  <c r="I662" i="40" s="1"/>
  <c r="G775" i="39"/>
  <c r="O775" i="39" s="1"/>
  <c r="H775" i="39"/>
  <c r="E776" i="39" s="1" a="1"/>
  <c r="E776" i="39" s="1"/>
  <c r="F776" i="39" s="1" a="1"/>
  <c r="F776" i="39" s="1"/>
  <c r="Q541" i="35"/>
  <c r="N541" i="35"/>
  <c r="G542" i="35"/>
  <c r="O542" i="35" s="1"/>
  <c r="P542" i="35" s="1"/>
  <c r="H542" i="35"/>
  <c r="E543" i="35" s="1" a="1"/>
  <c r="E543" i="35" s="1"/>
  <c r="F543" i="35" s="1" a="1"/>
  <c r="F543" i="35" s="1"/>
  <c r="G662" i="40" l="1"/>
  <c r="O662" i="40" s="1"/>
  <c r="H662" i="40"/>
  <c r="E663" i="40" s="1" a="1"/>
  <c r="E663" i="40" s="1"/>
  <c r="F663" i="40" s="1" a="1"/>
  <c r="F663" i="40" s="1"/>
  <c r="M776" i="39"/>
  <c r="I776" i="39" s="1"/>
  <c r="N775" i="39"/>
  <c r="P775" i="39"/>
  <c r="Q775" i="39"/>
  <c r="N542" i="35"/>
  <c r="Q542" i="35"/>
  <c r="M543" i="35"/>
  <c r="I543" i="35" s="1"/>
  <c r="M663" i="40" l="1"/>
  <c r="H663" i="40" s="1"/>
  <c r="E664" i="40" s="1" a="1"/>
  <c r="E664" i="40" s="1"/>
  <c r="F664" i="40" s="1" a="1"/>
  <c r="F664" i="40" s="1"/>
  <c r="P662" i="40"/>
  <c r="N662" i="40"/>
  <c r="Q662" i="40"/>
  <c r="H776" i="39"/>
  <c r="E777" i="39" s="1" a="1"/>
  <c r="E777" i="39" s="1"/>
  <c r="F777" i="39" s="1" a="1"/>
  <c r="F777" i="39" s="1"/>
  <c r="M777" i="39" s="1"/>
  <c r="G777" i="39" s="1"/>
  <c r="O777" i="39" s="1"/>
  <c r="G776" i="39"/>
  <c r="O776" i="39" s="1"/>
  <c r="N776" i="39" s="1"/>
  <c r="G543" i="35"/>
  <c r="O543" i="35" s="1"/>
  <c r="M664" i="40" l="1"/>
  <c r="I664" i="40" s="1"/>
  <c r="I663" i="40"/>
  <c r="G663" i="40"/>
  <c r="O663" i="40" s="1"/>
  <c r="Q776" i="39"/>
  <c r="P776" i="39"/>
  <c r="Q777" i="39"/>
  <c r="P777" i="39"/>
  <c r="N777" i="39"/>
  <c r="H777" i="39"/>
  <c r="E778" i="39" s="1" a="1"/>
  <c r="E778" i="39" s="1"/>
  <c r="F778" i="39" s="1" a="1"/>
  <c r="F778" i="39" s="1"/>
  <c r="I777" i="39"/>
  <c r="N543" i="35"/>
  <c r="P543" i="35"/>
  <c r="Q543" i="35"/>
  <c r="H543" i="35"/>
  <c r="E544" i="35" s="1" a="1"/>
  <c r="E544" i="35" s="1"/>
  <c r="F544" i="35" s="1" a="1"/>
  <c r="F544" i="35" s="1"/>
  <c r="G664" i="40" l="1"/>
  <c r="O664" i="40" s="1"/>
  <c r="Q664" i="40" s="1"/>
  <c r="H664" i="40"/>
  <c r="E665" i="40" s="1" a="1"/>
  <c r="E665" i="40" s="1"/>
  <c r="F665" i="40" s="1" a="1"/>
  <c r="F665" i="40" s="1"/>
  <c r="M665" i="40" s="1"/>
  <c r="H665" i="40" s="1"/>
  <c r="E666" i="40" s="1" a="1"/>
  <c r="E666" i="40" s="1"/>
  <c r="F666" i="40" s="1" a="1"/>
  <c r="F666" i="40" s="1"/>
  <c r="P664" i="40"/>
  <c r="N664" i="40"/>
  <c r="Q663" i="40"/>
  <c r="P663" i="40"/>
  <c r="N663" i="40"/>
  <c r="M778" i="39"/>
  <c r="I778" i="39" s="1"/>
  <c r="M544" i="35"/>
  <c r="I544" i="35" s="1"/>
  <c r="M666" i="40" l="1"/>
  <c r="H666" i="40" s="1"/>
  <c r="E667" i="40" s="1" a="1"/>
  <c r="E667" i="40" s="1"/>
  <c r="F667" i="40" s="1" a="1"/>
  <c r="F667" i="40" s="1"/>
  <c r="I665" i="40"/>
  <c r="G665" i="40"/>
  <c r="O665" i="40" s="1"/>
  <c r="G778" i="39"/>
  <c r="O778" i="39" s="1"/>
  <c r="Q778" i="39" s="1"/>
  <c r="H778" i="39"/>
  <c r="E779" i="39" s="1" a="1"/>
  <c r="E779" i="39" s="1"/>
  <c r="F779" i="39" s="1" a="1"/>
  <c r="F779" i="39" s="1"/>
  <c r="M779" i="39" s="1"/>
  <c r="I779" i="39" s="1"/>
  <c r="G544" i="35"/>
  <c r="O544" i="35" s="1"/>
  <c r="Q544" i="35" s="1"/>
  <c r="H544" i="35"/>
  <c r="E545" i="35" s="1" a="1"/>
  <c r="E545" i="35" s="1"/>
  <c r="F545" i="35" s="1" a="1"/>
  <c r="F545" i="35" s="1"/>
  <c r="G666" i="40" l="1"/>
  <c r="O666" i="40" s="1"/>
  <c r="Q666" i="40" s="1"/>
  <c r="I666" i="40"/>
  <c r="M667" i="40"/>
  <c r="I667" i="40" s="1"/>
  <c r="N665" i="40"/>
  <c r="Q665" i="40"/>
  <c r="P665" i="40"/>
  <c r="P778" i="39"/>
  <c r="N778" i="39"/>
  <c r="G779" i="39"/>
  <c r="O779" i="39" s="1"/>
  <c r="N779" i="39" s="1"/>
  <c r="H779" i="39"/>
  <c r="E780" i="39" s="1" a="1"/>
  <c r="E780" i="39" s="1"/>
  <c r="F780" i="39" s="1" a="1"/>
  <c r="F780" i="39" s="1"/>
  <c r="P544" i="35"/>
  <c r="N544" i="35"/>
  <c r="M545" i="35"/>
  <c r="I545" i="35" s="1"/>
  <c r="P666" i="40" l="1"/>
  <c r="N666" i="40"/>
  <c r="G667" i="40"/>
  <c r="O667" i="40" s="1"/>
  <c r="H667" i="40"/>
  <c r="E668" i="40" s="1" a="1"/>
  <c r="E668" i="40" s="1"/>
  <c r="F668" i="40" s="1" a="1"/>
  <c r="F668" i="40" s="1"/>
  <c r="Q779" i="39"/>
  <c r="P779" i="39"/>
  <c r="M780" i="39"/>
  <c r="I780" i="39" s="1"/>
  <c r="H545" i="35"/>
  <c r="E546" i="35" s="1" a="1"/>
  <c r="E546" i="35" s="1"/>
  <c r="F546" i="35" s="1" a="1"/>
  <c r="F546" i="35" s="1"/>
  <c r="M668" i="40" l="1"/>
  <c r="H668" i="40" s="1"/>
  <c r="E669" i="40" s="1" a="1"/>
  <c r="E669" i="40" s="1"/>
  <c r="F669" i="40" s="1" a="1"/>
  <c r="F669" i="40" s="1"/>
  <c r="Q667" i="40"/>
  <c r="P667" i="40"/>
  <c r="N667" i="40"/>
  <c r="G780" i="39"/>
  <c r="O780" i="39" s="1"/>
  <c r="N780" i="39" s="1"/>
  <c r="H780" i="39"/>
  <c r="E781" i="39" s="1" a="1"/>
  <c r="E781" i="39" s="1"/>
  <c r="F781" i="39" s="1" a="1"/>
  <c r="F781" i="39" s="1"/>
  <c r="M781" i="39" s="1"/>
  <c r="H781" i="39" s="1"/>
  <c r="E782" i="39" s="1" a="1"/>
  <c r="E782" i="39" s="1"/>
  <c r="F782" i="39" s="1" a="1"/>
  <c r="F782" i="39" s="1"/>
  <c r="M546" i="35"/>
  <c r="I546" i="35" s="1"/>
  <c r="G545" i="35"/>
  <c r="O545" i="35" s="1"/>
  <c r="P780" i="39" l="1"/>
  <c r="M669" i="40"/>
  <c r="H669" i="40" s="1"/>
  <c r="E670" i="40" s="1" a="1"/>
  <c r="E670" i="40" s="1"/>
  <c r="F670" i="40" s="1" a="1"/>
  <c r="F670" i="40" s="1"/>
  <c r="I668" i="40"/>
  <c r="G668" i="40"/>
  <c r="O668" i="40" s="1"/>
  <c r="Q780" i="39"/>
  <c r="I781" i="39"/>
  <c r="M782" i="39"/>
  <c r="I782" i="39" s="1"/>
  <c r="G781" i="39"/>
  <c r="O781" i="39" s="1"/>
  <c r="H546" i="35"/>
  <c r="E547" i="35" s="1" a="1"/>
  <c r="E547" i="35" s="1"/>
  <c r="F547" i="35" s="1" a="1"/>
  <c r="F547" i="35" s="1"/>
  <c r="M547" i="35" s="1"/>
  <c r="I547" i="35" s="1"/>
  <c r="G546" i="35"/>
  <c r="O546" i="35" s="1"/>
  <c r="Q546" i="35" s="1"/>
  <c r="Q545" i="35"/>
  <c r="N545" i="35"/>
  <c r="P545" i="35"/>
  <c r="M670" i="40" l="1"/>
  <c r="H670" i="40" s="1"/>
  <c r="E671" i="40" s="1" a="1"/>
  <c r="E671" i="40" s="1"/>
  <c r="F671" i="40" s="1" a="1"/>
  <c r="F671" i="40" s="1"/>
  <c r="N668" i="40"/>
  <c r="Q668" i="40"/>
  <c r="P668" i="40"/>
  <c r="G669" i="40"/>
  <c r="O669" i="40" s="1"/>
  <c r="I669" i="40"/>
  <c r="G782" i="39"/>
  <c r="O782" i="39" s="1"/>
  <c r="P782" i="39" s="1"/>
  <c r="H782" i="39"/>
  <c r="E783" i="39" s="1" a="1"/>
  <c r="E783" i="39" s="1"/>
  <c r="F783" i="39" s="1" a="1"/>
  <c r="F783" i="39" s="1"/>
  <c r="M783" i="39" s="1"/>
  <c r="I783" i="39" s="1"/>
  <c r="Q781" i="39"/>
  <c r="P781" i="39"/>
  <c r="N781" i="39"/>
  <c r="P546" i="35"/>
  <c r="N546" i="35"/>
  <c r="H547" i="35"/>
  <c r="E548" i="35" s="1" a="1"/>
  <c r="E548" i="35" s="1"/>
  <c r="F548" i="35" s="1" a="1"/>
  <c r="F548" i="35" s="1"/>
  <c r="G547" i="35"/>
  <c r="O547" i="35" s="1"/>
  <c r="Q782" i="39" l="1"/>
  <c r="N782" i="39"/>
  <c r="M671" i="40"/>
  <c r="H671" i="40" s="1"/>
  <c r="E672" i="40" s="1" a="1"/>
  <c r="E672" i="40" s="1"/>
  <c r="F672" i="40" s="1" a="1"/>
  <c r="F672" i="40" s="1"/>
  <c r="I670" i="40"/>
  <c r="G670" i="40"/>
  <c r="O670" i="40" s="1"/>
  <c r="N669" i="40"/>
  <c r="Q669" i="40"/>
  <c r="P669" i="40"/>
  <c r="G783" i="39"/>
  <c r="O783" i="39" s="1"/>
  <c r="H783" i="39"/>
  <c r="E784" i="39" s="1" a="1"/>
  <c r="E784" i="39" s="1"/>
  <c r="F784" i="39" s="1" a="1"/>
  <c r="F784" i="39" s="1"/>
  <c r="M548" i="35"/>
  <c r="I548" i="35" s="1"/>
  <c r="Q547" i="35"/>
  <c r="P547" i="35"/>
  <c r="N547" i="35"/>
  <c r="M672" i="40" l="1"/>
  <c r="I672" i="40" s="1"/>
  <c r="I671" i="40"/>
  <c r="Q670" i="40"/>
  <c r="P670" i="40"/>
  <c r="N670" i="40"/>
  <c r="G671" i="40"/>
  <c r="O671" i="40" s="1"/>
  <c r="M784" i="39"/>
  <c r="I784" i="39" s="1"/>
  <c r="N783" i="39"/>
  <c r="Q783" i="39"/>
  <c r="P783" i="39"/>
  <c r="H548" i="35"/>
  <c r="E549" i="35" s="1" a="1"/>
  <c r="E549" i="35" s="1"/>
  <c r="F549" i="35" s="1" a="1"/>
  <c r="F549" i="35" s="1"/>
  <c r="M549" i="35" s="1"/>
  <c r="I549" i="35" s="1"/>
  <c r="G548" i="35"/>
  <c r="O548" i="35" s="1"/>
  <c r="G672" i="40" l="1"/>
  <c r="O672" i="40" s="1"/>
  <c r="Q672" i="40" s="1"/>
  <c r="H672" i="40"/>
  <c r="E673" i="40" s="1" a="1"/>
  <c r="E673" i="40" s="1"/>
  <c r="F673" i="40" s="1" a="1"/>
  <c r="F673" i="40" s="1"/>
  <c r="M673" i="40" s="1"/>
  <c r="G673" i="40" s="1"/>
  <c r="O673" i="40" s="1"/>
  <c r="P671" i="40"/>
  <c r="Q671" i="40"/>
  <c r="N671" i="40"/>
  <c r="H784" i="39"/>
  <c r="E785" i="39" s="1" a="1"/>
  <c r="E785" i="39" s="1"/>
  <c r="F785" i="39" s="1" a="1"/>
  <c r="F785" i="39" s="1"/>
  <c r="G784" i="39"/>
  <c r="O784" i="39" s="1"/>
  <c r="N784" i="39" s="1"/>
  <c r="Q548" i="35"/>
  <c r="P548" i="35"/>
  <c r="N548" i="35"/>
  <c r="H549" i="35"/>
  <c r="E550" i="35" s="1" a="1"/>
  <c r="E550" i="35" s="1"/>
  <c r="F550" i="35" s="1" a="1"/>
  <c r="F550" i="35" s="1"/>
  <c r="G549" i="35"/>
  <c r="O549" i="35" s="1"/>
  <c r="P672" i="40" l="1"/>
  <c r="N672" i="40"/>
  <c r="Q673" i="40"/>
  <c r="P673" i="40"/>
  <c r="N673" i="40"/>
  <c r="H673" i="40"/>
  <c r="E674" i="40" s="1" a="1"/>
  <c r="E674" i="40" s="1"/>
  <c r="F674" i="40" s="1" a="1"/>
  <c r="F674" i="40" s="1"/>
  <c r="I673" i="40"/>
  <c r="P784" i="39"/>
  <c r="Q784" i="39"/>
  <c r="M785" i="39"/>
  <c r="H785" i="39" s="1"/>
  <c r="E786" i="39" s="1" a="1"/>
  <c r="E786" i="39" s="1"/>
  <c r="F786" i="39" s="1" a="1"/>
  <c r="F786" i="39" s="1"/>
  <c r="M786" i="39" s="1"/>
  <c r="I786" i="39" s="1"/>
  <c r="M550" i="35"/>
  <c r="I550" i="35" s="1"/>
  <c r="N549" i="35"/>
  <c r="Q549" i="35"/>
  <c r="P549" i="35"/>
  <c r="M674" i="40" l="1"/>
  <c r="H674" i="40" s="1"/>
  <c r="E675" i="40" s="1" a="1"/>
  <c r="E675" i="40" s="1"/>
  <c r="F675" i="40" s="1" a="1"/>
  <c r="F675" i="40" s="1"/>
  <c r="G785" i="39"/>
  <c r="O785" i="39" s="1"/>
  <c r="Q785" i="39" s="1"/>
  <c r="I785" i="39"/>
  <c r="H786" i="39"/>
  <c r="E787" i="39" s="1" a="1"/>
  <c r="E787" i="39" s="1"/>
  <c r="F787" i="39" s="1" a="1"/>
  <c r="F787" i="39" s="1"/>
  <c r="M787" i="39" s="1"/>
  <c r="H787" i="39" s="1"/>
  <c r="E788" i="39" s="1" a="1"/>
  <c r="E788" i="39" s="1"/>
  <c r="F788" i="39" s="1" a="1"/>
  <c r="F788" i="39" s="1"/>
  <c r="G786" i="39"/>
  <c r="O786" i="39" s="1"/>
  <c r="Q786" i="39" s="1"/>
  <c r="H550" i="35"/>
  <c r="E551" i="35" s="1" a="1"/>
  <c r="E551" i="35" s="1"/>
  <c r="F551" i="35" s="1" a="1"/>
  <c r="F551" i="35" s="1"/>
  <c r="G550" i="35"/>
  <c r="O550" i="35" s="1"/>
  <c r="N550" i="35" s="1"/>
  <c r="G674" i="40" l="1"/>
  <c r="O674" i="40" s="1"/>
  <c r="I674" i="40"/>
  <c r="M675" i="40"/>
  <c r="G675" i="40" s="1"/>
  <c r="O675" i="40" s="1"/>
  <c r="N674" i="40"/>
  <c r="Q674" i="40"/>
  <c r="P674" i="40"/>
  <c r="N785" i="39"/>
  <c r="P785" i="39"/>
  <c r="P786" i="39"/>
  <c r="N786" i="39"/>
  <c r="M788" i="39"/>
  <c r="I788" i="39" s="1"/>
  <c r="G787" i="39"/>
  <c r="O787" i="39" s="1"/>
  <c r="I787" i="39"/>
  <c r="M551" i="35"/>
  <c r="I551" i="35" s="1"/>
  <c r="Q550" i="35"/>
  <c r="P550" i="35"/>
  <c r="H675" i="40" l="1"/>
  <c r="E676" i="40" s="1" a="1"/>
  <c r="E676" i="40" s="1"/>
  <c r="F676" i="40" s="1" a="1"/>
  <c r="F676" i="40" s="1"/>
  <c r="M676" i="40" s="1"/>
  <c r="H676" i="40" s="1"/>
  <c r="E677" i="40" s="1" a="1"/>
  <c r="E677" i="40" s="1"/>
  <c r="F677" i="40" s="1" a="1"/>
  <c r="F677" i="40" s="1"/>
  <c r="I675" i="40"/>
  <c r="Q675" i="40"/>
  <c r="N675" i="40"/>
  <c r="P675" i="40"/>
  <c r="H788" i="39"/>
  <c r="E789" i="39" s="1" a="1"/>
  <c r="E789" i="39" s="1"/>
  <c r="F789" i="39" s="1" a="1"/>
  <c r="F789" i="39" s="1"/>
  <c r="M789" i="39" s="1"/>
  <c r="G789" i="39" s="1"/>
  <c r="O789" i="39" s="1"/>
  <c r="G788" i="39"/>
  <c r="O788" i="39" s="1"/>
  <c r="N788" i="39" s="1"/>
  <c r="N787" i="39"/>
  <c r="Q787" i="39"/>
  <c r="P787" i="39"/>
  <c r="G551" i="35"/>
  <c r="O551" i="35" s="1"/>
  <c r="P551" i="35" s="1"/>
  <c r="H551" i="35"/>
  <c r="E552" i="35" s="1" a="1"/>
  <c r="E552" i="35" s="1"/>
  <c r="F552" i="35" s="1" a="1"/>
  <c r="F552" i="35" s="1"/>
  <c r="I676" i="40" l="1"/>
  <c r="M677" i="40"/>
  <c r="H677" i="40" s="1"/>
  <c r="E678" i="40" s="1" a="1"/>
  <c r="E678" i="40" s="1"/>
  <c r="F678" i="40" s="1" a="1"/>
  <c r="F678" i="40" s="1"/>
  <c r="G676" i="40"/>
  <c r="O676" i="40" s="1"/>
  <c r="P788" i="39"/>
  <c r="Q788" i="39"/>
  <c r="Q789" i="39"/>
  <c r="P789" i="39"/>
  <c r="N789" i="39"/>
  <c r="I789" i="39"/>
  <c r="H789" i="39"/>
  <c r="E790" i="39" s="1" a="1"/>
  <c r="E790" i="39" s="1"/>
  <c r="F790" i="39" s="1" a="1"/>
  <c r="F790" i="39" s="1"/>
  <c r="Q551" i="35"/>
  <c r="N551" i="35"/>
  <c r="M552" i="35"/>
  <c r="I552" i="35" s="1"/>
  <c r="M678" i="40" l="1"/>
  <c r="I678" i="40" s="1"/>
  <c r="I677" i="40"/>
  <c r="P676" i="40"/>
  <c r="Q676" i="40"/>
  <c r="N676" i="40"/>
  <c r="G677" i="40"/>
  <c r="O677" i="40" s="1"/>
  <c r="M790" i="39"/>
  <c r="I790" i="39" s="1"/>
  <c r="G552" i="35"/>
  <c r="O552" i="35" s="1"/>
  <c r="N552" i="35" s="1"/>
  <c r="H552" i="35"/>
  <c r="E553" i="35" s="1" a="1"/>
  <c r="E553" i="35" s="1"/>
  <c r="F553" i="35" s="1" a="1"/>
  <c r="F553" i="35" s="1"/>
  <c r="G678" i="40" l="1"/>
  <c r="O678" i="40" s="1"/>
  <c r="N678" i="40" s="1"/>
  <c r="H678" i="40"/>
  <c r="E679" i="40" s="1" a="1"/>
  <c r="E679" i="40" s="1"/>
  <c r="F679" i="40" s="1" a="1"/>
  <c r="F679" i="40" s="1"/>
  <c r="M679" i="40" s="1"/>
  <c r="H679" i="40" s="1"/>
  <c r="E680" i="40" s="1" a="1"/>
  <c r="E680" i="40" s="1"/>
  <c r="F680" i="40" s="1" a="1"/>
  <c r="F680" i="40" s="1"/>
  <c r="Q677" i="40"/>
  <c r="P677" i="40"/>
  <c r="N677" i="40"/>
  <c r="G790" i="39"/>
  <c r="O790" i="39" s="1"/>
  <c r="P790" i="39" s="1"/>
  <c r="H790" i="39"/>
  <c r="E791" i="39" s="1" a="1"/>
  <c r="E791" i="39" s="1"/>
  <c r="F791" i="39" s="1" a="1"/>
  <c r="F791" i="39" s="1"/>
  <c r="M791" i="39" s="1"/>
  <c r="I791" i="39" s="1"/>
  <c r="Q552" i="35"/>
  <c r="P552" i="35"/>
  <c r="M553" i="35"/>
  <c r="H553" i="35" s="1"/>
  <c r="E554" i="35" s="1" a="1"/>
  <c r="E554" i="35" s="1"/>
  <c r="F554" i="35" s="1" a="1"/>
  <c r="F554" i="35" s="1"/>
  <c r="P678" i="40" l="1"/>
  <c r="Q678" i="40"/>
  <c r="G679" i="40"/>
  <c r="O679" i="40" s="1"/>
  <c r="P679" i="40" s="1"/>
  <c r="Q790" i="39"/>
  <c r="I679" i="40"/>
  <c r="N790" i="39"/>
  <c r="M680" i="40"/>
  <c r="I680" i="40" s="1"/>
  <c r="G791" i="39"/>
  <c r="O791" i="39" s="1"/>
  <c r="N791" i="39" s="1"/>
  <c r="H791" i="39"/>
  <c r="E792" i="39" s="1" a="1"/>
  <c r="E792" i="39" s="1"/>
  <c r="F792" i="39" s="1" a="1"/>
  <c r="F792" i="39" s="1"/>
  <c r="G553" i="35"/>
  <c r="O553" i="35" s="1"/>
  <c r="Q553" i="35" s="1"/>
  <c r="M554" i="35"/>
  <c r="I554" i="35" s="1"/>
  <c r="I553" i="35"/>
  <c r="N679" i="40" l="1"/>
  <c r="Q679" i="40"/>
  <c r="G680" i="40"/>
  <c r="O680" i="40" s="1"/>
  <c r="H680" i="40"/>
  <c r="E681" i="40" s="1" a="1"/>
  <c r="E681" i="40" s="1"/>
  <c r="F681" i="40" s="1" a="1"/>
  <c r="F681" i="40" s="1"/>
  <c r="P791" i="39"/>
  <c r="Q791" i="39"/>
  <c r="M792" i="39"/>
  <c r="I792" i="39" s="1"/>
  <c r="N553" i="35"/>
  <c r="P553" i="35"/>
  <c r="H554" i="35"/>
  <c r="E555" i="35" s="1" a="1"/>
  <c r="E555" i="35" s="1"/>
  <c r="F555" i="35" s="1" a="1"/>
  <c r="F555" i="35" s="1"/>
  <c r="M555" i="35" s="1"/>
  <c r="I555" i="35" s="1"/>
  <c r="G554" i="35"/>
  <c r="O554" i="35" s="1"/>
  <c r="N554" i="35" s="1"/>
  <c r="M681" i="40" l="1"/>
  <c r="H681" i="40" s="1"/>
  <c r="E682" i="40" s="1" a="1"/>
  <c r="E682" i="40" s="1"/>
  <c r="F682" i="40" s="1" a="1"/>
  <c r="F682" i="40" s="1"/>
  <c r="P680" i="40"/>
  <c r="Q680" i="40"/>
  <c r="N680" i="40"/>
  <c r="G792" i="39"/>
  <c r="O792" i="39" s="1"/>
  <c r="Q792" i="39" s="1"/>
  <c r="H792" i="39"/>
  <c r="E793" i="39" s="1" a="1"/>
  <c r="E793" i="39" s="1"/>
  <c r="F793" i="39" s="1" a="1"/>
  <c r="F793" i="39" s="1"/>
  <c r="M793" i="39" s="1"/>
  <c r="I793" i="39" s="1"/>
  <c r="Q554" i="35"/>
  <c r="P554" i="35"/>
  <c r="G555" i="35"/>
  <c r="O555" i="35" s="1"/>
  <c r="Q555" i="35" s="1"/>
  <c r="H555" i="35"/>
  <c r="E556" i="35" s="1" a="1"/>
  <c r="E556" i="35" s="1"/>
  <c r="F556" i="35" s="1" a="1"/>
  <c r="F556" i="35" s="1"/>
  <c r="N792" i="39" l="1"/>
  <c r="P792" i="39"/>
  <c r="M682" i="40"/>
  <c r="H682" i="40" s="1"/>
  <c r="E683" i="40" s="1" a="1"/>
  <c r="E683" i="40" s="1"/>
  <c r="F683" i="40" s="1" a="1"/>
  <c r="F683" i="40" s="1"/>
  <c r="G681" i="40"/>
  <c r="O681" i="40" s="1"/>
  <c r="I681" i="40"/>
  <c r="H793" i="39"/>
  <c r="E794" i="39" s="1" a="1"/>
  <c r="E794" i="39" s="1"/>
  <c r="F794" i="39" s="1" a="1"/>
  <c r="F794" i="39" s="1"/>
  <c r="G793" i="39"/>
  <c r="O793" i="39" s="1"/>
  <c r="N555" i="35"/>
  <c r="P555" i="35"/>
  <c r="M556" i="35"/>
  <c r="I556" i="35" s="1"/>
  <c r="G682" i="40" l="1"/>
  <c r="O682" i="40" s="1"/>
  <c r="N682" i="40" s="1"/>
  <c r="I682" i="40"/>
  <c r="M683" i="40"/>
  <c r="I683" i="40" s="1"/>
  <c r="N681" i="40"/>
  <c r="P681" i="40"/>
  <c r="Q681" i="40"/>
  <c r="Q793" i="39"/>
  <c r="P793" i="39"/>
  <c r="N793" i="39"/>
  <c r="M794" i="39"/>
  <c r="G794" i="39" s="1"/>
  <c r="O794" i="39" s="1"/>
  <c r="H556" i="35"/>
  <c r="E557" i="35" s="1" a="1"/>
  <c r="E557" i="35" s="1"/>
  <c r="F557" i="35" s="1" a="1"/>
  <c r="F557" i="35" s="1"/>
  <c r="M557" i="35" s="1"/>
  <c r="I557" i="35" s="1"/>
  <c r="G556" i="35"/>
  <c r="O556" i="35" s="1"/>
  <c r="P556" i="35" s="1"/>
  <c r="P682" i="40" l="1"/>
  <c r="Q682" i="40"/>
  <c r="G683" i="40"/>
  <c r="O683" i="40" s="1"/>
  <c r="H683" i="40"/>
  <c r="E684" i="40" s="1" a="1"/>
  <c r="E684" i="40" s="1"/>
  <c r="F684" i="40" s="1" a="1"/>
  <c r="F684" i="40" s="1"/>
  <c r="N794" i="39"/>
  <c r="P794" i="39"/>
  <c r="Q794" i="39"/>
  <c r="H794" i="39"/>
  <c r="E795" i="39" s="1" a="1"/>
  <c r="E795" i="39" s="1"/>
  <c r="F795" i="39" s="1" a="1"/>
  <c r="F795" i="39" s="1"/>
  <c r="I794" i="39"/>
  <c r="Q556" i="35"/>
  <c r="N556" i="35"/>
  <c r="G557" i="35"/>
  <c r="O557" i="35" s="1"/>
  <c r="M684" i="40" l="1"/>
  <c r="G684" i="40" s="1"/>
  <c r="O684" i="40" s="1"/>
  <c r="P683" i="40"/>
  <c r="N683" i="40"/>
  <c r="Q683" i="40"/>
  <c r="M795" i="39"/>
  <c r="H795" i="39" s="1"/>
  <c r="E796" i="39" s="1" a="1"/>
  <c r="E796" i="39" s="1"/>
  <c r="F796" i="39" s="1" a="1"/>
  <c r="F796" i="39" s="1"/>
  <c r="N557" i="35"/>
  <c r="P557" i="35"/>
  <c r="Q557" i="35"/>
  <c r="H557" i="35"/>
  <c r="E558" i="35" s="1" a="1"/>
  <c r="E558" i="35" s="1"/>
  <c r="F558" i="35" s="1" a="1"/>
  <c r="F558" i="35" s="1"/>
  <c r="N684" i="40" l="1"/>
  <c r="P684" i="40"/>
  <c r="Q684" i="40"/>
  <c r="I684" i="40"/>
  <c r="H684" i="40"/>
  <c r="E685" i="40" s="1" a="1"/>
  <c r="E685" i="40" s="1"/>
  <c r="F685" i="40" s="1" a="1"/>
  <c r="F685" i="40" s="1"/>
  <c r="M796" i="39"/>
  <c r="I796" i="39" s="1"/>
  <c r="I795" i="39"/>
  <c r="G795" i="39"/>
  <c r="O795" i="39" s="1"/>
  <c r="M558" i="35"/>
  <c r="I558" i="35" s="1"/>
  <c r="H796" i="39" l="1"/>
  <c r="E797" i="39" s="1" a="1"/>
  <c r="E797" i="39" s="1"/>
  <c r="F797" i="39" s="1" a="1"/>
  <c r="F797" i="39" s="1"/>
  <c r="M797" i="39" s="1"/>
  <c r="H797" i="39" s="1"/>
  <c r="E798" i="39" s="1" a="1"/>
  <c r="E798" i="39" s="1"/>
  <c r="F798" i="39" s="1" a="1"/>
  <c r="F798" i="39" s="1"/>
  <c r="G796" i="39"/>
  <c r="O796" i="39" s="1"/>
  <c r="N796" i="39" s="1"/>
  <c r="M685" i="40"/>
  <c r="H685" i="40" s="1"/>
  <c r="E686" i="40" s="1" a="1"/>
  <c r="E686" i="40" s="1"/>
  <c r="F686" i="40" s="1" a="1"/>
  <c r="F686" i="40" s="1"/>
  <c r="Q795" i="39"/>
  <c r="P795" i="39"/>
  <c r="N795" i="39"/>
  <c r="G558" i="35"/>
  <c r="O558" i="35" s="1"/>
  <c r="P558" i="35" s="1"/>
  <c r="H558" i="35"/>
  <c r="E559" i="35" s="1" a="1"/>
  <c r="E559" i="35" s="1"/>
  <c r="F559" i="35" s="1" a="1"/>
  <c r="F559" i="35" s="1"/>
  <c r="Q796" i="39" l="1"/>
  <c r="P796" i="39"/>
  <c r="M686" i="40"/>
  <c r="I686" i="40" s="1"/>
  <c r="I685" i="40"/>
  <c r="G685" i="40"/>
  <c r="O685" i="40" s="1"/>
  <c r="G797" i="39"/>
  <c r="O797" i="39" s="1"/>
  <c r="Q797" i="39" s="1"/>
  <c r="M798" i="39"/>
  <c r="I798" i="39" s="1"/>
  <c r="I797" i="39"/>
  <c r="N558" i="35"/>
  <c r="Q558" i="35"/>
  <c r="M559" i="35"/>
  <c r="I559" i="35" s="1"/>
  <c r="N797" i="39" l="1"/>
  <c r="P797" i="39"/>
  <c r="Q685" i="40"/>
  <c r="P685" i="40"/>
  <c r="N685" i="40"/>
  <c r="G686" i="40"/>
  <c r="O686" i="40" s="1"/>
  <c r="H686" i="40"/>
  <c r="E687" i="40" s="1" a="1"/>
  <c r="E687" i="40" s="1"/>
  <c r="F687" i="40" s="1" a="1"/>
  <c r="F687" i="40" s="1"/>
  <c r="G798" i="39"/>
  <c r="O798" i="39" s="1"/>
  <c r="Q798" i="39" s="1"/>
  <c r="H798" i="39"/>
  <c r="E799" i="39" s="1" a="1"/>
  <c r="E799" i="39" s="1"/>
  <c r="F799" i="39" s="1" a="1"/>
  <c r="F799" i="39" s="1"/>
  <c r="M799" i="39" s="1"/>
  <c r="H799" i="39" s="1"/>
  <c r="E800" i="39" s="1" a="1"/>
  <c r="E800" i="39" s="1"/>
  <c r="F800" i="39" s="1" a="1"/>
  <c r="F800" i="39" s="1"/>
  <c r="G559" i="35"/>
  <c r="O559" i="35" s="1"/>
  <c r="N559" i="35" s="1"/>
  <c r="H559" i="35"/>
  <c r="E560" i="35" s="1" a="1"/>
  <c r="E560" i="35" s="1"/>
  <c r="F560" i="35" s="1" a="1"/>
  <c r="F560" i="35" s="1"/>
  <c r="N798" i="39" l="1"/>
  <c r="P798" i="39"/>
  <c r="M687" i="40"/>
  <c r="I687" i="40" s="1"/>
  <c r="N686" i="40"/>
  <c r="Q686" i="40"/>
  <c r="P686" i="40"/>
  <c r="I799" i="39"/>
  <c r="M800" i="39"/>
  <c r="I800" i="39" s="1"/>
  <c r="G799" i="39"/>
  <c r="O799" i="39" s="1"/>
  <c r="P559" i="35"/>
  <c r="Q559" i="35"/>
  <c r="M560" i="35"/>
  <c r="I560" i="35" s="1"/>
  <c r="G687" i="40" l="1"/>
  <c r="O687" i="40" s="1"/>
  <c r="N687" i="40" s="1"/>
  <c r="H687" i="40"/>
  <c r="E688" i="40" s="1" a="1"/>
  <c r="E688" i="40" s="1"/>
  <c r="F688" i="40" s="1" a="1"/>
  <c r="F688" i="40" s="1"/>
  <c r="M688" i="40" s="1"/>
  <c r="H688" i="40" s="1"/>
  <c r="E689" i="40" s="1" a="1"/>
  <c r="E689" i="40" s="1"/>
  <c r="F689" i="40" s="1" a="1"/>
  <c r="F689" i="40" s="1"/>
  <c r="H800" i="39"/>
  <c r="E801" i="39" s="1" a="1"/>
  <c r="E801" i="39" s="1"/>
  <c r="F801" i="39" s="1" a="1"/>
  <c r="F801" i="39" s="1"/>
  <c r="M801" i="39" s="1"/>
  <c r="I801" i="39" s="1"/>
  <c r="G800" i="39"/>
  <c r="O800" i="39" s="1"/>
  <c r="Q800" i="39" s="1"/>
  <c r="Q799" i="39"/>
  <c r="P799" i="39"/>
  <c r="N799" i="39"/>
  <c r="G560" i="35"/>
  <c r="O560" i="35" s="1"/>
  <c r="Q687" i="40" l="1"/>
  <c r="P687" i="40"/>
  <c r="G688" i="40"/>
  <c r="O688" i="40" s="1"/>
  <c r="Q688" i="40" s="1"/>
  <c r="I688" i="40"/>
  <c r="M689" i="40"/>
  <c r="H689" i="40" s="1"/>
  <c r="E690" i="40" s="1" a="1"/>
  <c r="E690" i="40" s="1"/>
  <c r="F690" i="40" s="1" a="1"/>
  <c r="F690" i="40" s="1"/>
  <c r="N800" i="39"/>
  <c r="P800" i="39"/>
  <c r="G801" i="39"/>
  <c r="O801" i="39" s="1"/>
  <c r="Q801" i="39" s="1"/>
  <c r="H801" i="39"/>
  <c r="E802" i="39" s="1" a="1"/>
  <c r="E802" i="39" s="1"/>
  <c r="F802" i="39" s="1" a="1"/>
  <c r="F802" i="39" s="1"/>
  <c r="M802" i="39" s="1"/>
  <c r="H802" i="39" s="1"/>
  <c r="E803" i="39" s="1" a="1"/>
  <c r="E803" i="39" s="1"/>
  <c r="F803" i="39" s="1" a="1"/>
  <c r="F803" i="39" s="1"/>
  <c r="H560" i="35"/>
  <c r="E561" i="35" s="1" a="1"/>
  <c r="E561" i="35" s="1"/>
  <c r="F561" i="35" s="1" a="1"/>
  <c r="F561" i="35" s="1"/>
  <c r="Q560" i="35"/>
  <c r="N560" i="35"/>
  <c r="P560" i="35"/>
  <c r="N688" i="40" l="1"/>
  <c r="P688" i="40"/>
  <c r="M690" i="40"/>
  <c r="H690" i="40" s="1"/>
  <c r="E691" i="40" s="1" a="1"/>
  <c r="E691" i="40" s="1"/>
  <c r="F691" i="40" s="1" a="1"/>
  <c r="F691" i="40" s="1"/>
  <c r="G689" i="40"/>
  <c r="O689" i="40" s="1"/>
  <c r="I689" i="40"/>
  <c r="N801" i="39"/>
  <c r="P801" i="39"/>
  <c r="M803" i="39"/>
  <c r="H803" i="39" s="1"/>
  <c r="E804" i="39" s="1" a="1"/>
  <c r="E804" i="39" s="1"/>
  <c r="F804" i="39" s="1" a="1"/>
  <c r="F804" i="39" s="1"/>
  <c r="I802" i="39"/>
  <c r="G802" i="39"/>
  <c r="O802" i="39" s="1"/>
  <c r="M561" i="35"/>
  <c r="I561" i="35" s="1"/>
  <c r="G690" i="40" l="1"/>
  <c r="O690" i="40" s="1"/>
  <c r="P690" i="40" s="1"/>
  <c r="I690" i="40"/>
  <c r="M691" i="40"/>
  <c r="G691" i="40" s="1"/>
  <c r="O691" i="40" s="1"/>
  <c r="N689" i="40"/>
  <c r="Q689" i="40"/>
  <c r="P689" i="40"/>
  <c r="M804" i="39"/>
  <c r="I804" i="39" s="1"/>
  <c r="I803" i="39"/>
  <c r="G803" i="39"/>
  <c r="O803" i="39" s="1"/>
  <c r="Q802" i="39"/>
  <c r="P802" i="39"/>
  <c r="N802" i="39"/>
  <c r="Q690" i="40" l="1"/>
  <c r="N690" i="40"/>
  <c r="N691" i="40"/>
  <c r="Q691" i="40"/>
  <c r="P691" i="40"/>
  <c r="I691" i="40"/>
  <c r="H691" i="40"/>
  <c r="E692" i="40" s="1" a="1"/>
  <c r="E692" i="40" s="1"/>
  <c r="F692" i="40" s="1" a="1"/>
  <c r="F692" i="40" s="1"/>
  <c r="G804" i="39"/>
  <c r="O804" i="39" s="1"/>
  <c r="N804" i="39" s="1"/>
  <c r="H804" i="39"/>
  <c r="E805" i="39" s="1" a="1"/>
  <c r="E805" i="39" s="1"/>
  <c r="F805" i="39" s="1" a="1"/>
  <c r="F805" i="39" s="1"/>
  <c r="M805" i="39" s="1"/>
  <c r="G805" i="39" s="1"/>
  <c r="O805" i="39" s="1"/>
  <c r="Q803" i="39"/>
  <c r="P803" i="39"/>
  <c r="N803" i="39"/>
  <c r="G561" i="35"/>
  <c r="O561" i="35" s="1"/>
  <c r="H561" i="35"/>
  <c r="E562" i="35" s="1" a="1"/>
  <c r="E562" i="35" s="1"/>
  <c r="F562" i="35" s="1" a="1"/>
  <c r="F562" i="35" s="1"/>
  <c r="P804" i="39" l="1"/>
  <c r="Q804" i="39"/>
  <c r="M692" i="40"/>
  <c r="H692" i="40" s="1"/>
  <c r="E693" i="40" s="1" a="1"/>
  <c r="E693" i="40" s="1"/>
  <c r="F693" i="40" s="1" a="1"/>
  <c r="F693" i="40" s="1"/>
  <c r="H805" i="39"/>
  <c r="E806" i="39" s="1" a="1"/>
  <c r="E806" i="39" s="1"/>
  <c r="F806" i="39" s="1" a="1"/>
  <c r="F806" i="39" s="1"/>
  <c r="M806" i="39" s="1"/>
  <c r="H806" i="39" s="1"/>
  <c r="E807" i="39" s="1" a="1"/>
  <c r="E807" i="39" s="1"/>
  <c r="F807" i="39" s="1" a="1"/>
  <c r="F807" i="39" s="1"/>
  <c r="I805" i="39"/>
  <c r="Q805" i="39"/>
  <c r="P805" i="39"/>
  <c r="N805" i="39"/>
  <c r="M562" i="35"/>
  <c r="I562" i="35" s="1"/>
  <c r="N561" i="35"/>
  <c r="P561" i="35"/>
  <c r="Q561" i="35"/>
  <c r="G692" i="40" l="1"/>
  <c r="O692" i="40" s="1"/>
  <c r="N692" i="40" s="1"/>
  <c r="M693" i="40"/>
  <c r="H693" i="40" s="1"/>
  <c r="E694" i="40" s="1" a="1"/>
  <c r="E694" i="40" s="1"/>
  <c r="F694" i="40" s="1" a="1"/>
  <c r="F694" i="40" s="1"/>
  <c r="I692" i="40"/>
  <c r="M807" i="39"/>
  <c r="I807" i="39" s="1"/>
  <c r="I806" i="39"/>
  <c r="G806" i="39"/>
  <c r="O806" i="39" s="1"/>
  <c r="P692" i="40" l="1"/>
  <c r="Q692" i="40"/>
  <c r="G693" i="40"/>
  <c r="O693" i="40" s="1"/>
  <c r="P693" i="40" s="1"/>
  <c r="I693" i="40"/>
  <c r="H807" i="39"/>
  <c r="E808" i="39" s="1" a="1"/>
  <c r="E808" i="39" s="1"/>
  <c r="F808" i="39" s="1" a="1"/>
  <c r="F808" i="39" s="1"/>
  <c r="M808" i="39" s="1"/>
  <c r="I808" i="39" s="1"/>
  <c r="G807" i="39"/>
  <c r="O807" i="39" s="1"/>
  <c r="Q807" i="39" s="1"/>
  <c r="M694" i="40"/>
  <c r="H694" i="40" s="1"/>
  <c r="E695" i="40" s="1" a="1"/>
  <c r="E695" i="40" s="1"/>
  <c r="F695" i="40" s="1" a="1"/>
  <c r="F695" i="40" s="1"/>
  <c r="Q806" i="39"/>
  <c r="P806" i="39"/>
  <c r="N806" i="39"/>
  <c r="H562" i="35"/>
  <c r="E563" i="35" s="1" a="1"/>
  <c r="E563" i="35" s="1"/>
  <c r="F563" i="35" s="1" a="1"/>
  <c r="F563" i="35" s="1"/>
  <c r="G562" i="35"/>
  <c r="O562" i="35" s="1"/>
  <c r="N693" i="40" l="1"/>
  <c r="Q693" i="40"/>
  <c r="P807" i="39"/>
  <c r="N807" i="39"/>
  <c r="I694" i="40"/>
  <c r="G694" i="40"/>
  <c r="O694" i="40" s="1"/>
  <c r="N694" i="40" s="1"/>
  <c r="M695" i="40"/>
  <c r="G695" i="40" s="1"/>
  <c r="O695" i="40" s="1"/>
  <c r="G808" i="39"/>
  <c r="O808" i="39" s="1"/>
  <c r="Q808" i="39" s="1"/>
  <c r="H808" i="39"/>
  <c r="E809" i="39" s="1" a="1"/>
  <c r="E809" i="39" s="1"/>
  <c r="F809" i="39" s="1" a="1"/>
  <c r="F809" i="39" s="1"/>
  <c r="M809" i="39" s="1"/>
  <c r="M563" i="35"/>
  <c r="I563" i="35" s="1"/>
  <c r="N562" i="35"/>
  <c r="P562" i="35"/>
  <c r="Q562" i="35"/>
  <c r="Q694" i="40" l="1"/>
  <c r="P694" i="40"/>
  <c r="N695" i="40"/>
  <c r="Q695" i="40"/>
  <c r="P695" i="40"/>
  <c r="P808" i="39"/>
  <c r="N808" i="39"/>
  <c r="H695" i="40"/>
  <c r="E696" i="40" s="1" a="1"/>
  <c r="E696" i="40" s="1"/>
  <c r="F696" i="40" s="1" a="1"/>
  <c r="F696" i="40" s="1"/>
  <c r="I695" i="40"/>
  <c r="H809" i="39"/>
  <c r="E810" i="39" s="1" a="1"/>
  <c r="E810" i="39" s="1"/>
  <c r="F810" i="39" s="1" a="1"/>
  <c r="F810" i="39" s="1"/>
  <c r="M810" i="39" s="1"/>
  <c r="G810" i="39" s="1"/>
  <c r="O810" i="39" s="1"/>
  <c r="G809" i="39"/>
  <c r="O809" i="39" s="1"/>
  <c r="Q809" i="39" s="1"/>
  <c r="I809" i="39"/>
  <c r="H563" i="35"/>
  <c r="E564" i="35" s="1" a="1"/>
  <c r="E564" i="35" s="1"/>
  <c r="F564" i="35" s="1" a="1"/>
  <c r="F564" i="35" s="1"/>
  <c r="N809" i="39" l="1"/>
  <c r="P809" i="39"/>
  <c r="M696" i="40"/>
  <c r="G696" i="40" s="1"/>
  <c r="O696" i="40" s="1"/>
  <c r="Q810" i="39"/>
  <c r="P810" i="39"/>
  <c r="N810" i="39"/>
  <c r="I810" i="39"/>
  <c r="H810" i="39"/>
  <c r="E811" i="39" s="1" a="1"/>
  <c r="E811" i="39" s="1"/>
  <c r="F811" i="39" s="1" a="1"/>
  <c r="F811" i="39" s="1"/>
  <c r="M564" i="35"/>
  <c r="I564" i="35" s="1"/>
  <c r="G563" i="35"/>
  <c r="O563" i="35" s="1"/>
  <c r="N696" i="40" l="1"/>
  <c r="P696" i="40"/>
  <c r="Q696" i="40"/>
  <c r="H696" i="40"/>
  <c r="E697" i="40" s="1" a="1"/>
  <c r="E697" i="40" s="1"/>
  <c r="F697" i="40" s="1" a="1"/>
  <c r="F697" i="40" s="1"/>
  <c r="I696" i="40"/>
  <c r="M811" i="39"/>
  <c r="I811" i="39" s="1"/>
  <c r="H564" i="35"/>
  <c r="E565" i="35" s="1" a="1"/>
  <c r="E565" i="35" s="1"/>
  <c r="F565" i="35" s="1" a="1"/>
  <c r="F565" i="35" s="1"/>
  <c r="G564" i="35"/>
  <c r="O564" i="35" s="1"/>
  <c r="P564" i="35" s="1"/>
  <c r="N563" i="35"/>
  <c r="P563" i="35"/>
  <c r="Q563" i="35"/>
  <c r="M697" i="40" l="1"/>
  <c r="H697" i="40" s="1"/>
  <c r="E698" i="40" s="1" a="1"/>
  <c r="E698" i="40" s="1"/>
  <c r="F698" i="40" s="1" a="1"/>
  <c r="F698" i="40" s="1"/>
  <c r="G811" i="39"/>
  <c r="O811" i="39" s="1"/>
  <c r="N811" i="39" s="1"/>
  <c r="H811" i="39"/>
  <c r="E812" i="39" s="1" a="1"/>
  <c r="E812" i="39" s="1"/>
  <c r="F812" i="39" s="1" a="1"/>
  <c r="F812" i="39" s="1"/>
  <c r="M812" i="39" s="1"/>
  <c r="I812" i="39" s="1"/>
  <c r="N564" i="35"/>
  <c r="Q564" i="35"/>
  <c r="M565" i="35"/>
  <c r="G565" i="35" s="1"/>
  <c r="O565" i="35" s="1"/>
  <c r="N565" i="35" s="1"/>
  <c r="P811" i="39" l="1"/>
  <c r="Q811" i="39"/>
  <c r="M698" i="40"/>
  <c r="G698" i="40" s="1"/>
  <c r="O698" i="40" s="1"/>
  <c r="I697" i="40"/>
  <c r="G697" i="40"/>
  <c r="O697" i="40" s="1"/>
  <c r="G812" i="39"/>
  <c r="O812" i="39" s="1"/>
  <c r="N812" i="39" s="1"/>
  <c r="H812" i="39"/>
  <c r="E813" i="39" s="1" a="1"/>
  <c r="E813" i="39" s="1"/>
  <c r="F813" i="39" s="1" a="1"/>
  <c r="F813" i="39" s="1"/>
  <c r="M813" i="39" s="1"/>
  <c r="P565" i="35"/>
  <c r="H565" i="35"/>
  <c r="E566" i="35" s="1" a="1"/>
  <c r="E566" i="35" s="1"/>
  <c r="F566" i="35" s="1" a="1"/>
  <c r="F566" i="35" s="1"/>
  <c r="M566" i="35" s="1"/>
  <c r="I566" i="35" s="1"/>
  <c r="Q565" i="35"/>
  <c r="I565" i="35"/>
  <c r="I698" i="40" l="1"/>
  <c r="H698" i="40"/>
  <c r="E699" i="40" s="1" a="1"/>
  <c r="E699" i="40" s="1"/>
  <c r="F699" i="40" s="1" a="1"/>
  <c r="F699" i="40" s="1"/>
  <c r="M699" i="40" s="1"/>
  <c r="I699" i="40" s="1"/>
  <c r="P812" i="39"/>
  <c r="N698" i="40"/>
  <c r="P698" i="40"/>
  <c r="Q698" i="40"/>
  <c r="Q812" i="39"/>
  <c r="N697" i="40"/>
  <c r="P697" i="40"/>
  <c r="Q697" i="40"/>
  <c r="G813" i="39"/>
  <c r="O813" i="39" s="1"/>
  <c r="P813" i="39" s="1"/>
  <c r="H813" i="39"/>
  <c r="E814" i="39" s="1" a="1"/>
  <c r="E814" i="39" s="1"/>
  <c r="F814" i="39" s="1" a="1"/>
  <c r="F814" i="39" s="1"/>
  <c r="I813" i="39"/>
  <c r="H566" i="35"/>
  <c r="E567" i="35" s="1" a="1"/>
  <c r="E567" i="35" s="1"/>
  <c r="F567" i="35" s="1" a="1"/>
  <c r="F567" i="35" s="1"/>
  <c r="M567" i="35" s="1"/>
  <c r="I567" i="35" s="1"/>
  <c r="G566" i="35"/>
  <c r="O566" i="35" s="1"/>
  <c r="G699" i="40" l="1"/>
  <c r="O699" i="40" s="1"/>
  <c r="H699" i="40"/>
  <c r="E700" i="40" s="1" a="1"/>
  <c r="E700" i="40" s="1"/>
  <c r="F700" i="40" s="1" a="1"/>
  <c r="F700" i="40" s="1"/>
  <c r="Q813" i="39"/>
  <c r="N813" i="39"/>
  <c r="M814" i="39"/>
  <c r="H814" i="39" s="1"/>
  <c r="E815" i="39" s="1" a="1"/>
  <c r="E815" i="39" s="1"/>
  <c r="F815" i="39" s="1" a="1"/>
  <c r="F815" i="39" s="1"/>
  <c r="H567" i="35"/>
  <c r="E568" i="35" s="1" a="1"/>
  <c r="E568" i="35" s="1"/>
  <c r="F568" i="35" s="1" a="1"/>
  <c r="F568" i="35" s="1"/>
  <c r="M568" i="35" s="1"/>
  <c r="I568" i="35" s="1"/>
  <c r="P566" i="35"/>
  <c r="N566" i="35"/>
  <c r="Q566" i="35"/>
  <c r="G567" i="35"/>
  <c r="O567" i="35" s="1"/>
  <c r="M700" i="40" l="1"/>
  <c r="I700" i="40" s="1"/>
  <c r="P699" i="40"/>
  <c r="Q699" i="40"/>
  <c r="N699" i="40"/>
  <c r="G814" i="39"/>
  <c r="O814" i="39" s="1"/>
  <c r="M815" i="39"/>
  <c r="I815" i="39" s="1"/>
  <c r="I814" i="39"/>
  <c r="G568" i="35"/>
  <c r="O568" i="35" s="1"/>
  <c r="Q568" i="35" s="1"/>
  <c r="H568" i="35"/>
  <c r="E569" i="35" s="1" a="1"/>
  <c r="E569" i="35" s="1"/>
  <c r="F569" i="35" s="1" a="1"/>
  <c r="F569" i="35" s="1"/>
  <c r="M569" i="35" s="1"/>
  <c r="H569" i="35" s="1"/>
  <c r="E570" i="35" s="1" a="1"/>
  <c r="E570" i="35" s="1"/>
  <c r="F570" i="35" s="1" a="1"/>
  <c r="F570" i="35" s="1"/>
  <c r="P567" i="35"/>
  <c r="Q567" i="35"/>
  <c r="N567" i="35"/>
  <c r="G700" i="40" l="1"/>
  <c r="O700" i="40" s="1"/>
  <c r="Q700" i="40" s="1"/>
  <c r="H700" i="40"/>
  <c r="E701" i="40" s="1" a="1"/>
  <c r="E701" i="40" s="1"/>
  <c r="F701" i="40" s="1" a="1"/>
  <c r="F701" i="40" s="1"/>
  <c r="M701" i="40" s="1"/>
  <c r="H701" i="40" s="1"/>
  <c r="E702" i="40" s="1" a="1"/>
  <c r="E702" i="40" s="1"/>
  <c r="F702" i="40" s="1" a="1"/>
  <c r="F702" i="40" s="1"/>
  <c r="G815" i="39"/>
  <c r="O815" i="39" s="1"/>
  <c r="N815" i="39" s="1"/>
  <c r="H815" i="39"/>
  <c r="E816" i="39" s="1" a="1"/>
  <c r="E816" i="39" s="1"/>
  <c r="F816" i="39" s="1" a="1"/>
  <c r="F816" i="39" s="1"/>
  <c r="M816" i="39" s="1"/>
  <c r="N814" i="39"/>
  <c r="Q814" i="39"/>
  <c r="P814" i="39"/>
  <c r="G569" i="35"/>
  <c r="O569" i="35" s="1"/>
  <c r="Q569" i="35" s="1"/>
  <c r="P568" i="35"/>
  <c r="N568" i="35"/>
  <c r="M570" i="35"/>
  <c r="G570" i="35" s="1"/>
  <c r="O570" i="35" s="1"/>
  <c r="I569" i="35"/>
  <c r="N700" i="40" l="1"/>
  <c r="P700" i="40"/>
  <c r="M702" i="40"/>
  <c r="G702" i="40" s="1"/>
  <c r="O702" i="40" s="1"/>
  <c r="Q815" i="39"/>
  <c r="I701" i="40"/>
  <c r="G701" i="40"/>
  <c r="O701" i="40" s="1"/>
  <c r="P815" i="39"/>
  <c r="I816" i="39"/>
  <c r="G816" i="39"/>
  <c r="O816" i="39" s="1"/>
  <c r="N816" i="39" s="1"/>
  <c r="H816" i="39"/>
  <c r="E817" i="39" s="1" a="1"/>
  <c r="E817" i="39" s="1"/>
  <c r="F817" i="39" s="1" a="1"/>
  <c r="F817" i="39" s="1"/>
  <c r="M817" i="39" s="1"/>
  <c r="I817" i="39" s="1"/>
  <c r="I570" i="35"/>
  <c r="N569" i="35"/>
  <c r="P569" i="35"/>
  <c r="H570" i="35"/>
  <c r="E571" i="35" s="1" a="1"/>
  <c r="E571" i="35" s="1"/>
  <c r="F571" i="35" s="1" a="1"/>
  <c r="F571" i="35" s="1"/>
  <c r="M571" i="35" s="1"/>
  <c r="I571" i="35" s="1"/>
  <c r="Q570" i="35"/>
  <c r="P570" i="35"/>
  <c r="N570" i="35"/>
  <c r="I702" i="40" l="1"/>
  <c r="Q702" i="40"/>
  <c r="P702" i="40"/>
  <c r="N702" i="40"/>
  <c r="N701" i="40"/>
  <c r="P701" i="40"/>
  <c r="Q701" i="40"/>
  <c r="H702" i="40"/>
  <c r="E703" i="40" s="1" a="1"/>
  <c r="E703" i="40" s="1"/>
  <c r="F703" i="40" s="1" a="1"/>
  <c r="F703" i="40" s="1"/>
  <c r="Q816" i="39"/>
  <c r="P816" i="39"/>
  <c r="G817" i="39"/>
  <c r="O817" i="39" s="1"/>
  <c r="H817" i="39"/>
  <c r="E818" i="39" s="1" a="1"/>
  <c r="E818" i="39" s="1"/>
  <c r="F818" i="39" s="1" a="1"/>
  <c r="F818" i="39" s="1"/>
  <c r="M703" i="40" l="1"/>
  <c r="H703" i="40" s="1"/>
  <c r="E704" i="40" s="1" a="1"/>
  <c r="E704" i="40" s="1"/>
  <c r="F704" i="40" s="1" a="1"/>
  <c r="F704" i="40" s="1"/>
  <c r="N817" i="39"/>
  <c r="Q817" i="39"/>
  <c r="P817" i="39"/>
  <c r="M818" i="39"/>
  <c r="H818" i="39" s="1"/>
  <c r="E819" i="39" s="1" a="1"/>
  <c r="E819" i="39" s="1"/>
  <c r="F819" i="39" s="1" a="1"/>
  <c r="F819" i="39" s="1"/>
  <c r="M819" i="39" s="1"/>
  <c r="H819" i="39" s="1"/>
  <c r="E820" i="39" s="1" a="1"/>
  <c r="E820" i="39" s="1"/>
  <c r="F820" i="39" s="1" a="1"/>
  <c r="F820" i="39" s="1"/>
  <c r="M820" i="39" s="1"/>
  <c r="H571" i="35"/>
  <c r="E572" i="35" s="1" a="1"/>
  <c r="E572" i="35" s="1"/>
  <c r="F572" i="35" s="1" a="1"/>
  <c r="F572" i="35" s="1"/>
  <c r="G571" i="35"/>
  <c r="O571" i="35" s="1"/>
  <c r="I703" i="40" l="1"/>
  <c r="M704" i="40"/>
  <c r="H704" i="40" s="1"/>
  <c r="E705" i="40" s="1" a="1"/>
  <c r="E705" i="40" s="1"/>
  <c r="F705" i="40" s="1" a="1"/>
  <c r="F705" i="40" s="1"/>
  <c r="G703" i="40"/>
  <c r="O703" i="40" s="1"/>
  <c r="G820" i="39"/>
  <c r="O820" i="39" s="1"/>
  <c r="N820" i="39" s="1"/>
  <c r="I820" i="39"/>
  <c r="G819" i="39"/>
  <c r="O819" i="39" s="1"/>
  <c r="Q819" i="39" s="1"/>
  <c r="H820" i="39"/>
  <c r="E821" i="39" s="1" a="1"/>
  <c r="E821" i="39" s="1"/>
  <c r="F821" i="39" s="1" a="1"/>
  <c r="F821" i="39" s="1"/>
  <c r="M821" i="39" s="1"/>
  <c r="H821" i="39" s="1"/>
  <c r="E822" i="39" s="1" a="1"/>
  <c r="E822" i="39" s="1"/>
  <c r="F822" i="39" s="1" a="1"/>
  <c r="F822" i="39" s="1"/>
  <c r="I819" i="39"/>
  <c r="I818" i="39"/>
  <c r="G818" i="39"/>
  <c r="O818" i="39" s="1"/>
  <c r="M572" i="35"/>
  <c r="I572" i="35" s="1"/>
  <c r="P571" i="35"/>
  <c r="N571" i="35"/>
  <c r="Q571" i="35"/>
  <c r="P820" i="39" l="1"/>
  <c r="Q820" i="39"/>
  <c r="G704" i="40"/>
  <c r="O704" i="40" s="1"/>
  <c r="P704" i="40" s="1"/>
  <c r="I704" i="40"/>
  <c r="M705" i="40"/>
  <c r="H705" i="40" s="1"/>
  <c r="E706" i="40" s="1" a="1"/>
  <c r="E706" i="40" s="1"/>
  <c r="F706" i="40" s="1" a="1"/>
  <c r="F706" i="40" s="1"/>
  <c r="N703" i="40"/>
  <c r="Q703" i="40"/>
  <c r="P703" i="40"/>
  <c r="P819" i="39"/>
  <c r="N819" i="39"/>
  <c r="Q818" i="39"/>
  <c r="N818" i="39"/>
  <c r="P818" i="39"/>
  <c r="M822" i="39"/>
  <c r="G822" i="39" s="1"/>
  <c r="O822" i="39" s="1"/>
  <c r="I821" i="39"/>
  <c r="G821" i="39"/>
  <c r="O821" i="39" s="1"/>
  <c r="H572" i="35"/>
  <c r="E573" i="35" s="1" a="1"/>
  <c r="E573" i="35" s="1"/>
  <c r="F573" i="35" s="1" a="1"/>
  <c r="F573" i="35" s="1"/>
  <c r="M573" i="35" s="1"/>
  <c r="I573" i="35" s="1"/>
  <c r="G572" i="35"/>
  <c r="O572" i="35" s="1"/>
  <c r="Q572" i="35" s="1"/>
  <c r="Q704" i="40" l="1"/>
  <c r="N704" i="40"/>
  <c r="I705" i="40"/>
  <c r="G705" i="40"/>
  <c r="O705" i="40" s="1"/>
  <c r="Q705" i="40" s="1"/>
  <c r="M706" i="40"/>
  <c r="G706" i="40" s="1"/>
  <c r="O706" i="40" s="1"/>
  <c r="I822" i="39"/>
  <c r="H822" i="39"/>
  <c r="E823" i="39" s="1" a="1"/>
  <c r="E823" i="39" s="1"/>
  <c r="F823" i="39" s="1" a="1"/>
  <c r="F823" i="39" s="1"/>
  <c r="M823" i="39" s="1"/>
  <c r="H823" i="39" s="1"/>
  <c r="E824" i="39" s="1" a="1"/>
  <c r="E824" i="39" s="1"/>
  <c r="F824" i="39" s="1" a="1"/>
  <c r="F824" i="39" s="1"/>
  <c r="Q821" i="39"/>
  <c r="P821" i="39"/>
  <c r="N821" i="39"/>
  <c r="Q822" i="39"/>
  <c r="P822" i="39"/>
  <c r="N822" i="39"/>
  <c r="N572" i="35"/>
  <c r="P572" i="35"/>
  <c r="H573" i="35"/>
  <c r="E574" i="35" s="1" a="1"/>
  <c r="E574" i="35" s="1"/>
  <c r="F574" i="35" s="1" a="1"/>
  <c r="F574" i="35" s="1"/>
  <c r="M574" i="35" s="1"/>
  <c r="I574" i="35" s="1"/>
  <c r="G573" i="35"/>
  <c r="O573" i="35" s="1"/>
  <c r="Q573" i="35" s="1"/>
  <c r="H706" i="40" l="1"/>
  <c r="E707" i="40" s="1" a="1"/>
  <c r="E707" i="40" s="1"/>
  <c r="F707" i="40" s="1" a="1"/>
  <c r="F707" i="40" s="1"/>
  <c r="M707" i="40" s="1"/>
  <c r="H707" i="40" s="1"/>
  <c r="E708" i="40" s="1" a="1"/>
  <c r="E708" i="40" s="1"/>
  <c r="F708" i="40" s="1" a="1"/>
  <c r="F708" i="40" s="1"/>
  <c r="P705" i="40"/>
  <c r="N705" i="40"/>
  <c r="I706" i="40"/>
  <c r="Q706" i="40"/>
  <c r="P706" i="40"/>
  <c r="N706" i="40"/>
  <c r="I823" i="39"/>
  <c r="M824" i="39"/>
  <c r="I824" i="39" s="1"/>
  <c r="G823" i="39"/>
  <c r="O823" i="39" s="1"/>
  <c r="P573" i="35"/>
  <c r="N573" i="35"/>
  <c r="H574" i="35"/>
  <c r="E575" i="35" s="1" a="1"/>
  <c r="E575" i="35" s="1"/>
  <c r="F575" i="35" s="1" a="1"/>
  <c r="F575" i="35" s="1"/>
  <c r="M575" i="35" s="1"/>
  <c r="I575" i="35" s="1"/>
  <c r="G574" i="35"/>
  <c r="O574" i="35" s="1"/>
  <c r="G707" i="40" l="1"/>
  <c r="O707" i="40" s="1"/>
  <c r="P707" i="40" s="1"/>
  <c r="I707" i="40"/>
  <c r="M708" i="40"/>
  <c r="I708" i="40" s="1"/>
  <c r="G824" i="39"/>
  <c r="O824" i="39" s="1"/>
  <c r="Q824" i="39" s="1"/>
  <c r="H824" i="39"/>
  <c r="E825" i="39" s="1" a="1"/>
  <c r="E825" i="39" s="1"/>
  <c r="F825" i="39" s="1" a="1"/>
  <c r="F825" i="39" s="1"/>
  <c r="M825" i="39" s="1"/>
  <c r="I825" i="39" s="1"/>
  <c r="N823" i="39"/>
  <c r="P823" i="39"/>
  <c r="Q823" i="39"/>
  <c r="N574" i="35"/>
  <c r="Q574" i="35"/>
  <c r="P574" i="35"/>
  <c r="H575" i="35"/>
  <c r="E576" i="35" s="1" a="1"/>
  <c r="E576" i="35" s="1"/>
  <c r="F576" i="35" s="1" a="1"/>
  <c r="F576" i="35" s="1"/>
  <c r="N707" i="40" l="1"/>
  <c r="Q707" i="40"/>
  <c r="P824" i="39"/>
  <c r="N824" i="39"/>
  <c r="G708" i="40"/>
  <c r="O708" i="40" s="1"/>
  <c r="Q708" i="40" s="1"/>
  <c r="H708" i="40"/>
  <c r="E709" i="40" s="1" a="1"/>
  <c r="E709" i="40" s="1"/>
  <c r="F709" i="40" s="1" a="1"/>
  <c r="F709" i="40" s="1"/>
  <c r="M709" i="40" s="1"/>
  <c r="H709" i="40" s="1"/>
  <c r="E710" i="40" s="1" a="1"/>
  <c r="E710" i="40" s="1"/>
  <c r="F710" i="40" s="1" a="1"/>
  <c r="F710" i="40" s="1"/>
  <c r="G825" i="39"/>
  <c r="O825" i="39" s="1"/>
  <c r="Q825" i="39" s="1"/>
  <c r="H825" i="39"/>
  <c r="E826" i="39" s="1" a="1"/>
  <c r="E826" i="39" s="1"/>
  <c r="F826" i="39" s="1" a="1"/>
  <c r="F826" i="39" s="1"/>
  <c r="M576" i="35"/>
  <c r="I576" i="35" s="1"/>
  <c r="G575" i="35"/>
  <c r="O575" i="35" s="1"/>
  <c r="P708" i="40" l="1"/>
  <c r="N708" i="40"/>
  <c r="M710" i="40"/>
  <c r="H710" i="40" s="1"/>
  <c r="E711" i="40" s="1" a="1"/>
  <c r="E711" i="40" s="1"/>
  <c r="F711" i="40" s="1" a="1"/>
  <c r="F711" i="40" s="1"/>
  <c r="P825" i="39"/>
  <c r="N825" i="39"/>
  <c r="G709" i="40"/>
  <c r="O709" i="40" s="1"/>
  <c r="I709" i="40"/>
  <c r="M826" i="39"/>
  <c r="H826" i="39" s="1"/>
  <c r="E827" i="39" s="1" a="1"/>
  <c r="E827" i="39" s="1"/>
  <c r="F827" i="39" s="1" a="1"/>
  <c r="F827" i="39" s="1"/>
  <c r="Q575" i="35"/>
  <c r="P575" i="35"/>
  <c r="N575" i="35"/>
  <c r="I710" i="40" l="1"/>
  <c r="M711" i="40"/>
  <c r="I711" i="40" s="1"/>
  <c r="N709" i="40"/>
  <c r="P709" i="40"/>
  <c r="Q709" i="40"/>
  <c r="G710" i="40"/>
  <c r="O710" i="40" s="1"/>
  <c r="M827" i="39"/>
  <c r="H827" i="39" s="1"/>
  <c r="E828" i="39" s="1" a="1"/>
  <c r="E828" i="39" s="1"/>
  <c r="F828" i="39" s="1" a="1"/>
  <c r="F828" i="39" s="1"/>
  <c r="I826" i="39"/>
  <c r="G826" i="39"/>
  <c r="O826" i="39" s="1"/>
  <c r="G576" i="35"/>
  <c r="O576" i="35" s="1"/>
  <c r="H576" i="35"/>
  <c r="E577" i="35" s="1" a="1"/>
  <c r="E577" i="35" s="1"/>
  <c r="F577" i="35" s="1" a="1"/>
  <c r="F577" i="35" s="1"/>
  <c r="Q710" i="40" l="1"/>
  <c r="P710" i="40"/>
  <c r="N710" i="40"/>
  <c r="G711" i="40"/>
  <c r="O711" i="40" s="1"/>
  <c r="H711" i="40"/>
  <c r="E712" i="40" s="1" a="1"/>
  <c r="E712" i="40" s="1"/>
  <c r="F712" i="40" s="1" a="1"/>
  <c r="F712" i="40" s="1"/>
  <c r="M828" i="39"/>
  <c r="H828" i="39" s="1"/>
  <c r="E829" i="39" s="1" a="1"/>
  <c r="E829" i="39" s="1"/>
  <c r="F829" i="39" s="1" a="1"/>
  <c r="F829" i="39" s="1"/>
  <c r="N826" i="39"/>
  <c r="Q826" i="39"/>
  <c r="P826" i="39"/>
  <c r="G827" i="39"/>
  <c r="O827" i="39" s="1"/>
  <c r="I827" i="39"/>
  <c r="M577" i="35"/>
  <c r="I577" i="35" s="1"/>
  <c r="Q576" i="35"/>
  <c r="P576" i="35"/>
  <c r="N576" i="35"/>
  <c r="G828" i="39" l="1"/>
  <c r="O828" i="39" s="1"/>
  <c r="N828" i="39" s="1"/>
  <c r="M712" i="40"/>
  <c r="G712" i="40" s="1"/>
  <c r="O712" i="40" s="1"/>
  <c r="I828" i="39"/>
  <c r="Q711" i="40"/>
  <c r="P711" i="40"/>
  <c r="N711" i="40"/>
  <c r="M829" i="39"/>
  <c r="H829" i="39" s="1"/>
  <c r="E830" i="39" s="1" a="1"/>
  <c r="E830" i="39" s="1"/>
  <c r="F830" i="39" s="1" a="1"/>
  <c r="F830" i="39" s="1"/>
  <c r="N827" i="39"/>
  <c r="Q827" i="39"/>
  <c r="P827" i="39"/>
  <c r="H577" i="35"/>
  <c r="E578" i="35" s="1" a="1"/>
  <c r="E578" i="35" s="1"/>
  <c r="F578" i="35" s="1" a="1"/>
  <c r="F578" i="35" s="1"/>
  <c r="M578" i="35" s="1"/>
  <c r="I578" i="35" s="1"/>
  <c r="G577" i="35"/>
  <c r="O577" i="35" s="1"/>
  <c r="Q828" i="39" l="1"/>
  <c r="P828" i="39"/>
  <c r="N712" i="40"/>
  <c r="Q712" i="40"/>
  <c r="P712" i="40"/>
  <c r="I712" i="40"/>
  <c r="H712" i="40"/>
  <c r="E713" i="40" s="1" a="1"/>
  <c r="E713" i="40" s="1"/>
  <c r="F713" i="40" s="1" a="1"/>
  <c r="F713" i="40" s="1"/>
  <c r="M830" i="39"/>
  <c r="H830" i="39" s="1"/>
  <c r="E831" i="39" s="1" a="1"/>
  <c r="E831" i="39" s="1"/>
  <c r="F831" i="39" s="1" a="1"/>
  <c r="F831" i="39" s="1"/>
  <c r="G829" i="39"/>
  <c r="O829" i="39" s="1"/>
  <c r="I829" i="39"/>
  <c r="H578" i="35"/>
  <c r="E579" i="35" s="1" a="1"/>
  <c r="E579" i="35" s="1"/>
  <c r="F579" i="35" s="1" a="1"/>
  <c r="F579" i="35" s="1"/>
  <c r="M579" i="35" s="1"/>
  <c r="I579" i="35" s="1"/>
  <c r="G578" i="35"/>
  <c r="O578" i="35" s="1"/>
  <c r="P578" i="35" s="1"/>
  <c r="Q577" i="35"/>
  <c r="P577" i="35"/>
  <c r="N577" i="35"/>
  <c r="M713" i="40" l="1"/>
  <c r="H713" i="40" s="1"/>
  <c r="E714" i="40" s="1" a="1"/>
  <c r="E714" i="40" s="1"/>
  <c r="F714" i="40" s="1" a="1"/>
  <c r="F714" i="40" s="1"/>
  <c r="M831" i="39"/>
  <c r="H831" i="39" s="1"/>
  <c r="E832" i="39" s="1" a="1"/>
  <c r="E832" i="39" s="1"/>
  <c r="F832" i="39" s="1" a="1"/>
  <c r="F832" i="39" s="1"/>
  <c r="I830" i="39"/>
  <c r="G830" i="39"/>
  <c r="O830" i="39" s="1"/>
  <c r="Q829" i="39"/>
  <c r="P829" i="39"/>
  <c r="N829" i="39"/>
  <c r="Q578" i="35"/>
  <c r="N578" i="35"/>
  <c r="H579" i="35"/>
  <c r="E580" i="35" s="1" a="1"/>
  <c r="E580" i="35" s="1"/>
  <c r="F580" i="35" s="1" a="1"/>
  <c r="F580" i="35" s="1"/>
  <c r="G579" i="35"/>
  <c r="O579" i="35" s="1"/>
  <c r="P579" i="35" s="1"/>
  <c r="M714" i="40" l="1"/>
  <c r="G714" i="40" s="1"/>
  <c r="O714" i="40" s="1"/>
  <c r="G713" i="40"/>
  <c r="O713" i="40" s="1"/>
  <c r="I713" i="40"/>
  <c r="M832" i="39"/>
  <c r="I832" i="39" s="1"/>
  <c r="N830" i="39"/>
  <c r="P830" i="39"/>
  <c r="Q830" i="39"/>
  <c r="I831" i="39"/>
  <c r="G831" i="39"/>
  <c r="O831" i="39" s="1"/>
  <c r="Q579" i="35"/>
  <c r="N579" i="35"/>
  <c r="M580" i="35"/>
  <c r="I580" i="35" s="1"/>
  <c r="I714" i="40" l="1"/>
  <c r="H714" i="40"/>
  <c r="E715" i="40" s="1" a="1"/>
  <c r="E715" i="40" s="1"/>
  <c r="F715" i="40" s="1" a="1"/>
  <c r="F715" i="40" s="1"/>
  <c r="M715" i="40" s="1"/>
  <c r="G715" i="40" s="1"/>
  <c r="O715" i="40" s="1"/>
  <c r="G832" i="39"/>
  <c r="O832" i="39" s="1"/>
  <c r="N832" i="39" s="1"/>
  <c r="H832" i="39"/>
  <c r="E833" i="39" s="1" a="1"/>
  <c r="E833" i="39" s="1"/>
  <c r="F833" i="39" s="1" a="1"/>
  <c r="F833" i="39" s="1"/>
  <c r="M833" i="39" s="1"/>
  <c r="H833" i="39" s="1"/>
  <c r="E834" i="39" s="1" a="1"/>
  <c r="E834" i="39" s="1"/>
  <c r="F834" i="39" s="1" a="1"/>
  <c r="F834" i="39" s="1"/>
  <c r="Q714" i="40"/>
  <c r="N714" i="40"/>
  <c r="P714" i="40"/>
  <c r="Q713" i="40"/>
  <c r="P713" i="40"/>
  <c r="N713" i="40"/>
  <c r="N831" i="39"/>
  <c r="Q831" i="39"/>
  <c r="P831" i="39"/>
  <c r="G580" i="35"/>
  <c r="O580" i="35" s="1"/>
  <c r="Q580" i="35" s="1"/>
  <c r="H580" i="35"/>
  <c r="E581" i="35" s="1" a="1"/>
  <c r="E581" i="35" s="1"/>
  <c r="F581" i="35" s="1" a="1"/>
  <c r="F581" i="35" s="1"/>
  <c r="P832" i="39" l="1"/>
  <c r="Q832" i="39"/>
  <c r="I715" i="40"/>
  <c r="N715" i="40"/>
  <c r="Q715" i="40"/>
  <c r="P715" i="40"/>
  <c r="H715" i="40"/>
  <c r="E716" i="40" s="1" a="1"/>
  <c r="E716" i="40" s="1"/>
  <c r="F716" i="40" s="1" a="1"/>
  <c r="F716" i="40" s="1"/>
  <c r="M834" i="39"/>
  <c r="H834" i="39" s="1"/>
  <c r="E835" i="39" s="1" a="1"/>
  <c r="E835" i="39" s="1"/>
  <c r="F835" i="39" s="1" a="1"/>
  <c r="F835" i="39" s="1"/>
  <c r="G833" i="39"/>
  <c r="O833" i="39" s="1"/>
  <c r="I833" i="39"/>
  <c r="N580" i="35"/>
  <c r="P580" i="35"/>
  <c r="M581" i="35"/>
  <c r="I581" i="35" s="1"/>
  <c r="M716" i="40" l="1"/>
  <c r="I716" i="40" s="1"/>
  <c r="M835" i="39"/>
  <c r="I835" i="39" s="1"/>
  <c r="I834" i="39"/>
  <c r="G834" i="39"/>
  <c r="O834" i="39" s="1"/>
  <c r="Q833" i="39"/>
  <c r="P833" i="39"/>
  <c r="N833" i="39"/>
  <c r="H581" i="35"/>
  <c r="E582" i="35" s="1" a="1"/>
  <c r="E582" i="35" s="1"/>
  <c r="F582" i="35" s="1" a="1"/>
  <c r="F582" i="35" s="1"/>
  <c r="G581" i="35"/>
  <c r="O581" i="35" s="1"/>
  <c r="G835" i="39" l="1"/>
  <c r="O835" i="39" s="1"/>
  <c r="Q835" i="39" s="1"/>
  <c r="G716" i="40"/>
  <c r="O716" i="40" s="1"/>
  <c r="Q716" i="40" s="1"/>
  <c r="H835" i="39"/>
  <c r="E836" i="39" s="1" a="1"/>
  <c r="E836" i="39" s="1"/>
  <c r="F836" i="39" s="1" a="1"/>
  <c r="F836" i="39" s="1"/>
  <c r="M836" i="39" s="1"/>
  <c r="I836" i="39" s="1"/>
  <c r="H716" i="40"/>
  <c r="E717" i="40" s="1" a="1"/>
  <c r="E717" i="40" s="1"/>
  <c r="F717" i="40" s="1" a="1"/>
  <c r="F717" i="40" s="1"/>
  <c r="M717" i="40" s="1"/>
  <c r="I717" i="40" s="1"/>
  <c r="N834" i="39"/>
  <c r="Q834" i="39"/>
  <c r="P834" i="39"/>
  <c r="M582" i="35"/>
  <c r="G582" i="35" s="1"/>
  <c r="O582" i="35" s="1"/>
  <c r="P581" i="35"/>
  <c r="Q581" i="35"/>
  <c r="N581" i="35"/>
  <c r="P716" i="40" l="1"/>
  <c r="N716" i="40"/>
  <c r="N835" i="39"/>
  <c r="P835" i="39"/>
  <c r="G717" i="40"/>
  <c r="O717" i="40" s="1"/>
  <c r="N717" i="40" s="1"/>
  <c r="H717" i="40"/>
  <c r="E718" i="40" s="1" a="1"/>
  <c r="E718" i="40" s="1"/>
  <c r="F718" i="40" s="1" a="1"/>
  <c r="F718" i="40" s="1"/>
  <c r="G836" i="39"/>
  <c r="O836" i="39" s="1"/>
  <c r="N836" i="39" s="1"/>
  <c r="H836" i="39"/>
  <c r="E837" i="39" s="1" a="1"/>
  <c r="E837" i="39" s="1"/>
  <c r="F837" i="39" s="1" a="1"/>
  <c r="F837" i="39" s="1"/>
  <c r="M837" i="39" s="1"/>
  <c r="G837" i="39" s="1"/>
  <c r="O837" i="39" s="1"/>
  <c r="I582" i="35"/>
  <c r="P582" i="35"/>
  <c r="Q582" i="35"/>
  <c r="N582" i="35"/>
  <c r="H582" i="35"/>
  <c r="E583" i="35" s="1" a="1"/>
  <c r="E583" i="35" s="1"/>
  <c r="F583" i="35" s="1" a="1"/>
  <c r="F583" i="35" s="1"/>
  <c r="P717" i="40" l="1"/>
  <c r="Q717" i="40"/>
  <c r="P836" i="39"/>
  <c r="Q836" i="39"/>
  <c r="M718" i="40"/>
  <c r="H718" i="40" s="1"/>
  <c r="E719" i="40" s="1" a="1"/>
  <c r="E719" i="40" s="1"/>
  <c r="F719" i="40" s="1" a="1"/>
  <c r="F719" i="40" s="1"/>
  <c r="Q837" i="39"/>
  <c r="P837" i="39"/>
  <c r="N837" i="39"/>
  <c r="I837" i="39"/>
  <c r="H837" i="39"/>
  <c r="E838" i="39" s="1" a="1"/>
  <c r="E838" i="39" s="1"/>
  <c r="F838" i="39" s="1" a="1"/>
  <c r="F838" i="39" s="1"/>
  <c r="M583" i="35"/>
  <c r="I583" i="35" s="1"/>
  <c r="M719" i="40" l="1"/>
  <c r="H719" i="40" s="1"/>
  <c r="E720" i="40" s="1" a="1"/>
  <c r="E720" i="40" s="1"/>
  <c r="F720" i="40" s="1" a="1"/>
  <c r="F720" i="40" s="1"/>
  <c r="G718" i="40"/>
  <c r="O718" i="40" s="1"/>
  <c r="I718" i="40"/>
  <c r="M838" i="39"/>
  <c r="H838" i="39" s="1"/>
  <c r="E839" i="39" s="1" a="1"/>
  <c r="E839" i="39" s="1"/>
  <c r="F839" i="39" s="1" a="1"/>
  <c r="F839" i="39" s="1"/>
  <c r="G583" i="35"/>
  <c r="O583" i="35" s="1"/>
  <c r="Q583" i="35" s="1"/>
  <c r="H583" i="35"/>
  <c r="E584" i="35" s="1" a="1"/>
  <c r="E584" i="35" s="1"/>
  <c r="F584" i="35" s="1" a="1"/>
  <c r="F584" i="35" s="1"/>
  <c r="G719" i="40" l="1"/>
  <c r="O719" i="40" s="1"/>
  <c r="P719" i="40" s="1"/>
  <c r="I719" i="40"/>
  <c r="M720" i="40"/>
  <c r="H720" i="40" s="1"/>
  <c r="E721" i="40" s="1" a="1"/>
  <c r="E721" i="40" s="1"/>
  <c r="F721" i="40" s="1" a="1"/>
  <c r="F721" i="40" s="1"/>
  <c r="Q718" i="40"/>
  <c r="N718" i="40"/>
  <c r="P718" i="40"/>
  <c r="I838" i="39"/>
  <c r="M839" i="39"/>
  <c r="H839" i="39" s="1"/>
  <c r="E840" i="39" s="1" a="1"/>
  <c r="E840" i="39" s="1"/>
  <c r="F840" i="39" s="1" a="1"/>
  <c r="F840" i="39" s="1"/>
  <c r="G838" i="39"/>
  <c r="O838" i="39" s="1"/>
  <c r="N583" i="35"/>
  <c r="P583" i="35"/>
  <c r="M584" i="35"/>
  <c r="H584" i="35" s="1"/>
  <c r="E585" i="35" s="1" a="1"/>
  <c r="E585" i="35" s="1"/>
  <c r="F585" i="35" s="1" a="1"/>
  <c r="F585" i="35" s="1"/>
  <c r="Q719" i="40" l="1"/>
  <c r="N719" i="40"/>
  <c r="G720" i="40"/>
  <c r="O720" i="40" s="1"/>
  <c r="P720" i="40" s="1"/>
  <c r="I720" i="40"/>
  <c r="M721" i="40"/>
  <c r="H721" i="40" s="1"/>
  <c r="E722" i="40" s="1" a="1"/>
  <c r="E722" i="40" s="1"/>
  <c r="F722" i="40" s="1" a="1"/>
  <c r="F722" i="40" s="1"/>
  <c r="I839" i="39"/>
  <c r="M840" i="39"/>
  <c r="I840" i="39" s="1"/>
  <c r="Q838" i="39"/>
  <c r="P838" i="39"/>
  <c r="N838" i="39"/>
  <c r="G839" i="39"/>
  <c r="O839" i="39" s="1"/>
  <c r="M585" i="35"/>
  <c r="I585" i="35" s="1"/>
  <c r="I584" i="35"/>
  <c r="G584" i="35"/>
  <c r="O584" i="35" s="1"/>
  <c r="Q720" i="40" l="1"/>
  <c r="N720" i="40"/>
  <c r="G721" i="40"/>
  <c r="O721" i="40" s="1"/>
  <c r="Q721" i="40" s="1"/>
  <c r="I721" i="40"/>
  <c r="M722" i="40"/>
  <c r="G722" i="40" s="1"/>
  <c r="O722" i="40" s="1"/>
  <c r="G840" i="39"/>
  <c r="O840" i="39" s="1"/>
  <c r="N840" i="39" s="1"/>
  <c r="H840" i="39"/>
  <c r="E841" i="39" s="1" a="1"/>
  <c r="E841" i="39" s="1"/>
  <c r="F841" i="39" s="1" a="1"/>
  <c r="F841" i="39" s="1"/>
  <c r="M841" i="39" s="1"/>
  <c r="H841" i="39" s="1"/>
  <c r="E842" i="39" s="1" a="1"/>
  <c r="E842" i="39" s="1"/>
  <c r="F842" i="39" s="1" a="1"/>
  <c r="F842" i="39" s="1"/>
  <c r="Q839" i="39"/>
  <c r="P839" i="39"/>
  <c r="N839" i="39"/>
  <c r="G585" i="35"/>
  <c r="O585" i="35" s="1"/>
  <c r="N585" i="35" s="1"/>
  <c r="H585" i="35"/>
  <c r="E586" i="35" s="1" a="1"/>
  <c r="E586" i="35" s="1"/>
  <c r="F586" i="35" s="1" a="1"/>
  <c r="F586" i="35" s="1"/>
  <c r="M586" i="35" s="1"/>
  <c r="I586" i="35" s="1"/>
  <c r="P584" i="35"/>
  <c r="Q584" i="35"/>
  <c r="N584" i="35"/>
  <c r="N721" i="40" l="1"/>
  <c r="P721" i="40"/>
  <c r="I722" i="40"/>
  <c r="H722" i="40"/>
  <c r="E723" i="40" s="1" a="1"/>
  <c r="E723" i="40" s="1"/>
  <c r="F723" i="40" s="1" a="1"/>
  <c r="F723" i="40" s="1"/>
  <c r="M723" i="40" s="1"/>
  <c r="H723" i="40" s="1"/>
  <c r="E724" i="40" s="1" a="1"/>
  <c r="E724" i="40" s="1"/>
  <c r="F724" i="40" s="1" a="1"/>
  <c r="F724" i="40" s="1"/>
  <c r="Q840" i="39"/>
  <c r="P840" i="39"/>
  <c r="P722" i="40"/>
  <c r="N722" i="40"/>
  <c r="Q722" i="40"/>
  <c r="M842" i="39"/>
  <c r="H842" i="39" s="1"/>
  <c r="E843" i="39" s="1" a="1"/>
  <c r="E843" i="39" s="1"/>
  <c r="F843" i="39" s="1" a="1"/>
  <c r="F843" i="39" s="1"/>
  <c r="I841" i="39"/>
  <c r="G841" i="39"/>
  <c r="O841" i="39" s="1"/>
  <c r="P585" i="35"/>
  <c r="Q585" i="35"/>
  <c r="H586" i="35"/>
  <c r="E587" i="35" s="1" a="1"/>
  <c r="E587" i="35" s="1"/>
  <c r="F587" i="35" s="1" a="1"/>
  <c r="F587" i="35" s="1"/>
  <c r="M587" i="35" s="1"/>
  <c r="I587" i="35" s="1"/>
  <c r="G586" i="35"/>
  <c r="O586" i="35" s="1"/>
  <c r="M724" i="40" l="1"/>
  <c r="I724" i="40" s="1"/>
  <c r="I723" i="40"/>
  <c r="G723" i="40"/>
  <c r="O723" i="40" s="1"/>
  <c r="M843" i="39"/>
  <c r="I843" i="39" s="1"/>
  <c r="Q841" i="39"/>
  <c r="P841" i="39"/>
  <c r="N841" i="39"/>
  <c r="I842" i="39"/>
  <c r="G842" i="39"/>
  <c r="O842" i="39" s="1"/>
  <c r="Q586" i="35"/>
  <c r="N586" i="35"/>
  <c r="P586" i="35"/>
  <c r="G587" i="35"/>
  <c r="O587" i="35" s="1"/>
  <c r="G724" i="40" l="1"/>
  <c r="O724" i="40" s="1"/>
  <c r="Q724" i="40" s="1"/>
  <c r="H724" i="40"/>
  <c r="E725" i="40" s="1" a="1"/>
  <c r="E725" i="40" s="1"/>
  <c r="F725" i="40" s="1" a="1"/>
  <c r="F725" i="40" s="1"/>
  <c r="M725" i="40" s="1"/>
  <c r="H725" i="40" s="1"/>
  <c r="E726" i="40" s="1" a="1"/>
  <c r="E726" i="40" s="1"/>
  <c r="F726" i="40" s="1" a="1"/>
  <c r="F726" i="40" s="1"/>
  <c r="G843" i="39"/>
  <c r="O843" i="39" s="1"/>
  <c r="P843" i="39" s="1"/>
  <c r="H843" i="39"/>
  <c r="E844" i="39" s="1" a="1"/>
  <c r="E844" i="39" s="1"/>
  <c r="F844" i="39" s="1" a="1"/>
  <c r="F844" i="39" s="1"/>
  <c r="M844" i="39" s="1"/>
  <c r="G844" i="39" s="1"/>
  <c r="O844" i="39" s="1"/>
  <c r="N723" i="40"/>
  <c r="P723" i="40"/>
  <c r="Q723" i="40"/>
  <c r="N842" i="39"/>
  <c r="Q842" i="39"/>
  <c r="P842" i="39"/>
  <c r="H587" i="35"/>
  <c r="E588" i="35" s="1" a="1"/>
  <c r="E588" i="35" s="1"/>
  <c r="F588" i="35" s="1" a="1"/>
  <c r="F588" i="35" s="1"/>
  <c r="Q587" i="35"/>
  <c r="P587" i="35"/>
  <c r="N587" i="35"/>
  <c r="P724" i="40" l="1"/>
  <c r="N724" i="40"/>
  <c r="Q843" i="39"/>
  <c r="N843" i="39"/>
  <c r="I725" i="40"/>
  <c r="M726" i="40"/>
  <c r="I726" i="40" s="1"/>
  <c r="G725" i="40"/>
  <c r="O725" i="40" s="1"/>
  <c r="I844" i="39"/>
  <c r="H844" i="39"/>
  <c r="E845" i="39" s="1" a="1"/>
  <c r="E845" i="39" s="1"/>
  <c r="F845" i="39" s="1" a="1"/>
  <c r="F845" i="39" s="1"/>
  <c r="M845" i="39" s="1"/>
  <c r="N844" i="39"/>
  <c r="Q844" i="39"/>
  <c r="P844" i="39"/>
  <c r="M588" i="35"/>
  <c r="I588" i="35" s="1"/>
  <c r="H726" i="40" l="1"/>
  <c r="E727" i="40" s="1" a="1"/>
  <c r="E727" i="40" s="1"/>
  <c r="F727" i="40" s="1" a="1"/>
  <c r="F727" i="40" s="1"/>
  <c r="M727" i="40" s="1"/>
  <c r="I727" i="40" s="1"/>
  <c r="N725" i="40"/>
  <c r="Q725" i="40"/>
  <c r="P725" i="40"/>
  <c r="G726" i="40"/>
  <c r="O726" i="40" s="1"/>
  <c r="I845" i="39"/>
  <c r="H845" i="39"/>
  <c r="E846" i="39" s="1" a="1"/>
  <c r="E846" i="39" s="1"/>
  <c r="F846" i="39" s="1" a="1"/>
  <c r="F846" i="39" s="1"/>
  <c r="M846" i="39" s="1"/>
  <c r="I846" i="39" s="1"/>
  <c r="G845" i="39"/>
  <c r="O845" i="39" s="1"/>
  <c r="Q845" i="39" s="1"/>
  <c r="G588" i="35"/>
  <c r="O588" i="35" s="1"/>
  <c r="G727" i="40" l="1"/>
  <c r="O727" i="40" s="1"/>
  <c r="N727" i="40" s="1"/>
  <c r="H727" i="40"/>
  <c r="E728" i="40" s="1" a="1"/>
  <c r="E728" i="40" s="1"/>
  <c r="F728" i="40" s="1" a="1"/>
  <c r="F728" i="40" s="1"/>
  <c r="M728" i="40" s="1"/>
  <c r="H728" i="40" s="1"/>
  <c r="E729" i="40" s="1" a="1"/>
  <c r="E729" i="40" s="1"/>
  <c r="F729" i="40" s="1" a="1"/>
  <c r="F729" i="40" s="1"/>
  <c r="Q726" i="40"/>
  <c r="N726" i="40"/>
  <c r="P726" i="40"/>
  <c r="N845" i="39"/>
  <c r="P845" i="39"/>
  <c r="G846" i="39"/>
  <c r="O846" i="39" s="1"/>
  <c r="H846" i="39"/>
  <c r="E847" i="39" s="1" a="1"/>
  <c r="E847" i="39" s="1"/>
  <c r="F847" i="39" s="1" a="1"/>
  <c r="F847" i="39" s="1"/>
  <c r="Q588" i="35"/>
  <c r="N588" i="35"/>
  <c r="P588" i="35"/>
  <c r="H588" i="35"/>
  <c r="E589" i="35" s="1" a="1"/>
  <c r="E589" i="35" s="1"/>
  <c r="F589" i="35" s="1" a="1"/>
  <c r="F589" i="35" s="1"/>
  <c r="P727" i="40" l="1"/>
  <c r="Q727" i="40"/>
  <c r="G728" i="40"/>
  <c r="O728" i="40" s="1"/>
  <c r="N728" i="40" s="1"/>
  <c r="M729" i="40"/>
  <c r="H729" i="40" s="1"/>
  <c r="E730" i="40" s="1" a="1"/>
  <c r="E730" i="40" s="1"/>
  <c r="F730" i="40" s="1" a="1"/>
  <c r="F730" i="40" s="1"/>
  <c r="I728" i="40"/>
  <c r="M847" i="39"/>
  <c r="G847" i="39" s="1"/>
  <c r="O847" i="39" s="1"/>
  <c r="Q846" i="39"/>
  <c r="P846" i="39"/>
  <c r="N846" i="39"/>
  <c r="M589" i="35"/>
  <c r="I589" i="35" s="1"/>
  <c r="Q728" i="40" l="1"/>
  <c r="P728" i="40"/>
  <c r="I729" i="40"/>
  <c r="M730" i="40"/>
  <c r="H730" i="40" s="1"/>
  <c r="E731" i="40" s="1" a="1"/>
  <c r="E731" i="40" s="1"/>
  <c r="F731" i="40" s="1" a="1"/>
  <c r="F731" i="40" s="1"/>
  <c r="G729" i="40"/>
  <c r="O729" i="40" s="1"/>
  <c r="I847" i="39"/>
  <c r="N847" i="39"/>
  <c r="P847" i="39"/>
  <c r="Q847" i="39"/>
  <c r="H847" i="39"/>
  <c r="E848" i="39" s="1" a="1"/>
  <c r="E848" i="39" s="1"/>
  <c r="F848" i="39" s="1" a="1"/>
  <c r="F848" i="39" s="1"/>
  <c r="G589" i="35"/>
  <c r="O589" i="35" s="1"/>
  <c r="Q589" i="35" s="1"/>
  <c r="H589" i="35"/>
  <c r="E590" i="35" s="1" a="1"/>
  <c r="E590" i="35" s="1"/>
  <c r="F590" i="35" s="1" a="1"/>
  <c r="F590" i="35" s="1"/>
  <c r="M590" i="35" s="1"/>
  <c r="I590" i="35" s="1"/>
  <c r="M731" i="40" l="1"/>
  <c r="G731" i="40" s="1"/>
  <c r="O731" i="40" s="1"/>
  <c r="N729" i="40"/>
  <c r="Q729" i="40"/>
  <c r="P729" i="40"/>
  <c r="G730" i="40"/>
  <c r="O730" i="40" s="1"/>
  <c r="I730" i="40"/>
  <c r="M848" i="39"/>
  <c r="I848" i="39" s="1"/>
  <c r="N589" i="35"/>
  <c r="P589" i="35"/>
  <c r="G590" i="35"/>
  <c r="O590" i="35" s="1"/>
  <c r="P590" i="35" s="1"/>
  <c r="H590" i="35"/>
  <c r="E591" i="35" s="1" a="1"/>
  <c r="E591" i="35" s="1"/>
  <c r="F591" i="35" s="1" a="1"/>
  <c r="F591" i="35" s="1"/>
  <c r="H731" i="40" l="1"/>
  <c r="E732" i="40" s="1" a="1"/>
  <c r="E732" i="40" s="1"/>
  <c r="F732" i="40" s="1" a="1"/>
  <c r="F732" i="40" s="1"/>
  <c r="M732" i="40" s="1"/>
  <c r="G732" i="40" s="1"/>
  <c r="O732" i="40" s="1"/>
  <c r="I731" i="40"/>
  <c r="P731" i="40"/>
  <c r="Q731" i="40"/>
  <c r="N731" i="40"/>
  <c r="P730" i="40"/>
  <c r="N730" i="40"/>
  <c r="Q730" i="40"/>
  <c r="G848" i="39"/>
  <c r="O848" i="39" s="1"/>
  <c r="N848" i="39" s="1"/>
  <c r="H848" i="39"/>
  <c r="E849" i="39" s="1" a="1"/>
  <c r="E849" i="39" s="1"/>
  <c r="F849" i="39" s="1" a="1"/>
  <c r="F849" i="39" s="1"/>
  <c r="M849" i="39" s="1"/>
  <c r="I849" i="39" s="1"/>
  <c r="N590" i="35"/>
  <c r="Q590" i="35"/>
  <c r="M591" i="35"/>
  <c r="I591" i="35" s="1"/>
  <c r="P848" i="39" l="1"/>
  <c r="N732" i="40"/>
  <c r="Q732" i="40"/>
  <c r="P732" i="40"/>
  <c r="I732" i="40"/>
  <c r="H732" i="40"/>
  <c r="E733" i="40" s="1" a="1"/>
  <c r="E733" i="40" s="1"/>
  <c r="F733" i="40" s="1" a="1"/>
  <c r="F733" i="40" s="1"/>
  <c r="Q848" i="39"/>
  <c r="G849" i="39"/>
  <c r="O849" i="39" s="1"/>
  <c r="Q849" i="39" s="1"/>
  <c r="H849" i="39"/>
  <c r="E850" i="39" s="1" a="1"/>
  <c r="E850" i="39" s="1"/>
  <c r="F850" i="39" s="1" a="1"/>
  <c r="F850" i="39" s="1"/>
  <c r="H591" i="35"/>
  <c r="E592" i="35" s="1" a="1"/>
  <c r="E592" i="35" s="1"/>
  <c r="F592" i="35" s="1" a="1"/>
  <c r="F592" i="35" s="1"/>
  <c r="G591" i="35"/>
  <c r="O591" i="35" s="1"/>
  <c r="M733" i="40" l="1"/>
  <c r="H733" i="40" s="1"/>
  <c r="E734" i="40" s="1" a="1"/>
  <c r="E734" i="40" s="1"/>
  <c r="F734" i="40" s="1" a="1"/>
  <c r="F734" i="40" s="1"/>
  <c r="N849" i="39"/>
  <c r="P849" i="39"/>
  <c r="M850" i="39"/>
  <c r="H850" i="39" s="1"/>
  <c r="E851" i="39" s="1" a="1"/>
  <c r="E851" i="39" s="1"/>
  <c r="F851" i="39" s="1" a="1"/>
  <c r="F851" i="39" s="1"/>
  <c r="M592" i="35"/>
  <c r="I592" i="35" s="1"/>
  <c r="N591" i="35"/>
  <c r="P591" i="35"/>
  <c r="Q591" i="35"/>
  <c r="M734" i="40" l="1"/>
  <c r="I734" i="40" s="1"/>
  <c r="I733" i="40"/>
  <c r="G733" i="40"/>
  <c r="O733" i="40" s="1"/>
  <c r="I850" i="39"/>
  <c r="M851" i="39"/>
  <c r="I851" i="39" s="1"/>
  <c r="G850" i="39"/>
  <c r="O850" i="39" s="1"/>
  <c r="G592" i="35"/>
  <c r="O592" i="35" s="1"/>
  <c r="P592" i="35" s="1"/>
  <c r="H592" i="35"/>
  <c r="E593" i="35" s="1" a="1"/>
  <c r="E593" i="35" s="1"/>
  <c r="F593" i="35" s="1" a="1"/>
  <c r="F593" i="35" s="1"/>
  <c r="M593" i="35" s="1"/>
  <c r="I593" i="35" s="1"/>
  <c r="G734" i="40" l="1"/>
  <c r="O734" i="40" s="1"/>
  <c r="N734" i="40" s="1"/>
  <c r="N733" i="40"/>
  <c r="P733" i="40"/>
  <c r="Q733" i="40"/>
  <c r="H734" i="40"/>
  <c r="E735" i="40" s="1" a="1"/>
  <c r="E735" i="40" s="1"/>
  <c r="F735" i="40" s="1" a="1"/>
  <c r="F735" i="40" s="1"/>
  <c r="G851" i="39"/>
  <c r="O851" i="39" s="1"/>
  <c r="P851" i="39" s="1"/>
  <c r="H851" i="39"/>
  <c r="E852" i="39" s="1" a="1"/>
  <c r="E852" i="39" s="1"/>
  <c r="F852" i="39" s="1" a="1"/>
  <c r="F852" i="39" s="1"/>
  <c r="M852" i="39" s="1"/>
  <c r="I852" i="39" s="1"/>
  <c r="N850" i="39"/>
  <c r="P850" i="39"/>
  <c r="Q850" i="39"/>
  <c r="N592" i="35"/>
  <c r="Q592" i="35"/>
  <c r="H593" i="35"/>
  <c r="E594" i="35" s="1" a="1"/>
  <c r="E594" i="35" s="1"/>
  <c r="F594" i="35" s="1" a="1"/>
  <c r="F594" i="35" s="1"/>
  <c r="G593" i="35"/>
  <c r="O593" i="35" s="1"/>
  <c r="P734" i="40" l="1"/>
  <c r="Q734" i="40"/>
  <c r="M735" i="40"/>
  <c r="H735" i="40" s="1"/>
  <c r="E736" i="40" s="1" a="1"/>
  <c r="E736" i="40" s="1"/>
  <c r="F736" i="40" s="1" a="1"/>
  <c r="F736" i="40" s="1"/>
  <c r="N851" i="39"/>
  <c r="Q851" i="39"/>
  <c r="G852" i="39"/>
  <c r="O852" i="39" s="1"/>
  <c r="N852" i="39" s="1"/>
  <c r="H852" i="39"/>
  <c r="E853" i="39" s="1" a="1"/>
  <c r="E853" i="39" s="1"/>
  <c r="F853" i="39" s="1" a="1"/>
  <c r="F853" i="39" s="1"/>
  <c r="M853" i="39" s="1"/>
  <c r="I853" i="39" s="1"/>
  <c r="M594" i="35"/>
  <c r="G594" i="35" s="1"/>
  <c r="O594" i="35" s="1"/>
  <c r="P593" i="35"/>
  <c r="N593" i="35"/>
  <c r="Q593" i="35"/>
  <c r="G735" i="40" l="1"/>
  <c r="O735" i="40" s="1"/>
  <c r="Q735" i="40" s="1"/>
  <c r="I735" i="40"/>
  <c r="P852" i="39"/>
  <c r="Q852" i="39"/>
  <c r="M736" i="40"/>
  <c r="G736" i="40" s="1"/>
  <c r="O736" i="40" s="1"/>
  <c r="G853" i="39"/>
  <c r="O853" i="39" s="1"/>
  <c r="Q853" i="39" s="1"/>
  <c r="H853" i="39"/>
  <c r="E854" i="39" s="1" a="1"/>
  <c r="E854" i="39" s="1"/>
  <c r="F854" i="39" s="1" a="1"/>
  <c r="F854" i="39" s="1"/>
  <c r="M854" i="39" s="1"/>
  <c r="H854" i="39" s="1"/>
  <c r="E855" i="39" s="1" a="1"/>
  <c r="E855" i="39" s="1"/>
  <c r="F855" i="39" s="1" a="1"/>
  <c r="F855" i="39" s="1"/>
  <c r="H594" i="35"/>
  <c r="E595" i="35" s="1" a="1"/>
  <c r="E595" i="35" s="1"/>
  <c r="F595" i="35" s="1" a="1"/>
  <c r="F595" i="35" s="1"/>
  <c r="M595" i="35" s="1"/>
  <c r="I595" i="35" s="1"/>
  <c r="I594" i="35"/>
  <c r="N594" i="35"/>
  <c r="Q594" i="35"/>
  <c r="P594" i="35"/>
  <c r="P735" i="40" l="1"/>
  <c r="N735" i="40"/>
  <c r="N853" i="39"/>
  <c r="P736" i="40"/>
  <c r="Q736" i="40"/>
  <c r="N736" i="40"/>
  <c r="P853" i="39"/>
  <c r="I736" i="40"/>
  <c r="H736" i="40"/>
  <c r="E737" i="40" s="1" a="1"/>
  <c r="E737" i="40" s="1"/>
  <c r="F737" i="40" s="1" a="1"/>
  <c r="F737" i="40" s="1"/>
  <c r="M855" i="39"/>
  <c r="I855" i="39" s="1"/>
  <c r="I854" i="39"/>
  <c r="G854" i="39"/>
  <c r="O854" i="39" s="1"/>
  <c r="H595" i="35"/>
  <c r="E596" i="35" s="1" a="1"/>
  <c r="E596" i="35" s="1"/>
  <c r="F596" i="35" s="1" a="1"/>
  <c r="F596" i="35" s="1"/>
  <c r="M596" i="35" s="1"/>
  <c r="G595" i="35"/>
  <c r="O595" i="35" s="1"/>
  <c r="M737" i="40" l="1"/>
  <c r="H737" i="40" s="1"/>
  <c r="E738" i="40" s="1" a="1"/>
  <c r="E738" i="40" s="1"/>
  <c r="F738" i="40" s="1" a="1"/>
  <c r="F738" i="40" s="1"/>
  <c r="G855" i="39"/>
  <c r="O855" i="39" s="1"/>
  <c r="P855" i="39" s="1"/>
  <c r="H855" i="39"/>
  <c r="E856" i="39" s="1" a="1"/>
  <c r="E856" i="39" s="1"/>
  <c r="F856" i="39" s="1" a="1"/>
  <c r="F856" i="39" s="1"/>
  <c r="M856" i="39" s="1"/>
  <c r="N854" i="39"/>
  <c r="Q854" i="39"/>
  <c r="P854" i="39"/>
  <c r="I596" i="35"/>
  <c r="P595" i="35"/>
  <c r="Q595" i="35"/>
  <c r="N595" i="35"/>
  <c r="G596" i="35"/>
  <c r="O596" i="35" s="1"/>
  <c r="H596" i="35"/>
  <c r="E597" i="35" s="1" a="1"/>
  <c r="E597" i="35" s="1"/>
  <c r="F597" i="35" s="1" a="1"/>
  <c r="F597" i="35" s="1"/>
  <c r="Q855" i="39" l="1"/>
  <c r="N855" i="39"/>
  <c r="G737" i="40"/>
  <c r="O737" i="40" s="1"/>
  <c r="Q737" i="40" s="1"/>
  <c r="I737" i="40"/>
  <c r="M738" i="40"/>
  <c r="H738" i="40" s="1"/>
  <c r="E739" i="40" s="1" a="1"/>
  <c r="E739" i="40" s="1"/>
  <c r="F739" i="40" s="1" a="1"/>
  <c r="F739" i="40" s="1"/>
  <c r="G856" i="39"/>
  <c r="O856" i="39" s="1"/>
  <c r="N856" i="39" s="1"/>
  <c r="H856" i="39"/>
  <c r="E857" i="39" s="1" a="1"/>
  <c r="E857" i="39" s="1"/>
  <c r="F857" i="39" s="1" a="1"/>
  <c r="F857" i="39" s="1"/>
  <c r="M857" i="39" s="1"/>
  <c r="G857" i="39" s="1"/>
  <c r="O857" i="39" s="1"/>
  <c r="I856" i="39"/>
  <c r="M597" i="35"/>
  <c r="I597" i="35" s="1"/>
  <c r="Q596" i="35"/>
  <c r="P596" i="35"/>
  <c r="N596" i="35"/>
  <c r="N737" i="40" l="1"/>
  <c r="P737" i="40"/>
  <c r="P856" i="39"/>
  <c r="G738" i="40"/>
  <c r="O738" i="40" s="1"/>
  <c r="P738" i="40" s="1"/>
  <c r="M739" i="40"/>
  <c r="G739" i="40" s="1"/>
  <c r="O739" i="40" s="1"/>
  <c r="Q856" i="39"/>
  <c r="I738" i="40"/>
  <c r="I857" i="39"/>
  <c r="Q857" i="39"/>
  <c r="P857" i="39"/>
  <c r="N857" i="39"/>
  <c r="H857" i="39"/>
  <c r="E858" i="39" s="1" a="1"/>
  <c r="E858" i="39" s="1"/>
  <c r="F858" i="39" s="1" a="1"/>
  <c r="F858" i="39" s="1"/>
  <c r="Q738" i="40" l="1"/>
  <c r="N738" i="40"/>
  <c r="Q739" i="40"/>
  <c r="P739" i="40"/>
  <c r="N739" i="40"/>
  <c r="H739" i="40"/>
  <c r="E740" i="40" s="1" a="1"/>
  <c r="E740" i="40" s="1"/>
  <c r="F740" i="40" s="1" a="1"/>
  <c r="F740" i="40" s="1"/>
  <c r="I739" i="40"/>
  <c r="M858" i="39"/>
  <c r="H858" i="39" s="1"/>
  <c r="E859" i="39" s="1" a="1"/>
  <c r="E859" i="39" s="1"/>
  <c r="F859" i="39" s="1" a="1"/>
  <c r="F859" i="39" s="1"/>
  <c r="H597" i="35"/>
  <c r="E598" i="35" s="1" a="1"/>
  <c r="E598" i="35" s="1"/>
  <c r="F598" i="35" s="1" a="1"/>
  <c r="F598" i="35" s="1"/>
  <c r="G597" i="35"/>
  <c r="O597" i="35" s="1"/>
  <c r="M740" i="40" l="1"/>
  <c r="H740" i="40" s="1"/>
  <c r="E741" i="40" s="1" a="1"/>
  <c r="E741" i="40" s="1"/>
  <c r="F741" i="40" s="1" a="1"/>
  <c r="F741" i="40" s="1"/>
  <c r="I858" i="39"/>
  <c r="M859" i="39"/>
  <c r="H859" i="39" s="1"/>
  <c r="E860" i="39" s="1" a="1"/>
  <c r="E860" i="39" s="1"/>
  <c r="F860" i="39" s="1" a="1"/>
  <c r="F860" i="39" s="1"/>
  <c r="G858" i="39"/>
  <c r="O858" i="39" s="1"/>
  <c r="M598" i="35"/>
  <c r="I598" i="35" s="1"/>
  <c r="Q597" i="35"/>
  <c r="N597" i="35"/>
  <c r="P597" i="35"/>
  <c r="G740" i="40" l="1"/>
  <c r="O740" i="40" s="1"/>
  <c r="N740" i="40" s="1"/>
  <c r="M741" i="40"/>
  <c r="H741" i="40" s="1"/>
  <c r="E742" i="40" s="1" a="1"/>
  <c r="E742" i="40" s="1"/>
  <c r="F742" i="40" s="1" a="1"/>
  <c r="F742" i="40" s="1"/>
  <c r="I740" i="40"/>
  <c r="I859" i="39"/>
  <c r="M860" i="39"/>
  <c r="I860" i="39" s="1"/>
  <c r="G859" i="39"/>
  <c r="O859" i="39" s="1"/>
  <c r="N858" i="39"/>
  <c r="P858" i="39"/>
  <c r="Q858" i="39"/>
  <c r="G598" i="35"/>
  <c r="O598" i="35" s="1"/>
  <c r="P740" i="40" l="1"/>
  <c r="Q740" i="40"/>
  <c r="G741" i="40"/>
  <c r="O741" i="40" s="1"/>
  <c r="P741" i="40" s="1"/>
  <c r="M742" i="40"/>
  <c r="I742" i="40" s="1"/>
  <c r="I741" i="40"/>
  <c r="G860" i="39"/>
  <c r="O860" i="39" s="1"/>
  <c r="Q860" i="39" s="1"/>
  <c r="H860" i="39"/>
  <c r="E861" i="39" s="1" a="1"/>
  <c r="E861" i="39" s="1"/>
  <c r="F861" i="39" s="1" a="1"/>
  <c r="F861" i="39" s="1"/>
  <c r="M861" i="39" s="1"/>
  <c r="N859" i="39"/>
  <c r="Q859" i="39"/>
  <c r="P859" i="39"/>
  <c r="Q598" i="35"/>
  <c r="N598" i="35"/>
  <c r="P598" i="35"/>
  <c r="H598" i="35"/>
  <c r="E599" i="35" s="1" a="1"/>
  <c r="E599" i="35" s="1"/>
  <c r="F599" i="35" s="1" a="1"/>
  <c r="F599" i="35" s="1"/>
  <c r="Q741" i="40" l="1"/>
  <c r="N741" i="40"/>
  <c r="N860" i="39"/>
  <c r="P860" i="39"/>
  <c r="H742" i="40"/>
  <c r="E743" i="40" s="1" a="1"/>
  <c r="E743" i="40" s="1"/>
  <c r="F743" i="40" s="1" a="1"/>
  <c r="F743" i="40" s="1"/>
  <c r="G742" i="40"/>
  <c r="O742" i="40" s="1"/>
  <c r="G861" i="39"/>
  <c r="O861" i="39" s="1"/>
  <c r="Q861" i="39" s="1"/>
  <c r="H861" i="39"/>
  <c r="E862" i="39" s="1" a="1"/>
  <c r="E862" i="39" s="1"/>
  <c r="F862" i="39" s="1" a="1"/>
  <c r="F862" i="39" s="1"/>
  <c r="M862" i="39" s="1"/>
  <c r="I862" i="39" s="1"/>
  <c r="I861" i="39"/>
  <c r="M599" i="35"/>
  <c r="I599" i="35" s="1"/>
  <c r="N861" i="39" l="1"/>
  <c r="P861" i="39"/>
  <c r="Q742" i="40"/>
  <c r="P742" i="40"/>
  <c r="N742" i="40"/>
  <c r="M743" i="40"/>
  <c r="G743" i="40" s="1"/>
  <c r="O743" i="40" s="1"/>
  <c r="G862" i="39"/>
  <c r="O862" i="39" s="1"/>
  <c r="Q862" i="39" s="1"/>
  <c r="H862" i="39"/>
  <c r="E863" i="39" s="1" a="1"/>
  <c r="E863" i="39" s="1"/>
  <c r="F863" i="39" s="1" a="1"/>
  <c r="F863" i="39" s="1"/>
  <c r="M863" i="39" s="1"/>
  <c r="G863" i="39" s="1"/>
  <c r="O863" i="39" s="1"/>
  <c r="G599" i="35"/>
  <c r="O599" i="35" s="1"/>
  <c r="H599" i="35"/>
  <c r="E600" i="35" s="1" a="1"/>
  <c r="E600" i="35" s="1"/>
  <c r="F600" i="35" s="1" a="1"/>
  <c r="F600" i="35" s="1"/>
  <c r="I743" i="40" l="1"/>
  <c r="H743" i="40"/>
  <c r="E744" i="40" s="1" a="1"/>
  <c r="E744" i="40" s="1"/>
  <c r="F744" i="40" s="1" a="1"/>
  <c r="F744" i="40" s="1"/>
  <c r="M744" i="40" s="1"/>
  <c r="G744" i="40" s="1"/>
  <c r="O744" i="40" s="1"/>
  <c r="P743" i="40"/>
  <c r="Q743" i="40"/>
  <c r="N743" i="40"/>
  <c r="N862" i="39"/>
  <c r="P862" i="39"/>
  <c r="Q863" i="39"/>
  <c r="P863" i="39"/>
  <c r="N863" i="39"/>
  <c r="I863" i="39"/>
  <c r="H863" i="39"/>
  <c r="E864" i="39" s="1" a="1"/>
  <c r="E864" i="39" s="1"/>
  <c r="F864" i="39" s="1" a="1"/>
  <c r="F864" i="39" s="1"/>
  <c r="M600" i="35"/>
  <c r="I600" i="35" s="1"/>
  <c r="P599" i="35"/>
  <c r="Q599" i="35"/>
  <c r="N599" i="35"/>
  <c r="N744" i="40" l="1"/>
  <c r="Q744" i="40"/>
  <c r="P744" i="40"/>
  <c r="H744" i="40"/>
  <c r="E745" i="40" s="1" a="1"/>
  <c r="E745" i="40" s="1"/>
  <c r="F745" i="40" s="1" a="1"/>
  <c r="F745" i="40" s="1"/>
  <c r="I744" i="40"/>
  <c r="M864" i="39"/>
  <c r="I864" i="39" s="1"/>
  <c r="G600" i="35"/>
  <c r="O600" i="35" s="1"/>
  <c r="M745" i="40" l="1"/>
  <c r="H745" i="40" s="1"/>
  <c r="E746" i="40" s="1" a="1"/>
  <c r="E746" i="40" s="1"/>
  <c r="F746" i="40" s="1" a="1"/>
  <c r="F746" i="40" s="1"/>
  <c r="G864" i="39"/>
  <c r="O864" i="39" s="1"/>
  <c r="Q864" i="39" s="1"/>
  <c r="H864" i="39"/>
  <c r="E865" i="39" s="1" a="1"/>
  <c r="E865" i="39" s="1"/>
  <c r="F865" i="39" s="1" a="1"/>
  <c r="F865" i="39" s="1"/>
  <c r="M865" i="39" s="1"/>
  <c r="H865" i="39" s="1"/>
  <c r="E866" i="39" s="1" a="1"/>
  <c r="E866" i="39" s="1"/>
  <c r="F866" i="39" s="1" a="1"/>
  <c r="F866" i="39" s="1"/>
  <c r="H600" i="35"/>
  <c r="E601" i="35" s="1" a="1"/>
  <c r="E601" i="35" s="1"/>
  <c r="F601" i="35" s="1" a="1"/>
  <c r="F601" i="35" s="1"/>
  <c r="Q600" i="35"/>
  <c r="N600" i="35"/>
  <c r="P600" i="35"/>
  <c r="N864" i="39" l="1"/>
  <c r="P864" i="39"/>
  <c r="M746" i="40"/>
  <c r="H746" i="40" s="1"/>
  <c r="E747" i="40" s="1" a="1"/>
  <c r="E747" i="40" s="1"/>
  <c r="F747" i="40" s="1" a="1"/>
  <c r="F747" i="40" s="1"/>
  <c r="I745" i="40"/>
  <c r="G745" i="40"/>
  <c r="O745" i="40" s="1"/>
  <c r="G865" i="39"/>
  <c r="O865" i="39" s="1"/>
  <c r="P865" i="39" s="1"/>
  <c r="M866" i="39"/>
  <c r="H866" i="39" s="1"/>
  <c r="E867" i="39" s="1" a="1"/>
  <c r="E867" i="39" s="1"/>
  <c r="F867" i="39" s="1" a="1"/>
  <c r="F867" i="39" s="1"/>
  <c r="I865" i="39"/>
  <c r="M601" i="35"/>
  <c r="I601" i="35" s="1"/>
  <c r="G746" i="40" l="1"/>
  <c r="O746" i="40" s="1"/>
  <c r="P746" i="40" s="1"/>
  <c r="I746" i="40"/>
  <c r="Q865" i="39"/>
  <c r="N865" i="39"/>
  <c r="M747" i="40"/>
  <c r="I747" i="40" s="1"/>
  <c r="P745" i="40"/>
  <c r="Q745" i="40"/>
  <c r="N745" i="40"/>
  <c r="I866" i="39"/>
  <c r="M867" i="39"/>
  <c r="H867" i="39" s="1"/>
  <c r="E868" i="39" s="1" a="1"/>
  <c r="E868" i="39" s="1"/>
  <c r="F868" i="39" s="1" a="1"/>
  <c r="F868" i="39" s="1"/>
  <c r="G866" i="39"/>
  <c r="O866" i="39" s="1"/>
  <c r="G601" i="35"/>
  <c r="O601" i="35" s="1"/>
  <c r="P601" i="35" s="1"/>
  <c r="H601" i="35"/>
  <c r="E602" i="35" s="1" a="1"/>
  <c r="E602" i="35" s="1"/>
  <c r="F602" i="35" s="1" a="1"/>
  <c r="F602" i="35" s="1"/>
  <c r="Q746" i="40" l="1"/>
  <c r="N746" i="40"/>
  <c r="G747" i="40"/>
  <c r="O747" i="40" s="1"/>
  <c r="H747" i="40"/>
  <c r="E748" i="40" s="1" a="1"/>
  <c r="E748" i="40" s="1"/>
  <c r="F748" i="40" s="1" a="1"/>
  <c r="F748" i="40" s="1"/>
  <c r="M868" i="39"/>
  <c r="I868" i="39" s="1"/>
  <c r="N866" i="39"/>
  <c r="Q866" i="39"/>
  <c r="P866" i="39"/>
  <c r="I867" i="39"/>
  <c r="G867" i="39"/>
  <c r="O867" i="39" s="1"/>
  <c r="Q601" i="35"/>
  <c r="N601" i="35"/>
  <c r="M602" i="35"/>
  <c r="I602" i="35" s="1"/>
  <c r="M748" i="40" l="1"/>
  <c r="I748" i="40" s="1"/>
  <c r="P747" i="40"/>
  <c r="Q747" i="40"/>
  <c r="N747" i="40"/>
  <c r="H868" i="39"/>
  <c r="E869" i="39" s="1" a="1"/>
  <c r="E869" i="39" s="1"/>
  <c r="F869" i="39" s="1" a="1"/>
  <c r="F869" i="39" s="1"/>
  <c r="M869" i="39" s="1"/>
  <c r="H869" i="39" s="1"/>
  <c r="E870" i="39" s="1" a="1"/>
  <c r="E870" i="39" s="1"/>
  <c r="F870" i="39" s="1" a="1"/>
  <c r="F870" i="39" s="1"/>
  <c r="G868" i="39"/>
  <c r="O868" i="39" s="1"/>
  <c r="Q868" i="39" s="1"/>
  <c r="Q867" i="39"/>
  <c r="P867" i="39"/>
  <c r="N867" i="39"/>
  <c r="H602" i="35"/>
  <c r="E603" i="35" s="1" a="1"/>
  <c r="E603" i="35" s="1"/>
  <c r="F603" i="35" s="1" a="1"/>
  <c r="F603" i="35" s="1"/>
  <c r="M603" i="35" s="1"/>
  <c r="I603" i="35" s="1"/>
  <c r="G602" i="35"/>
  <c r="O602" i="35" s="1"/>
  <c r="G748" i="40" l="1"/>
  <c r="O748" i="40" s="1"/>
  <c r="Q748" i="40" s="1"/>
  <c r="H748" i="40"/>
  <c r="E749" i="40" s="1" a="1"/>
  <c r="E749" i="40" s="1"/>
  <c r="F749" i="40" s="1" a="1"/>
  <c r="F749" i="40" s="1"/>
  <c r="M749" i="40" s="1"/>
  <c r="H749" i="40" s="1"/>
  <c r="E750" i="40" s="1" a="1"/>
  <c r="E750" i="40" s="1"/>
  <c r="F750" i="40" s="1" a="1"/>
  <c r="F750" i="40" s="1"/>
  <c r="N868" i="39"/>
  <c r="P868" i="39"/>
  <c r="M870" i="39"/>
  <c r="H870" i="39" s="1"/>
  <c r="E871" i="39" s="1" a="1"/>
  <c r="E871" i="39" s="1"/>
  <c r="F871" i="39" s="1" a="1"/>
  <c r="F871" i="39" s="1"/>
  <c r="G869" i="39"/>
  <c r="O869" i="39" s="1"/>
  <c r="I869" i="39"/>
  <c r="G603" i="35"/>
  <c r="O603" i="35" s="1"/>
  <c r="P603" i="35" s="1"/>
  <c r="Q602" i="35"/>
  <c r="N602" i="35"/>
  <c r="P602" i="35"/>
  <c r="H603" i="35"/>
  <c r="E604" i="35" s="1" a="1"/>
  <c r="E604" i="35" s="1"/>
  <c r="F604" i="35" s="1" a="1"/>
  <c r="F604" i="35" s="1"/>
  <c r="M604" i="35" s="1"/>
  <c r="G604" i="35" s="1"/>
  <c r="O604" i="35" s="1"/>
  <c r="N748" i="40" l="1"/>
  <c r="P748" i="40"/>
  <c r="M750" i="40"/>
  <c r="G750" i="40" s="1"/>
  <c r="O750" i="40" s="1"/>
  <c r="I749" i="40"/>
  <c r="G749" i="40"/>
  <c r="O749" i="40" s="1"/>
  <c r="M871" i="39"/>
  <c r="H871" i="39" s="1"/>
  <c r="E872" i="39" s="1" a="1"/>
  <c r="E872" i="39" s="1"/>
  <c r="F872" i="39" s="1" a="1"/>
  <c r="F872" i="39" s="1"/>
  <c r="G870" i="39"/>
  <c r="O870" i="39" s="1"/>
  <c r="Q869" i="39"/>
  <c r="P869" i="39"/>
  <c r="N869" i="39"/>
  <c r="I870" i="39"/>
  <c r="Q603" i="35"/>
  <c r="N603" i="35"/>
  <c r="Q604" i="35"/>
  <c r="P604" i="35"/>
  <c r="N604" i="35"/>
  <c r="H604" i="35"/>
  <c r="E605" i="35" s="1" a="1"/>
  <c r="E605" i="35" s="1"/>
  <c r="F605" i="35" s="1" a="1"/>
  <c r="F605" i="35" s="1"/>
  <c r="I604" i="35"/>
  <c r="N750" i="40" l="1"/>
  <c r="P750" i="40"/>
  <c r="Q750" i="40"/>
  <c r="P749" i="40"/>
  <c r="Q749" i="40"/>
  <c r="N749" i="40"/>
  <c r="I750" i="40"/>
  <c r="H750" i="40"/>
  <c r="E751" i="40" s="1" a="1"/>
  <c r="E751" i="40" s="1"/>
  <c r="F751" i="40" s="1" a="1"/>
  <c r="F751" i="40" s="1"/>
  <c r="I871" i="39"/>
  <c r="M872" i="39"/>
  <c r="I872" i="39" s="1"/>
  <c r="G871" i="39"/>
  <c r="O871" i="39" s="1"/>
  <c r="Q870" i="39"/>
  <c r="P870" i="39"/>
  <c r="N870" i="39"/>
  <c r="M605" i="35"/>
  <c r="I605" i="35" s="1"/>
  <c r="M751" i="40" l="1"/>
  <c r="H751" i="40" s="1"/>
  <c r="E752" i="40" s="1" a="1"/>
  <c r="E752" i="40" s="1"/>
  <c r="F752" i="40" s="1" a="1"/>
  <c r="F752" i="40" s="1"/>
  <c r="G872" i="39"/>
  <c r="O872" i="39" s="1"/>
  <c r="Q872" i="39" s="1"/>
  <c r="H872" i="39"/>
  <c r="E873" i="39" s="1" a="1"/>
  <c r="E873" i="39" s="1"/>
  <c r="F873" i="39" s="1" a="1"/>
  <c r="F873" i="39" s="1"/>
  <c r="M873" i="39" s="1"/>
  <c r="H873" i="39" s="1"/>
  <c r="E874" i="39" s="1" a="1"/>
  <c r="E874" i="39" s="1"/>
  <c r="F874" i="39" s="1" a="1"/>
  <c r="F874" i="39" s="1"/>
  <c r="N871" i="39"/>
  <c r="Q871" i="39"/>
  <c r="P871" i="39"/>
  <c r="G605" i="35"/>
  <c r="O605" i="35" s="1"/>
  <c r="P605" i="35" s="1"/>
  <c r="H605" i="35"/>
  <c r="E606" i="35" s="1" a="1"/>
  <c r="E606" i="35" s="1"/>
  <c r="F606" i="35" s="1" a="1"/>
  <c r="F606" i="35" s="1"/>
  <c r="M606" i="35" s="1"/>
  <c r="H606" i="35" s="1"/>
  <c r="E607" i="35" s="1" a="1"/>
  <c r="E607" i="35" s="1"/>
  <c r="F607" i="35" s="1" a="1"/>
  <c r="F607" i="35" s="1"/>
  <c r="N872" i="39" l="1"/>
  <c r="P872" i="39"/>
  <c r="G751" i="40"/>
  <c r="O751" i="40" s="1"/>
  <c r="P751" i="40" s="1"/>
  <c r="I751" i="40"/>
  <c r="M752" i="40"/>
  <c r="H752" i="40" s="1"/>
  <c r="E753" i="40" s="1" a="1"/>
  <c r="E753" i="40" s="1"/>
  <c r="F753" i="40" s="1" a="1"/>
  <c r="F753" i="40" s="1"/>
  <c r="M874" i="39"/>
  <c r="I874" i="39" s="1"/>
  <c r="I873" i="39"/>
  <c r="G873" i="39"/>
  <c r="O873" i="39" s="1"/>
  <c r="N605" i="35"/>
  <c r="Q605" i="35"/>
  <c r="M607" i="35"/>
  <c r="I607" i="35" s="1"/>
  <c r="G606" i="35"/>
  <c r="O606" i="35" s="1"/>
  <c r="I606" i="35"/>
  <c r="N751" i="40" l="1"/>
  <c r="Q751" i="40"/>
  <c r="G752" i="40"/>
  <c r="O752" i="40" s="1"/>
  <c r="Q752" i="40" s="1"/>
  <c r="I752" i="40"/>
  <c r="M753" i="40"/>
  <c r="H753" i="40" s="1"/>
  <c r="E754" i="40" s="1" a="1"/>
  <c r="E754" i="40" s="1"/>
  <c r="F754" i="40" s="1" a="1"/>
  <c r="F754" i="40" s="1"/>
  <c r="G874" i="39"/>
  <c r="O874" i="39" s="1"/>
  <c r="N874" i="39" s="1"/>
  <c r="H874" i="39"/>
  <c r="E875" i="39" s="1" a="1"/>
  <c r="E875" i="39" s="1"/>
  <c r="F875" i="39" s="1" a="1"/>
  <c r="F875" i="39" s="1"/>
  <c r="M875" i="39" s="1"/>
  <c r="I875" i="39" s="1"/>
  <c r="Q873" i="39"/>
  <c r="P873" i="39"/>
  <c r="N873" i="39"/>
  <c r="N606" i="35"/>
  <c r="P606" i="35"/>
  <c r="Q606" i="35"/>
  <c r="H607" i="35"/>
  <c r="E608" i="35" s="1" a="1"/>
  <c r="E608" i="35" s="1"/>
  <c r="F608" i="35" s="1" a="1"/>
  <c r="F608" i="35" s="1"/>
  <c r="G607" i="35"/>
  <c r="O607" i="35" s="1"/>
  <c r="P752" i="40" l="1"/>
  <c r="N752" i="40"/>
  <c r="P874" i="39"/>
  <c r="G753" i="40"/>
  <c r="O753" i="40" s="1"/>
  <c r="N753" i="40" s="1"/>
  <c r="Q874" i="39"/>
  <c r="I753" i="40"/>
  <c r="M754" i="40"/>
  <c r="G754" i="40" s="1"/>
  <c r="O754" i="40" s="1"/>
  <c r="G875" i="39"/>
  <c r="O875" i="39" s="1"/>
  <c r="H875" i="39"/>
  <c r="E876" i="39" s="1" a="1"/>
  <c r="E876" i="39" s="1"/>
  <c r="F876" i="39" s="1" a="1"/>
  <c r="F876" i="39" s="1"/>
  <c r="M608" i="35"/>
  <c r="I608" i="35" s="1"/>
  <c r="N607" i="35"/>
  <c r="Q607" i="35"/>
  <c r="P607" i="35"/>
  <c r="P753" i="40" l="1"/>
  <c r="Q753" i="40"/>
  <c r="H754" i="40"/>
  <c r="E755" i="40" s="1" a="1"/>
  <c r="E755" i="40" s="1"/>
  <c r="F755" i="40" s="1" a="1"/>
  <c r="F755" i="40" s="1"/>
  <c r="M755" i="40" s="1"/>
  <c r="I755" i="40" s="1"/>
  <c r="I754" i="40"/>
  <c r="N754" i="40"/>
  <c r="Q754" i="40"/>
  <c r="P754" i="40"/>
  <c r="M876" i="39"/>
  <c r="I876" i="39" s="1"/>
  <c r="N875" i="39"/>
  <c r="P875" i="39"/>
  <c r="Q875" i="39"/>
  <c r="G608" i="35"/>
  <c r="O608" i="35" s="1"/>
  <c r="G755" i="40" l="1"/>
  <c r="O755" i="40" s="1"/>
  <c r="H755" i="40"/>
  <c r="E756" i="40" s="1" a="1"/>
  <c r="E756" i="40" s="1"/>
  <c r="F756" i="40" s="1" a="1"/>
  <c r="F756" i="40" s="1"/>
  <c r="G876" i="39"/>
  <c r="O876" i="39" s="1"/>
  <c r="Q876" i="39" s="1"/>
  <c r="H876" i="39"/>
  <c r="E877" i="39" s="1" a="1"/>
  <c r="E877" i="39" s="1"/>
  <c r="F877" i="39" s="1" a="1"/>
  <c r="F877" i="39" s="1"/>
  <c r="M877" i="39" s="1"/>
  <c r="H877" i="39" s="1"/>
  <c r="E878" i="39" s="1" a="1"/>
  <c r="E878" i="39" s="1"/>
  <c r="F878" i="39" s="1" a="1"/>
  <c r="F878" i="39" s="1"/>
  <c r="P608" i="35"/>
  <c r="N608" i="35"/>
  <c r="Q608" i="35"/>
  <c r="H608" i="35"/>
  <c r="E609" i="35" s="1" a="1"/>
  <c r="E609" i="35" s="1"/>
  <c r="F609" i="35" s="1" a="1"/>
  <c r="F609" i="35" s="1"/>
  <c r="N876" i="39" l="1"/>
  <c r="P876" i="39"/>
  <c r="M756" i="40"/>
  <c r="H756" i="40" s="1"/>
  <c r="E757" i="40" s="1" a="1"/>
  <c r="E757" i="40" s="1"/>
  <c r="F757" i="40" s="1" a="1"/>
  <c r="F757" i="40" s="1"/>
  <c r="N755" i="40"/>
  <c r="Q755" i="40"/>
  <c r="P755" i="40"/>
  <c r="M878" i="39"/>
  <c r="I878" i="39" s="1"/>
  <c r="G877" i="39"/>
  <c r="O877" i="39" s="1"/>
  <c r="I877" i="39"/>
  <c r="M609" i="35"/>
  <c r="I609" i="35" s="1"/>
  <c r="M757" i="40" l="1"/>
  <c r="H757" i="40" s="1"/>
  <c r="E758" i="40" s="1" a="1"/>
  <c r="E758" i="40" s="1"/>
  <c r="F758" i="40" s="1" a="1"/>
  <c r="F758" i="40" s="1"/>
  <c r="I756" i="40"/>
  <c r="G756" i="40"/>
  <c r="O756" i="40" s="1"/>
  <c r="G878" i="39"/>
  <c r="O878" i="39" s="1"/>
  <c r="P878" i="39" s="1"/>
  <c r="H878" i="39"/>
  <c r="E879" i="39" s="1" a="1"/>
  <c r="E879" i="39" s="1"/>
  <c r="F879" i="39" s="1" a="1"/>
  <c r="F879" i="39" s="1"/>
  <c r="M879" i="39" s="1"/>
  <c r="I879" i="39" s="1"/>
  <c r="Q877" i="39"/>
  <c r="P877" i="39"/>
  <c r="N877" i="39"/>
  <c r="H609" i="35"/>
  <c r="E610" i="35" s="1" a="1"/>
  <c r="E610" i="35" s="1"/>
  <c r="F610" i="35" s="1" a="1"/>
  <c r="F610" i="35" s="1"/>
  <c r="M610" i="35" s="1"/>
  <c r="I610" i="35" s="1"/>
  <c r="G609" i="35"/>
  <c r="O609" i="35" s="1"/>
  <c r="P609" i="35" s="1"/>
  <c r="M758" i="40" l="1"/>
  <c r="G758" i="40" s="1"/>
  <c r="O758" i="40" s="1"/>
  <c r="Q878" i="39"/>
  <c r="N878" i="39"/>
  <c r="P756" i="40"/>
  <c r="N756" i="40"/>
  <c r="Q756" i="40"/>
  <c r="G757" i="40"/>
  <c r="O757" i="40" s="1"/>
  <c r="I757" i="40"/>
  <c r="H879" i="39"/>
  <c r="E880" i="39" s="1" a="1"/>
  <c r="E880" i="39" s="1"/>
  <c r="F880" i="39" s="1" a="1"/>
  <c r="F880" i="39" s="1"/>
  <c r="M880" i="39" s="1"/>
  <c r="G879" i="39"/>
  <c r="O879" i="39" s="1"/>
  <c r="Q879" i="39" s="1"/>
  <c r="Q609" i="35"/>
  <c r="N609" i="35"/>
  <c r="G610" i="35"/>
  <c r="O610" i="35" s="1"/>
  <c r="H610" i="35"/>
  <c r="E611" i="35" s="1" a="1"/>
  <c r="E611" i="35" s="1"/>
  <c r="F611" i="35" s="1" a="1"/>
  <c r="F611" i="35" s="1"/>
  <c r="I758" i="40" l="1"/>
  <c r="H758" i="40"/>
  <c r="E759" i="40" s="1" a="1"/>
  <c r="E759" i="40" s="1"/>
  <c r="F759" i="40" s="1" a="1"/>
  <c r="F759" i="40" s="1"/>
  <c r="M759" i="40" s="1"/>
  <c r="G759" i="40" s="1"/>
  <c r="O759" i="40" s="1"/>
  <c r="Q758" i="40"/>
  <c r="P758" i="40"/>
  <c r="N758" i="40"/>
  <c r="P757" i="40"/>
  <c r="N757" i="40"/>
  <c r="Q757" i="40"/>
  <c r="N879" i="39"/>
  <c r="P879" i="39"/>
  <c r="H880" i="39"/>
  <c r="E881" i="39" s="1" a="1"/>
  <c r="E881" i="39" s="1"/>
  <c r="F881" i="39" s="1" a="1"/>
  <c r="F881" i="39" s="1"/>
  <c r="I880" i="39"/>
  <c r="G880" i="39"/>
  <c r="O880" i="39" s="1"/>
  <c r="N880" i="39" s="1"/>
  <c r="M611" i="35"/>
  <c r="I611" i="35" s="1"/>
  <c r="Q610" i="35"/>
  <c r="P610" i="35"/>
  <c r="N610" i="35"/>
  <c r="H759" i="40" l="1"/>
  <c r="E760" i="40" s="1" a="1"/>
  <c r="E760" i="40" s="1"/>
  <c r="F760" i="40" s="1" a="1"/>
  <c r="F760" i="40" s="1"/>
  <c r="Q759" i="40"/>
  <c r="P759" i="40"/>
  <c r="N759" i="40"/>
  <c r="I759" i="40"/>
  <c r="P880" i="39"/>
  <c r="Q880" i="39"/>
  <c r="M881" i="39"/>
  <c r="H881" i="39" s="1"/>
  <c r="E882" i="39" s="1" a="1"/>
  <c r="E882" i="39" s="1"/>
  <c r="F882" i="39" s="1" a="1"/>
  <c r="F882" i="39" s="1"/>
  <c r="H611" i="35"/>
  <c r="E612" i="35" s="1" a="1"/>
  <c r="E612" i="35" s="1"/>
  <c r="F612" i="35" s="1" a="1"/>
  <c r="F612" i="35" s="1"/>
  <c r="M760" i="40" l="1"/>
  <c r="G760" i="40" s="1"/>
  <c r="O760" i="40" s="1"/>
  <c r="N760" i="40" s="1"/>
  <c r="G881" i="39"/>
  <c r="O881" i="39" s="1"/>
  <c r="Q881" i="39" s="1"/>
  <c r="M882" i="39"/>
  <c r="I882" i="39" s="1"/>
  <c r="I881" i="39"/>
  <c r="M612" i="35"/>
  <c r="I612" i="35" s="1"/>
  <c r="G611" i="35"/>
  <c r="O611" i="35" s="1"/>
  <c r="H760" i="40" l="1"/>
  <c r="E761" i="40" s="1" a="1"/>
  <c r="E761" i="40" s="1"/>
  <c r="F761" i="40" s="1" a="1"/>
  <c r="F761" i="40" s="1"/>
  <c r="M761" i="40" s="1"/>
  <c r="H761" i="40" s="1"/>
  <c r="E762" i="40" s="1" a="1"/>
  <c r="E762" i="40" s="1"/>
  <c r="F762" i="40" s="1" a="1"/>
  <c r="F762" i="40" s="1"/>
  <c r="P760" i="40"/>
  <c r="Q760" i="40"/>
  <c r="I760" i="40"/>
  <c r="P881" i="39"/>
  <c r="N881" i="39"/>
  <c r="G882" i="39"/>
  <c r="O882" i="39" s="1"/>
  <c r="H882" i="39"/>
  <c r="E883" i="39" s="1" a="1"/>
  <c r="E883" i="39" s="1"/>
  <c r="F883" i="39" s="1" a="1"/>
  <c r="F883" i="39" s="1"/>
  <c r="G612" i="35"/>
  <c r="O612" i="35" s="1"/>
  <c r="Q612" i="35" s="1"/>
  <c r="Q611" i="35"/>
  <c r="P611" i="35"/>
  <c r="N611" i="35"/>
  <c r="H612" i="35"/>
  <c r="E613" i="35" s="1" a="1"/>
  <c r="E613" i="35" s="1"/>
  <c r="F613" i="35" s="1" a="1"/>
  <c r="F613" i="35" s="1"/>
  <c r="I761" i="40" l="1"/>
  <c r="G761" i="40"/>
  <c r="O761" i="40" s="1"/>
  <c r="P761" i="40" s="1"/>
  <c r="M762" i="40"/>
  <c r="G762" i="40" s="1"/>
  <c r="O762" i="40" s="1"/>
  <c r="M883" i="39"/>
  <c r="I883" i="39" s="1"/>
  <c r="N882" i="39"/>
  <c r="Q882" i="39"/>
  <c r="P882" i="39"/>
  <c r="N612" i="35"/>
  <c r="P612" i="35"/>
  <c r="M613" i="35"/>
  <c r="I613" i="35" s="1"/>
  <c r="I762" i="40" l="1"/>
  <c r="N761" i="40"/>
  <c r="Q761" i="40"/>
  <c r="H762" i="40"/>
  <c r="E763" i="40" s="1" a="1"/>
  <c r="E763" i="40" s="1"/>
  <c r="F763" i="40" s="1" a="1"/>
  <c r="F763" i="40" s="1"/>
  <c r="M763" i="40" s="1"/>
  <c r="I763" i="40" s="1"/>
  <c r="P762" i="40"/>
  <c r="Q762" i="40"/>
  <c r="N762" i="40"/>
  <c r="H883" i="39"/>
  <c r="E884" i="39" s="1" a="1"/>
  <c r="E884" i="39" s="1"/>
  <c r="F884" i="39" s="1" a="1"/>
  <c r="F884" i="39" s="1"/>
  <c r="G883" i="39"/>
  <c r="O883" i="39" s="1"/>
  <c r="N883" i="39" s="1"/>
  <c r="G613" i="35"/>
  <c r="O613" i="35" s="1"/>
  <c r="P613" i="35" s="1"/>
  <c r="H613" i="35"/>
  <c r="E614" i="35" s="1" a="1"/>
  <c r="E614" i="35" s="1"/>
  <c r="F614" i="35" s="1" a="1"/>
  <c r="F614" i="35" s="1"/>
  <c r="G763" i="40" l="1"/>
  <c r="O763" i="40" s="1"/>
  <c r="Q763" i="40" s="1"/>
  <c r="H763" i="40"/>
  <c r="E764" i="40" s="1" a="1"/>
  <c r="E764" i="40" s="1"/>
  <c r="F764" i="40" s="1" a="1"/>
  <c r="F764" i="40" s="1"/>
  <c r="P883" i="39"/>
  <c r="Q883" i="39"/>
  <c r="M884" i="39"/>
  <c r="H884" i="39" s="1"/>
  <c r="E885" i="39" s="1" a="1"/>
  <c r="E885" i="39" s="1"/>
  <c r="F885" i="39" s="1" a="1"/>
  <c r="F885" i="39" s="1"/>
  <c r="M885" i="39" s="1"/>
  <c r="H885" i="39" s="1"/>
  <c r="E886" i="39" s="1" a="1"/>
  <c r="E886" i="39" s="1"/>
  <c r="F886" i="39" s="1" a="1"/>
  <c r="F886" i="39" s="1"/>
  <c r="N613" i="35"/>
  <c r="Q613" i="35"/>
  <c r="M614" i="35"/>
  <c r="G614" i="35" s="1"/>
  <c r="O614" i="35" s="1"/>
  <c r="N763" i="40" l="1"/>
  <c r="P763" i="40"/>
  <c r="M764" i="40"/>
  <c r="H764" i="40" s="1"/>
  <c r="E765" i="40" s="1" a="1"/>
  <c r="E765" i="40" s="1"/>
  <c r="F765" i="40" s="1" a="1"/>
  <c r="F765" i="40" s="1"/>
  <c r="G884" i="39"/>
  <c r="O884" i="39" s="1"/>
  <c r="I884" i="39"/>
  <c r="I885" i="39"/>
  <c r="M886" i="39"/>
  <c r="H886" i="39" s="1"/>
  <c r="E887" i="39" s="1" a="1"/>
  <c r="E887" i="39" s="1"/>
  <c r="F887" i="39" s="1" a="1"/>
  <c r="F887" i="39" s="1"/>
  <c r="G885" i="39"/>
  <c r="O885" i="39" s="1"/>
  <c r="H614" i="35"/>
  <c r="E615" i="35" s="1" a="1"/>
  <c r="E615" i="35" s="1"/>
  <c r="F615" i="35" s="1" a="1"/>
  <c r="F615" i="35" s="1"/>
  <c r="M615" i="35" s="1"/>
  <c r="I615" i="35" s="1"/>
  <c r="I614" i="35"/>
  <c r="Q614" i="35"/>
  <c r="P614" i="35"/>
  <c r="N614" i="35"/>
  <c r="I764" i="40" l="1"/>
  <c r="G764" i="40"/>
  <c r="O764" i="40" s="1"/>
  <c r="P764" i="40" s="1"/>
  <c r="M765" i="40"/>
  <c r="I765" i="40" s="1"/>
  <c r="N884" i="39"/>
  <c r="P884" i="39"/>
  <c r="Q884" i="39"/>
  <c r="I886" i="39"/>
  <c r="G886" i="39"/>
  <c r="O886" i="39" s="1"/>
  <c r="Q886" i="39" s="1"/>
  <c r="M887" i="39"/>
  <c r="H887" i="39" s="1"/>
  <c r="E888" i="39" s="1" a="1"/>
  <c r="E888" i="39" s="1"/>
  <c r="F888" i="39" s="1" a="1"/>
  <c r="F888" i="39" s="1"/>
  <c r="Q885" i="39"/>
  <c r="P885" i="39"/>
  <c r="N885" i="39"/>
  <c r="H615" i="35"/>
  <c r="E616" i="35" s="1" a="1"/>
  <c r="E616" i="35" s="1"/>
  <c r="F616" i="35" s="1" a="1"/>
  <c r="F616" i="35" s="1"/>
  <c r="Q764" i="40" l="1"/>
  <c r="N764" i="40"/>
  <c r="H765" i="40"/>
  <c r="E766" i="40" s="1" a="1"/>
  <c r="E766" i="40" s="1"/>
  <c r="F766" i="40" s="1" a="1"/>
  <c r="F766" i="40" s="1"/>
  <c r="G765" i="40"/>
  <c r="O765" i="40" s="1"/>
  <c r="G887" i="39"/>
  <c r="O887" i="39" s="1"/>
  <c r="N887" i="39" s="1"/>
  <c r="P886" i="39"/>
  <c r="N886" i="39"/>
  <c r="M888" i="39"/>
  <c r="G888" i="39" s="1"/>
  <c r="O888" i="39" s="1"/>
  <c r="I887" i="39"/>
  <c r="M616" i="35"/>
  <c r="I616" i="35" s="1"/>
  <c r="G615" i="35"/>
  <c r="O615" i="35" s="1"/>
  <c r="Q887" i="39" l="1"/>
  <c r="P887" i="39"/>
  <c r="Q765" i="40"/>
  <c r="P765" i="40"/>
  <c r="N765" i="40"/>
  <c r="M766" i="40"/>
  <c r="I766" i="40" s="1"/>
  <c r="N888" i="39"/>
  <c r="P888" i="39"/>
  <c r="Q888" i="39"/>
  <c r="H888" i="39"/>
  <c r="E889" i="39" s="1" a="1"/>
  <c r="E889" i="39" s="1"/>
  <c r="F889" i="39" s="1" a="1"/>
  <c r="F889" i="39" s="1"/>
  <c r="I888" i="39"/>
  <c r="H616" i="35"/>
  <c r="E617" i="35" s="1" a="1"/>
  <c r="E617" i="35" s="1"/>
  <c r="F617" i="35" s="1" a="1"/>
  <c r="F617" i="35" s="1"/>
  <c r="M617" i="35" s="1"/>
  <c r="I617" i="35" s="1"/>
  <c r="N615" i="35"/>
  <c r="Q615" i="35"/>
  <c r="P615" i="35"/>
  <c r="G616" i="35"/>
  <c r="O616" i="35" s="1"/>
  <c r="G766" i="40" l="1"/>
  <c r="O766" i="40" s="1"/>
  <c r="H766" i="40"/>
  <c r="E767" i="40" s="1" a="1"/>
  <c r="E767" i="40" s="1"/>
  <c r="F767" i="40" s="1" a="1"/>
  <c r="F767" i="40" s="1"/>
  <c r="M889" i="39"/>
  <c r="G889" i="39" s="1"/>
  <c r="O889" i="39" s="1"/>
  <c r="N616" i="35"/>
  <c r="P616" i="35"/>
  <c r="Q616" i="35"/>
  <c r="I889" i="39" l="1"/>
  <c r="M767" i="40"/>
  <c r="H767" i="40" s="1"/>
  <c r="E768" i="40" s="1" a="1"/>
  <c r="E768" i="40" s="1"/>
  <c r="F768" i="40" s="1" a="1"/>
  <c r="F768" i="40" s="1"/>
  <c r="N766" i="40"/>
  <c r="P766" i="40"/>
  <c r="Q766" i="40"/>
  <c r="H889" i="39"/>
  <c r="E890" i="39" s="1" a="1"/>
  <c r="E890" i="39" s="1"/>
  <c r="F890" i="39" s="1" a="1"/>
  <c r="F890" i="39" s="1"/>
  <c r="M890" i="39" s="1"/>
  <c r="H890" i="39" s="1"/>
  <c r="E891" i="39" s="1" a="1"/>
  <c r="E891" i="39" s="1"/>
  <c r="F891" i="39" s="1" a="1"/>
  <c r="F891" i="39" s="1"/>
  <c r="P889" i="39"/>
  <c r="N889" i="39"/>
  <c r="Q889" i="39"/>
  <c r="H617" i="35"/>
  <c r="E618" i="35" s="1" a="1"/>
  <c r="E618" i="35" s="1"/>
  <c r="F618" i="35" s="1" a="1"/>
  <c r="F618" i="35" s="1"/>
  <c r="G617" i="35"/>
  <c r="O617" i="35" s="1"/>
  <c r="M768" i="40" l="1"/>
  <c r="I768" i="40" s="1"/>
  <c r="G767" i="40"/>
  <c r="O767" i="40" s="1"/>
  <c r="I767" i="40"/>
  <c r="M891" i="39"/>
  <c r="I891" i="39" s="1"/>
  <c r="G890" i="39"/>
  <c r="O890" i="39" s="1"/>
  <c r="I890" i="39"/>
  <c r="M618" i="35"/>
  <c r="I618" i="35" s="1"/>
  <c r="Q617" i="35"/>
  <c r="P617" i="35"/>
  <c r="N617" i="35"/>
  <c r="H891" i="39" l="1"/>
  <c r="E892" i="39" s="1" a="1"/>
  <c r="E892" i="39" s="1"/>
  <c r="F892" i="39" s="1" a="1"/>
  <c r="F892" i="39" s="1"/>
  <c r="M892" i="39" s="1"/>
  <c r="G892" i="39" s="1"/>
  <c r="O892" i="39" s="1"/>
  <c r="P892" i="39" s="1"/>
  <c r="G768" i="40"/>
  <c r="O768" i="40" s="1"/>
  <c r="N768" i="40" s="1"/>
  <c r="N767" i="40"/>
  <c r="Q767" i="40"/>
  <c r="P767" i="40"/>
  <c r="G891" i="39"/>
  <c r="O891" i="39" s="1"/>
  <c r="H768" i="40"/>
  <c r="E769" i="40" s="1" a="1"/>
  <c r="E769" i="40" s="1"/>
  <c r="F769" i="40" s="1" a="1"/>
  <c r="F769" i="40" s="1"/>
  <c r="Q890" i="39"/>
  <c r="P890" i="39"/>
  <c r="N890" i="39"/>
  <c r="H618" i="35"/>
  <c r="E619" i="35" s="1" a="1"/>
  <c r="E619" i="35" s="1"/>
  <c r="F619" i="35" s="1" a="1"/>
  <c r="F619" i="35" s="1"/>
  <c r="P768" i="40" l="1"/>
  <c r="Q768" i="40"/>
  <c r="I892" i="39"/>
  <c r="N892" i="39"/>
  <c r="Q892" i="39"/>
  <c r="H892" i="39"/>
  <c r="E893" i="39" s="1" a="1"/>
  <c r="E893" i="39" s="1"/>
  <c r="F893" i="39" s="1" a="1"/>
  <c r="F893" i="39" s="1"/>
  <c r="M893" i="39" s="1"/>
  <c r="I893" i="39" s="1"/>
  <c r="M769" i="40"/>
  <c r="H769" i="40" s="1"/>
  <c r="E770" i="40" s="1" a="1"/>
  <c r="E770" i="40" s="1"/>
  <c r="F770" i="40" s="1" a="1"/>
  <c r="F770" i="40" s="1"/>
  <c r="N891" i="39"/>
  <c r="P891" i="39"/>
  <c r="Q891" i="39"/>
  <c r="M619" i="35"/>
  <c r="I619" i="35" s="1"/>
  <c r="G618" i="35"/>
  <c r="O618" i="35" s="1"/>
  <c r="M770" i="40" l="1"/>
  <c r="G770" i="40" s="1"/>
  <c r="O770" i="40" s="1"/>
  <c r="G769" i="40"/>
  <c r="O769" i="40" s="1"/>
  <c r="I769" i="40"/>
  <c r="H893" i="39"/>
  <c r="E894" i="39" s="1" a="1"/>
  <c r="E894" i="39" s="1"/>
  <c r="F894" i="39" s="1" a="1"/>
  <c r="F894" i="39" s="1"/>
  <c r="M894" i="39" s="1"/>
  <c r="G894" i="39" s="1"/>
  <c r="O894" i="39" s="1"/>
  <c r="Q894" i="39" s="1"/>
  <c r="G893" i="39"/>
  <c r="O893" i="39" s="1"/>
  <c r="H619" i="35"/>
  <c r="E620" i="35" s="1" a="1"/>
  <c r="E620" i="35" s="1"/>
  <c r="F620" i="35" s="1" a="1"/>
  <c r="F620" i="35" s="1"/>
  <c r="M620" i="35" s="1"/>
  <c r="I620" i="35" s="1"/>
  <c r="G619" i="35"/>
  <c r="O619" i="35" s="1"/>
  <c r="P619" i="35" s="1"/>
  <c r="N618" i="35"/>
  <c r="Q618" i="35"/>
  <c r="P618" i="35"/>
  <c r="I770" i="40" l="1"/>
  <c r="H770" i="40"/>
  <c r="E771" i="40" s="1" a="1"/>
  <c r="E771" i="40" s="1"/>
  <c r="F771" i="40" s="1" a="1"/>
  <c r="F771" i="40" s="1"/>
  <c r="M771" i="40" s="1"/>
  <c r="G771" i="40" s="1"/>
  <c r="O771" i="40" s="1"/>
  <c r="P769" i="40"/>
  <c r="N769" i="40"/>
  <c r="Q769" i="40"/>
  <c r="N770" i="40"/>
  <c r="Q770" i="40"/>
  <c r="P770" i="40"/>
  <c r="P894" i="39"/>
  <c r="I894" i="39"/>
  <c r="N894" i="39"/>
  <c r="H894" i="39"/>
  <c r="E895" i="39" s="1" a="1"/>
  <c r="E895" i="39" s="1"/>
  <c r="F895" i="39" s="1" a="1"/>
  <c r="F895" i="39" s="1"/>
  <c r="M895" i="39" s="1"/>
  <c r="I895" i="39" s="1"/>
  <c r="N893" i="39"/>
  <c r="P893" i="39"/>
  <c r="Q893" i="39"/>
  <c r="N619" i="35"/>
  <c r="Q619" i="35"/>
  <c r="G620" i="35"/>
  <c r="O620" i="35" s="1"/>
  <c r="Q620" i="35" s="1"/>
  <c r="H620" i="35"/>
  <c r="E621" i="35" s="1" a="1"/>
  <c r="E621" i="35" s="1"/>
  <c r="F621" i="35" s="1" a="1"/>
  <c r="F621" i="35" s="1"/>
  <c r="N771" i="40" l="1"/>
  <c r="P771" i="40"/>
  <c r="Q771" i="40"/>
  <c r="H771" i="40"/>
  <c r="E772" i="40" s="1" a="1"/>
  <c r="E772" i="40" s="1"/>
  <c r="F772" i="40" s="1" a="1"/>
  <c r="F772" i="40" s="1"/>
  <c r="I771" i="40"/>
  <c r="H895" i="39"/>
  <c r="E896" i="39" s="1" a="1"/>
  <c r="E896" i="39" s="1"/>
  <c r="F896" i="39" s="1" a="1"/>
  <c r="F896" i="39" s="1"/>
  <c r="G895" i="39"/>
  <c r="O895" i="39" s="1"/>
  <c r="Q895" i="39" s="1"/>
  <c r="P620" i="35"/>
  <c r="N620" i="35"/>
  <c r="M621" i="35"/>
  <c r="I621" i="35" s="1"/>
  <c r="M772" i="40" l="1"/>
  <c r="G772" i="40" s="1"/>
  <c r="O772" i="40" s="1"/>
  <c r="N895" i="39"/>
  <c r="P895" i="39"/>
  <c r="M896" i="39"/>
  <c r="G896" i="39" s="1"/>
  <c r="O896" i="39" s="1"/>
  <c r="N896" i="39" s="1"/>
  <c r="I772" i="40" l="1"/>
  <c r="H772" i="40"/>
  <c r="E773" i="40" s="1" a="1"/>
  <c r="E773" i="40" s="1"/>
  <c r="F773" i="40" s="1" a="1"/>
  <c r="F773" i="40" s="1"/>
  <c r="M773" i="40" s="1"/>
  <c r="H773" i="40" s="1"/>
  <c r="E774" i="40" s="1" a="1"/>
  <c r="E774" i="40" s="1"/>
  <c r="F774" i="40" s="1" a="1"/>
  <c r="F774" i="40" s="1"/>
  <c r="Q772" i="40"/>
  <c r="P772" i="40"/>
  <c r="N772" i="40"/>
  <c r="P896" i="39"/>
  <c r="Q896" i="39"/>
  <c r="I896" i="39"/>
  <c r="H896" i="39"/>
  <c r="E897" i="39" s="1" a="1"/>
  <c r="E897" i="39" s="1"/>
  <c r="F897" i="39" s="1" a="1"/>
  <c r="F897" i="39" s="1"/>
  <c r="G621" i="35"/>
  <c r="O621" i="35" s="1"/>
  <c r="H621" i="35"/>
  <c r="E622" i="35" s="1" a="1"/>
  <c r="E622" i="35" s="1"/>
  <c r="F622" i="35" s="1" a="1"/>
  <c r="F622" i="35" s="1"/>
  <c r="G773" i="40" l="1"/>
  <c r="O773" i="40" s="1"/>
  <c r="Q773" i="40" s="1"/>
  <c r="M774" i="40"/>
  <c r="H774" i="40" s="1"/>
  <c r="E775" i="40" s="1" a="1"/>
  <c r="E775" i="40" s="1"/>
  <c r="F775" i="40" s="1" a="1"/>
  <c r="F775" i="40" s="1"/>
  <c r="I773" i="40"/>
  <c r="M897" i="39"/>
  <c r="G897" i="39" s="1"/>
  <c r="O897" i="39" s="1"/>
  <c r="M622" i="35"/>
  <c r="I622" i="35" s="1"/>
  <c r="P621" i="35"/>
  <c r="N621" i="35"/>
  <c r="Q621" i="35"/>
  <c r="N773" i="40" l="1"/>
  <c r="P773" i="40"/>
  <c r="I774" i="40"/>
  <c r="G774" i="40"/>
  <c r="O774" i="40" s="1"/>
  <c r="P774" i="40" s="1"/>
  <c r="M775" i="40"/>
  <c r="I775" i="40" s="1"/>
  <c r="H897" i="39"/>
  <c r="E898" i="39" s="1" a="1"/>
  <c r="E898" i="39" s="1"/>
  <c r="F898" i="39" s="1" a="1"/>
  <c r="F898" i="39" s="1"/>
  <c r="M898" i="39" s="1"/>
  <c r="I898" i="39" s="1"/>
  <c r="I897" i="39"/>
  <c r="N897" i="39"/>
  <c r="Q897" i="39"/>
  <c r="P897" i="39"/>
  <c r="G622" i="35"/>
  <c r="O622" i="35" s="1"/>
  <c r="Q622" i="35" s="1"/>
  <c r="H622" i="35"/>
  <c r="E623" i="35" s="1" a="1"/>
  <c r="E623" i="35" s="1"/>
  <c r="F623" i="35" s="1" a="1"/>
  <c r="F623" i="35" s="1"/>
  <c r="Q774" i="40" l="1"/>
  <c r="N774" i="40"/>
  <c r="H775" i="40"/>
  <c r="E776" i="40" s="1" a="1"/>
  <c r="E776" i="40" s="1"/>
  <c r="F776" i="40" s="1" a="1"/>
  <c r="F776" i="40" s="1"/>
  <c r="G775" i="40"/>
  <c r="O775" i="40" s="1"/>
  <c r="G898" i="39"/>
  <c r="O898" i="39" s="1"/>
  <c r="H898" i="39"/>
  <c r="E899" i="39" s="1" a="1"/>
  <c r="E899" i="39" s="1"/>
  <c r="F899" i="39" s="1" a="1"/>
  <c r="F899" i="39" s="1"/>
  <c r="N622" i="35"/>
  <c r="P622" i="35"/>
  <c r="M623" i="35"/>
  <c r="I623" i="35" s="1"/>
  <c r="Q775" i="40" l="1"/>
  <c r="P775" i="40"/>
  <c r="N775" i="40"/>
  <c r="M776" i="40"/>
  <c r="H776" i="40" s="1"/>
  <c r="E777" i="40" s="1" a="1"/>
  <c r="E777" i="40" s="1"/>
  <c r="F777" i="40" s="1" a="1"/>
  <c r="F777" i="40" s="1"/>
  <c r="M899" i="39"/>
  <c r="H899" i="39" s="1"/>
  <c r="E900" i="39" s="1" a="1"/>
  <c r="E900" i="39" s="1"/>
  <c r="F900" i="39" s="1" a="1"/>
  <c r="F900" i="39" s="1"/>
  <c r="Q898" i="39"/>
  <c r="N898" i="39"/>
  <c r="P898" i="39"/>
  <c r="G623" i="35"/>
  <c r="O623" i="35" s="1"/>
  <c r="P623" i="35" s="1"/>
  <c r="H623" i="35"/>
  <c r="E624" i="35" s="1" a="1"/>
  <c r="E624" i="35" s="1"/>
  <c r="F624" i="35" s="1" a="1"/>
  <c r="F624" i="35" s="1"/>
  <c r="M624" i="35" s="1"/>
  <c r="I624" i="35" s="1"/>
  <c r="I776" i="40" l="1"/>
  <c r="G776" i="40"/>
  <c r="O776" i="40" s="1"/>
  <c r="N776" i="40" s="1"/>
  <c r="M777" i="40"/>
  <c r="I777" i="40" s="1"/>
  <c r="I899" i="39"/>
  <c r="G899" i="39"/>
  <c r="O899" i="39" s="1"/>
  <c r="Q899" i="39" s="1"/>
  <c r="M900" i="39"/>
  <c r="G900" i="39" s="1"/>
  <c r="O900" i="39" s="1"/>
  <c r="Q623" i="35"/>
  <c r="N623" i="35"/>
  <c r="G624" i="35"/>
  <c r="O624" i="35" s="1"/>
  <c r="Q776" i="40" l="1"/>
  <c r="P776" i="40"/>
  <c r="G777" i="40"/>
  <c r="O777" i="40" s="1"/>
  <c r="N777" i="40" s="1"/>
  <c r="H777" i="40"/>
  <c r="E778" i="40" s="1" a="1"/>
  <c r="E778" i="40" s="1"/>
  <c r="F778" i="40" s="1" a="1"/>
  <c r="F778" i="40" s="1"/>
  <c r="M778" i="40" s="1"/>
  <c r="G778" i="40" s="1"/>
  <c r="O778" i="40" s="1"/>
  <c r="P899" i="39"/>
  <c r="N899" i="39"/>
  <c r="H900" i="39"/>
  <c r="E901" i="39" s="1" a="1"/>
  <c r="E901" i="39" s="1"/>
  <c r="F901" i="39" s="1" a="1"/>
  <c r="F901" i="39" s="1"/>
  <c r="M901" i="39" s="1"/>
  <c r="I901" i="39" s="1"/>
  <c r="I900" i="39"/>
  <c r="N900" i="39"/>
  <c r="Q900" i="39"/>
  <c r="P900" i="39"/>
  <c r="N624" i="35"/>
  <c r="P624" i="35"/>
  <c r="Q624" i="35"/>
  <c r="H624" i="35"/>
  <c r="E625" i="35" s="1" a="1"/>
  <c r="E625" i="35" s="1"/>
  <c r="F625" i="35" s="1" a="1"/>
  <c r="F625" i="35" s="1"/>
  <c r="Q777" i="40" l="1"/>
  <c r="P777" i="40"/>
  <c r="I778" i="40"/>
  <c r="N778" i="40"/>
  <c r="Q778" i="40"/>
  <c r="P778" i="40"/>
  <c r="H778" i="40"/>
  <c r="E779" i="40" s="1" a="1"/>
  <c r="E779" i="40" s="1"/>
  <c r="F779" i="40" s="1" a="1"/>
  <c r="F779" i="40" s="1"/>
  <c r="H901" i="39"/>
  <c r="E902" i="39" s="1" a="1"/>
  <c r="E902" i="39" s="1"/>
  <c r="F902" i="39" s="1" a="1"/>
  <c r="F902" i="39" s="1"/>
  <c r="M902" i="39" s="1"/>
  <c r="H902" i="39" s="1"/>
  <c r="E903" i="39" s="1" a="1"/>
  <c r="E903" i="39" s="1"/>
  <c r="F903" i="39" s="1" a="1"/>
  <c r="F903" i="39" s="1"/>
  <c r="M903" i="39" s="1"/>
  <c r="G903" i="39" s="1"/>
  <c r="O903" i="39" s="1"/>
  <c r="N903" i="39" s="1"/>
  <c r="G901" i="39"/>
  <c r="O901" i="39" s="1"/>
  <c r="M625" i="35"/>
  <c r="I625" i="35" s="1"/>
  <c r="M779" i="40" l="1"/>
  <c r="I779" i="40" s="1"/>
  <c r="Q903" i="39"/>
  <c r="P903" i="39"/>
  <c r="I903" i="39"/>
  <c r="I902" i="39"/>
  <c r="G902" i="39"/>
  <c r="O902" i="39" s="1"/>
  <c r="H903" i="39"/>
  <c r="E904" i="39" s="1" a="1"/>
  <c r="E904" i="39" s="1"/>
  <c r="F904" i="39" s="1" a="1"/>
  <c r="F904" i="39" s="1"/>
  <c r="M904" i="39" s="1"/>
  <c r="G904" i="39" s="1"/>
  <c r="O904" i="39" s="1"/>
  <c r="P904" i="39" s="1"/>
  <c r="P901" i="39"/>
  <c r="N901" i="39"/>
  <c r="Q901" i="39"/>
  <c r="H625" i="35"/>
  <c r="E626" i="35" s="1" a="1"/>
  <c r="E626" i="35" s="1"/>
  <c r="F626" i="35" s="1" a="1"/>
  <c r="F626" i="35" s="1"/>
  <c r="M626" i="35" s="1"/>
  <c r="I626" i="35" s="1"/>
  <c r="G625" i="35"/>
  <c r="O625" i="35" s="1"/>
  <c r="H779" i="40" l="1"/>
  <c r="E780" i="40" s="1" a="1"/>
  <c r="E780" i="40" s="1"/>
  <c r="F780" i="40" s="1" a="1"/>
  <c r="F780" i="40" s="1"/>
  <c r="M780" i="40" s="1"/>
  <c r="H780" i="40" s="1"/>
  <c r="E781" i="40" s="1" a="1"/>
  <c r="E781" i="40" s="1"/>
  <c r="F781" i="40" s="1" a="1"/>
  <c r="F781" i="40" s="1"/>
  <c r="G779" i="40"/>
  <c r="O779" i="40" s="1"/>
  <c r="Q779" i="40" s="1"/>
  <c r="N904" i="39"/>
  <c r="Q904" i="39"/>
  <c r="I904" i="39"/>
  <c r="H904" i="39"/>
  <c r="E905" i="39" s="1" a="1"/>
  <c r="E905" i="39" s="1"/>
  <c r="F905" i="39" s="1" a="1"/>
  <c r="F905" i="39" s="1"/>
  <c r="Q902" i="39"/>
  <c r="N902" i="39"/>
  <c r="P902" i="39"/>
  <c r="N625" i="35"/>
  <c r="Q625" i="35"/>
  <c r="P625" i="35"/>
  <c r="N779" i="40" l="1"/>
  <c r="P779" i="40"/>
  <c r="I780" i="40"/>
  <c r="G780" i="40"/>
  <c r="O780" i="40" s="1"/>
  <c r="Q780" i="40" s="1"/>
  <c r="M781" i="40"/>
  <c r="H781" i="40" s="1"/>
  <c r="E782" i="40" s="1" a="1"/>
  <c r="E782" i="40" s="1"/>
  <c r="F782" i="40" s="1" a="1"/>
  <c r="F782" i="40" s="1"/>
  <c r="M905" i="39"/>
  <c r="I905" i="39" s="1"/>
  <c r="H626" i="35"/>
  <c r="E627" i="35" s="1" a="1"/>
  <c r="E627" i="35" s="1"/>
  <c r="F627" i="35" s="1" a="1"/>
  <c r="F627" i="35" s="1"/>
  <c r="G626" i="35"/>
  <c r="O626" i="35" s="1"/>
  <c r="P780" i="40" l="1"/>
  <c r="N780" i="40"/>
  <c r="G781" i="40"/>
  <c r="O781" i="40" s="1"/>
  <c r="Q781" i="40" s="1"/>
  <c r="I781" i="40"/>
  <c r="M782" i="40"/>
  <c r="H782" i="40" s="1"/>
  <c r="E783" i="40" s="1" a="1"/>
  <c r="E783" i="40" s="1"/>
  <c r="F783" i="40" s="1" a="1"/>
  <c r="F783" i="40" s="1"/>
  <c r="G905" i="39"/>
  <c r="O905" i="39" s="1"/>
  <c r="H905" i="39"/>
  <c r="E906" i="39" s="1" a="1"/>
  <c r="E906" i="39" s="1"/>
  <c r="F906" i="39" s="1" a="1"/>
  <c r="F906" i="39" s="1"/>
  <c r="M627" i="35"/>
  <c r="I627" i="35" s="1"/>
  <c r="N626" i="35"/>
  <c r="Q626" i="35"/>
  <c r="P626" i="35"/>
  <c r="P781" i="40" l="1"/>
  <c r="N781" i="40"/>
  <c r="G782" i="40"/>
  <c r="O782" i="40" s="1"/>
  <c r="Q782" i="40" s="1"/>
  <c r="I782" i="40"/>
  <c r="M783" i="40"/>
  <c r="H783" i="40" s="1"/>
  <c r="E784" i="40" s="1" a="1"/>
  <c r="E784" i="40" s="1"/>
  <c r="F784" i="40" s="1" a="1"/>
  <c r="F784" i="40" s="1"/>
  <c r="M906" i="39"/>
  <c r="I906" i="39" s="1"/>
  <c r="N905" i="39"/>
  <c r="P905" i="39"/>
  <c r="Q905" i="39"/>
  <c r="P782" i="40" l="1"/>
  <c r="N782" i="40"/>
  <c r="M784" i="40"/>
  <c r="H784" i="40" s="1"/>
  <c r="E785" i="40" s="1" a="1"/>
  <c r="E785" i="40" s="1"/>
  <c r="F785" i="40" s="1" a="1"/>
  <c r="F785" i="40" s="1"/>
  <c r="I783" i="40"/>
  <c r="G783" i="40"/>
  <c r="O783" i="40" s="1"/>
  <c r="G906" i="39"/>
  <c r="O906" i="39" s="1"/>
  <c r="P906" i="39" s="1"/>
  <c r="H906" i="39"/>
  <c r="E907" i="39" s="1" a="1"/>
  <c r="E907" i="39" s="1"/>
  <c r="F907" i="39" s="1" a="1"/>
  <c r="F907" i="39" s="1"/>
  <c r="H627" i="35"/>
  <c r="E628" i="35" s="1" a="1"/>
  <c r="E628" i="35" s="1"/>
  <c r="F628" i="35" s="1" a="1"/>
  <c r="F628" i="35" s="1"/>
  <c r="G627" i="35"/>
  <c r="O627" i="35" s="1"/>
  <c r="M785" i="40" l="1"/>
  <c r="H785" i="40" s="1"/>
  <c r="E786" i="40" s="1" a="1"/>
  <c r="E786" i="40" s="1"/>
  <c r="F786" i="40" s="1" a="1"/>
  <c r="F786" i="40" s="1"/>
  <c r="Q783" i="40"/>
  <c r="P783" i="40"/>
  <c r="N783" i="40"/>
  <c r="G784" i="40"/>
  <c r="O784" i="40" s="1"/>
  <c r="I784" i="40"/>
  <c r="N906" i="39"/>
  <c r="Q906" i="39"/>
  <c r="M907" i="39"/>
  <c r="H907" i="39" s="1"/>
  <c r="E908" i="39" s="1" a="1"/>
  <c r="E908" i="39" s="1"/>
  <c r="F908" i="39" s="1" a="1"/>
  <c r="F908" i="39" s="1"/>
  <c r="M628" i="35"/>
  <c r="I628" i="35" s="1"/>
  <c r="P627" i="35"/>
  <c r="N627" i="35"/>
  <c r="Q627" i="35"/>
  <c r="G785" i="40" l="1"/>
  <c r="O785" i="40" s="1"/>
  <c r="I785" i="40"/>
  <c r="M786" i="40"/>
  <c r="H786" i="40" s="1"/>
  <c r="E787" i="40" s="1" a="1"/>
  <c r="E787" i="40" s="1"/>
  <c r="F787" i="40" s="1" a="1"/>
  <c r="F787" i="40" s="1"/>
  <c r="P784" i="40"/>
  <c r="N784" i="40"/>
  <c r="Q784" i="40"/>
  <c r="Q785" i="40"/>
  <c r="N785" i="40"/>
  <c r="P785" i="40"/>
  <c r="I907" i="39"/>
  <c r="G907" i="39"/>
  <c r="O907" i="39" s="1"/>
  <c r="N907" i="39" s="1"/>
  <c r="M908" i="39"/>
  <c r="G908" i="39" s="1"/>
  <c r="O908" i="39" s="1"/>
  <c r="G628" i="35"/>
  <c r="O628" i="35" s="1"/>
  <c r="Q628" i="35" s="1"/>
  <c r="H628" i="35"/>
  <c r="E629" i="35" s="1" a="1"/>
  <c r="E629" i="35" s="1"/>
  <c r="F629" i="35" s="1" a="1"/>
  <c r="F629" i="35" s="1"/>
  <c r="M787" i="40" l="1"/>
  <c r="I787" i="40" s="1"/>
  <c r="I786" i="40"/>
  <c r="G786" i="40"/>
  <c r="O786" i="40" s="1"/>
  <c r="P907" i="39"/>
  <c r="Q907" i="39"/>
  <c r="N908" i="39"/>
  <c r="Q908" i="39"/>
  <c r="P908" i="39"/>
  <c r="H908" i="39"/>
  <c r="E909" i="39" s="1" a="1"/>
  <c r="E909" i="39" s="1"/>
  <c r="F909" i="39" s="1" a="1"/>
  <c r="F909" i="39" s="1"/>
  <c r="I908" i="39"/>
  <c r="N628" i="35"/>
  <c r="P628" i="35"/>
  <c r="M629" i="35"/>
  <c r="I629" i="35" s="1"/>
  <c r="G787" i="40" l="1"/>
  <c r="O787" i="40" s="1"/>
  <c r="N787" i="40" s="1"/>
  <c r="H787" i="40"/>
  <c r="E788" i="40" s="1" a="1"/>
  <c r="E788" i="40" s="1"/>
  <c r="F788" i="40" s="1" a="1"/>
  <c r="F788" i="40" s="1"/>
  <c r="M788" i="40" s="1"/>
  <c r="H788" i="40" s="1"/>
  <c r="E789" i="40" s="1" a="1"/>
  <c r="E789" i="40" s="1"/>
  <c r="F789" i="40" s="1" a="1"/>
  <c r="F789" i="40" s="1"/>
  <c r="P786" i="40"/>
  <c r="Q786" i="40"/>
  <c r="N786" i="40"/>
  <c r="M909" i="39"/>
  <c r="G909" i="39" s="1"/>
  <c r="O909" i="39" s="1"/>
  <c r="H629" i="35"/>
  <c r="E630" i="35" s="1" a="1"/>
  <c r="E630" i="35" s="1"/>
  <c r="F630" i="35" s="1" a="1"/>
  <c r="F630" i="35" s="1"/>
  <c r="P787" i="40" l="1"/>
  <c r="Q787" i="40"/>
  <c r="I788" i="40"/>
  <c r="G788" i="40"/>
  <c r="O788" i="40" s="1"/>
  <c r="N788" i="40" s="1"/>
  <c r="M789" i="40"/>
  <c r="G789" i="40" s="1"/>
  <c r="O789" i="40" s="1"/>
  <c r="H909" i="39"/>
  <c r="E910" i="39" s="1" a="1"/>
  <c r="E910" i="39" s="1"/>
  <c r="F910" i="39" s="1" a="1"/>
  <c r="F910" i="39" s="1"/>
  <c r="M910" i="39" s="1"/>
  <c r="I910" i="39" s="1"/>
  <c r="I909" i="39"/>
  <c r="Q909" i="39"/>
  <c r="N909" i="39"/>
  <c r="P909" i="39"/>
  <c r="M630" i="35"/>
  <c r="I630" i="35" s="1"/>
  <c r="G629" i="35"/>
  <c r="O629" i="35" s="1"/>
  <c r="P788" i="40" l="1"/>
  <c r="Q788" i="40"/>
  <c r="H789" i="40"/>
  <c r="E790" i="40" s="1" a="1"/>
  <c r="E790" i="40" s="1"/>
  <c r="F790" i="40" s="1" a="1"/>
  <c r="F790" i="40" s="1"/>
  <c r="M790" i="40" s="1"/>
  <c r="I790" i="40" s="1"/>
  <c r="I789" i="40"/>
  <c r="P789" i="40"/>
  <c r="Q789" i="40"/>
  <c r="N789" i="40"/>
  <c r="H910" i="39"/>
  <c r="E911" i="39" s="1" a="1"/>
  <c r="E911" i="39" s="1"/>
  <c r="F911" i="39" s="1" a="1"/>
  <c r="F911" i="39" s="1"/>
  <c r="G910" i="39"/>
  <c r="O910" i="39" s="1"/>
  <c r="P910" i="39" s="1"/>
  <c r="G630" i="35"/>
  <c r="O630" i="35" s="1"/>
  <c r="P630" i="35" s="1"/>
  <c r="Q629" i="35"/>
  <c r="P629" i="35"/>
  <c r="N629" i="35"/>
  <c r="H630" i="35"/>
  <c r="E631" i="35" s="1" a="1"/>
  <c r="E631" i="35" s="1"/>
  <c r="F631" i="35" s="1" a="1"/>
  <c r="F631" i="35" s="1"/>
  <c r="H790" i="40" l="1"/>
  <c r="E791" i="40" s="1" a="1"/>
  <c r="E791" i="40" s="1"/>
  <c r="F791" i="40" s="1" a="1"/>
  <c r="F791" i="40" s="1"/>
  <c r="G790" i="40"/>
  <c r="O790" i="40" s="1"/>
  <c r="Q910" i="39"/>
  <c r="N910" i="39"/>
  <c r="M911" i="39"/>
  <c r="I911" i="39" s="1"/>
  <c r="N630" i="35"/>
  <c r="Q630" i="35"/>
  <c r="M631" i="35"/>
  <c r="I631" i="35" s="1"/>
  <c r="P790" i="40" l="1"/>
  <c r="Q790" i="40"/>
  <c r="N790" i="40"/>
  <c r="M791" i="40"/>
  <c r="G791" i="40" s="1"/>
  <c r="O791" i="40" s="1"/>
  <c r="G911" i="39"/>
  <c r="O911" i="39" s="1"/>
  <c r="H911" i="39"/>
  <c r="E912" i="39" s="1" a="1"/>
  <c r="E912" i="39" s="1"/>
  <c r="F912" i="39" s="1" a="1"/>
  <c r="F912" i="39" s="1"/>
  <c r="H791" i="40" l="1"/>
  <c r="E792" i="40" s="1" a="1"/>
  <c r="E792" i="40" s="1"/>
  <c r="F792" i="40" s="1" a="1"/>
  <c r="F792" i="40" s="1"/>
  <c r="M792" i="40" s="1"/>
  <c r="G792" i="40" s="1"/>
  <c r="O792" i="40" s="1"/>
  <c r="I791" i="40"/>
  <c r="Q791" i="40"/>
  <c r="N791" i="40"/>
  <c r="P791" i="40"/>
  <c r="M912" i="39"/>
  <c r="H912" i="39" s="1"/>
  <c r="E913" i="39" s="1" a="1"/>
  <c r="E913" i="39" s="1"/>
  <c r="F913" i="39" s="1" a="1"/>
  <c r="F913" i="39" s="1"/>
  <c r="Q911" i="39"/>
  <c r="P911" i="39"/>
  <c r="N911" i="39"/>
  <c r="G631" i="35"/>
  <c r="O631" i="35" s="1"/>
  <c r="H631" i="35"/>
  <c r="E632" i="35" s="1" a="1"/>
  <c r="E632" i="35" s="1"/>
  <c r="F632" i="35" s="1" a="1"/>
  <c r="F632" i="35" s="1"/>
  <c r="P792" i="40" l="1"/>
  <c r="Q792" i="40"/>
  <c r="N792" i="40"/>
  <c r="H792" i="40"/>
  <c r="E793" i="40" s="1" a="1"/>
  <c r="E793" i="40" s="1"/>
  <c r="F793" i="40" s="1" a="1"/>
  <c r="F793" i="40" s="1"/>
  <c r="I792" i="40"/>
  <c r="G912" i="39"/>
  <c r="O912" i="39" s="1"/>
  <c r="Q912" i="39" s="1"/>
  <c r="I912" i="39"/>
  <c r="M913" i="39"/>
  <c r="G913" i="39" s="1"/>
  <c r="O913" i="39" s="1"/>
  <c r="M632" i="35"/>
  <c r="I632" i="35" s="1"/>
  <c r="Q631" i="35"/>
  <c r="P631" i="35"/>
  <c r="N631" i="35"/>
  <c r="N912" i="39" l="1"/>
  <c r="M793" i="40"/>
  <c r="I793" i="40" s="1"/>
  <c r="P912" i="39"/>
  <c r="H913" i="39"/>
  <c r="E914" i="39" s="1" a="1"/>
  <c r="E914" i="39" s="1"/>
  <c r="F914" i="39" s="1" a="1"/>
  <c r="F914" i="39" s="1"/>
  <c r="M914" i="39" s="1"/>
  <c r="G914" i="39" s="1"/>
  <c r="O914" i="39" s="1"/>
  <c r="N913" i="39"/>
  <c r="Q913" i="39"/>
  <c r="P913" i="39"/>
  <c r="I913" i="39"/>
  <c r="H632" i="35"/>
  <c r="E633" i="35" s="1" a="1"/>
  <c r="E633" i="35" s="1"/>
  <c r="F633" i="35" s="1" a="1"/>
  <c r="F633" i="35" s="1"/>
  <c r="G632" i="35"/>
  <c r="O632" i="35" s="1"/>
  <c r="H793" i="40" l="1"/>
  <c r="E794" i="40" s="1" a="1"/>
  <c r="E794" i="40" s="1"/>
  <c r="F794" i="40" s="1" a="1"/>
  <c r="F794" i="40" s="1"/>
  <c r="G793" i="40"/>
  <c r="O793" i="40" s="1"/>
  <c r="Q914" i="39"/>
  <c r="N914" i="39"/>
  <c r="P914" i="39"/>
  <c r="H914" i="39"/>
  <c r="E915" i="39" s="1" a="1"/>
  <c r="E915" i="39" s="1"/>
  <c r="F915" i="39" s="1" a="1"/>
  <c r="F915" i="39" s="1"/>
  <c r="I914" i="39"/>
  <c r="M633" i="35"/>
  <c r="I633" i="35" s="1"/>
  <c r="N632" i="35"/>
  <c r="P632" i="35"/>
  <c r="Q632" i="35"/>
  <c r="P793" i="40" l="1"/>
  <c r="Q793" i="40"/>
  <c r="N793" i="40"/>
  <c r="M794" i="40"/>
  <c r="G794" i="40" s="1"/>
  <c r="O794" i="40" s="1"/>
  <c r="M915" i="39"/>
  <c r="I915" i="39" s="1"/>
  <c r="I794" i="40" l="1"/>
  <c r="N794" i="40"/>
  <c r="Q794" i="40"/>
  <c r="P794" i="40"/>
  <c r="H794" i="40"/>
  <c r="E795" i="40" s="1" a="1"/>
  <c r="E795" i="40" s="1"/>
  <c r="F795" i="40" s="1" a="1"/>
  <c r="F795" i="40" s="1"/>
  <c r="H915" i="39"/>
  <c r="E916" i="39" s="1" a="1"/>
  <c r="E916" i="39" s="1"/>
  <c r="F916" i="39" s="1" a="1"/>
  <c r="F916" i="39" s="1"/>
  <c r="M916" i="39" s="1"/>
  <c r="H916" i="39" s="1"/>
  <c r="E917" i="39" s="1" a="1"/>
  <c r="E917" i="39" s="1"/>
  <c r="F917" i="39" s="1" a="1"/>
  <c r="F917" i="39" s="1"/>
  <c r="G915" i="39"/>
  <c r="O915" i="39" s="1"/>
  <c r="Q915" i="39" s="1"/>
  <c r="G633" i="35"/>
  <c r="O633" i="35" s="1"/>
  <c r="H633" i="35"/>
  <c r="E634" i="35" s="1" a="1"/>
  <c r="E634" i="35" s="1"/>
  <c r="F634" i="35" s="1" a="1"/>
  <c r="F634" i="35" s="1"/>
  <c r="M795" i="40" l="1"/>
  <c r="I795" i="40" s="1"/>
  <c r="P915" i="39"/>
  <c r="N915" i="39"/>
  <c r="G916" i="39"/>
  <c r="O916" i="39" s="1"/>
  <c r="Q916" i="39" s="1"/>
  <c r="I916" i="39"/>
  <c r="M917" i="39"/>
  <c r="G917" i="39" s="1"/>
  <c r="O917" i="39" s="1"/>
  <c r="M634" i="35"/>
  <c r="I634" i="35" s="1"/>
  <c r="Q633" i="35"/>
  <c r="N633" i="35"/>
  <c r="P633" i="35"/>
  <c r="H795" i="40" l="1"/>
  <c r="E796" i="40" s="1" a="1"/>
  <c r="E796" i="40" s="1"/>
  <c r="F796" i="40" s="1" a="1"/>
  <c r="F796" i="40" s="1"/>
  <c r="M796" i="40" s="1"/>
  <c r="H796" i="40" s="1"/>
  <c r="E797" i="40" s="1" a="1"/>
  <c r="E797" i="40" s="1"/>
  <c r="F797" i="40" s="1" a="1"/>
  <c r="F797" i="40" s="1"/>
  <c r="G795" i="40"/>
  <c r="O795" i="40" s="1"/>
  <c r="N916" i="39"/>
  <c r="P916" i="39"/>
  <c r="H917" i="39"/>
  <c r="E918" i="39" s="1" a="1"/>
  <c r="E918" i="39" s="1"/>
  <c r="F918" i="39" s="1" a="1"/>
  <c r="F918" i="39" s="1"/>
  <c r="M918" i="39" s="1"/>
  <c r="I918" i="39" s="1"/>
  <c r="I917" i="39"/>
  <c r="N917" i="39"/>
  <c r="Q917" i="39"/>
  <c r="P917" i="39"/>
  <c r="G634" i="35"/>
  <c r="O634" i="35" s="1"/>
  <c r="M797" i="40" l="1"/>
  <c r="G797" i="40" s="1"/>
  <c r="O797" i="40" s="1"/>
  <c r="I796" i="40"/>
  <c r="G796" i="40"/>
  <c r="O796" i="40" s="1"/>
  <c r="P795" i="40"/>
  <c r="Q795" i="40"/>
  <c r="N795" i="40"/>
  <c r="G918" i="39"/>
  <c r="O918" i="39" s="1"/>
  <c r="P918" i="39" s="1"/>
  <c r="H918" i="39"/>
  <c r="E919" i="39" s="1" a="1"/>
  <c r="E919" i="39" s="1"/>
  <c r="F919" i="39" s="1" a="1"/>
  <c r="F919" i="39" s="1"/>
  <c r="M919" i="39" s="1"/>
  <c r="I919" i="39" s="1"/>
  <c r="N634" i="35"/>
  <c r="Q634" i="35"/>
  <c r="P634" i="35"/>
  <c r="H634" i="35"/>
  <c r="E635" i="35" s="1" a="1"/>
  <c r="E635" i="35" s="1"/>
  <c r="F635" i="35" s="1" a="1"/>
  <c r="F635" i="35" s="1"/>
  <c r="H797" i="40" l="1"/>
  <c r="E798" i="40" s="1" a="1"/>
  <c r="E798" i="40" s="1"/>
  <c r="F798" i="40" s="1" a="1"/>
  <c r="F798" i="40" s="1"/>
  <c r="M798" i="40" s="1"/>
  <c r="G798" i="40" s="1"/>
  <c r="O798" i="40" s="1"/>
  <c r="I797" i="40"/>
  <c r="P796" i="40"/>
  <c r="Q796" i="40"/>
  <c r="N796" i="40"/>
  <c r="P797" i="40"/>
  <c r="Q797" i="40"/>
  <c r="N797" i="40"/>
  <c r="Q918" i="39"/>
  <c r="N918" i="39"/>
  <c r="G919" i="39"/>
  <c r="O919" i="39" s="1"/>
  <c r="H919" i="39"/>
  <c r="E920" i="39" s="1" a="1"/>
  <c r="E920" i="39" s="1"/>
  <c r="F920" i="39" s="1" a="1"/>
  <c r="F920" i="39" s="1"/>
  <c r="M920" i="39" s="1"/>
  <c r="I920" i="39" s="1"/>
  <c r="M635" i="35"/>
  <c r="I635" i="35" s="1"/>
  <c r="P798" i="40" l="1"/>
  <c r="Q798" i="40"/>
  <c r="N798" i="40"/>
  <c r="I798" i="40"/>
  <c r="H798" i="40"/>
  <c r="E799" i="40" s="1" a="1"/>
  <c r="E799" i="40" s="1"/>
  <c r="F799" i="40" s="1" a="1"/>
  <c r="F799" i="40" s="1"/>
  <c r="Q919" i="39"/>
  <c r="P919" i="39"/>
  <c r="N919" i="39"/>
  <c r="G920" i="39"/>
  <c r="O920" i="39" s="1"/>
  <c r="Q920" i="39" s="1"/>
  <c r="H920" i="39"/>
  <c r="E921" i="39" s="1" a="1"/>
  <c r="E921" i="39" s="1"/>
  <c r="F921" i="39" s="1" a="1"/>
  <c r="F921" i="39" s="1"/>
  <c r="G635" i="35"/>
  <c r="O635" i="35" s="1"/>
  <c r="N635" i="35" s="1"/>
  <c r="H635" i="35"/>
  <c r="E636" i="35" s="1" a="1"/>
  <c r="E636" i="35" s="1"/>
  <c r="F636" i="35" s="1" a="1"/>
  <c r="F636" i="35" s="1"/>
  <c r="M636" i="35" s="1"/>
  <c r="I636" i="35" s="1"/>
  <c r="M799" i="40" l="1"/>
  <c r="G799" i="40" s="1"/>
  <c r="O799" i="40" s="1"/>
  <c r="P920" i="39"/>
  <c r="N920" i="39"/>
  <c r="M921" i="39"/>
  <c r="I921" i="39" s="1"/>
  <c r="P635" i="35"/>
  <c r="Q635" i="35"/>
  <c r="H636" i="35"/>
  <c r="E637" i="35" s="1" a="1"/>
  <c r="E637" i="35" s="1"/>
  <c r="F637" i="35" s="1" a="1"/>
  <c r="F637" i="35" s="1"/>
  <c r="P799" i="40" l="1"/>
  <c r="Q799" i="40"/>
  <c r="N799" i="40"/>
  <c r="I799" i="40"/>
  <c r="H799" i="40"/>
  <c r="E800" i="40" s="1" a="1"/>
  <c r="E800" i="40" s="1"/>
  <c r="F800" i="40" s="1" a="1"/>
  <c r="F800" i="40" s="1"/>
  <c r="H921" i="39"/>
  <c r="E922" i="39" s="1" a="1"/>
  <c r="E922" i="39" s="1"/>
  <c r="F922" i="39" s="1" a="1"/>
  <c r="F922" i="39" s="1"/>
  <c r="M922" i="39" s="1"/>
  <c r="G922" i="39" s="1"/>
  <c r="O922" i="39" s="1"/>
  <c r="P922" i="39" s="1"/>
  <c r="G921" i="39"/>
  <c r="O921" i="39" s="1"/>
  <c r="M637" i="35"/>
  <c r="I637" i="35" s="1"/>
  <c r="G636" i="35"/>
  <c r="O636" i="35" s="1"/>
  <c r="M800" i="40" l="1"/>
  <c r="H800" i="40" s="1"/>
  <c r="E801" i="40" s="1" a="1"/>
  <c r="E801" i="40" s="1"/>
  <c r="F801" i="40" s="1" a="1"/>
  <c r="F801" i="40" s="1"/>
  <c r="I922" i="39"/>
  <c r="N922" i="39"/>
  <c r="Q922" i="39"/>
  <c r="H922" i="39"/>
  <c r="E923" i="39" s="1" a="1"/>
  <c r="E923" i="39" s="1"/>
  <c r="F923" i="39" s="1" a="1"/>
  <c r="F923" i="39" s="1"/>
  <c r="M923" i="39" s="1"/>
  <c r="H923" i="39" s="1"/>
  <c r="E924" i="39" s="1" a="1"/>
  <c r="E924" i="39" s="1"/>
  <c r="F924" i="39" s="1" a="1"/>
  <c r="F924" i="39" s="1"/>
  <c r="Q921" i="39"/>
  <c r="P921" i="39"/>
  <c r="N921" i="39"/>
  <c r="Q636" i="35"/>
  <c r="N636" i="35"/>
  <c r="P636" i="35"/>
  <c r="M801" i="40" l="1"/>
  <c r="I801" i="40" s="1"/>
  <c r="I800" i="40"/>
  <c r="G800" i="40"/>
  <c r="O800" i="40" s="1"/>
  <c r="M924" i="39"/>
  <c r="G924" i="39" s="1"/>
  <c r="O924" i="39" s="1"/>
  <c r="G923" i="39"/>
  <c r="O923" i="39" s="1"/>
  <c r="I923" i="39"/>
  <c r="H637" i="35"/>
  <c r="E638" i="35" s="1" a="1"/>
  <c r="E638" i="35" s="1"/>
  <c r="F638" i="35" s="1" a="1"/>
  <c r="F638" i="35" s="1"/>
  <c r="G637" i="35"/>
  <c r="O637" i="35" s="1"/>
  <c r="G801" i="40" l="1"/>
  <c r="O801" i="40" s="1"/>
  <c r="Q801" i="40" s="1"/>
  <c r="H801" i="40"/>
  <c r="E802" i="40" s="1" a="1"/>
  <c r="E802" i="40" s="1"/>
  <c r="F802" i="40" s="1" a="1"/>
  <c r="F802" i="40" s="1"/>
  <c r="M802" i="40" s="1"/>
  <c r="I802" i="40" s="1"/>
  <c r="N801" i="40"/>
  <c r="P801" i="40"/>
  <c r="P800" i="40"/>
  <c r="Q800" i="40"/>
  <c r="N800" i="40"/>
  <c r="Q924" i="39"/>
  <c r="P924" i="39"/>
  <c r="N924" i="39"/>
  <c r="I924" i="39"/>
  <c r="Q923" i="39"/>
  <c r="P923" i="39"/>
  <c r="N923" i="39"/>
  <c r="H924" i="39"/>
  <c r="E925" i="39" s="1" a="1"/>
  <c r="E925" i="39" s="1"/>
  <c r="F925" i="39" s="1" a="1"/>
  <c r="F925" i="39" s="1"/>
  <c r="M925" i="39" s="1"/>
  <c r="H925" i="39" s="1"/>
  <c r="E926" i="39" s="1" a="1"/>
  <c r="E926" i="39" s="1"/>
  <c r="F926" i="39" s="1" a="1"/>
  <c r="F926" i="39" s="1"/>
  <c r="M926" i="39" s="1"/>
  <c r="I926" i="39" s="1"/>
  <c r="M638" i="35"/>
  <c r="I638" i="35" s="1"/>
  <c r="Q637" i="35"/>
  <c r="P637" i="35"/>
  <c r="N637" i="35"/>
  <c r="H802" i="40" l="1"/>
  <c r="E803" i="40" s="1" a="1"/>
  <c r="E803" i="40" s="1"/>
  <c r="F803" i="40" s="1" a="1"/>
  <c r="F803" i="40" s="1"/>
  <c r="G802" i="40"/>
  <c r="O802" i="40" s="1"/>
  <c r="I925" i="39"/>
  <c r="G925" i="39"/>
  <c r="O925" i="39" s="1"/>
  <c r="Q925" i="39" s="1"/>
  <c r="G926" i="39"/>
  <c r="O926" i="39" s="1"/>
  <c r="H926" i="39"/>
  <c r="E927" i="39" s="1" a="1"/>
  <c r="E927" i="39" s="1"/>
  <c r="F927" i="39" s="1" a="1"/>
  <c r="F927" i="39" s="1"/>
  <c r="Q802" i="40" l="1"/>
  <c r="P802" i="40"/>
  <c r="N802" i="40"/>
  <c r="M803" i="40"/>
  <c r="G803" i="40" s="1"/>
  <c r="O803" i="40" s="1"/>
  <c r="P925" i="39"/>
  <c r="N925" i="39"/>
  <c r="M927" i="39"/>
  <c r="H927" i="39" s="1"/>
  <c r="E928" i="39" s="1" a="1"/>
  <c r="E928" i="39" s="1"/>
  <c r="F928" i="39" s="1" a="1"/>
  <c r="F928" i="39" s="1"/>
  <c r="N926" i="39"/>
  <c r="Q926" i="39"/>
  <c r="P926" i="39"/>
  <c r="H638" i="35"/>
  <c r="E639" i="35" s="1" a="1"/>
  <c r="E639" i="35" s="1"/>
  <c r="F639" i="35" s="1" a="1"/>
  <c r="F639" i="35" s="1"/>
  <c r="G638" i="35"/>
  <c r="O638" i="35" s="1"/>
  <c r="P803" i="40" l="1"/>
  <c r="Q803" i="40"/>
  <c r="N803" i="40"/>
  <c r="H803" i="40"/>
  <c r="E804" i="40" s="1" a="1"/>
  <c r="E804" i="40" s="1"/>
  <c r="F804" i="40" s="1" a="1"/>
  <c r="F804" i="40" s="1"/>
  <c r="I803" i="40"/>
  <c r="I927" i="39"/>
  <c r="G927" i="39"/>
  <c r="O927" i="39" s="1"/>
  <c r="Q927" i="39" s="1"/>
  <c r="M928" i="39"/>
  <c r="H928" i="39" s="1"/>
  <c r="E929" i="39" s="1" a="1"/>
  <c r="E929" i="39" s="1"/>
  <c r="F929" i="39" s="1" a="1"/>
  <c r="F929" i="39" s="1"/>
  <c r="M639" i="35"/>
  <c r="I639" i="35" s="1"/>
  <c r="Q638" i="35"/>
  <c r="P638" i="35"/>
  <c r="N638" i="35"/>
  <c r="M804" i="40" l="1"/>
  <c r="H804" i="40" s="1"/>
  <c r="E805" i="40" s="1" a="1"/>
  <c r="E805" i="40" s="1"/>
  <c r="F805" i="40" s="1" a="1"/>
  <c r="F805" i="40" s="1"/>
  <c r="N927" i="39"/>
  <c r="P927" i="39"/>
  <c r="G928" i="39"/>
  <c r="O928" i="39" s="1"/>
  <c r="P928" i="39" s="1"/>
  <c r="I928" i="39"/>
  <c r="M929" i="39"/>
  <c r="I929" i="39" s="1"/>
  <c r="H639" i="35"/>
  <c r="E640" i="35" s="1" a="1"/>
  <c r="E640" i="35" s="1"/>
  <c r="F640" i="35" s="1" a="1"/>
  <c r="F640" i="35" s="1"/>
  <c r="I804" i="40" l="1"/>
  <c r="G804" i="40"/>
  <c r="O804" i="40" s="1"/>
  <c r="Q804" i="40" s="1"/>
  <c r="M805" i="40"/>
  <c r="G805" i="40" s="1"/>
  <c r="O805" i="40" s="1"/>
  <c r="N928" i="39"/>
  <c r="Q928" i="39"/>
  <c r="G929" i="39"/>
  <c r="O929" i="39" s="1"/>
  <c r="H929" i="39"/>
  <c r="E930" i="39" s="1" a="1"/>
  <c r="E930" i="39" s="1"/>
  <c r="F930" i="39" s="1" a="1"/>
  <c r="F930" i="39" s="1"/>
  <c r="M640" i="35"/>
  <c r="I640" i="35" s="1"/>
  <c r="G639" i="35"/>
  <c r="O639" i="35" s="1"/>
  <c r="N804" i="40" l="1"/>
  <c r="P804" i="40"/>
  <c r="Q805" i="40"/>
  <c r="P805" i="40"/>
  <c r="N805" i="40"/>
  <c r="H805" i="40"/>
  <c r="E806" i="40" s="1" a="1"/>
  <c r="E806" i="40" s="1"/>
  <c r="F806" i="40" s="1" a="1"/>
  <c r="F806" i="40" s="1"/>
  <c r="I805" i="40"/>
  <c r="M930" i="39"/>
  <c r="I930" i="39" s="1"/>
  <c r="Q929" i="39"/>
  <c r="N929" i="39"/>
  <c r="P929" i="39"/>
  <c r="H640" i="35"/>
  <c r="E641" i="35" s="1" a="1"/>
  <c r="E641" i="35" s="1"/>
  <c r="F641" i="35" s="1" a="1"/>
  <c r="F641" i="35" s="1"/>
  <c r="G640" i="35"/>
  <c r="O640" i="35" s="1"/>
  <c r="N640" i="35" s="1"/>
  <c r="N639" i="35"/>
  <c r="Q639" i="35"/>
  <c r="P639" i="35"/>
  <c r="M806" i="40" l="1"/>
  <c r="I806" i="40" s="1"/>
  <c r="G930" i="39"/>
  <c r="O930" i="39" s="1"/>
  <c r="Q930" i="39" s="1"/>
  <c r="H930" i="39"/>
  <c r="E931" i="39" s="1" a="1"/>
  <c r="E931" i="39" s="1"/>
  <c r="F931" i="39" s="1" a="1"/>
  <c r="F931" i="39" s="1"/>
  <c r="M931" i="39" s="1"/>
  <c r="I931" i="39" s="1"/>
  <c r="P640" i="35"/>
  <c r="Q640" i="35"/>
  <c r="M641" i="35"/>
  <c r="I641" i="35" s="1"/>
  <c r="P930" i="39" l="1"/>
  <c r="N930" i="39"/>
  <c r="G806" i="40"/>
  <c r="O806" i="40" s="1"/>
  <c r="P806" i="40" s="1"/>
  <c r="H806" i="40"/>
  <c r="E807" i="40" s="1" a="1"/>
  <c r="E807" i="40" s="1"/>
  <c r="F807" i="40" s="1" a="1"/>
  <c r="F807" i="40" s="1"/>
  <c r="G931" i="39"/>
  <c r="O931" i="39" s="1"/>
  <c r="Q931" i="39" s="1"/>
  <c r="H931" i="39"/>
  <c r="E932" i="39" s="1" a="1"/>
  <c r="E932" i="39" s="1"/>
  <c r="F932" i="39" s="1" a="1"/>
  <c r="F932" i="39" s="1"/>
  <c r="M932" i="39" s="1"/>
  <c r="H932" i="39" s="1"/>
  <c r="E933" i="39" s="1" a="1"/>
  <c r="E933" i="39" s="1"/>
  <c r="F933" i="39" s="1" a="1"/>
  <c r="F933" i="39" s="1"/>
  <c r="H641" i="35"/>
  <c r="E642" i="35" s="1" a="1"/>
  <c r="E642" i="35" s="1"/>
  <c r="F642" i="35" s="1" a="1"/>
  <c r="F642" i="35" s="1"/>
  <c r="M642" i="35" s="1"/>
  <c r="I642" i="35" s="1"/>
  <c r="G641" i="35"/>
  <c r="O641" i="35" s="1"/>
  <c r="P931" i="39" l="1"/>
  <c r="N806" i="40"/>
  <c r="Q806" i="40"/>
  <c r="N931" i="39"/>
  <c r="M807" i="40"/>
  <c r="H807" i="40" s="1"/>
  <c r="E808" i="40" s="1" a="1"/>
  <c r="E808" i="40" s="1"/>
  <c r="F808" i="40" s="1" a="1"/>
  <c r="F808" i="40" s="1"/>
  <c r="M933" i="39"/>
  <c r="G933" i="39" s="1"/>
  <c r="O933" i="39" s="1"/>
  <c r="I932" i="39"/>
  <c r="G932" i="39"/>
  <c r="O932" i="39" s="1"/>
  <c r="H642" i="35"/>
  <c r="E643" i="35" s="1" a="1"/>
  <c r="E643" i="35" s="1"/>
  <c r="F643" i="35" s="1" a="1"/>
  <c r="F643" i="35" s="1"/>
  <c r="M643" i="35" s="1"/>
  <c r="I643" i="35" s="1"/>
  <c r="N641" i="35"/>
  <c r="P641" i="35"/>
  <c r="Q641" i="35"/>
  <c r="G642" i="35"/>
  <c r="O642" i="35" s="1"/>
  <c r="G807" i="40" l="1"/>
  <c r="O807" i="40" s="1"/>
  <c r="P807" i="40" s="1"/>
  <c r="I807" i="40"/>
  <c r="M808" i="40"/>
  <c r="H808" i="40" s="1"/>
  <c r="E809" i="40" s="1" a="1"/>
  <c r="E809" i="40" s="1"/>
  <c r="F809" i="40" s="1" a="1"/>
  <c r="F809" i="40" s="1"/>
  <c r="H933" i="39"/>
  <c r="E934" i="39" s="1" a="1"/>
  <c r="E934" i="39" s="1"/>
  <c r="F934" i="39" s="1" a="1"/>
  <c r="F934" i="39" s="1"/>
  <c r="M934" i="39" s="1"/>
  <c r="I934" i="39" s="1"/>
  <c r="I933" i="39"/>
  <c r="Q933" i="39"/>
  <c r="P933" i="39"/>
  <c r="N933" i="39"/>
  <c r="Q932" i="39"/>
  <c r="N932" i="39"/>
  <c r="P932" i="39"/>
  <c r="H643" i="35"/>
  <c r="E644" i="35" s="1" a="1"/>
  <c r="E644" i="35" s="1"/>
  <c r="F644" i="35" s="1" a="1"/>
  <c r="F644" i="35" s="1"/>
  <c r="M644" i="35" s="1"/>
  <c r="I644" i="35" s="1"/>
  <c r="N642" i="35"/>
  <c r="P642" i="35"/>
  <c r="Q642" i="35"/>
  <c r="G643" i="35"/>
  <c r="O643" i="35" s="1"/>
  <c r="Q807" i="40" l="1"/>
  <c r="N807" i="40"/>
  <c r="M809" i="40"/>
  <c r="I809" i="40" s="1"/>
  <c r="G808" i="40"/>
  <c r="O808" i="40" s="1"/>
  <c r="I808" i="40"/>
  <c r="G934" i="39"/>
  <c r="O934" i="39" s="1"/>
  <c r="H934" i="39"/>
  <c r="E935" i="39" s="1" a="1"/>
  <c r="E935" i="39" s="1"/>
  <c r="F935" i="39" s="1" a="1"/>
  <c r="F935" i="39" s="1"/>
  <c r="H644" i="35"/>
  <c r="E645" i="35" s="1" a="1"/>
  <c r="E645" i="35" s="1"/>
  <c r="F645" i="35" s="1" a="1"/>
  <c r="F645" i="35" s="1"/>
  <c r="M645" i="35" s="1"/>
  <c r="I645" i="35" s="1"/>
  <c r="G644" i="35"/>
  <c r="O644" i="35" s="1"/>
  <c r="P644" i="35" s="1"/>
  <c r="Q643" i="35"/>
  <c r="P643" i="35"/>
  <c r="N643" i="35"/>
  <c r="H809" i="40" l="1"/>
  <c r="E810" i="40" s="1" a="1"/>
  <c r="E810" i="40" s="1"/>
  <c r="F810" i="40" s="1" a="1"/>
  <c r="F810" i="40" s="1"/>
  <c r="M810" i="40" s="1"/>
  <c r="H810" i="40" s="1"/>
  <c r="E811" i="40" s="1" a="1"/>
  <c r="E811" i="40" s="1"/>
  <c r="F811" i="40" s="1" a="1"/>
  <c r="F811" i="40" s="1"/>
  <c r="G809" i="40"/>
  <c r="O809" i="40" s="1"/>
  <c r="Q808" i="40"/>
  <c r="P808" i="40"/>
  <c r="N808" i="40"/>
  <c r="M935" i="39"/>
  <c r="I935" i="39" s="1"/>
  <c r="Q934" i="39"/>
  <c r="N934" i="39"/>
  <c r="P934" i="39"/>
  <c r="N644" i="35"/>
  <c r="Q644" i="35"/>
  <c r="I810" i="40" l="1"/>
  <c r="M811" i="40"/>
  <c r="H811" i="40" s="1"/>
  <c r="E812" i="40" s="1" a="1"/>
  <c r="E812" i="40" s="1"/>
  <c r="F812" i="40" s="1" a="1"/>
  <c r="F812" i="40" s="1"/>
  <c r="Q809" i="40"/>
  <c r="P809" i="40"/>
  <c r="N809" i="40"/>
  <c r="G810" i="40"/>
  <c r="O810" i="40" s="1"/>
  <c r="G935" i="39"/>
  <c r="O935" i="39" s="1"/>
  <c r="N935" i="39" s="1"/>
  <c r="H935" i="39"/>
  <c r="E936" i="39" s="1" a="1"/>
  <c r="E936" i="39" s="1"/>
  <c r="F936" i="39" s="1" a="1"/>
  <c r="F936" i="39" s="1"/>
  <c r="H645" i="35"/>
  <c r="E646" i="35" s="1" a="1"/>
  <c r="E646" i="35" s="1"/>
  <c r="F646" i="35" s="1" a="1"/>
  <c r="F646" i="35" s="1"/>
  <c r="G645" i="35"/>
  <c r="O645" i="35" s="1"/>
  <c r="Q935" i="39" l="1"/>
  <c r="M812" i="40"/>
  <c r="H812" i="40" s="1"/>
  <c r="E813" i="40" s="1" a="1"/>
  <c r="E813" i="40" s="1"/>
  <c r="F813" i="40" s="1" a="1"/>
  <c r="F813" i="40" s="1"/>
  <c r="N810" i="40"/>
  <c r="P810" i="40"/>
  <c r="Q810" i="40"/>
  <c r="P935" i="39"/>
  <c r="I811" i="40"/>
  <c r="G811" i="40"/>
  <c r="O811" i="40" s="1"/>
  <c r="M936" i="39"/>
  <c r="I936" i="39" s="1"/>
  <c r="M646" i="35"/>
  <c r="I646" i="35" s="1"/>
  <c r="P645" i="35"/>
  <c r="N645" i="35"/>
  <c r="Q645" i="35"/>
  <c r="I812" i="40" l="1"/>
  <c r="G812" i="40"/>
  <c r="O812" i="40" s="1"/>
  <c r="Q812" i="40" s="1"/>
  <c r="M813" i="40"/>
  <c r="H813" i="40" s="1"/>
  <c r="E814" i="40" s="1" a="1"/>
  <c r="E814" i="40" s="1"/>
  <c r="F814" i="40" s="1" a="1"/>
  <c r="F814" i="40" s="1"/>
  <c r="P811" i="40"/>
  <c r="N811" i="40"/>
  <c r="Q811" i="40"/>
  <c r="H936" i="39"/>
  <c r="E937" i="39" s="1" a="1"/>
  <c r="E937" i="39" s="1"/>
  <c r="F937" i="39" s="1" a="1"/>
  <c r="F937" i="39" s="1"/>
  <c r="G936" i="39"/>
  <c r="O936" i="39" s="1"/>
  <c r="G646" i="35"/>
  <c r="O646" i="35" s="1"/>
  <c r="H646" i="35"/>
  <c r="E647" i="35" s="1" a="1"/>
  <c r="E647" i="35" s="1"/>
  <c r="F647" i="35" s="1" a="1"/>
  <c r="F647" i="35" s="1"/>
  <c r="N812" i="40" l="1"/>
  <c r="P812" i="40"/>
  <c r="I813" i="40"/>
  <c r="G813" i="40"/>
  <c r="O813" i="40" s="1"/>
  <c r="N813" i="40" s="1"/>
  <c r="M814" i="40"/>
  <c r="H814" i="40" s="1"/>
  <c r="E815" i="40" s="1" a="1"/>
  <c r="E815" i="40" s="1"/>
  <c r="F815" i="40" s="1" a="1"/>
  <c r="F815" i="40" s="1"/>
  <c r="N936" i="39"/>
  <c r="P936" i="39"/>
  <c r="Q936" i="39"/>
  <c r="M937" i="39"/>
  <c r="I937" i="39" s="1"/>
  <c r="M647" i="35"/>
  <c r="I647" i="35" s="1"/>
  <c r="Q646" i="35"/>
  <c r="P646" i="35"/>
  <c r="N646" i="35"/>
  <c r="P813" i="40" l="1"/>
  <c r="Q813" i="40"/>
  <c r="M815" i="40"/>
  <c r="I815" i="40" s="1"/>
  <c r="I814" i="40"/>
  <c r="G814" i="40"/>
  <c r="O814" i="40" s="1"/>
  <c r="H937" i="39"/>
  <c r="E938" i="39" s="1" a="1"/>
  <c r="E938" i="39" s="1"/>
  <c r="F938" i="39" s="1" a="1"/>
  <c r="F938" i="39" s="1"/>
  <c r="M938" i="39" s="1"/>
  <c r="G938" i="39" s="1"/>
  <c r="O938" i="39" s="1"/>
  <c r="N938" i="39" s="1"/>
  <c r="G937" i="39"/>
  <c r="O937" i="39" s="1"/>
  <c r="Q937" i="39" s="1"/>
  <c r="G815" i="40" l="1"/>
  <c r="O815" i="40" s="1"/>
  <c r="Q815" i="40" s="1"/>
  <c r="H815" i="40"/>
  <c r="E816" i="40" s="1" a="1"/>
  <c r="E816" i="40" s="1"/>
  <c r="F816" i="40" s="1" a="1"/>
  <c r="F816" i="40" s="1"/>
  <c r="M816" i="40" s="1"/>
  <c r="I816" i="40" s="1"/>
  <c r="N814" i="40"/>
  <c r="Q814" i="40"/>
  <c r="P814" i="40"/>
  <c r="P937" i="39"/>
  <c r="N937" i="39"/>
  <c r="P938" i="39"/>
  <c r="H938" i="39"/>
  <c r="E939" i="39" s="1" a="1"/>
  <c r="E939" i="39" s="1"/>
  <c r="F939" i="39" s="1" a="1"/>
  <c r="F939" i="39" s="1"/>
  <c r="M939" i="39" s="1"/>
  <c r="H939" i="39" s="1"/>
  <c r="E940" i="39" s="1" a="1"/>
  <c r="E940" i="39" s="1"/>
  <c r="F940" i="39" s="1" a="1"/>
  <c r="F940" i="39" s="1"/>
  <c r="M940" i="39" s="1"/>
  <c r="G940" i="39" s="1"/>
  <c r="O940" i="39" s="1"/>
  <c r="I938" i="39"/>
  <c r="Q938" i="39"/>
  <c r="H647" i="35"/>
  <c r="E648" i="35" s="1" a="1"/>
  <c r="E648" i="35" s="1"/>
  <c r="F648" i="35" s="1" a="1"/>
  <c r="F648" i="35" s="1"/>
  <c r="G647" i="35"/>
  <c r="O647" i="35" s="1"/>
  <c r="N815" i="40" l="1"/>
  <c r="P815" i="40"/>
  <c r="H816" i="40"/>
  <c r="E817" i="40" s="1" a="1"/>
  <c r="E817" i="40" s="1"/>
  <c r="F817" i="40" s="1" a="1"/>
  <c r="F817" i="40" s="1"/>
  <c r="G816" i="40"/>
  <c r="O816" i="40" s="1"/>
  <c r="P940" i="39"/>
  <c r="Q940" i="39"/>
  <c r="N940" i="39"/>
  <c r="I940" i="39"/>
  <c r="G939" i="39"/>
  <c r="O939" i="39" s="1"/>
  <c r="I939" i="39"/>
  <c r="H940" i="39"/>
  <c r="E941" i="39" s="1" a="1"/>
  <c r="E941" i="39" s="1"/>
  <c r="F941" i="39" s="1" a="1"/>
  <c r="F941" i="39" s="1"/>
  <c r="M941" i="39" s="1"/>
  <c r="G941" i="39" s="1"/>
  <c r="O941" i="39" s="1"/>
  <c r="Q941" i="39" s="1"/>
  <c r="M648" i="35"/>
  <c r="I648" i="35" s="1"/>
  <c r="N647" i="35"/>
  <c r="Q647" i="35"/>
  <c r="P647" i="35"/>
  <c r="N816" i="40" l="1"/>
  <c r="Q816" i="40"/>
  <c r="P816" i="40"/>
  <c r="M817" i="40"/>
  <c r="I817" i="40" s="1"/>
  <c r="P939" i="39"/>
  <c r="Q939" i="39"/>
  <c r="N939" i="39"/>
  <c r="N941" i="39"/>
  <c r="I941" i="39"/>
  <c r="P941" i="39"/>
  <c r="H941" i="39"/>
  <c r="E942" i="39" s="1" a="1"/>
  <c r="E942" i="39" s="1"/>
  <c r="F942" i="39" s="1" a="1"/>
  <c r="F942" i="39" s="1"/>
  <c r="M942" i="39" s="1"/>
  <c r="H942" i="39" s="1"/>
  <c r="E943" i="39" s="1" a="1"/>
  <c r="E943" i="39" s="1"/>
  <c r="F943" i="39" s="1" a="1"/>
  <c r="F943" i="39" s="1"/>
  <c r="M943" i="39" s="1"/>
  <c r="H648" i="35"/>
  <c r="E649" i="35" s="1" a="1"/>
  <c r="E649" i="35" s="1"/>
  <c r="F649" i="35" s="1" a="1"/>
  <c r="F649" i="35" s="1"/>
  <c r="M649" i="35" s="1"/>
  <c r="I649" i="35" s="1"/>
  <c r="G648" i="35"/>
  <c r="O648" i="35" s="1"/>
  <c r="G817" i="40" l="1"/>
  <c r="O817" i="40" s="1"/>
  <c r="H817" i="40"/>
  <c r="E818" i="40" s="1" a="1"/>
  <c r="E818" i="40" s="1"/>
  <c r="F818" i="40" s="1" a="1"/>
  <c r="F818" i="40" s="1"/>
  <c r="I942" i="39"/>
  <c r="G943" i="39"/>
  <c r="O943" i="39" s="1"/>
  <c r="Q943" i="39" s="1"/>
  <c r="G942" i="39"/>
  <c r="O942" i="39" s="1"/>
  <c r="H943" i="39"/>
  <c r="E944" i="39" s="1" a="1"/>
  <c r="E944" i="39" s="1"/>
  <c r="F944" i="39" s="1" a="1"/>
  <c r="F944" i="39" s="1"/>
  <c r="M944" i="39" s="1"/>
  <c r="H944" i="39" s="1"/>
  <c r="E945" i="39" s="1" a="1"/>
  <c r="E945" i="39" s="1"/>
  <c r="F945" i="39" s="1" a="1"/>
  <c r="F945" i="39" s="1"/>
  <c r="I943" i="39"/>
  <c r="G649" i="35"/>
  <c r="O649" i="35" s="1"/>
  <c r="P649" i="35" s="1"/>
  <c r="H649" i="35"/>
  <c r="E650" i="35" s="1" a="1"/>
  <c r="E650" i="35" s="1"/>
  <c r="F650" i="35" s="1" a="1"/>
  <c r="F650" i="35" s="1"/>
  <c r="M650" i="35" s="1"/>
  <c r="I650" i="35" s="1"/>
  <c r="Q648" i="35"/>
  <c r="N648" i="35"/>
  <c r="P648" i="35"/>
  <c r="N943" i="39" l="1"/>
  <c r="P943" i="39"/>
  <c r="M818" i="40"/>
  <c r="I818" i="40" s="1"/>
  <c r="N817" i="40"/>
  <c r="P817" i="40"/>
  <c r="Q817" i="40"/>
  <c r="P942" i="39"/>
  <c r="N942" i="39"/>
  <c r="Q942" i="39"/>
  <c r="M945" i="39"/>
  <c r="I945" i="39" s="1"/>
  <c r="I944" i="39"/>
  <c r="G944" i="39"/>
  <c r="O944" i="39" s="1"/>
  <c r="Q649" i="35"/>
  <c r="N649" i="35"/>
  <c r="H650" i="35"/>
  <c r="E651" i="35" s="1" a="1"/>
  <c r="E651" i="35" s="1"/>
  <c r="F651" i="35" s="1" a="1"/>
  <c r="F651" i="35" s="1"/>
  <c r="G818" i="40" l="1"/>
  <c r="O818" i="40" s="1"/>
  <c r="Q818" i="40" s="1"/>
  <c r="H818" i="40"/>
  <c r="E819" i="40" s="1" a="1"/>
  <c r="E819" i="40" s="1"/>
  <c r="F819" i="40" s="1" a="1"/>
  <c r="F819" i="40" s="1"/>
  <c r="G945" i="39"/>
  <c r="O945" i="39" s="1"/>
  <c r="Q945" i="39" s="1"/>
  <c r="H945" i="39"/>
  <c r="E946" i="39" s="1" a="1"/>
  <c r="E946" i="39" s="1"/>
  <c r="F946" i="39" s="1" a="1"/>
  <c r="F946" i="39" s="1"/>
  <c r="M946" i="39" s="1"/>
  <c r="I946" i="39" s="1"/>
  <c r="Q944" i="39"/>
  <c r="N944" i="39"/>
  <c r="P944" i="39"/>
  <c r="M651" i="35"/>
  <c r="I651" i="35" s="1"/>
  <c r="G650" i="35"/>
  <c r="O650" i="35" s="1"/>
  <c r="P945" i="39" l="1"/>
  <c r="N945" i="39"/>
  <c r="P818" i="40"/>
  <c r="N818" i="40"/>
  <c r="M819" i="40"/>
  <c r="H819" i="40" s="1"/>
  <c r="E820" i="40" s="1" a="1"/>
  <c r="E820" i="40" s="1"/>
  <c r="F820" i="40" s="1" a="1"/>
  <c r="F820" i="40" s="1"/>
  <c r="H946" i="39"/>
  <c r="E947" i="39" s="1" a="1"/>
  <c r="E947" i="39" s="1"/>
  <c r="F947" i="39" s="1" a="1"/>
  <c r="F947" i="39" s="1"/>
  <c r="G946" i="39"/>
  <c r="O946" i="39" s="1"/>
  <c r="G651" i="35"/>
  <c r="O651" i="35" s="1"/>
  <c r="N651" i="35" s="1"/>
  <c r="H651" i="35"/>
  <c r="E652" i="35" s="1" a="1"/>
  <c r="E652" i="35" s="1"/>
  <c r="F652" i="35" s="1" a="1"/>
  <c r="F652" i="35" s="1"/>
  <c r="M652" i="35" s="1"/>
  <c r="I652" i="35" s="1"/>
  <c r="N650" i="35"/>
  <c r="Q650" i="35"/>
  <c r="P650" i="35"/>
  <c r="M820" i="40" l="1"/>
  <c r="H820" i="40" s="1"/>
  <c r="E821" i="40" s="1" a="1"/>
  <c r="E821" i="40" s="1"/>
  <c r="F821" i="40" s="1" a="1"/>
  <c r="F821" i="40" s="1"/>
  <c r="I819" i="40"/>
  <c r="G819" i="40"/>
  <c r="O819" i="40" s="1"/>
  <c r="Q946" i="39"/>
  <c r="P946" i="39"/>
  <c r="N946" i="39"/>
  <c r="M947" i="39"/>
  <c r="I947" i="39" s="1"/>
  <c r="Q651" i="35"/>
  <c r="P651" i="35"/>
  <c r="G652" i="35"/>
  <c r="O652" i="35" s="1"/>
  <c r="N652" i="35" s="1"/>
  <c r="H652" i="35"/>
  <c r="E653" i="35" s="1" a="1"/>
  <c r="E653" i="35" s="1"/>
  <c r="F653" i="35" s="1" a="1"/>
  <c r="F653" i="35" s="1"/>
  <c r="M821" i="40" l="1"/>
  <c r="H821" i="40" s="1"/>
  <c r="E822" i="40" s="1" a="1"/>
  <c r="E822" i="40" s="1"/>
  <c r="F822" i="40" s="1" a="1"/>
  <c r="F822" i="40" s="1"/>
  <c r="N819" i="40"/>
  <c r="P819" i="40"/>
  <c r="Q819" i="40"/>
  <c r="I820" i="40"/>
  <c r="G820" i="40"/>
  <c r="O820" i="40" s="1"/>
  <c r="G947" i="39"/>
  <c r="O947" i="39" s="1"/>
  <c r="P947" i="39" s="1"/>
  <c r="H947" i="39"/>
  <c r="E948" i="39" s="1" a="1"/>
  <c r="E948" i="39" s="1"/>
  <c r="F948" i="39" s="1" a="1"/>
  <c r="F948" i="39" s="1"/>
  <c r="P652" i="35"/>
  <c r="Q652" i="35"/>
  <c r="M653" i="35"/>
  <c r="I653" i="35" s="1"/>
  <c r="G821" i="40" l="1"/>
  <c r="O821" i="40" s="1"/>
  <c r="I821" i="40"/>
  <c r="N947" i="39"/>
  <c r="Q947" i="39"/>
  <c r="P821" i="40"/>
  <c r="N821" i="40"/>
  <c r="Q821" i="40"/>
  <c r="M822" i="40"/>
  <c r="I822" i="40" s="1"/>
  <c r="Q820" i="40"/>
  <c r="P820" i="40"/>
  <c r="N820" i="40"/>
  <c r="M948" i="39"/>
  <c r="I948" i="39" s="1"/>
  <c r="H653" i="35"/>
  <c r="E654" i="35" s="1" a="1"/>
  <c r="E654" i="35" s="1"/>
  <c r="F654" i="35" s="1" a="1"/>
  <c r="F654" i="35" s="1"/>
  <c r="M654" i="35" s="1"/>
  <c r="I654" i="35" s="1"/>
  <c r="G653" i="35"/>
  <c r="O653" i="35" s="1"/>
  <c r="G822" i="40" l="1"/>
  <c r="O822" i="40" s="1"/>
  <c r="N822" i="40" s="1"/>
  <c r="H822" i="40"/>
  <c r="E823" i="40" s="1" a="1"/>
  <c r="E823" i="40" s="1"/>
  <c r="F823" i="40" s="1" a="1"/>
  <c r="F823" i="40" s="1"/>
  <c r="G948" i="39"/>
  <c r="O948" i="39" s="1"/>
  <c r="H948" i="39"/>
  <c r="E949" i="39" s="1" a="1"/>
  <c r="E949" i="39" s="1"/>
  <c r="F949" i="39" s="1" a="1"/>
  <c r="F949" i="39" s="1"/>
  <c r="H654" i="35"/>
  <c r="E655" i="35" s="1" a="1"/>
  <c r="E655" i="35" s="1"/>
  <c r="F655" i="35" s="1" a="1"/>
  <c r="F655" i="35" s="1"/>
  <c r="M655" i="35" s="1"/>
  <c r="I655" i="35" s="1"/>
  <c r="G654" i="35"/>
  <c r="O654" i="35" s="1"/>
  <c r="N654" i="35" s="1"/>
  <c r="P653" i="35"/>
  <c r="N653" i="35"/>
  <c r="Q653" i="35"/>
  <c r="P822" i="40" l="1"/>
  <c r="Q822" i="40"/>
  <c r="M823" i="40"/>
  <c r="G823" i="40" s="1"/>
  <c r="O823" i="40" s="1"/>
  <c r="M949" i="39"/>
  <c r="G949" i="39" s="1"/>
  <c r="O949" i="39" s="1"/>
  <c r="Q948" i="39"/>
  <c r="N948" i="39"/>
  <c r="P948" i="39"/>
  <c r="P654" i="35"/>
  <c r="Q654" i="35"/>
  <c r="H655" i="35"/>
  <c r="E656" i="35" s="1" a="1"/>
  <c r="E656" i="35" s="1"/>
  <c r="F656" i="35" s="1" a="1"/>
  <c r="F656" i="35" s="1"/>
  <c r="I823" i="40" l="1"/>
  <c r="H823" i="40"/>
  <c r="E824" i="40" s="1" a="1"/>
  <c r="E824" i="40" s="1"/>
  <c r="F824" i="40" s="1" a="1"/>
  <c r="F824" i="40" s="1"/>
  <c r="M824" i="40" s="1"/>
  <c r="H824" i="40" s="1"/>
  <c r="E825" i="40" s="1" a="1"/>
  <c r="E825" i="40" s="1"/>
  <c r="F825" i="40" s="1" a="1"/>
  <c r="F825" i="40" s="1"/>
  <c r="N823" i="40"/>
  <c r="Q823" i="40"/>
  <c r="P823" i="40"/>
  <c r="I949" i="39"/>
  <c r="P949" i="39"/>
  <c r="Q949" i="39"/>
  <c r="N949" i="39"/>
  <c r="H949" i="39"/>
  <c r="E950" i="39" s="1" a="1"/>
  <c r="E950" i="39" s="1"/>
  <c r="F950" i="39" s="1" a="1"/>
  <c r="F950" i="39" s="1"/>
  <c r="M656" i="35"/>
  <c r="I656" i="35" s="1"/>
  <c r="G655" i="35"/>
  <c r="O655" i="35" s="1"/>
  <c r="M825" i="40" l="1"/>
  <c r="I825" i="40" s="1"/>
  <c r="G824" i="40"/>
  <c r="O824" i="40" s="1"/>
  <c r="I824" i="40"/>
  <c r="M950" i="39"/>
  <c r="G950" i="39" s="1"/>
  <c r="O950" i="39" s="1"/>
  <c r="G656" i="35"/>
  <c r="O656" i="35" s="1"/>
  <c r="P656" i="35" s="1"/>
  <c r="N655" i="35"/>
  <c r="P655" i="35"/>
  <c r="Q655" i="35"/>
  <c r="H656" i="35"/>
  <c r="E657" i="35" s="1" a="1"/>
  <c r="E657" i="35" s="1"/>
  <c r="F657" i="35" s="1" a="1"/>
  <c r="F657" i="35" s="1"/>
  <c r="H825" i="40" l="1"/>
  <c r="E826" i="40" s="1" a="1"/>
  <c r="E826" i="40" s="1"/>
  <c r="F826" i="40" s="1" a="1"/>
  <c r="F826" i="40" s="1"/>
  <c r="M826" i="40" s="1"/>
  <c r="G826" i="40" s="1"/>
  <c r="O826" i="40" s="1"/>
  <c r="G825" i="40"/>
  <c r="O825" i="40" s="1"/>
  <c r="N825" i="40" s="1"/>
  <c r="N824" i="40"/>
  <c r="P824" i="40"/>
  <c r="Q824" i="40"/>
  <c r="H950" i="39"/>
  <c r="E951" i="39" s="1" a="1"/>
  <c r="E951" i="39" s="1"/>
  <c r="F951" i="39" s="1" a="1"/>
  <c r="F951" i="39" s="1"/>
  <c r="M951" i="39" s="1"/>
  <c r="H951" i="39" s="1"/>
  <c r="E952" i="39" s="1" a="1"/>
  <c r="E952" i="39" s="1"/>
  <c r="F952" i="39" s="1" a="1"/>
  <c r="F952" i="39" s="1"/>
  <c r="I950" i="39"/>
  <c r="N950" i="39"/>
  <c r="Q950" i="39"/>
  <c r="P950" i="39"/>
  <c r="N656" i="35"/>
  <c r="Q656" i="35"/>
  <c r="M657" i="35"/>
  <c r="I657" i="35" s="1"/>
  <c r="Q825" i="40" l="1"/>
  <c r="P825" i="40"/>
  <c r="H826" i="40"/>
  <c r="E827" i="40" s="1" a="1"/>
  <c r="E827" i="40" s="1"/>
  <c r="F827" i="40" s="1" a="1"/>
  <c r="F827" i="40" s="1"/>
  <c r="M827" i="40" s="1"/>
  <c r="I827" i="40" s="1"/>
  <c r="I826" i="40"/>
  <c r="P826" i="40"/>
  <c r="N826" i="40"/>
  <c r="Q826" i="40"/>
  <c r="M952" i="39"/>
  <c r="G952" i="39" s="1"/>
  <c r="O952" i="39" s="1"/>
  <c r="I951" i="39"/>
  <c r="G951" i="39"/>
  <c r="O951" i="39" s="1"/>
  <c r="G827" i="40" l="1"/>
  <c r="O827" i="40" s="1"/>
  <c r="H827" i="40"/>
  <c r="E828" i="40" s="1" a="1"/>
  <c r="E828" i="40" s="1"/>
  <c r="F828" i="40" s="1" a="1"/>
  <c r="F828" i="40" s="1"/>
  <c r="Q952" i="39"/>
  <c r="P952" i="39"/>
  <c r="N952" i="39"/>
  <c r="P951" i="39"/>
  <c r="N951" i="39"/>
  <c r="Q951" i="39"/>
  <c r="I952" i="39"/>
  <c r="H952" i="39"/>
  <c r="E953" i="39" s="1" a="1"/>
  <c r="E953" i="39" s="1"/>
  <c r="F953" i="39" s="1" a="1"/>
  <c r="F953" i="39" s="1"/>
  <c r="H657" i="35"/>
  <c r="E658" i="35" s="1" a="1"/>
  <c r="E658" i="35" s="1"/>
  <c r="F658" i="35" s="1" a="1"/>
  <c r="F658" i="35" s="1"/>
  <c r="G657" i="35"/>
  <c r="O657" i="35" s="1"/>
  <c r="M828" i="40" l="1"/>
  <c r="H828" i="40" s="1"/>
  <c r="E829" i="40" s="1" a="1"/>
  <c r="E829" i="40" s="1"/>
  <c r="F829" i="40" s="1" a="1"/>
  <c r="F829" i="40" s="1"/>
  <c r="Q827" i="40"/>
  <c r="N827" i="40"/>
  <c r="P827" i="40"/>
  <c r="M953" i="39"/>
  <c r="G953" i="39" s="1"/>
  <c r="O953" i="39" s="1"/>
  <c r="M658" i="35"/>
  <c r="I658" i="35" s="1"/>
  <c r="Q657" i="35"/>
  <c r="N657" i="35"/>
  <c r="P657" i="35"/>
  <c r="M829" i="40" l="1"/>
  <c r="I829" i="40" s="1"/>
  <c r="G828" i="40"/>
  <c r="O828" i="40" s="1"/>
  <c r="I828" i="40"/>
  <c r="N953" i="39"/>
  <c r="P953" i="39"/>
  <c r="Q953" i="39"/>
  <c r="I953" i="39"/>
  <c r="H953" i="39"/>
  <c r="E954" i="39" s="1" a="1"/>
  <c r="E954" i="39" s="1"/>
  <c r="F954" i="39" s="1" a="1"/>
  <c r="F954" i="39" s="1"/>
  <c r="H658" i="35"/>
  <c r="E659" i="35" s="1" a="1"/>
  <c r="E659" i="35" s="1"/>
  <c r="F659" i="35" s="1" a="1"/>
  <c r="F659" i="35" s="1"/>
  <c r="G658" i="35"/>
  <c r="O658" i="35" s="1"/>
  <c r="G829" i="40" l="1"/>
  <c r="O829" i="40" s="1"/>
  <c r="N829" i="40" s="1"/>
  <c r="H829" i="40"/>
  <c r="E830" i="40" s="1" a="1"/>
  <c r="E830" i="40" s="1"/>
  <c r="F830" i="40" s="1" a="1"/>
  <c r="F830" i="40" s="1"/>
  <c r="M830" i="40" s="1"/>
  <c r="G830" i="40" s="1"/>
  <c r="O830" i="40" s="1"/>
  <c r="Q828" i="40"/>
  <c r="N828" i="40"/>
  <c r="P828" i="40"/>
  <c r="M954" i="39"/>
  <c r="I954" i="39" s="1"/>
  <c r="M659" i="35"/>
  <c r="I659" i="35" s="1"/>
  <c r="P658" i="35"/>
  <c r="Q658" i="35"/>
  <c r="N658" i="35"/>
  <c r="P829" i="40" l="1"/>
  <c r="Q829" i="40"/>
  <c r="N830" i="40"/>
  <c r="P830" i="40"/>
  <c r="Q830" i="40"/>
  <c r="H830" i="40"/>
  <c r="E831" i="40" s="1" a="1"/>
  <c r="E831" i="40" s="1"/>
  <c r="F831" i="40" s="1" a="1"/>
  <c r="F831" i="40" s="1"/>
  <c r="I830" i="40"/>
  <c r="H954" i="39"/>
  <c r="E955" i="39" s="1" a="1"/>
  <c r="E955" i="39" s="1"/>
  <c r="F955" i="39" s="1" a="1"/>
  <c r="F955" i="39" s="1"/>
  <c r="M955" i="39" s="1"/>
  <c r="H955" i="39" s="1"/>
  <c r="E956" i="39" s="1" a="1"/>
  <c r="E956" i="39" s="1"/>
  <c r="F956" i="39" s="1" a="1"/>
  <c r="F956" i="39" s="1"/>
  <c r="G954" i="39"/>
  <c r="O954" i="39" s="1"/>
  <c r="G659" i="35"/>
  <c r="O659" i="35" s="1"/>
  <c r="M831" i="40" l="1"/>
  <c r="I831" i="40" s="1"/>
  <c r="I955" i="39"/>
  <c r="G955" i="39"/>
  <c r="O955" i="39" s="1"/>
  <c r="Q955" i="39" s="1"/>
  <c r="Q954" i="39"/>
  <c r="P954" i="39"/>
  <c r="N954" i="39"/>
  <c r="M956" i="39"/>
  <c r="G956" i="39" s="1"/>
  <c r="O956" i="39" s="1"/>
  <c r="Q659" i="35"/>
  <c r="P659" i="35"/>
  <c r="N659" i="35"/>
  <c r="H659" i="35"/>
  <c r="E660" i="35" s="1" a="1"/>
  <c r="E660" i="35" s="1"/>
  <c r="F660" i="35" s="1" a="1"/>
  <c r="F660" i="35" s="1"/>
  <c r="G831" i="40" l="1"/>
  <c r="O831" i="40" s="1"/>
  <c r="N831" i="40" s="1"/>
  <c r="H831" i="40"/>
  <c r="E832" i="40" s="1" a="1"/>
  <c r="E832" i="40" s="1"/>
  <c r="F832" i="40" s="1" a="1"/>
  <c r="F832" i="40" s="1"/>
  <c r="M832" i="40" s="1"/>
  <c r="H832" i="40" s="1"/>
  <c r="E833" i="40" s="1" a="1"/>
  <c r="E833" i="40" s="1"/>
  <c r="F833" i="40" s="1" a="1"/>
  <c r="F833" i="40" s="1"/>
  <c r="N955" i="39"/>
  <c r="P955" i="39"/>
  <c r="I956" i="39"/>
  <c r="H956" i="39"/>
  <c r="E957" i="39" s="1" a="1"/>
  <c r="E957" i="39" s="1"/>
  <c r="F957" i="39" s="1" a="1"/>
  <c r="F957" i="39" s="1"/>
  <c r="M957" i="39" s="1"/>
  <c r="I957" i="39" s="1"/>
  <c r="P956" i="39"/>
  <c r="N956" i="39"/>
  <c r="Q956" i="39"/>
  <c r="M660" i="35"/>
  <c r="I660" i="35" s="1"/>
  <c r="P831" i="40" l="1"/>
  <c r="Q831" i="40"/>
  <c r="G832" i="40"/>
  <c r="O832" i="40" s="1"/>
  <c r="P832" i="40" s="1"/>
  <c r="M833" i="40"/>
  <c r="I833" i="40" s="1"/>
  <c r="I832" i="40"/>
  <c r="H957" i="39"/>
  <c r="E958" i="39" s="1" a="1"/>
  <c r="E958" i="39" s="1"/>
  <c r="F958" i="39" s="1" a="1"/>
  <c r="F958" i="39" s="1"/>
  <c r="G957" i="39"/>
  <c r="O957" i="39" s="1"/>
  <c r="N957" i="39" s="1"/>
  <c r="G660" i="35"/>
  <c r="O660" i="35" s="1"/>
  <c r="N660" i="35" s="1"/>
  <c r="H660" i="35"/>
  <c r="E661" i="35" s="1" a="1"/>
  <c r="E661" i="35" s="1"/>
  <c r="F661" i="35" s="1" a="1"/>
  <c r="F661" i="35" s="1"/>
  <c r="Q832" i="40" l="1"/>
  <c r="N832" i="40"/>
  <c r="G833" i="40"/>
  <c r="O833" i="40" s="1"/>
  <c r="P833" i="40" s="1"/>
  <c r="H833" i="40"/>
  <c r="E834" i="40" s="1" a="1"/>
  <c r="E834" i="40" s="1"/>
  <c r="F834" i="40" s="1" a="1"/>
  <c r="F834" i="40" s="1"/>
  <c r="M834" i="40" s="1"/>
  <c r="G834" i="40" s="1"/>
  <c r="O834" i="40" s="1"/>
  <c r="Q957" i="39"/>
  <c r="P957" i="39"/>
  <c r="M958" i="39"/>
  <c r="I958" i="39" s="1"/>
  <c r="Q660" i="35"/>
  <c r="P660" i="35"/>
  <c r="M661" i="35"/>
  <c r="I661" i="35" s="1"/>
  <c r="Q833" i="40" l="1"/>
  <c r="N833" i="40"/>
  <c r="H834" i="40"/>
  <c r="E835" i="40" s="1" a="1"/>
  <c r="E835" i="40" s="1"/>
  <c r="F835" i="40" s="1" a="1"/>
  <c r="F835" i="40" s="1"/>
  <c r="I834" i="40"/>
  <c r="Q834" i="40"/>
  <c r="N834" i="40"/>
  <c r="P834" i="40"/>
  <c r="H958" i="39"/>
  <c r="E959" i="39" s="1" a="1"/>
  <c r="E959" i="39" s="1"/>
  <c r="F959" i="39" s="1" a="1"/>
  <c r="F959" i="39" s="1"/>
  <c r="M959" i="39" s="1"/>
  <c r="H959" i="39" s="1"/>
  <c r="E960" i="39" s="1" a="1"/>
  <c r="E960" i="39" s="1"/>
  <c r="F960" i="39" s="1" a="1"/>
  <c r="F960" i="39" s="1"/>
  <c r="G958" i="39"/>
  <c r="O958" i="39" s="1"/>
  <c r="H661" i="35"/>
  <c r="E662" i="35" s="1" a="1"/>
  <c r="E662" i="35" s="1"/>
  <c r="F662" i="35" s="1" a="1"/>
  <c r="F662" i="35" s="1"/>
  <c r="M835" i="40" l="1"/>
  <c r="H835" i="40" s="1"/>
  <c r="E836" i="40" s="1" a="1"/>
  <c r="E836" i="40" s="1"/>
  <c r="F836" i="40" s="1" a="1"/>
  <c r="F836" i="40" s="1"/>
  <c r="N958" i="39"/>
  <c r="P958" i="39"/>
  <c r="Q958" i="39"/>
  <c r="M960" i="39"/>
  <c r="G960" i="39" s="1"/>
  <c r="O960" i="39" s="1"/>
  <c r="G959" i="39"/>
  <c r="O959" i="39" s="1"/>
  <c r="I959" i="39"/>
  <c r="M662" i="35"/>
  <c r="I662" i="35" s="1"/>
  <c r="G661" i="35"/>
  <c r="O661" i="35" s="1"/>
  <c r="G835" i="40" l="1"/>
  <c r="O835" i="40" s="1"/>
  <c r="N835" i="40" s="1"/>
  <c r="M836" i="40"/>
  <c r="H836" i="40" s="1"/>
  <c r="E837" i="40" s="1" a="1"/>
  <c r="E837" i="40" s="1"/>
  <c r="F837" i="40" s="1" a="1"/>
  <c r="F837" i="40" s="1"/>
  <c r="M837" i="40" s="1"/>
  <c r="H837" i="40" s="1"/>
  <c r="E838" i="40" s="1" a="1"/>
  <c r="E838" i="40" s="1"/>
  <c r="F838" i="40" s="1" a="1"/>
  <c r="F838" i="40" s="1"/>
  <c r="I835" i="40"/>
  <c r="H960" i="39"/>
  <c r="E961" i="39" s="1" a="1"/>
  <c r="E961" i="39" s="1"/>
  <c r="F961" i="39" s="1" a="1"/>
  <c r="F961" i="39" s="1"/>
  <c r="M961" i="39" s="1"/>
  <c r="I961" i="39" s="1"/>
  <c r="I960" i="39"/>
  <c r="Q959" i="39"/>
  <c r="N959" i="39"/>
  <c r="P959" i="39"/>
  <c r="Q960" i="39"/>
  <c r="N960" i="39"/>
  <c r="P960" i="39"/>
  <c r="H662" i="35"/>
  <c r="E663" i="35" s="1" a="1"/>
  <c r="E663" i="35" s="1"/>
  <c r="F663" i="35" s="1" a="1"/>
  <c r="F663" i="35" s="1"/>
  <c r="M663" i="35" s="1"/>
  <c r="I663" i="35" s="1"/>
  <c r="G662" i="35"/>
  <c r="O662" i="35" s="1"/>
  <c r="Q661" i="35"/>
  <c r="P661" i="35"/>
  <c r="N661" i="35"/>
  <c r="I836" i="40" l="1"/>
  <c r="P835" i="40"/>
  <c r="Q835" i="40"/>
  <c r="G836" i="40"/>
  <c r="O836" i="40" s="1"/>
  <c r="M838" i="40"/>
  <c r="G838" i="40" s="1"/>
  <c r="O838" i="40" s="1"/>
  <c r="I837" i="40"/>
  <c r="G837" i="40"/>
  <c r="O837" i="40" s="1"/>
  <c r="H961" i="39"/>
  <c r="E962" i="39" s="1" a="1"/>
  <c r="E962" i="39" s="1"/>
  <c r="F962" i="39" s="1" a="1"/>
  <c r="F962" i="39" s="1"/>
  <c r="M962" i="39" s="1"/>
  <c r="I962" i="39" s="1"/>
  <c r="G961" i="39"/>
  <c r="O961" i="39" s="1"/>
  <c r="G663" i="35"/>
  <c r="O663" i="35" s="1"/>
  <c r="P663" i="35" s="1"/>
  <c r="H663" i="35"/>
  <c r="E664" i="35" s="1" a="1"/>
  <c r="E664" i="35" s="1"/>
  <c r="F664" i="35" s="1" a="1"/>
  <c r="F664" i="35" s="1"/>
  <c r="M664" i="35" s="1"/>
  <c r="I664" i="35" s="1"/>
  <c r="P662" i="35"/>
  <c r="N662" i="35"/>
  <c r="Q662" i="35"/>
  <c r="P836" i="40" l="1"/>
  <c r="N836" i="40"/>
  <c r="Q836" i="40"/>
  <c r="P838" i="40"/>
  <c r="N838" i="40"/>
  <c r="Q838" i="40"/>
  <c r="H838" i="40"/>
  <c r="E839" i="40" s="1" a="1"/>
  <c r="E839" i="40" s="1"/>
  <c r="F839" i="40" s="1" a="1"/>
  <c r="F839" i="40" s="1"/>
  <c r="N837" i="40"/>
  <c r="Q837" i="40"/>
  <c r="P837" i="40"/>
  <c r="I838" i="40"/>
  <c r="H962" i="39"/>
  <c r="E963" i="39" s="1" a="1"/>
  <c r="E963" i="39" s="1"/>
  <c r="F963" i="39" s="1" a="1"/>
  <c r="F963" i="39" s="1"/>
  <c r="M963" i="39" s="1"/>
  <c r="I963" i="39" s="1"/>
  <c r="G962" i="39"/>
  <c r="O962" i="39" s="1"/>
  <c r="N962" i="39" s="1"/>
  <c r="Q961" i="39"/>
  <c r="P961" i="39"/>
  <c r="N961" i="39"/>
  <c r="N663" i="35"/>
  <c r="Q663" i="35"/>
  <c r="H664" i="35"/>
  <c r="E665" i="35" s="1" a="1"/>
  <c r="E665" i="35" s="1"/>
  <c r="F665" i="35" s="1" a="1"/>
  <c r="F665" i="35" s="1"/>
  <c r="M665" i="35" s="1"/>
  <c r="I665" i="35" s="1"/>
  <c r="G664" i="35"/>
  <c r="O664" i="35" s="1"/>
  <c r="N664" i="35" s="1"/>
  <c r="Q962" i="39" l="1"/>
  <c r="P962" i="39"/>
  <c r="M839" i="40"/>
  <c r="I839" i="40" s="1"/>
  <c r="G963" i="39"/>
  <c r="O963" i="39" s="1"/>
  <c r="H963" i="39"/>
  <c r="E964" i="39" s="1" a="1"/>
  <c r="E964" i="39" s="1"/>
  <c r="F964" i="39" s="1" a="1"/>
  <c r="F964" i="39" s="1"/>
  <c r="M964" i="39" s="1"/>
  <c r="I964" i="39" s="1"/>
  <c r="P664" i="35"/>
  <c r="Q664" i="35"/>
  <c r="H665" i="35"/>
  <c r="E666" i="35" s="1" a="1"/>
  <c r="E666" i="35" s="1"/>
  <c r="F666" i="35" s="1" a="1"/>
  <c r="F666" i="35" s="1"/>
  <c r="M666" i="35" s="1"/>
  <c r="I666" i="35" s="1"/>
  <c r="G665" i="35"/>
  <c r="O665" i="35" s="1"/>
  <c r="Q665" i="35" s="1"/>
  <c r="H839" i="40" l="1"/>
  <c r="E840" i="40" s="1" a="1"/>
  <c r="E840" i="40" s="1"/>
  <c r="F840" i="40" s="1" a="1"/>
  <c r="F840" i="40" s="1"/>
  <c r="G839" i="40"/>
  <c r="O839" i="40" s="1"/>
  <c r="G964" i="39"/>
  <c r="O964" i="39" s="1"/>
  <c r="P963" i="39"/>
  <c r="N963" i="39"/>
  <c r="Q963" i="39"/>
  <c r="H964" i="39"/>
  <c r="E965" i="39" s="1" a="1"/>
  <c r="E965" i="39" s="1"/>
  <c r="F965" i="39" s="1" a="1"/>
  <c r="F965" i="39" s="1"/>
  <c r="M965" i="39" s="1"/>
  <c r="G965" i="39" s="1"/>
  <c r="O965" i="39" s="1"/>
  <c r="Q965" i="39" s="1"/>
  <c r="P665" i="35"/>
  <c r="N665" i="35"/>
  <c r="G666" i="35"/>
  <c r="O666" i="35" s="1"/>
  <c r="H666" i="35"/>
  <c r="E667" i="35" s="1" a="1"/>
  <c r="E667" i="35" s="1"/>
  <c r="F667" i="35" s="1" a="1"/>
  <c r="F667" i="35" s="1"/>
  <c r="P839" i="40" l="1"/>
  <c r="N839" i="40"/>
  <c r="Q839" i="40"/>
  <c r="M840" i="40"/>
  <c r="G840" i="40" s="1"/>
  <c r="O840" i="40" s="1"/>
  <c r="Q964" i="39"/>
  <c r="P964" i="39"/>
  <c r="N964" i="39"/>
  <c r="H965" i="39"/>
  <c r="E966" i="39" s="1" a="1"/>
  <c r="E966" i="39" s="1"/>
  <c r="F966" i="39" s="1" a="1"/>
  <c r="F966" i="39" s="1"/>
  <c r="I965" i="39"/>
  <c r="P965" i="39"/>
  <c r="N965" i="39"/>
  <c r="M667" i="35"/>
  <c r="I667" i="35" s="1"/>
  <c r="P666" i="35"/>
  <c r="N666" i="35"/>
  <c r="Q666" i="35"/>
  <c r="N840" i="40" l="1"/>
  <c r="P840" i="40"/>
  <c r="Q840" i="40"/>
  <c r="H840" i="40"/>
  <c r="E841" i="40" s="1" a="1"/>
  <c r="E841" i="40" s="1"/>
  <c r="F841" i="40" s="1" a="1"/>
  <c r="F841" i="40" s="1"/>
  <c r="I840" i="40"/>
  <c r="M966" i="39"/>
  <c r="G966" i="39" s="1"/>
  <c r="O966" i="39" s="1"/>
  <c r="M841" i="40" l="1"/>
  <c r="G841" i="40" s="1"/>
  <c r="O841" i="40" s="1"/>
  <c r="I966" i="39"/>
  <c r="Q966" i="39"/>
  <c r="N966" i="39"/>
  <c r="P966" i="39"/>
  <c r="H966" i="39"/>
  <c r="E967" i="39" s="1" a="1"/>
  <c r="E967" i="39" s="1"/>
  <c r="F967" i="39" s="1" a="1"/>
  <c r="F967" i="39" s="1"/>
  <c r="H667" i="35"/>
  <c r="E668" i="35" s="1" a="1"/>
  <c r="E668" i="35" s="1"/>
  <c r="F668" i="35" s="1" a="1"/>
  <c r="F668" i="35" s="1"/>
  <c r="G667" i="35"/>
  <c r="O667" i="35" s="1"/>
  <c r="N841" i="40" l="1"/>
  <c r="P841" i="40"/>
  <c r="Q841" i="40"/>
  <c r="I841" i="40"/>
  <c r="H841" i="40"/>
  <c r="E842" i="40" s="1" a="1"/>
  <c r="E842" i="40" s="1"/>
  <c r="F842" i="40" s="1" a="1"/>
  <c r="F842" i="40" s="1"/>
  <c r="M967" i="39"/>
  <c r="I967" i="39" s="1"/>
  <c r="M668" i="35"/>
  <c r="I668" i="35" s="1"/>
  <c r="P667" i="35"/>
  <c r="Q667" i="35"/>
  <c r="N667" i="35"/>
  <c r="M842" i="40" l="1"/>
  <c r="G842" i="40" s="1"/>
  <c r="O842" i="40" s="1"/>
  <c r="H967" i="39"/>
  <c r="E968" i="39" s="1" a="1"/>
  <c r="E968" i="39" s="1"/>
  <c r="F968" i="39" s="1" a="1"/>
  <c r="F968" i="39" s="1"/>
  <c r="M968" i="39" s="1"/>
  <c r="G968" i="39" s="1"/>
  <c r="O968" i="39" s="1"/>
  <c r="N968" i="39" s="1"/>
  <c r="G967" i="39"/>
  <c r="O967" i="39" s="1"/>
  <c r="N967" i="39" s="1"/>
  <c r="G668" i="35"/>
  <c r="O668" i="35" s="1"/>
  <c r="H842" i="40" l="1"/>
  <c r="E843" i="40" s="1" a="1"/>
  <c r="E843" i="40" s="1"/>
  <c r="F843" i="40" s="1" a="1"/>
  <c r="F843" i="40" s="1"/>
  <c r="M843" i="40" s="1"/>
  <c r="H843" i="40" s="1"/>
  <c r="E844" i="40" s="1" a="1"/>
  <c r="E844" i="40" s="1"/>
  <c r="F844" i="40" s="1" a="1"/>
  <c r="F844" i="40" s="1"/>
  <c r="I842" i="40"/>
  <c r="P842" i="40"/>
  <c r="Q842" i="40"/>
  <c r="N842" i="40"/>
  <c r="P967" i="39"/>
  <c r="Q967" i="39"/>
  <c r="Q968" i="39"/>
  <c r="P968" i="39"/>
  <c r="I968" i="39"/>
  <c r="H968" i="39"/>
  <c r="E969" i="39" s="1" a="1"/>
  <c r="E969" i="39" s="1"/>
  <c r="F969" i="39" s="1" a="1"/>
  <c r="F969" i="39" s="1"/>
  <c r="M969" i="39" s="1"/>
  <c r="P668" i="35"/>
  <c r="N668" i="35"/>
  <c r="Q668" i="35"/>
  <c r="H668" i="35"/>
  <c r="E669" i="35" s="1" a="1"/>
  <c r="E669" i="35" s="1"/>
  <c r="F669" i="35" s="1" a="1"/>
  <c r="F669" i="35" s="1"/>
  <c r="M844" i="40" l="1"/>
  <c r="H844" i="40" s="1"/>
  <c r="E845" i="40" s="1" a="1"/>
  <c r="E845" i="40" s="1"/>
  <c r="F845" i="40" s="1" a="1"/>
  <c r="F845" i="40" s="1"/>
  <c r="I843" i="40"/>
  <c r="G843" i="40"/>
  <c r="O843" i="40" s="1"/>
  <c r="G969" i="39"/>
  <c r="O969" i="39" s="1"/>
  <c r="P969" i="39" s="1"/>
  <c r="I969" i="39"/>
  <c r="H969" i="39"/>
  <c r="E970" i="39" s="1" a="1"/>
  <c r="E970" i="39" s="1"/>
  <c r="F970" i="39" s="1" a="1"/>
  <c r="F970" i="39" s="1"/>
  <c r="M970" i="39" s="1"/>
  <c r="H970" i="39" s="1"/>
  <c r="E971" i="39" s="1" a="1"/>
  <c r="E971" i="39" s="1"/>
  <c r="F971" i="39" s="1" a="1"/>
  <c r="F971" i="39" s="1"/>
  <c r="M669" i="35"/>
  <c r="I669" i="35" s="1"/>
  <c r="I844" i="40" l="1"/>
  <c r="G844" i="40"/>
  <c r="O844" i="40" s="1"/>
  <c r="N844" i="40" s="1"/>
  <c r="Q969" i="39"/>
  <c r="N969" i="39"/>
  <c r="M845" i="40"/>
  <c r="G845" i="40" s="1"/>
  <c r="O845" i="40" s="1"/>
  <c r="N843" i="40"/>
  <c r="P843" i="40"/>
  <c r="Q843" i="40"/>
  <c r="M971" i="39"/>
  <c r="H971" i="39" s="1"/>
  <c r="E972" i="39" s="1" a="1"/>
  <c r="E972" i="39" s="1"/>
  <c r="F972" i="39" s="1" a="1"/>
  <c r="F972" i="39" s="1"/>
  <c r="M972" i="39" s="1"/>
  <c r="G970" i="39"/>
  <c r="O970" i="39" s="1"/>
  <c r="I970" i="39"/>
  <c r="G669" i="35"/>
  <c r="O669" i="35" s="1"/>
  <c r="P669" i="35" s="1"/>
  <c r="H669" i="35"/>
  <c r="E670" i="35" s="1" a="1"/>
  <c r="E670" i="35" s="1"/>
  <c r="F670" i="35" s="1" a="1"/>
  <c r="F670" i="35" s="1"/>
  <c r="M670" i="35" s="1"/>
  <c r="I670" i="35" s="1"/>
  <c r="P844" i="40" l="1"/>
  <c r="Q844" i="40"/>
  <c r="Q845" i="40"/>
  <c r="N845" i="40"/>
  <c r="P845" i="40"/>
  <c r="H845" i="40"/>
  <c r="E846" i="40" s="1" a="1"/>
  <c r="E846" i="40" s="1"/>
  <c r="F846" i="40" s="1" a="1"/>
  <c r="F846" i="40" s="1"/>
  <c r="I845" i="40"/>
  <c r="I971" i="39"/>
  <c r="G971" i="39"/>
  <c r="O971" i="39" s="1"/>
  <c r="Q971" i="39" s="1"/>
  <c r="I972" i="39"/>
  <c r="P970" i="39"/>
  <c r="Q970" i="39"/>
  <c r="N970" i="39"/>
  <c r="H972" i="39"/>
  <c r="E973" i="39" s="1" a="1"/>
  <c r="E973" i="39" s="1"/>
  <c r="F973" i="39" s="1" a="1"/>
  <c r="F973" i="39" s="1"/>
  <c r="M973" i="39" s="1"/>
  <c r="G972" i="39"/>
  <c r="O972" i="39" s="1"/>
  <c r="Q972" i="39" s="1"/>
  <c r="Q669" i="35"/>
  <c r="N669" i="35"/>
  <c r="H670" i="35"/>
  <c r="E671" i="35" s="1" a="1"/>
  <c r="E671" i="35" s="1"/>
  <c r="F671" i="35" s="1" a="1"/>
  <c r="F671" i="35" s="1"/>
  <c r="M671" i="35" s="1"/>
  <c r="I671" i="35" s="1"/>
  <c r="G670" i="35"/>
  <c r="O670" i="35" s="1"/>
  <c r="M846" i="40" l="1"/>
  <c r="G846" i="40" s="1"/>
  <c r="O846" i="40" s="1"/>
  <c r="P971" i="39"/>
  <c r="N971" i="39"/>
  <c r="P972" i="39"/>
  <c r="N972" i="39"/>
  <c r="H973" i="39"/>
  <c r="E974" i="39" s="1" a="1"/>
  <c r="E974" i="39" s="1"/>
  <c r="F974" i="39" s="1" a="1"/>
  <c r="F974" i="39" s="1"/>
  <c r="M974" i="39" s="1"/>
  <c r="H974" i="39" s="1"/>
  <c r="E975" i="39" s="1" a="1"/>
  <c r="E975" i="39" s="1"/>
  <c r="F975" i="39" s="1" a="1"/>
  <c r="F975" i="39" s="1"/>
  <c r="G973" i="39"/>
  <c r="O973" i="39" s="1"/>
  <c r="Q973" i="39" s="1"/>
  <c r="I973" i="39"/>
  <c r="G671" i="35"/>
  <c r="O671" i="35" s="1"/>
  <c r="Q671" i="35" s="1"/>
  <c r="H671" i="35"/>
  <c r="E672" i="35" s="1" a="1"/>
  <c r="E672" i="35" s="1"/>
  <c r="F672" i="35" s="1" a="1"/>
  <c r="F672" i="35" s="1"/>
  <c r="Q670" i="35"/>
  <c r="P670" i="35"/>
  <c r="N670" i="35"/>
  <c r="Q846" i="40" l="1"/>
  <c r="N846" i="40"/>
  <c r="P846" i="40"/>
  <c r="H846" i="40"/>
  <c r="E847" i="40" s="1" a="1"/>
  <c r="E847" i="40" s="1"/>
  <c r="F847" i="40" s="1" a="1"/>
  <c r="F847" i="40" s="1"/>
  <c r="I846" i="40"/>
  <c r="P973" i="39"/>
  <c r="N973" i="39"/>
  <c r="M975" i="39"/>
  <c r="I975" i="39" s="1"/>
  <c r="I974" i="39"/>
  <c r="G974" i="39"/>
  <c r="O974" i="39" s="1"/>
  <c r="N671" i="35"/>
  <c r="P671" i="35"/>
  <c r="M672" i="35"/>
  <c r="I672" i="35" s="1"/>
  <c r="M847" i="40" l="1"/>
  <c r="H847" i="40" s="1"/>
  <c r="E848" i="40" s="1" a="1"/>
  <c r="E848" i="40" s="1"/>
  <c r="F848" i="40" s="1" a="1"/>
  <c r="F848" i="40" s="1"/>
  <c r="G975" i="39"/>
  <c r="O975" i="39" s="1"/>
  <c r="Q975" i="39" s="1"/>
  <c r="H975" i="39"/>
  <c r="E976" i="39" s="1" a="1"/>
  <c r="E976" i="39" s="1"/>
  <c r="F976" i="39" s="1" a="1"/>
  <c r="F976" i="39" s="1"/>
  <c r="M976" i="39" s="1"/>
  <c r="H976" i="39" s="1"/>
  <c r="E977" i="39" s="1" a="1"/>
  <c r="E977" i="39" s="1"/>
  <c r="F977" i="39" s="1" a="1"/>
  <c r="F977" i="39" s="1"/>
  <c r="P974" i="39"/>
  <c r="Q974" i="39"/>
  <c r="N974" i="39"/>
  <c r="G672" i="35"/>
  <c r="O672" i="35" s="1"/>
  <c r="N672" i="35" s="1"/>
  <c r="H672" i="35"/>
  <c r="E673" i="35" s="1" a="1"/>
  <c r="E673" i="35" s="1"/>
  <c r="F673" i="35" s="1" a="1"/>
  <c r="F673" i="35" s="1"/>
  <c r="G847" i="40" l="1"/>
  <c r="O847" i="40" s="1"/>
  <c r="P847" i="40" s="1"/>
  <c r="N975" i="39"/>
  <c r="M848" i="40"/>
  <c r="H848" i="40" s="1"/>
  <c r="E849" i="40" s="1" a="1"/>
  <c r="E849" i="40" s="1"/>
  <c r="F849" i="40" s="1" a="1"/>
  <c r="F849" i="40" s="1"/>
  <c r="I847" i="40"/>
  <c r="P975" i="39"/>
  <c r="M977" i="39"/>
  <c r="I977" i="39" s="1"/>
  <c r="G976" i="39"/>
  <c r="O976" i="39" s="1"/>
  <c r="I976" i="39"/>
  <c r="P672" i="35"/>
  <c r="Q672" i="35"/>
  <c r="M673" i="35"/>
  <c r="I673" i="35" s="1"/>
  <c r="Q847" i="40" l="1"/>
  <c r="N847" i="40"/>
  <c r="I848" i="40"/>
  <c r="M849" i="40"/>
  <c r="G849" i="40" s="1"/>
  <c r="O849" i="40" s="1"/>
  <c r="G848" i="40"/>
  <c r="O848" i="40" s="1"/>
  <c r="G977" i="39"/>
  <c r="O977" i="39" s="1"/>
  <c r="Q977" i="39" s="1"/>
  <c r="H977" i="39"/>
  <c r="E978" i="39" s="1" a="1"/>
  <c r="E978" i="39" s="1"/>
  <c r="F978" i="39" s="1" a="1"/>
  <c r="F978" i="39" s="1"/>
  <c r="M978" i="39" s="1"/>
  <c r="G978" i="39" s="1"/>
  <c r="O978" i="39" s="1"/>
  <c r="Q976" i="39"/>
  <c r="N976" i="39"/>
  <c r="P976" i="39"/>
  <c r="H673" i="35"/>
  <c r="E674" i="35" s="1" a="1"/>
  <c r="E674" i="35" s="1"/>
  <c r="F674" i="35" s="1" a="1"/>
  <c r="F674" i="35" s="1"/>
  <c r="G673" i="35"/>
  <c r="O673" i="35" s="1"/>
  <c r="N977" i="39" l="1"/>
  <c r="P977" i="39"/>
  <c r="P849" i="40"/>
  <c r="Q849" i="40"/>
  <c r="N849" i="40"/>
  <c r="P848" i="40"/>
  <c r="N848" i="40"/>
  <c r="Q848" i="40"/>
  <c r="I849" i="40"/>
  <c r="H849" i="40"/>
  <c r="E850" i="40" s="1" a="1"/>
  <c r="E850" i="40" s="1"/>
  <c r="F850" i="40" s="1" a="1"/>
  <c r="F850" i="40" s="1"/>
  <c r="P978" i="39"/>
  <c r="N978" i="39"/>
  <c r="Q978" i="39"/>
  <c r="H978" i="39"/>
  <c r="E979" i="39" s="1" a="1"/>
  <c r="E979" i="39" s="1"/>
  <c r="F979" i="39" s="1" a="1"/>
  <c r="F979" i="39" s="1"/>
  <c r="I978" i="39"/>
  <c r="N673" i="35"/>
  <c r="P673" i="35"/>
  <c r="Q673" i="35"/>
  <c r="M674" i="35"/>
  <c r="I674" i="35" s="1"/>
  <c r="M850" i="40" l="1"/>
  <c r="I850" i="40" s="1"/>
  <c r="M979" i="39"/>
  <c r="H979" i="39" s="1"/>
  <c r="E980" i="39" s="1" a="1"/>
  <c r="E980" i="39" s="1"/>
  <c r="F980" i="39" s="1" a="1"/>
  <c r="F980" i="39" s="1"/>
  <c r="G674" i="35"/>
  <c r="O674" i="35" s="1"/>
  <c r="N674" i="35" s="1"/>
  <c r="H674" i="35"/>
  <c r="E675" i="35" s="1" a="1"/>
  <c r="E675" i="35" s="1"/>
  <c r="F675" i="35" s="1" a="1"/>
  <c r="F675" i="35" s="1"/>
  <c r="M675" i="35" s="1"/>
  <c r="I675" i="35" s="1"/>
  <c r="G850" i="40" l="1"/>
  <c r="O850" i="40" s="1"/>
  <c r="H850" i="40"/>
  <c r="E851" i="40" s="1" a="1"/>
  <c r="E851" i="40" s="1"/>
  <c r="F851" i="40" s="1" a="1"/>
  <c r="F851" i="40" s="1"/>
  <c r="I979" i="39"/>
  <c r="G979" i="39"/>
  <c r="O979" i="39" s="1"/>
  <c r="P979" i="39" s="1"/>
  <c r="M980" i="39"/>
  <c r="I980" i="39" s="1"/>
  <c r="Q674" i="35"/>
  <c r="P674" i="35"/>
  <c r="G675" i="35"/>
  <c r="O675" i="35" s="1"/>
  <c r="P675" i="35" s="1"/>
  <c r="H675" i="35"/>
  <c r="E676" i="35" s="1" a="1"/>
  <c r="E676" i="35" s="1"/>
  <c r="F676" i="35" s="1" a="1"/>
  <c r="F676" i="35" s="1"/>
  <c r="M676" i="35" s="1"/>
  <c r="I676" i="35" s="1"/>
  <c r="M851" i="40" l="1"/>
  <c r="H851" i="40" s="1"/>
  <c r="E852" i="40" s="1" a="1"/>
  <c r="E852" i="40" s="1"/>
  <c r="F852" i="40" s="1" a="1"/>
  <c r="F852" i="40" s="1"/>
  <c r="P850" i="40"/>
  <c r="Q850" i="40"/>
  <c r="N850" i="40"/>
  <c r="N979" i="39"/>
  <c r="Q979" i="39"/>
  <c r="G980" i="39"/>
  <c r="O980" i="39" s="1"/>
  <c r="Q980" i="39" s="1"/>
  <c r="H980" i="39"/>
  <c r="E981" i="39" s="1" a="1"/>
  <c r="E981" i="39" s="1"/>
  <c r="F981" i="39" s="1" a="1"/>
  <c r="F981" i="39" s="1"/>
  <c r="M981" i="39" s="1"/>
  <c r="I981" i="39" s="1"/>
  <c r="Q675" i="35"/>
  <c r="N675" i="35"/>
  <c r="H676" i="35"/>
  <c r="E677" i="35" s="1" a="1"/>
  <c r="E677" i="35" s="1"/>
  <c r="F677" i="35" s="1" a="1"/>
  <c r="F677" i="35" s="1"/>
  <c r="M677" i="35" s="1"/>
  <c r="I677" i="35" s="1"/>
  <c r="G676" i="35"/>
  <c r="O676" i="35" s="1"/>
  <c r="M852" i="40" l="1"/>
  <c r="H852" i="40" s="1"/>
  <c r="E853" i="40" s="1" a="1"/>
  <c r="E853" i="40" s="1"/>
  <c r="F853" i="40" s="1" a="1"/>
  <c r="F853" i="40" s="1"/>
  <c r="I851" i="40"/>
  <c r="G851" i="40"/>
  <c r="O851" i="40" s="1"/>
  <c r="N980" i="39"/>
  <c r="P980" i="39"/>
  <c r="H981" i="39"/>
  <c r="E982" i="39" s="1" a="1"/>
  <c r="E982" i="39" s="1"/>
  <c r="F982" i="39" s="1" a="1"/>
  <c r="F982" i="39" s="1"/>
  <c r="G981" i="39"/>
  <c r="O981" i="39" s="1"/>
  <c r="G677" i="35"/>
  <c r="O677" i="35" s="1"/>
  <c r="N677" i="35" s="1"/>
  <c r="H677" i="35"/>
  <c r="E678" i="35" s="1" a="1"/>
  <c r="E678" i="35" s="1"/>
  <c r="F678" i="35" s="1" a="1"/>
  <c r="F678" i="35" s="1"/>
  <c r="M678" i="35" s="1"/>
  <c r="I678" i="35" s="1"/>
  <c r="N676" i="35"/>
  <c r="P676" i="35"/>
  <c r="Q676" i="35"/>
  <c r="M853" i="40" l="1"/>
  <c r="I853" i="40" s="1"/>
  <c r="I852" i="40"/>
  <c r="G852" i="40"/>
  <c r="O852" i="40" s="1"/>
  <c r="N851" i="40"/>
  <c r="Q851" i="40"/>
  <c r="P851" i="40"/>
  <c r="M982" i="39"/>
  <c r="I982" i="39" s="1"/>
  <c r="Q981" i="39"/>
  <c r="P981" i="39"/>
  <c r="N981" i="39"/>
  <c r="P677" i="35"/>
  <c r="Q677" i="35"/>
  <c r="H678" i="35"/>
  <c r="E679" i="35" s="1" a="1"/>
  <c r="E679" i="35" s="1"/>
  <c r="F679" i="35" s="1" a="1"/>
  <c r="F679" i="35" s="1"/>
  <c r="P852" i="40" l="1"/>
  <c r="Q852" i="40"/>
  <c r="N852" i="40"/>
  <c r="G853" i="40"/>
  <c r="O853" i="40" s="1"/>
  <c r="H853" i="40"/>
  <c r="E854" i="40" s="1" a="1"/>
  <c r="E854" i="40" s="1"/>
  <c r="F854" i="40" s="1" a="1"/>
  <c r="F854" i="40" s="1"/>
  <c r="H982" i="39"/>
  <c r="E983" i="39" s="1" a="1"/>
  <c r="E983" i="39" s="1"/>
  <c r="F983" i="39" s="1" a="1"/>
  <c r="F983" i="39" s="1"/>
  <c r="M983" i="39" s="1"/>
  <c r="H983" i="39" s="1"/>
  <c r="E984" i="39" s="1" a="1"/>
  <c r="E984" i="39" s="1"/>
  <c r="F984" i="39" s="1" a="1"/>
  <c r="F984" i="39" s="1"/>
  <c r="G982" i="39"/>
  <c r="O982" i="39" s="1"/>
  <c r="M679" i="35"/>
  <c r="I679" i="35" s="1"/>
  <c r="G678" i="35"/>
  <c r="O678" i="35" s="1"/>
  <c r="M854" i="40" l="1"/>
  <c r="I854" i="40" s="1"/>
  <c r="Q853" i="40"/>
  <c r="P853" i="40"/>
  <c r="N853" i="40"/>
  <c r="I983" i="39"/>
  <c r="M984" i="39"/>
  <c r="I984" i="39" s="1"/>
  <c r="P982" i="39"/>
  <c r="N982" i="39"/>
  <c r="Q982" i="39"/>
  <c r="G983" i="39"/>
  <c r="O983" i="39" s="1"/>
  <c r="G679" i="35"/>
  <c r="O679" i="35" s="1"/>
  <c r="P678" i="35"/>
  <c r="Q678" i="35"/>
  <c r="N678" i="35"/>
  <c r="H679" i="35"/>
  <c r="E680" i="35" s="1" a="1"/>
  <c r="E680" i="35" s="1"/>
  <c r="F680" i="35" s="1" a="1"/>
  <c r="F680" i="35" s="1"/>
  <c r="G854" i="40" l="1"/>
  <c r="O854" i="40" s="1"/>
  <c r="H854" i="40"/>
  <c r="E855" i="40" s="1" a="1"/>
  <c r="E855" i="40" s="1"/>
  <c r="F855" i="40" s="1" a="1"/>
  <c r="F855" i="40" s="1"/>
  <c r="G984" i="39"/>
  <c r="O984" i="39" s="1"/>
  <c r="P983" i="39"/>
  <c r="Q983" i="39"/>
  <c r="N983" i="39"/>
  <c r="H984" i="39"/>
  <c r="E985" i="39" s="1" a="1"/>
  <c r="E985" i="39" s="1"/>
  <c r="F985" i="39" s="1" a="1"/>
  <c r="F985" i="39" s="1"/>
  <c r="M680" i="35"/>
  <c r="I680" i="35" s="1"/>
  <c r="Q679" i="35"/>
  <c r="P679" i="35"/>
  <c r="N679" i="35"/>
  <c r="M855" i="40" l="1"/>
  <c r="H855" i="40" s="1"/>
  <c r="E856" i="40" s="1" a="1"/>
  <c r="E856" i="40" s="1"/>
  <c r="F856" i="40" s="1" a="1"/>
  <c r="F856" i="40" s="1"/>
  <c r="Q854" i="40"/>
  <c r="P854" i="40"/>
  <c r="N854" i="40"/>
  <c r="P984" i="39"/>
  <c r="N984" i="39"/>
  <c r="Q984" i="39"/>
  <c r="M985" i="39"/>
  <c r="G985" i="39" s="1"/>
  <c r="O985" i="39" s="1"/>
  <c r="H680" i="35"/>
  <c r="E681" i="35" s="1" a="1"/>
  <c r="E681" i="35" s="1"/>
  <c r="F681" i="35" s="1" a="1"/>
  <c r="F681" i="35" s="1"/>
  <c r="M681" i="35" s="1"/>
  <c r="I681" i="35" s="1"/>
  <c r="G680" i="35"/>
  <c r="O680" i="35" s="1"/>
  <c r="Q680" i="35" s="1"/>
  <c r="M856" i="40" l="1"/>
  <c r="H856" i="40" s="1"/>
  <c r="E857" i="40" s="1" a="1"/>
  <c r="E857" i="40" s="1"/>
  <c r="F857" i="40" s="1" a="1"/>
  <c r="F857" i="40" s="1"/>
  <c r="I855" i="40"/>
  <c r="G855" i="40"/>
  <c r="O855" i="40" s="1"/>
  <c r="H985" i="39"/>
  <c r="E986" i="39" s="1" a="1"/>
  <c r="E986" i="39" s="1"/>
  <c r="F986" i="39" s="1" a="1"/>
  <c r="F986" i="39" s="1"/>
  <c r="M986" i="39" s="1"/>
  <c r="I986" i="39" s="1"/>
  <c r="I985" i="39"/>
  <c r="Q985" i="39"/>
  <c r="N985" i="39"/>
  <c r="P985" i="39"/>
  <c r="P680" i="35"/>
  <c r="N680" i="35"/>
  <c r="H681" i="35"/>
  <c r="E682" i="35" s="1" a="1"/>
  <c r="E682" i="35" s="1"/>
  <c r="F682" i="35" s="1" a="1"/>
  <c r="F682" i="35" s="1"/>
  <c r="I856" i="40" l="1"/>
  <c r="G856" i="40"/>
  <c r="O856" i="40" s="1"/>
  <c r="Q856" i="40" s="1"/>
  <c r="M857" i="40"/>
  <c r="G857" i="40" s="1"/>
  <c r="O857" i="40" s="1"/>
  <c r="Q855" i="40"/>
  <c r="N855" i="40"/>
  <c r="P855" i="40"/>
  <c r="G986" i="39"/>
  <c r="O986" i="39" s="1"/>
  <c r="N986" i="39" s="1"/>
  <c r="H986" i="39"/>
  <c r="E987" i="39" s="1" a="1"/>
  <c r="E987" i="39" s="1"/>
  <c r="F987" i="39" s="1" a="1"/>
  <c r="F987" i="39" s="1"/>
  <c r="M987" i="39" s="1"/>
  <c r="H987" i="39" s="1"/>
  <c r="E988" i="39" s="1" a="1"/>
  <c r="E988" i="39" s="1"/>
  <c r="F988" i="39" s="1" a="1"/>
  <c r="F988" i="39" s="1"/>
  <c r="M682" i="35"/>
  <c r="I682" i="35" s="1"/>
  <c r="G681" i="35"/>
  <c r="O681" i="35" s="1"/>
  <c r="N856" i="40" l="1"/>
  <c r="P856" i="40"/>
  <c r="Q986" i="39"/>
  <c r="P986" i="39"/>
  <c r="Q857" i="40"/>
  <c r="P857" i="40"/>
  <c r="N857" i="40"/>
  <c r="I857" i="40"/>
  <c r="H857" i="40"/>
  <c r="E858" i="40" s="1" a="1"/>
  <c r="E858" i="40" s="1"/>
  <c r="F858" i="40" s="1" a="1"/>
  <c r="F858" i="40" s="1"/>
  <c r="M988" i="39"/>
  <c r="G988" i="39" s="1"/>
  <c r="O988" i="39" s="1"/>
  <c r="G987" i="39"/>
  <c r="O987" i="39" s="1"/>
  <c r="I987" i="39"/>
  <c r="N681" i="35"/>
  <c r="Q681" i="35"/>
  <c r="P681" i="35"/>
  <c r="M858" i="40" l="1"/>
  <c r="H858" i="40" s="1"/>
  <c r="E859" i="40" s="1" a="1"/>
  <c r="E859" i="40" s="1"/>
  <c r="F859" i="40" s="1" a="1"/>
  <c r="F859" i="40" s="1"/>
  <c r="H988" i="39"/>
  <c r="E989" i="39" s="1" a="1"/>
  <c r="E989" i="39" s="1"/>
  <c r="F989" i="39" s="1" a="1"/>
  <c r="F989" i="39" s="1"/>
  <c r="M989" i="39" s="1"/>
  <c r="G989" i="39" s="1"/>
  <c r="O989" i="39" s="1"/>
  <c r="I988" i="39"/>
  <c r="Q988" i="39"/>
  <c r="P988" i="39"/>
  <c r="N988" i="39"/>
  <c r="Q987" i="39"/>
  <c r="P987" i="39"/>
  <c r="N987" i="39"/>
  <c r="G682" i="35"/>
  <c r="O682" i="35" s="1"/>
  <c r="H682" i="35"/>
  <c r="E683" i="35" s="1" a="1"/>
  <c r="E683" i="35" s="1"/>
  <c r="F683" i="35" s="1" a="1"/>
  <c r="F683" i="35" s="1"/>
  <c r="G858" i="40" l="1"/>
  <c r="O858" i="40" s="1"/>
  <c r="Q858" i="40" s="1"/>
  <c r="I858" i="40"/>
  <c r="M859" i="40"/>
  <c r="G859" i="40" s="1"/>
  <c r="O859" i="40" s="1"/>
  <c r="Q989" i="39"/>
  <c r="N989" i="39"/>
  <c r="P989" i="39"/>
  <c r="H989" i="39"/>
  <c r="E990" i="39" s="1" a="1"/>
  <c r="E990" i="39" s="1"/>
  <c r="F990" i="39" s="1" a="1"/>
  <c r="F990" i="39" s="1"/>
  <c r="M990" i="39" s="1"/>
  <c r="I990" i="39" s="1"/>
  <c r="I989" i="39"/>
  <c r="M683" i="35"/>
  <c r="I683" i="35" s="1"/>
  <c r="N682" i="35"/>
  <c r="P682" i="35"/>
  <c r="Q682" i="35"/>
  <c r="P858" i="40" l="1"/>
  <c r="N858" i="40"/>
  <c r="I859" i="40"/>
  <c r="H859" i="40"/>
  <c r="E860" i="40" s="1" a="1"/>
  <c r="E860" i="40" s="1"/>
  <c r="F860" i="40" s="1" a="1"/>
  <c r="F860" i="40" s="1"/>
  <c r="M860" i="40" s="1"/>
  <c r="H860" i="40" s="1"/>
  <c r="E861" i="40" s="1" a="1"/>
  <c r="E861" i="40" s="1"/>
  <c r="F861" i="40" s="1" a="1"/>
  <c r="F861" i="40" s="1"/>
  <c r="Q859" i="40"/>
  <c r="N859" i="40"/>
  <c r="P859" i="40"/>
  <c r="G990" i="39"/>
  <c r="O990" i="39" s="1"/>
  <c r="N990" i="39" s="1"/>
  <c r="H990" i="39"/>
  <c r="E991" i="39" s="1" a="1"/>
  <c r="E991" i="39" s="1"/>
  <c r="F991" i="39" s="1" a="1"/>
  <c r="F991" i="39" s="1"/>
  <c r="M991" i="39" s="1"/>
  <c r="I991" i="39" s="1"/>
  <c r="G683" i="35"/>
  <c r="O683" i="35" s="1"/>
  <c r="P683" i="35" s="1"/>
  <c r="H683" i="35"/>
  <c r="E684" i="35" s="1" a="1"/>
  <c r="E684" i="35" s="1"/>
  <c r="F684" i="35" s="1" a="1"/>
  <c r="F684" i="35" s="1"/>
  <c r="M684" i="35" s="1"/>
  <c r="I684" i="35" s="1"/>
  <c r="I860" i="40" l="1"/>
  <c r="M861" i="40"/>
  <c r="H861" i="40" s="1"/>
  <c r="E862" i="40" s="1" a="1"/>
  <c r="E862" i="40" s="1"/>
  <c r="F862" i="40" s="1" a="1"/>
  <c r="F862" i="40" s="1"/>
  <c r="G860" i="40"/>
  <c r="O860" i="40" s="1"/>
  <c r="P990" i="39"/>
  <c r="Q990" i="39"/>
  <c r="H991" i="39"/>
  <c r="E992" i="39" s="1" a="1"/>
  <c r="E992" i="39" s="1"/>
  <c r="F992" i="39" s="1" a="1"/>
  <c r="F992" i="39" s="1"/>
  <c r="G991" i="39"/>
  <c r="O991" i="39" s="1"/>
  <c r="Q991" i="39" s="1"/>
  <c r="N683" i="35"/>
  <c r="Q683" i="35"/>
  <c r="G684" i="35"/>
  <c r="O684" i="35" s="1"/>
  <c r="I861" i="40" l="1"/>
  <c r="G861" i="40"/>
  <c r="O861" i="40" s="1"/>
  <c r="Q861" i="40" s="1"/>
  <c r="Q860" i="40"/>
  <c r="N860" i="40"/>
  <c r="P860" i="40"/>
  <c r="M862" i="40"/>
  <c r="G862" i="40" s="1"/>
  <c r="O862" i="40" s="1"/>
  <c r="P861" i="40"/>
  <c r="P991" i="39"/>
  <c r="N991" i="39"/>
  <c r="M992" i="39"/>
  <c r="H992" i="39" s="1"/>
  <c r="E993" i="39" s="1" a="1"/>
  <c r="E993" i="39" s="1"/>
  <c r="F993" i="39" s="1" a="1"/>
  <c r="F993" i="39" s="1"/>
  <c r="M993" i="39" s="1"/>
  <c r="H993" i="39" s="1"/>
  <c r="E994" i="39" s="1" a="1"/>
  <c r="E994" i="39" s="1"/>
  <c r="F994" i="39" s="1" a="1"/>
  <c r="F994" i="39" s="1"/>
  <c r="N684" i="35"/>
  <c r="Q684" i="35"/>
  <c r="P684" i="35"/>
  <c r="H684" i="35"/>
  <c r="E685" i="35" s="1" a="1"/>
  <c r="E685" i="35" s="1"/>
  <c r="F685" i="35" s="1" a="1"/>
  <c r="F685" i="35" s="1"/>
  <c r="N861" i="40" l="1"/>
  <c r="H862" i="40"/>
  <c r="E863" i="40" s="1" a="1"/>
  <c r="E863" i="40" s="1"/>
  <c r="F863" i="40" s="1" a="1"/>
  <c r="F863" i="40" s="1"/>
  <c r="M863" i="40" s="1"/>
  <c r="H863" i="40" s="1"/>
  <c r="E864" i="40" s="1" a="1"/>
  <c r="E864" i="40" s="1"/>
  <c r="F864" i="40" s="1" a="1"/>
  <c r="F864" i="40" s="1"/>
  <c r="I862" i="40"/>
  <c r="Q862" i="40"/>
  <c r="N862" i="40"/>
  <c r="P862" i="40"/>
  <c r="G992" i="39"/>
  <c r="O992" i="39" s="1"/>
  <c r="I992" i="39"/>
  <c r="M994" i="39"/>
  <c r="I994" i="39" s="1"/>
  <c r="G993" i="39"/>
  <c r="O993" i="39" s="1"/>
  <c r="I993" i="39"/>
  <c r="M685" i="35"/>
  <c r="I685" i="35" s="1"/>
  <c r="M864" i="40" l="1"/>
  <c r="H864" i="40" s="1"/>
  <c r="E865" i="40" s="1" a="1"/>
  <c r="E865" i="40" s="1"/>
  <c r="F865" i="40" s="1" a="1"/>
  <c r="F865" i="40" s="1"/>
  <c r="G863" i="40"/>
  <c r="O863" i="40" s="1"/>
  <c r="I863" i="40"/>
  <c r="G994" i="39"/>
  <c r="O994" i="39" s="1"/>
  <c r="Q994" i="39" s="1"/>
  <c r="H994" i="39"/>
  <c r="E995" i="39" s="1" a="1"/>
  <c r="E995" i="39" s="1"/>
  <c r="F995" i="39" s="1" a="1"/>
  <c r="F995" i="39" s="1"/>
  <c r="M995" i="39" s="1"/>
  <c r="I995" i="39" s="1"/>
  <c r="P992" i="39"/>
  <c r="N992" i="39"/>
  <c r="Q992" i="39"/>
  <c r="Q993" i="39"/>
  <c r="P993" i="39"/>
  <c r="N993" i="39"/>
  <c r="N994" i="39" l="1"/>
  <c r="P994" i="39"/>
  <c r="M865" i="40"/>
  <c r="G865" i="40" s="1"/>
  <c r="O865" i="40" s="1"/>
  <c r="P863" i="40"/>
  <c r="Q863" i="40"/>
  <c r="N863" i="40"/>
  <c r="I864" i="40"/>
  <c r="G864" i="40"/>
  <c r="O864" i="40" s="1"/>
  <c r="G995" i="39"/>
  <c r="O995" i="39" s="1"/>
  <c r="H995" i="39"/>
  <c r="E996" i="39" s="1" a="1"/>
  <c r="E996" i="39" s="1"/>
  <c r="F996" i="39" s="1" a="1"/>
  <c r="F996" i="39" s="1"/>
  <c r="G685" i="35"/>
  <c r="O685" i="35" s="1"/>
  <c r="H685" i="35"/>
  <c r="E686" i="35" s="1" a="1"/>
  <c r="E686" i="35" s="1"/>
  <c r="F686" i="35" s="1" a="1"/>
  <c r="F686" i="35" s="1"/>
  <c r="I865" i="40" l="1"/>
  <c r="H865" i="40"/>
  <c r="E866" i="40" s="1" a="1"/>
  <c r="E866" i="40" s="1"/>
  <c r="F866" i="40" s="1" a="1"/>
  <c r="F866" i="40" s="1"/>
  <c r="M866" i="40" s="1"/>
  <c r="G866" i="40" s="1"/>
  <c r="O866" i="40" s="1"/>
  <c r="Q864" i="40"/>
  <c r="P864" i="40"/>
  <c r="N864" i="40"/>
  <c r="Q865" i="40"/>
  <c r="P865" i="40"/>
  <c r="N865" i="40"/>
  <c r="M996" i="39"/>
  <c r="I996" i="39" s="1"/>
  <c r="P995" i="39"/>
  <c r="N995" i="39"/>
  <c r="Q995" i="39"/>
  <c r="M686" i="35"/>
  <c r="I686" i="35" s="1"/>
  <c r="P685" i="35"/>
  <c r="Q685" i="35"/>
  <c r="N685" i="35"/>
  <c r="P866" i="40" l="1"/>
  <c r="N866" i="40"/>
  <c r="Q866" i="40"/>
  <c r="I866" i="40"/>
  <c r="H866" i="40"/>
  <c r="E867" i="40" s="1" a="1"/>
  <c r="E867" i="40" s="1"/>
  <c r="F867" i="40" s="1" a="1"/>
  <c r="F867" i="40" s="1"/>
  <c r="G996" i="39"/>
  <c r="O996" i="39" s="1"/>
  <c r="Q996" i="39" s="1"/>
  <c r="H996" i="39"/>
  <c r="E997" i="39" s="1" a="1"/>
  <c r="E997" i="39" s="1"/>
  <c r="F997" i="39" s="1" a="1"/>
  <c r="F997" i="39" s="1"/>
  <c r="M997" i="39" s="1"/>
  <c r="N996" i="39" l="1"/>
  <c r="P996" i="39"/>
  <c r="M867" i="40"/>
  <c r="G867" i="40" s="1"/>
  <c r="O867" i="40" s="1"/>
  <c r="H997" i="39"/>
  <c r="E998" i="39" s="1" a="1"/>
  <c r="E998" i="39" s="1"/>
  <c r="F998" i="39" s="1" a="1"/>
  <c r="F998" i="39" s="1"/>
  <c r="M998" i="39" s="1"/>
  <c r="G997" i="39"/>
  <c r="O997" i="39" s="1"/>
  <c r="N997" i="39" s="1"/>
  <c r="I997" i="39"/>
  <c r="G686" i="35"/>
  <c r="O686" i="35" s="1"/>
  <c r="H686" i="35"/>
  <c r="E687" i="35" s="1" a="1"/>
  <c r="E687" i="35" s="1"/>
  <c r="F687" i="35" s="1" a="1"/>
  <c r="F687" i="35" s="1"/>
  <c r="H867" i="40" l="1"/>
  <c r="E868" i="40" s="1" a="1"/>
  <c r="E868" i="40" s="1"/>
  <c r="F868" i="40" s="1" a="1"/>
  <c r="F868" i="40" s="1"/>
  <c r="Q867" i="40"/>
  <c r="P867" i="40"/>
  <c r="N867" i="40"/>
  <c r="I867" i="40"/>
  <c r="Q997" i="39"/>
  <c r="P997" i="39"/>
  <c r="G998" i="39"/>
  <c r="O998" i="39" s="1"/>
  <c r="N998" i="39" s="1"/>
  <c r="I998" i="39"/>
  <c r="H998" i="39"/>
  <c r="E999" i="39" s="1" a="1"/>
  <c r="E999" i="39" s="1"/>
  <c r="F999" i="39" s="1" a="1"/>
  <c r="F999" i="39" s="1"/>
  <c r="M687" i="35"/>
  <c r="I687" i="35" s="1"/>
  <c r="P686" i="35"/>
  <c r="Q686" i="35"/>
  <c r="N686" i="35"/>
  <c r="P998" i="39" l="1"/>
  <c r="M868" i="40"/>
  <c r="G868" i="40" s="1"/>
  <c r="O868" i="40" s="1"/>
  <c r="Q998" i="39"/>
  <c r="M999" i="39"/>
  <c r="I999" i="39" s="1"/>
  <c r="H868" i="40" l="1"/>
  <c r="E869" i="40" s="1" a="1"/>
  <c r="E869" i="40" s="1"/>
  <c r="F869" i="40" s="1" a="1"/>
  <c r="F869" i="40" s="1"/>
  <c r="M869" i="40" s="1"/>
  <c r="N868" i="40"/>
  <c r="Q868" i="40"/>
  <c r="P868" i="40"/>
  <c r="I868" i="40"/>
  <c r="G999" i="39"/>
  <c r="O999" i="39" s="1"/>
  <c r="H999" i="39"/>
  <c r="E1000" i="39" s="1" a="1"/>
  <c r="E1000" i="39" s="1"/>
  <c r="F1000" i="39" s="1" a="1"/>
  <c r="F1000" i="39" s="1"/>
  <c r="G687" i="35"/>
  <c r="O687" i="35" s="1"/>
  <c r="H687" i="35"/>
  <c r="E688" i="35" s="1" a="1"/>
  <c r="E688" i="35" s="1"/>
  <c r="F688" i="35" s="1" a="1"/>
  <c r="F688" i="35" s="1"/>
  <c r="H869" i="40" l="1"/>
  <c r="E870" i="40" s="1" a="1"/>
  <c r="E870" i="40" s="1"/>
  <c r="F870" i="40" s="1" a="1"/>
  <c r="F870" i="40" s="1"/>
  <c r="M870" i="40" s="1"/>
  <c r="H870" i="40" s="1"/>
  <c r="E871" i="40" s="1" a="1"/>
  <c r="E871" i="40" s="1"/>
  <c r="F871" i="40" s="1" a="1"/>
  <c r="F871" i="40" s="1"/>
  <c r="I869" i="40"/>
  <c r="G869" i="40"/>
  <c r="O869" i="40" s="1"/>
  <c r="M1000" i="39"/>
  <c r="H1000" i="39" s="1"/>
  <c r="E1001" i="39" s="1" a="1"/>
  <c r="E1001" i="39" s="1"/>
  <c r="F1001" i="39" s="1" a="1"/>
  <c r="F1001" i="39" s="1"/>
  <c r="N999" i="39"/>
  <c r="P999" i="39"/>
  <c r="Q999" i="39"/>
  <c r="M688" i="35"/>
  <c r="I688" i="35" s="1"/>
  <c r="Q687" i="35"/>
  <c r="N687" i="35"/>
  <c r="P687" i="35"/>
  <c r="N869" i="40" l="1"/>
  <c r="Q869" i="40"/>
  <c r="P869" i="40"/>
  <c r="M871" i="40"/>
  <c r="G871" i="40" s="1"/>
  <c r="O871" i="40" s="1"/>
  <c r="P871" i="40" s="1"/>
  <c r="G870" i="40"/>
  <c r="O870" i="40" s="1"/>
  <c r="I870" i="40"/>
  <c r="G1000" i="39"/>
  <c r="O1000" i="39" s="1"/>
  <c r="Q1000" i="39" s="1"/>
  <c r="I1000" i="39"/>
  <c r="M1001" i="39"/>
  <c r="G1001" i="39" s="1"/>
  <c r="O1001" i="39" s="1"/>
  <c r="G688" i="35"/>
  <c r="O688" i="35" s="1"/>
  <c r="N688" i="35" s="1"/>
  <c r="H688" i="35"/>
  <c r="E689" i="35" s="1" a="1"/>
  <c r="E689" i="35" s="1"/>
  <c r="F689" i="35" s="1" a="1"/>
  <c r="F689" i="35" s="1"/>
  <c r="H871" i="40" l="1"/>
  <c r="E872" i="40" s="1" a="1"/>
  <c r="E872" i="40" s="1"/>
  <c r="F872" i="40" s="1" a="1"/>
  <c r="F872" i="40" s="1"/>
  <c r="M872" i="40" s="1"/>
  <c r="H872" i="40" s="1"/>
  <c r="E873" i="40" s="1" a="1"/>
  <c r="E873" i="40" s="1"/>
  <c r="F873" i="40" s="1" a="1"/>
  <c r="F873" i="40" s="1"/>
  <c r="M873" i="40" s="1"/>
  <c r="I873" i="40" s="1"/>
  <c r="I871" i="40"/>
  <c r="Q871" i="40"/>
  <c r="N871" i="40"/>
  <c r="N870" i="40"/>
  <c r="P870" i="40"/>
  <c r="Q870" i="40"/>
  <c r="N1000" i="39"/>
  <c r="P1000" i="39"/>
  <c r="H1001" i="39"/>
  <c r="E1002" i="39" s="1" a="1"/>
  <c r="E1002" i="39" s="1"/>
  <c r="F1002" i="39" s="1" a="1"/>
  <c r="F1002" i="39" s="1"/>
  <c r="M1002" i="39" s="1"/>
  <c r="I1002" i="39" s="1"/>
  <c r="I1001" i="39"/>
  <c r="N1001" i="39"/>
  <c r="Q1001" i="39"/>
  <c r="P1001" i="39"/>
  <c r="Q688" i="35"/>
  <c r="P688" i="35"/>
  <c r="M689" i="35"/>
  <c r="I689" i="35" s="1"/>
  <c r="I872" i="40" l="1"/>
  <c r="G872" i="40"/>
  <c r="O872" i="40" s="1"/>
  <c r="P872" i="40" s="1"/>
  <c r="H873" i="40"/>
  <c r="E874" i="40" s="1" a="1"/>
  <c r="E874" i="40" s="1"/>
  <c r="F874" i="40" s="1" a="1"/>
  <c r="F874" i="40" s="1"/>
  <c r="M874" i="40" s="1"/>
  <c r="H874" i="40" s="1"/>
  <c r="E875" i="40" s="1" a="1"/>
  <c r="E875" i="40" s="1"/>
  <c r="F875" i="40" s="1" a="1"/>
  <c r="F875" i="40" s="1"/>
  <c r="G873" i="40"/>
  <c r="O873" i="40" s="1"/>
  <c r="Q873" i="40" s="1"/>
  <c r="Q872" i="40"/>
  <c r="G1002" i="39"/>
  <c r="O1002" i="39" s="1"/>
  <c r="H1002" i="39"/>
  <c r="E1003" i="39" s="1" a="1"/>
  <c r="E1003" i="39" s="1"/>
  <c r="F1003" i="39" s="1" a="1"/>
  <c r="F1003" i="39" s="1"/>
  <c r="H689" i="35"/>
  <c r="E690" i="35" s="1" a="1"/>
  <c r="E690" i="35" s="1"/>
  <c r="F690" i="35" s="1" a="1"/>
  <c r="F690" i="35" s="1"/>
  <c r="G689" i="35"/>
  <c r="O689" i="35" s="1"/>
  <c r="N872" i="40" l="1"/>
  <c r="N873" i="40"/>
  <c r="P873" i="40"/>
  <c r="G874" i="40"/>
  <c r="O874" i="40" s="1"/>
  <c r="Q874" i="40" s="1"/>
  <c r="M875" i="40"/>
  <c r="G875" i="40" s="1"/>
  <c r="O875" i="40" s="1"/>
  <c r="I874" i="40"/>
  <c r="M1003" i="39"/>
  <c r="I1003" i="39" s="1"/>
  <c r="Q1002" i="39"/>
  <c r="N1002" i="39"/>
  <c r="P1002" i="39"/>
  <c r="M690" i="35"/>
  <c r="G690" i="35" s="1"/>
  <c r="O690" i="35" s="1"/>
  <c r="N689" i="35"/>
  <c r="Q689" i="35"/>
  <c r="P689" i="35"/>
  <c r="P874" i="40" l="1"/>
  <c r="N874" i="40"/>
  <c r="P875" i="40"/>
  <c r="N875" i="40"/>
  <c r="Q875" i="40"/>
  <c r="H875" i="40"/>
  <c r="E876" i="40" s="1" a="1"/>
  <c r="E876" i="40" s="1"/>
  <c r="F876" i="40" s="1" a="1"/>
  <c r="F876" i="40" s="1"/>
  <c r="I875" i="40"/>
  <c r="G1003" i="39"/>
  <c r="O1003" i="39" s="1"/>
  <c r="Q1003" i="39" s="1"/>
  <c r="H1003" i="39"/>
  <c r="E1004" i="39" s="1" a="1"/>
  <c r="E1004" i="39" s="1"/>
  <c r="F1004" i="39" s="1" a="1"/>
  <c r="F1004" i="39" s="1"/>
  <c r="M1004" i="39" s="1"/>
  <c r="G1004" i="39" s="1"/>
  <c r="O1004" i="39" s="1"/>
  <c r="H690" i="35"/>
  <c r="E691" i="35" s="1" a="1"/>
  <c r="E691" i="35" s="1"/>
  <c r="F691" i="35" s="1" a="1"/>
  <c r="F691" i="35" s="1"/>
  <c r="I690" i="35"/>
  <c r="N690" i="35"/>
  <c r="P690" i="35"/>
  <c r="Q690" i="35"/>
  <c r="N1003" i="39" l="1"/>
  <c r="P1003" i="39"/>
  <c r="M876" i="40"/>
  <c r="H876" i="40" s="1"/>
  <c r="E877" i="40" s="1" a="1"/>
  <c r="E877" i="40" s="1"/>
  <c r="F877" i="40" s="1" a="1"/>
  <c r="F877" i="40" s="1"/>
  <c r="Q1004" i="39"/>
  <c r="P1004" i="39"/>
  <c r="N1004" i="39"/>
  <c r="H1004" i="39"/>
  <c r="E1005" i="39" s="1" a="1"/>
  <c r="E1005" i="39" s="1"/>
  <c r="F1005" i="39" s="1" a="1"/>
  <c r="F1005" i="39" s="1"/>
  <c r="I1004" i="39"/>
  <c r="M691" i="35"/>
  <c r="I691" i="35" s="1"/>
  <c r="G876" i="40" l="1"/>
  <c r="O876" i="40" s="1"/>
  <c r="N876" i="40" s="1"/>
  <c r="I876" i="40"/>
  <c r="M877" i="40"/>
  <c r="I877" i="40" s="1"/>
  <c r="M1005" i="39"/>
  <c r="I1005" i="39" s="1"/>
  <c r="H691" i="35"/>
  <c r="E692" i="35" s="1" a="1"/>
  <c r="E692" i="35" s="1"/>
  <c r="F692" i="35" s="1" a="1"/>
  <c r="F692" i="35" s="1"/>
  <c r="G691" i="35"/>
  <c r="O691" i="35" s="1"/>
  <c r="Q876" i="40" l="1"/>
  <c r="P876" i="40"/>
  <c r="H877" i="40"/>
  <c r="E878" i="40" s="1" a="1"/>
  <c r="E878" i="40" s="1"/>
  <c r="F878" i="40" s="1" a="1"/>
  <c r="F878" i="40" s="1"/>
  <c r="M878" i="40" s="1"/>
  <c r="G878" i="40" s="1"/>
  <c r="O878" i="40" s="1"/>
  <c r="G877" i="40"/>
  <c r="O877" i="40" s="1"/>
  <c r="P877" i="40" s="1"/>
  <c r="H1005" i="39"/>
  <c r="E1006" i="39" s="1" a="1"/>
  <c r="E1006" i="39" s="1"/>
  <c r="F1006" i="39" s="1" a="1"/>
  <c r="F1006" i="39" s="1"/>
  <c r="G1005" i="39"/>
  <c r="O1005" i="39" s="1"/>
  <c r="P1005" i="39" s="1"/>
  <c r="M692" i="35"/>
  <c r="I692" i="35" s="1"/>
  <c r="P691" i="35"/>
  <c r="N691" i="35"/>
  <c r="Q691" i="35"/>
  <c r="Q877" i="40" l="1"/>
  <c r="N877" i="40"/>
  <c r="N878" i="40"/>
  <c r="P878" i="40"/>
  <c r="Q878" i="40"/>
  <c r="H878" i="40"/>
  <c r="E879" i="40" s="1" a="1"/>
  <c r="E879" i="40" s="1"/>
  <c r="F879" i="40" s="1" a="1"/>
  <c r="F879" i="40" s="1"/>
  <c r="I878" i="40"/>
  <c r="Q1005" i="39"/>
  <c r="N1005" i="39"/>
  <c r="M1006" i="39"/>
  <c r="G1006" i="39" s="1"/>
  <c r="O1006" i="39" s="1"/>
  <c r="P1006" i="39" s="1"/>
  <c r="G692" i="35"/>
  <c r="O692" i="35" s="1"/>
  <c r="Q692" i="35" s="1"/>
  <c r="H692" i="35"/>
  <c r="E693" i="35" s="1" a="1"/>
  <c r="E693" i="35" s="1"/>
  <c r="F693" i="35" s="1" a="1"/>
  <c r="F693" i="35" s="1"/>
  <c r="M879" i="40" l="1"/>
  <c r="H879" i="40" s="1"/>
  <c r="E880" i="40" s="1" a="1"/>
  <c r="E880" i="40" s="1"/>
  <c r="F880" i="40" s="1" a="1"/>
  <c r="F880" i="40" s="1"/>
  <c r="N1006" i="39"/>
  <c r="Q1006" i="39"/>
  <c r="I1006" i="39"/>
  <c r="H1006" i="39"/>
  <c r="E1007" i="39" s="1" a="1"/>
  <c r="E1007" i="39" s="1"/>
  <c r="F1007" i="39" s="1" a="1"/>
  <c r="F1007" i="39" s="1"/>
  <c r="N692" i="35"/>
  <c r="P692" i="35"/>
  <c r="M693" i="35"/>
  <c r="I693" i="35" s="1"/>
  <c r="M880" i="40" l="1"/>
  <c r="H880" i="40" s="1"/>
  <c r="E881" i="40" s="1" a="1"/>
  <c r="E881" i="40" s="1"/>
  <c r="F881" i="40" s="1" a="1"/>
  <c r="F881" i="40" s="1"/>
  <c r="G879" i="40"/>
  <c r="O879" i="40" s="1"/>
  <c r="I879" i="40"/>
  <c r="M1007" i="39"/>
  <c r="H1007" i="39" s="1"/>
  <c r="E1008" i="39" s="1" a="1"/>
  <c r="E1008" i="39" s="1"/>
  <c r="F1008" i="39" s="1" a="1"/>
  <c r="F1008" i="39" s="1"/>
  <c r="G880" i="40" l="1"/>
  <c r="O880" i="40" s="1"/>
  <c r="I880" i="40"/>
  <c r="M881" i="40"/>
  <c r="G881" i="40" s="1"/>
  <c r="O881" i="40" s="1"/>
  <c r="P879" i="40"/>
  <c r="N879" i="40"/>
  <c r="Q879" i="40"/>
  <c r="I1007" i="39"/>
  <c r="N880" i="40"/>
  <c r="Q880" i="40"/>
  <c r="P880" i="40"/>
  <c r="M1008" i="39"/>
  <c r="G1008" i="39" s="1"/>
  <c r="O1008" i="39" s="1"/>
  <c r="G1007" i="39"/>
  <c r="O1007" i="39" s="1"/>
  <c r="G693" i="35"/>
  <c r="O693" i="35" s="1"/>
  <c r="H693" i="35"/>
  <c r="E694" i="35" s="1" a="1"/>
  <c r="E694" i="35" s="1"/>
  <c r="F694" i="35" s="1" a="1"/>
  <c r="F694" i="35" s="1"/>
  <c r="I881" i="40" l="1"/>
  <c r="H881" i="40"/>
  <c r="E882" i="40" s="1" a="1"/>
  <c r="E882" i="40" s="1"/>
  <c r="F882" i="40" s="1" a="1"/>
  <c r="F882" i="40" s="1"/>
  <c r="M882" i="40" s="1"/>
  <c r="H882" i="40" s="1"/>
  <c r="E883" i="40" s="1" a="1"/>
  <c r="E883" i="40" s="1"/>
  <c r="F883" i="40" s="1" a="1"/>
  <c r="F883" i="40" s="1"/>
  <c r="H1008" i="39"/>
  <c r="E1009" i="39" s="1" a="1"/>
  <c r="E1009" i="39" s="1"/>
  <c r="F1009" i="39" s="1" a="1"/>
  <c r="F1009" i="39" s="1"/>
  <c r="M1009" i="39" s="1"/>
  <c r="H1009" i="39" s="1"/>
  <c r="E1010" i="39" s="1" a="1"/>
  <c r="E1010" i="39" s="1"/>
  <c r="F1010" i="39" s="1" a="1"/>
  <c r="F1010" i="39" s="1"/>
  <c r="M1010" i="39" s="1"/>
  <c r="G1010" i="39" s="1"/>
  <c r="O1010" i="39" s="1"/>
  <c r="N1010" i="39" s="1"/>
  <c r="I1008" i="39"/>
  <c r="N881" i="40"/>
  <c r="Q881" i="40"/>
  <c r="P881" i="40"/>
  <c r="Q1007" i="39"/>
  <c r="P1007" i="39"/>
  <c r="N1007" i="39"/>
  <c r="Q1008" i="39"/>
  <c r="N1008" i="39"/>
  <c r="P1008" i="39"/>
  <c r="M694" i="35"/>
  <c r="I694" i="35" s="1"/>
  <c r="N693" i="35"/>
  <c r="Q693" i="35"/>
  <c r="P693" i="35"/>
  <c r="G882" i="40" l="1"/>
  <c r="O882" i="40" s="1"/>
  <c r="P882" i="40" s="1"/>
  <c r="I882" i="40"/>
  <c r="M883" i="40"/>
  <c r="I883" i="40" s="1"/>
  <c r="I1009" i="39"/>
  <c r="H1010" i="39"/>
  <c r="E1011" i="39" s="1" a="1"/>
  <c r="E1011" i="39" s="1"/>
  <c r="F1011" i="39" s="1" a="1"/>
  <c r="F1011" i="39" s="1"/>
  <c r="M1011" i="39" s="1"/>
  <c r="P1010" i="39"/>
  <c r="Q1010" i="39"/>
  <c r="I1010" i="39"/>
  <c r="G1009" i="39"/>
  <c r="O1009" i="39" s="1"/>
  <c r="G694" i="35"/>
  <c r="O694" i="35" s="1"/>
  <c r="Q694" i="35" s="1"/>
  <c r="H694" i="35"/>
  <c r="E695" i="35" s="1" a="1"/>
  <c r="E695" i="35" s="1"/>
  <c r="F695" i="35" s="1" a="1"/>
  <c r="F695" i="35" s="1"/>
  <c r="N882" i="40" l="1"/>
  <c r="Q882" i="40"/>
  <c r="G883" i="40"/>
  <c r="O883" i="40" s="1"/>
  <c r="H883" i="40"/>
  <c r="E884" i="40" s="1" a="1"/>
  <c r="E884" i="40" s="1"/>
  <c r="F884" i="40" s="1" a="1"/>
  <c r="F884" i="40" s="1"/>
  <c r="G1011" i="39"/>
  <c r="O1011" i="39" s="1"/>
  <c r="P1011" i="39" s="1"/>
  <c r="I1011" i="39"/>
  <c r="H1011" i="39"/>
  <c r="E1012" i="39" s="1" a="1"/>
  <c r="E1012" i="39" s="1"/>
  <c r="F1012" i="39" s="1" a="1"/>
  <c r="F1012" i="39" s="1"/>
  <c r="M1012" i="39" s="1"/>
  <c r="H1012" i="39" s="1"/>
  <c r="E1013" i="39" s="1" a="1"/>
  <c r="E1013" i="39" s="1"/>
  <c r="F1013" i="39" s="1" a="1"/>
  <c r="F1013" i="39" s="1"/>
  <c r="Q1009" i="39"/>
  <c r="P1009" i="39"/>
  <c r="N1009" i="39"/>
  <c r="N694" i="35"/>
  <c r="P694" i="35"/>
  <c r="M695" i="35"/>
  <c r="I695" i="35" s="1"/>
  <c r="Q1011" i="39" l="1"/>
  <c r="N1011" i="39"/>
  <c r="M884" i="40"/>
  <c r="H884" i="40" s="1"/>
  <c r="E885" i="40" s="1" a="1"/>
  <c r="E885" i="40" s="1"/>
  <c r="F885" i="40" s="1" a="1"/>
  <c r="F885" i="40" s="1"/>
  <c r="P883" i="40"/>
  <c r="Q883" i="40"/>
  <c r="N883" i="40"/>
  <c r="M1013" i="39"/>
  <c r="G1013" i="39" s="1"/>
  <c r="O1013" i="39" s="1"/>
  <c r="I1012" i="39"/>
  <c r="G1012" i="39"/>
  <c r="O1012" i="39" s="1"/>
  <c r="H695" i="35"/>
  <c r="E696" i="35" s="1" a="1"/>
  <c r="E696" i="35" s="1"/>
  <c r="F696" i="35" s="1" a="1"/>
  <c r="F696" i="35" s="1"/>
  <c r="M696" i="35" s="1"/>
  <c r="I696" i="35" s="1"/>
  <c r="G695" i="35"/>
  <c r="O695" i="35" s="1"/>
  <c r="M885" i="40" l="1"/>
  <c r="H885" i="40" s="1"/>
  <c r="E886" i="40" s="1" a="1"/>
  <c r="E886" i="40" s="1"/>
  <c r="F886" i="40" s="1" a="1"/>
  <c r="F886" i="40" s="1"/>
  <c r="I884" i="40"/>
  <c r="G884" i="40"/>
  <c r="O884" i="40" s="1"/>
  <c r="H1013" i="39"/>
  <c r="E1014" i="39" s="1" a="1"/>
  <c r="E1014" i="39" s="1"/>
  <c r="F1014" i="39" s="1" a="1"/>
  <c r="F1014" i="39" s="1"/>
  <c r="M1014" i="39" s="1"/>
  <c r="G1014" i="39" s="1"/>
  <c r="O1014" i="39" s="1"/>
  <c r="P1012" i="39"/>
  <c r="Q1012" i="39"/>
  <c r="N1012" i="39"/>
  <c r="Q1013" i="39"/>
  <c r="N1013" i="39"/>
  <c r="P1013" i="39"/>
  <c r="I1013" i="39"/>
  <c r="Q695" i="35"/>
  <c r="P695" i="35"/>
  <c r="N695" i="35"/>
  <c r="G696" i="35"/>
  <c r="O696" i="35" s="1"/>
  <c r="P696" i="35" s="1"/>
  <c r="H696" i="35"/>
  <c r="E697" i="35" s="1" a="1"/>
  <c r="E697" i="35" s="1"/>
  <c r="F697" i="35" s="1" a="1"/>
  <c r="F697" i="35" s="1"/>
  <c r="I885" i="40" l="1"/>
  <c r="G885" i="40"/>
  <c r="O885" i="40" s="1"/>
  <c r="P885" i="40" s="1"/>
  <c r="Q884" i="40"/>
  <c r="P884" i="40"/>
  <c r="N884" i="40"/>
  <c r="M886" i="40"/>
  <c r="G886" i="40" s="1"/>
  <c r="O886" i="40" s="1"/>
  <c r="P1014" i="39"/>
  <c r="N1014" i="39"/>
  <c r="Q1014" i="39"/>
  <c r="H1014" i="39"/>
  <c r="E1015" i="39" s="1" a="1"/>
  <c r="E1015" i="39" s="1"/>
  <c r="F1015" i="39" s="1" a="1"/>
  <c r="F1015" i="39" s="1"/>
  <c r="I1014" i="39"/>
  <c r="Q696" i="35"/>
  <c r="N696" i="35"/>
  <c r="M697" i="35"/>
  <c r="G697" i="35" s="1"/>
  <c r="O697" i="35" s="1"/>
  <c r="N885" i="40" l="1"/>
  <c r="Q885" i="40"/>
  <c r="Q886" i="40"/>
  <c r="P886" i="40"/>
  <c r="N886" i="40"/>
  <c r="H886" i="40"/>
  <c r="E887" i="40" s="1" a="1"/>
  <c r="E887" i="40" s="1"/>
  <c r="F887" i="40" s="1" a="1"/>
  <c r="F887" i="40" s="1"/>
  <c r="I886" i="40"/>
  <c r="M1015" i="39"/>
  <c r="I1015" i="39" s="1"/>
  <c r="I697" i="35"/>
  <c r="H697" i="35"/>
  <c r="E698" i="35" s="1" a="1"/>
  <c r="E698" i="35" s="1"/>
  <c r="F698" i="35" s="1" a="1"/>
  <c r="F698" i="35" s="1"/>
  <c r="P697" i="35"/>
  <c r="Q697" i="35"/>
  <c r="N697" i="35"/>
  <c r="M887" i="40" l="1"/>
  <c r="H887" i="40" s="1"/>
  <c r="E888" i="40" s="1" a="1"/>
  <c r="E888" i="40" s="1"/>
  <c r="F888" i="40" s="1" a="1"/>
  <c r="F888" i="40" s="1"/>
  <c r="G1015" i="39"/>
  <c r="O1015" i="39" s="1"/>
  <c r="H1015" i="39"/>
  <c r="E1016" i="39" s="1" a="1"/>
  <c r="E1016" i="39" s="1"/>
  <c r="F1016" i="39" s="1" a="1"/>
  <c r="F1016" i="39" s="1"/>
  <c r="M698" i="35"/>
  <c r="I698" i="35" s="1"/>
  <c r="G887" i="40" l="1"/>
  <c r="O887" i="40" s="1"/>
  <c r="Q887" i="40" s="1"/>
  <c r="M888" i="40"/>
  <c r="H888" i="40" s="1"/>
  <c r="E889" i="40" s="1" a="1"/>
  <c r="E889" i="40" s="1"/>
  <c r="F889" i="40" s="1" a="1"/>
  <c r="F889" i="40" s="1"/>
  <c r="I887" i="40"/>
  <c r="M1016" i="39"/>
  <c r="I1016" i="39" s="1"/>
  <c r="P1015" i="39"/>
  <c r="Q1015" i="39"/>
  <c r="N1015" i="39"/>
  <c r="G698" i="35"/>
  <c r="O698" i="35" s="1"/>
  <c r="N698" i="35" s="1"/>
  <c r="H698" i="35"/>
  <c r="E699" i="35" s="1" a="1"/>
  <c r="E699" i="35" s="1"/>
  <c r="F699" i="35" s="1" a="1"/>
  <c r="F699" i="35" s="1"/>
  <c r="M699" i="35" s="1"/>
  <c r="I699" i="35" s="1"/>
  <c r="P887" i="40" l="1"/>
  <c r="N887" i="40"/>
  <c r="I888" i="40"/>
  <c r="M889" i="40"/>
  <c r="G889" i="40" s="1"/>
  <c r="O889" i="40" s="1"/>
  <c r="G888" i="40"/>
  <c r="O888" i="40" s="1"/>
  <c r="H1016" i="39"/>
  <c r="E1017" i="39" s="1" a="1"/>
  <c r="E1017" i="39" s="1"/>
  <c r="F1017" i="39" s="1" a="1"/>
  <c r="F1017" i="39" s="1"/>
  <c r="M1017" i="39" s="1"/>
  <c r="G1016" i="39"/>
  <c r="O1016" i="39" s="1"/>
  <c r="Q1016" i="39" s="1"/>
  <c r="Q698" i="35"/>
  <c r="P698" i="35"/>
  <c r="Q889" i="40" l="1"/>
  <c r="P889" i="40"/>
  <c r="N889" i="40"/>
  <c r="Q888" i="40"/>
  <c r="N888" i="40"/>
  <c r="P888" i="40"/>
  <c r="H889" i="40"/>
  <c r="E890" i="40" s="1" a="1"/>
  <c r="E890" i="40" s="1"/>
  <c r="F890" i="40" s="1" a="1"/>
  <c r="F890" i="40" s="1"/>
  <c r="I889" i="40"/>
  <c r="N1016" i="39"/>
  <c r="P1016" i="39"/>
  <c r="H1017" i="39"/>
  <c r="J12" i="39" s="1"/>
  <c r="G1017" i="39"/>
  <c r="O1017" i="39" s="1"/>
  <c r="P1017" i="39" s="1"/>
  <c r="I1017" i="39"/>
  <c r="J11" i="39"/>
  <c r="G699" i="35"/>
  <c r="O699" i="35" s="1"/>
  <c r="H699" i="35"/>
  <c r="E700" i="35" s="1" a="1"/>
  <c r="E700" i="35" s="1"/>
  <c r="F700" i="35" s="1" a="1"/>
  <c r="F700" i="35" s="1"/>
  <c r="M890" i="40" l="1"/>
  <c r="G890" i="40" s="1"/>
  <c r="O890" i="40" s="1"/>
  <c r="Q1017" i="39"/>
  <c r="N1017" i="39"/>
  <c r="M700" i="35"/>
  <c r="I700" i="35" s="1"/>
  <c r="Q699" i="35"/>
  <c r="P699" i="35"/>
  <c r="N699" i="35"/>
  <c r="H890" i="40" l="1"/>
  <c r="E891" i="40" s="1" a="1"/>
  <c r="E891" i="40" s="1"/>
  <c r="F891" i="40" s="1" a="1"/>
  <c r="F891" i="40" s="1"/>
  <c r="M891" i="40" s="1"/>
  <c r="G891" i="40" s="1"/>
  <c r="O891" i="40" s="1"/>
  <c r="I890" i="40"/>
  <c r="P890" i="40"/>
  <c r="N890" i="40"/>
  <c r="Q890" i="40"/>
  <c r="H700" i="35"/>
  <c r="E701" i="35" s="1" a="1"/>
  <c r="E701" i="35" s="1"/>
  <c r="F701" i="35" s="1" a="1"/>
  <c r="F701" i="35" s="1"/>
  <c r="G700" i="35"/>
  <c r="O700" i="35" s="1"/>
  <c r="I891" i="40" l="1"/>
  <c r="N891" i="40"/>
  <c r="P891" i="40"/>
  <c r="Q891" i="40"/>
  <c r="H891" i="40"/>
  <c r="E892" i="40" s="1" a="1"/>
  <c r="E892" i="40" s="1"/>
  <c r="F892" i="40" s="1" a="1"/>
  <c r="F892" i="40" s="1"/>
  <c r="M701" i="35"/>
  <c r="I701" i="35" s="1"/>
  <c r="N700" i="35"/>
  <c r="Q700" i="35"/>
  <c r="P700" i="35"/>
  <c r="M892" i="40" l="1"/>
  <c r="H892" i="40" s="1"/>
  <c r="E893" i="40" s="1" a="1"/>
  <c r="E893" i="40" s="1"/>
  <c r="F893" i="40" s="1" a="1"/>
  <c r="F893" i="40" s="1"/>
  <c r="H701" i="35"/>
  <c r="E702" i="35" s="1" a="1"/>
  <c r="E702" i="35" s="1"/>
  <c r="F702" i="35" s="1" a="1"/>
  <c r="F702" i="35" s="1"/>
  <c r="G701" i="35"/>
  <c r="O701" i="35" s="1"/>
  <c r="Q701" i="35" s="1"/>
  <c r="I892" i="40" l="1"/>
  <c r="M893" i="40"/>
  <c r="H893" i="40" s="1"/>
  <c r="E894" i="40" s="1" a="1"/>
  <c r="E894" i="40" s="1"/>
  <c r="F894" i="40" s="1" a="1"/>
  <c r="F894" i="40" s="1"/>
  <c r="G892" i="40"/>
  <c r="O892" i="40" s="1"/>
  <c r="P701" i="35"/>
  <c r="N701" i="35"/>
  <c r="M702" i="35"/>
  <c r="I702" i="35" s="1"/>
  <c r="G893" i="40" l="1"/>
  <c r="O893" i="40" s="1"/>
  <c r="P893" i="40" s="1"/>
  <c r="M894" i="40"/>
  <c r="G894" i="40" s="1"/>
  <c r="O894" i="40" s="1"/>
  <c r="P892" i="40"/>
  <c r="N892" i="40"/>
  <c r="Q892" i="40"/>
  <c r="I893" i="40"/>
  <c r="G702" i="35"/>
  <c r="O702" i="35" s="1"/>
  <c r="H702" i="35"/>
  <c r="E703" i="35" s="1" a="1"/>
  <c r="E703" i="35" s="1"/>
  <c r="F703" i="35" s="1" a="1"/>
  <c r="F703" i="35" s="1"/>
  <c r="M703" i="35" s="1"/>
  <c r="I703" i="35" s="1"/>
  <c r="Q893" i="40" l="1"/>
  <c r="N893" i="40"/>
  <c r="I894" i="40"/>
  <c r="H894" i="40"/>
  <c r="E895" i="40" s="1" a="1"/>
  <c r="E895" i="40" s="1"/>
  <c r="F895" i="40" s="1" a="1"/>
  <c r="F895" i="40" s="1"/>
  <c r="M895" i="40" s="1"/>
  <c r="H895" i="40" s="1"/>
  <c r="E896" i="40" s="1" a="1"/>
  <c r="E896" i="40" s="1"/>
  <c r="F896" i="40" s="1" a="1"/>
  <c r="F896" i="40" s="1"/>
  <c r="P894" i="40"/>
  <c r="Q894" i="40"/>
  <c r="N894" i="40"/>
  <c r="H703" i="35"/>
  <c r="E704" i="35" s="1" a="1"/>
  <c r="E704" i="35" s="1"/>
  <c r="F704" i="35" s="1" a="1"/>
  <c r="F704" i="35" s="1"/>
  <c r="M704" i="35" s="1"/>
  <c r="I704" i="35" s="1"/>
  <c r="G703" i="35"/>
  <c r="O703" i="35" s="1"/>
  <c r="Q703" i="35" s="1"/>
  <c r="N702" i="35"/>
  <c r="P702" i="35"/>
  <c r="Q702" i="35"/>
  <c r="G895" i="40" l="1"/>
  <c r="O895" i="40" s="1"/>
  <c r="Q895" i="40" s="1"/>
  <c r="I895" i="40"/>
  <c r="M896" i="40"/>
  <c r="H896" i="40" s="1"/>
  <c r="E897" i="40" s="1" a="1"/>
  <c r="E897" i="40" s="1"/>
  <c r="F897" i="40" s="1" a="1"/>
  <c r="F897" i="40" s="1"/>
  <c r="N703" i="35"/>
  <c r="P703" i="35"/>
  <c r="H704" i="35"/>
  <c r="E705" i="35" s="1" a="1"/>
  <c r="E705" i="35" s="1"/>
  <c r="F705" i="35" s="1" a="1"/>
  <c r="F705" i="35" s="1"/>
  <c r="G704" i="35"/>
  <c r="O704" i="35" s="1"/>
  <c r="P895" i="40" l="1"/>
  <c r="N895" i="40"/>
  <c r="G896" i="40"/>
  <c r="O896" i="40" s="1"/>
  <c r="Q896" i="40" s="1"/>
  <c r="I896" i="40"/>
  <c r="M897" i="40"/>
  <c r="I897" i="40" s="1"/>
  <c r="M705" i="35"/>
  <c r="I705" i="35" s="1"/>
  <c r="P704" i="35"/>
  <c r="N704" i="35"/>
  <c r="Q704" i="35"/>
  <c r="P896" i="40" l="1"/>
  <c r="N896" i="40"/>
  <c r="G897" i="40"/>
  <c r="O897" i="40" s="1"/>
  <c r="N897" i="40" s="1"/>
  <c r="H897" i="40"/>
  <c r="E898" i="40" s="1" a="1"/>
  <c r="E898" i="40" s="1"/>
  <c r="F898" i="40" s="1" a="1"/>
  <c r="F898" i="40" s="1"/>
  <c r="H705" i="35"/>
  <c r="E706" i="35" s="1" a="1"/>
  <c r="E706" i="35" s="1"/>
  <c r="F706" i="35" s="1" a="1"/>
  <c r="F706" i="35" s="1"/>
  <c r="G705" i="35"/>
  <c r="O705" i="35" s="1"/>
  <c r="Q897" i="40" l="1"/>
  <c r="P897" i="40"/>
  <c r="M898" i="40"/>
  <c r="H898" i="40" s="1"/>
  <c r="E899" i="40" s="1" a="1"/>
  <c r="E899" i="40" s="1"/>
  <c r="F899" i="40" s="1" a="1"/>
  <c r="F899" i="40" s="1"/>
  <c r="M706" i="35"/>
  <c r="G706" i="35" s="1"/>
  <c r="O706" i="35" s="1"/>
  <c r="Q705" i="35"/>
  <c r="P705" i="35"/>
  <c r="N705" i="35"/>
  <c r="I898" i="40" l="1"/>
  <c r="M899" i="40"/>
  <c r="G899" i="40" s="1"/>
  <c r="O899" i="40" s="1"/>
  <c r="Q899" i="40" s="1"/>
  <c r="G898" i="40"/>
  <c r="O898" i="40" s="1"/>
  <c r="I706" i="35"/>
  <c r="N706" i="35"/>
  <c r="Q706" i="35"/>
  <c r="P706" i="35"/>
  <c r="H706" i="35"/>
  <c r="E707" i="35" s="1" a="1"/>
  <c r="E707" i="35" s="1"/>
  <c r="F707" i="35" s="1" a="1"/>
  <c r="F707" i="35" s="1"/>
  <c r="N899" i="40" l="1"/>
  <c r="P899" i="40"/>
  <c r="P898" i="40"/>
  <c r="N898" i="40"/>
  <c r="Q898" i="40"/>
  <c r="H899" i="40"/>
  <c r="E900" i="40" s="1" a="1"/>
  <c r="E900" i="40" s="1"/>
  <c r="F900" i="40" s="1" a="1"/>
  <c r="F900" i="40" s="1"/>
  <c r="I899" i="40"/>
  <c r="M707" i="35"/>
  <c r="I707" i="35" s="1"/>
  <c r="M900" i="40" l="1"/>
  <c r="H900" i="40" s="1"/>
  <c r="E901" i="40" s="1" a="1"/>
  <c r="E901" i="40" s="1"/>
  <c r="F901" i="40" s="1" a="1"/>
  <c r="F901" i="40" s="1"/>
  <c r="M901" i="40" s="1"/>
  <c r="H901" i="40" s="1"/>
  <c r="E902" i="40" s="1" a="1"/>
  <c r="E902" i="40" s="1"/>
  <c r="F902" i="40" s="1" a="1"/>
  <c r="F902" i="40" s="1"/>
  <c r="H707" i="35"/>
  <c r="E708" i="35" s="1" a="1"/>
  <c r="E708" i="35" s="1"/>
  <c r="F708" i="35" s="1" a="1"/>
  <c r="F708" i="35" s="1"/>
  <c r="G900" i="40" l="1"/>
  <c r="O900" i="40" s="1"/>
  <c r="N900" i="40" s="1"/>
  <c r="I900" i="40"/>
  <c r="M902" i="40"/>
  <c r="G902" i="40" s="1"/>
  <c r="O902" i="40" s="1"/>
  <c r="P902" i="40" s="1"/>
  <c r="I901" i="40"/>
  <c r="G901" i="40"/>
  <c r="O901" i="40" s="1"/>
  <c r="Q901" i="40" s="1"/>
  <c r="M708" i="35"/>
  <c r="I708" i="35" s="1"/>
  <c r="G707" i="35"/>
  <c r="O707" i="35" s="1"/>
  <c r="Q900" i="40" l="1"/>
  <c r="P900" i="40"/>
  <c r="N902" i="40"/>
  <c r="H902" i="40"/>
  <c r="E903" i="40" s="1" a="1"/>
  <c r="E903" i="40" s="1"/>
  <c r="F903" i="40" s="1" a="1"/>
  <c r="F903" i="40" s="1"/>
  <c r="M903" i="40" s="1"/>
  <c r="I903" i="40" s="1"/>
  <c r="Q902" i="40"/>
  <c r="N901" i="40"/>
  <c r="P901" i="40"/>
  <c r="I902" i="40"/>
  <c r="H708" i="35"/>
  <c r="E709" i="35" s="1" a="1"/>
  <c r="E709" i="35" s="1"/>
  <c r="F709" i="35" s="1" a="1"/>
  <c r="F709" i="35" s="1"/>
  <c r="G708" i="35"/>
  <c r="O708" i="35" s="1"/>
  <c r="N708" i="35" s="1"/>
  <c r="Q707" i="35"/>
  <c r="N707" i="35"/>
  <c r="P707" i="35"/>
  <c r="G903" i="40" l="1"/>
  <c r="O903" i="40" s="1"/>
  <c r="Q903" i="40" s="1"/>
  <c r="H903" i="40"/>
  <c r="E904" i="40" s="1" a="1"/>
  <c r="E904" i="40" s="1"/>
  <c r="F904" i="40" s="1" a="1"/>
  <c r="F904" i="40" s="1"/>
  <c r="M904" i="40" s="1"/>
  <c r="H904" i="40" s="1"/>
  <c r="E905" i="40" s="1" a="1"/>
  <c r="E905" i="40" s="1"/>
  <c r="F905" i="40" s="1" a="1"/>
  <c r="F905" i="40" s="1"/>
  <c r="M709" i="35"/>
  <c r="I709" i="35" s="1"/>
  <c r="P708" i="35"/>
  <c r="Q708" i="35"/>
  <c r="P903" i="40" l="1"/>
  <c r="N903" i="40"/>
  <c r="I904" i="40"/>
  <c r="G904" i="40"/>
  <c r="O904" i="40" s="1"/>
  <c r="P904" i="40" s="1"/>
  <c r="M905" i="40"/>
  <c r="G905" i="40" s="1"/>
  <c r="O905" i="40" s="1"/>
  <c r="H709" i="35"/>
  <c r="E710" i="35" s="1" a="1"/>
  <c r="E710" i="35" s="1"/>
  <c r="F710" i="35" s="1" a="1"/>
  <c r="F710" i="35" s="1"/>
  <c r="M710" i="35" s="1"/>
  <c r="I710" i="35" s="1"/>
  <c r="G709" i="35"/>
  <c r="O709" i="35" s="1"/>
  <c r="Q904" i="40" l="1"/>
  <c r="N904" i="40"/>
  <c r="H905" i="40"/>
  <c r="E906" i="40" s="1" a="1"/>
  <c r="E906" i="40" s="1"/>
  <c r="F906" i="40" s="1" a="1"/>
  <c r="F906" i="40" s="1"/>
  <c r="M906" i="40" s="1"/>
  <c r="G906" i="40" s="1"/>
  <c r="O906" i="40" s="1"/>
  <c r="I905" i="40"/>
  <c r="P905" i="40"/>
  <c r="Q905" i="40"/>
  <c r="N905" i="40"/>
  <c r="G710" i="35"/>
  <c r="O710" i="35" s="1"/>
  <c r="N710" i="35" s="1"/>
  <c r="H710" i="35"/>
  <c r="E711" i="35" s="1" a="1"/>
  <c r="E711" i="35" s="1"/>
  <c r="F711" i="35" s="1" a="1"/>
  <c r="F711" i="35" s="1"/>
  <c r="M711" i="35" s="1"/>
  <c r="I711" i="35" s="1"/>
  <c r="P709" i="35"/>
  <c r="N709" i="35"/>
  <c r="Q709" i="35"/>
  <c r="I906" i="40" l="1"/>
  <c r="Q906" i="40"/>
  <c r="N906" i="40"/>
  <c r="P906" i="40"/>
  <c r="H906" i="40"/>
  <c r="E907" i="40" s="1" a="1"/>
  <c r="E907" i="40" s="1"/>
  <c r="F907" i="40" s="1" a="1"/>
  <c r="F907" i="40" s="1"/>
  <c r="Q710" i="35"/>
  <c r="P710" i="35"/>
  <c r="G711" i="35"/>
  <c r="O711" i="35" s="1"/>
  <c r="H711" i="35"/>
  <c r="E712" i="35" s="1" a="1"/>
  <c r="E712" i="35" s="1"/>
  <c r="F712" i="35" s="1" a="1"/>
  <c r="F712" i="35" s="1"/>
  <c r="M907" i="40" l="1"/>
  <c r="H907" i="40" s="1"/>
  <c r="E908" i="40" s="1" a="1"/>
  <c r="E908" i="40" s="1"/>
  <c r="F908" i="40" s="1" a="1"/>
  <c r="F908" i="40" s="1"/>
  <c r="M712" i="35"/>
  <c r="I712" i="35" s="1"/>
  <c r="P711" i="35"/>
  <c r="N711" i="35"/>
  <c r="Q711" i="35"/>
  <c r="I907" i="40" l="1"/>
  <c r="G907" i="40"/>
  <c r="O907" i="40" s="1"/>
  <c r="N907" i="40" s="1"/>
  <c r="M908" i="40"/>
  <c r="H908" i="40" s="1"/>
  <c r="E909" i="40" s="1" a="1"/>
  <c r="E909" i="40" s="1"/>
  <c r="F909" i="40" s="1" a="1"/>
  <c r="F909" i="40" s="1"/>
  <c r="H712" i="35"/>
  <c r="E713" i="35" s="1" a="1"/>
  <c r="E713" i="35" s="1"/>
  <c r="F713" i="35" s="1" a="1"/>
  <c r="F713" i="35" s="1"/>
  <c r="M713" i="35" s="1"/>
  <c r="I713" i="35" s="1"/>
  <c r="G712" i="35"/>
  <c r="O712" i="35" s="1"/>
  <c r="N712" i="35" s="1"/>
  <c r="P907" i="40" l="1"/>
  <c r="Q907" i="40"/>
  <c r="I908" i="40"/>
  <c r="M909" i="40"/>
  <c r="H909" i="40" s="1"/>
  <c r="E910" i="40" s="1" a="1"/>
  <c r="E910" i="40" s="1"/>
  <c r="F910" i="40" s="1" a="1"/>
  <c r="F910" i="40" s="1"/>
  <c r="G908" i="40"/>
  <c r="O908" i="40" s="1"/>
  <c r="Q712" i="35"/>
  <c r="P712" i="35"/>
  <c r="G713" i="35"/>
  <c r="O713" i="35" s="1"/>
  <c r="H713" i="35"/>
  <c r="E714" i="35" s="1" a="1"/>
  <c r="E714" i="35" s="1"/>
  <c r="F714" i="35" s="1" a="1"/>
  <c r="F714" i="35" s="1"/>
  <c r="M910" i="40" l="1"/>
  <c r="G910" i="40" s="1"/>
  <c r="O910" i="40" s="1"/>
  <c r="P908" i="40"/>
  <c r="N908" i="40"/>
  <c r="Q908" i="40"/>
  <c r="G909" i="40"/>
  <c r="O909" i="40" s="1"/>
  <c r="I909" i="40"/>
  <c r="M714" i="35"/>
  <c r="I714" i="35" s="1"/>
  <c r="N713" i="35"/>
  <c r="Q713" i="35"/>
  <c r="P713" i="35"/>
  <c r="Q910" i="40" l="1"/>
  <c r="P910" i="40"/>
  <c r="N910" i="40"/>
  <c r="H910" i="40"/>
  <c r="E911" i="40" s="1" a="1"/>
  <c r="E911" i="40" s="1"/>
  <c r="F911" i="40" s="1" a="1"/>
  <c r="F911" i="40" s="1"/>
  <c r="P909" i="40"/>
  <c r="Q909" i="40"/>
  <c r="N909" i="40"/>
  <c r="I910" i="40"/>
  <c r="H714" i="35"/>
  <c r="E715" i="35" s="1" a="1"/>
  <c r="E715" i="35" s="1"/>
  <c r="F715" i="35" s="1" a="1"/>
  <c r="F715" i="35" s="1"/>
  <c r="M715" i="35" s="1"/>
  <c r="I715" i="35" s="1"/>
  <c r="G714" i="35"/>
  <c r="O714" i="35" s="1"/>
  <c r="P714" i="35" s="1"/>
  <c r="M911" i="40" l="1"/>
  <c r="G911" i="40" s="1"/>
  <c r="O911" i="40" s="1"/>
  <c r="Q714" i="35"/>
  <c r="N714" i="35"/>
  <c r="H715" i="35"/>
  <c r="E716" i="35" s="1" a="1"/>
  <c r="E716" i="35" s="1"/>
  <c r="F716" i="35" s="1" a="1"/>
  <c r="F716" i="35" s="1"/>
  <c r="M716" i="35" s="1"/>
  <c r="I716" i="35" s="1"/>
  <c r="G715" i="35"/>
  <c r="O715" i="35" s="1"/>
  <c r="Q715" i="35" s="1"/>
  <c r="N911" i="40" l="1"/>
  <c r="P911" i="40"/>
  <c r="Q911" i="40"/>
  <c r="I911" i="40"/>
  <c r="H911" i="40"/>
  <c r="E912" i="40" s="1" a="1"/>
  <c r="E912" i="40" s="1"/>
  <c r="F912" i="40" s="1" a="1"/>
  <c r="F912" i="40" s="1"/>
  <c r="P715" i="35"/>
  <c r="N715" i="35"/>
  <c r="M912" i="40" l="1"/>
  <c r="H912" i="40" s="1"/>
  <c r="E913" i="40" s="1" a="1"/>
  <c r="E913" i="40" s="1"/>
  <c r="F913" i="40" s="1" a="1"/>
  <c r="F913" i="40" s="1"/>
  <c r="G716" i="35"/>
  <c r="O716" i="35" s="1"/>
  <c r="H716" i="35"/>
  <c r="E717" i="35" s="1" a="1"/>
  <c r="E717" i="35" s="1"/>
  <c r="F717" i="35" s="1" a="1"/>
  <c r="F717" i="35" s="1"/>
  <c r="G912" i="40" l="1"/>
  <c r="O912" i="40" s="1"/>
  <c r="Q912" i="40" s="1"/>
  <c r="I912" i="40"/>
  <c r="M913" i="40"/>
  <c r="H913" i="40" s="1"/>
  <c r="E914" i="40" s="1" a="1"/>
  <c r="E914" i="40" s="1"/>
  <c r="F914" i="40" s="1" a="1"/>
  <c r="F914" i="40" s="1"/>
  <c r="M717" i="35"/>
  <c r="I717" i="35" s="1"/>
  <c r="Q716" i="35"/>
  <c r="P716" i="35"/>
  <c r="N716" i="35"/>
  <c r="P912" i="40" l="1"/>
  <c r="N912" i="40"/>
  <c r="G913" i="40"/>
  <c r="O913" i="40" s="1"/>
  <c r="Q913" i="40" s="1"/>
  <c r="I913" i="40"/>
  <c r="M914" i="40"/>
  <c r="G914" i="40" s="1"/>
  <c r="O914" i="40" s="1"/>
  <c r="H914" i="40" l="1"/>
  <c r="E915" i="40" s="1" a="1"/>
  <c r="E915" i="40" s="1"/>
  <c r="F915" i="40" s="1" a="1"/>
  <c r="F915" i="40" s="1"/>
  <c r="M915" i="40" s="1"/>
  <c r="I915" i="40" s="1"/>
  <c r="P913" i="40"/>
  <c r="N913" i="40"/>
  <c r="I914" i="40"/>
  <c r="Q914" i="40"/>
  <c r="P914" i="40"/>
  <c r="N914" i="40"/>
  <c r="H717" i="35"/>
  <c r="E718" i="35" s="1" a="1"/>
  <c r="E718" i="35" s="1"/>
  <c r="F718" i="35" s="1" a="1"/>
  <c r="F718" i="35" s="1"/>
  <c r="G717" i="35"/>
  <c r="O717" i="35" s="1"/>
  <c r="G915" i="40" l="1"/>
  <c r="O915" i="40" s="1"/>
  <c r="N915" i="40" s="1"/>
  <c r="H915" i="40"/>
  <c r="E916" i="40" s="1" a="1"/>
  <c r="E916" i="40" s="1"/>
  <c r="F916" i="40" s="1" a="1"/>
  <c r="F916" i="40" s="1"/>
  <c r="M718" i="35"/>
  <c r="I718" i="35" s="1"/>
  <c r="Q717" i="35"/>
  <c r="N717" i="35"/>
  <c r="P717" i="35"/>
  <c r="Q915" i="40" l="1"/>
  <c r="P915" i="40"/>
  <c r="M916" i="40"/>
  <c r="H916" i="40" s="1"/>
  <c r="E917" i="40" s="1" a="1"/>
  <c r="E917" i="40" s="1"/>
  <c r="F917" i="40" s="1" a="1"/>
  <c r="F917" i="40" s="1"/>
  <c r="G718" i="35"/>
  <c r="O718" i="35" s="1"/>
  <c r="I916" i="40" l="1"/>
  <c r="G916" i="40"/>
  <c r="O916" i="40" s="1"/>
  <c r="Q916" i="40" s="1"/>
  <c r="M917" i="40"/>
  <c r="H917" i="40" s="1"/>
  <c r="E918" i="40" s="1" a="1"/>
  <c r="E918" i="40" s="1"/>
  <c r="F918" i="40" s="1" a="1"/>
  <c r="F918" i="40" s="1"/>
  <c r="H718" i="35"/>
  <c r="E719" i="35" s="1" a="1"/>
  <c r="E719" i="35" s="1"/>
  <c r="F719" i="35" s="1" a="1"/>
  <c r="F719" i="35" s="1"/>
  <c r="N718" i="35"/>
  <c r="Q718" i="35"/>
  <c r="P718" i="35"/>
  <c r="N916" i="40" l="1"/>
  <c r="P916" i="40"/>
  <c r="M918" i="40"/>
  <c r="G918" i="40" s="1"/>
  <c r="O918" i="40" s="1"/>
  <c r="I917" i="40"/>
  <c r="G917" i="40"/>
  <c r="O917" i="40" s="1"/>
  <c r="M719" i="35"/>
  <c r="I719" i="35" s="1"/>
  <c r="I918" i="40" l="1"/>
  <c r="P918" i="40"/>
  <c r="Q918" i="40"/>
  <c r="N918" i="40"/>
  <c r="P917" i="40"/>
  <c r="N917" i="40"/>
  <c r="Q917" i="40"/>
  <c r="H918" i="40"/>
  <c r="E919" i="40" s="1" a="1"/>
  <c r="E919" i="40" s="1"/>
  <c r="F919" i="40" s="1" a="1"/>
  <c r="F919" i="40" s="1"/>
  <c r="G719" i="35"/>
  <c r="O719" i="35" s="1"/>
  <c r="N719" i="35" s="1"/>
  <c r="H719" i="35"/>
  <c r="E720" i="35" s="1" a="1"/>
  <c r="E720" i="35" s="1"/>
  <c r="F720" i="35" s="1" a="1"/>
  <c r="F720" i="35" s="1"/>
  <c r="M720" i="35" s="1"/>
  <c r="I720" i="35" s="1"/>
  <c r="M919" i="40" l="1"/>
  <c r="G919" i="40" s="1"/>
  <c r="O919" i="40" s="1"/>
  <c r="Q719" i="35"/>
  <c r="P719" i="35"/>
  <c r="G720" i="35"/>
  <c r="O720" i="35" s="1"/>
  <c r="Q720" i="35" s="1"/>
  <c r="H720" i="35"/>
  <c r="E721" i="35" s="1" a="1"/>
  <c r="E721" i="35" s="1"/>
  <c r="F721" i="35" s="1" a="1"/>
  <c r="F721" i="35" s="1"/>
  <c r="N919" i="40" l="1"/>
  <c r="P919" i="40"/>
  <c r="Q919" i="40"/>
  <c r="I919" i="40"/>
  <c r="H919" i="40"/>
  <c r="E920" i="40" s="1" a="1"/>
  <c r="E920" i="40" s="1"/>
  <c r="F920" i="40" s="1" a="1"/>
  <c r="F920" i="40" s="1"/>
  <c r="N720" i="35"/>
  <c r="P720" i="35"/>
  <c r="M721" i="35"/>
  <c r="I721" i="35" s="1"/>
  <c r="M920" i="40" l="1"/>
  <c r="I920" i="40" s="1"/>
  <c r="G920" i="40" l="1"/>
  <c r="O920" i="40" s="1"/>
  <c r="Q920" i="40" s="1"/>
  <c r="H920" i="40"/>
  <c r="E921" i="40" s="1" a="1"/>
  <c r="E921" i="40" s="1"/>
  <c r="F921" i="40" s="1" a="1"/>
  <c r="F921" i="40" s="1"/>
  <c r="M921" i="40" s="1"/>
  <c r="I921" i="40" s="1"/>
  <c r="H721" i="35"/>
  <c r="E722" i="35" s="1" a="1"/>
  <c r="E722" i="35" s="1"/>
  <c r="F722" i="35" s="1" a="1"/>
  <c r="F722" i="35" s="1"/>
  <c r="G721" i="35"/>
  <c r="O721" i="35" s="1"/>
  <c r="N920" i="40" l="1"/>
  <c r="P920" i="40"/>
  <c r="G921" i="40"/>
  <c r="O921" i="40" s="1"/>
  <c r="Q921" i="40" s="1"/>
  <c r="H921" i="40"/>
  <c r="E922" i="40" s="1" a="1"/>
  <c r="E922" i="40" s="1"/>
  <c r="F922" i="40" s="1" a="1"/>
  <c r="F922" i="40" s="1"/>
  <c r="M922" i="40" s="1"/>
  <c r="G922" i="40" s="1"/>
  <c r="O922" i="40" s="1"/>
  <c r="M722" i="35"/>
  <c r="I722" i="35" s="1"/>
  <c r="N721" i="35"/>
  <c r="P721" i="35"/>
  <c r="Q721" i="35"/>
  <c r="N921" i="40" l="1"/>
  <c r="P921" i="40"/>
  <c r="N922" i="40"/>
  <c r="P922" i="40"/>
  <c r="Q922" i="40"/>
  <c r="I922" i="40"/>
  <c r="H922" i="40"/>
  <c r="E923" i="40" s="1" a="1"/>
  <c r="E923" i="40" s="1"/>
  <c r="F923" i="40" s="1" a="1"/>
  <c r="F923" i="40" s="1"/>
  <c r="H722" i="35"/>
  <c r="E723" i="35" s="1" a="1"/>
  <c r="E723" i="35" s="1"/>
  <c r="F723" i="35" s="1" a="1"/>
  <c r="F723" i="35" s="1"/>
  <c r="G722" i="35"/>
  <c r="O722" i="35" s="1"/>
  <c r="M923" i="40" l="1"/>
  <c r="I923" i="40" s="1"/>
  <c r="M723" i="35"/>
  <c r="I723" i="35" s="1"/>
  <c r="P722" i="35"/>
  <c r="N722" i="35"/>
  <c r="Q722" i="35"/>
  <c r="G923" i="40" l="1"/>
  <c r="O923" i="40" s="1"/>
  <c r="N923" i="40" s="1"/>
  <c r="H923" i="40"/>
  <c r="E924" i="40" s="1" a="1"/>
  <c r="E924" i="40" s="1"/>
  <c r="F924" i="40" s="1" a="1"/>
  <c r="F924" i="40" s="1"/>
  <c r="M924" i="40" s="1"/>
  <c r="G924" i="40" s="1"/>
  <c r="O924" i="40" s="1"/>
  <c r="H723" i="35"/>
  <c r="E724" i="35" s="1" a="1"/>
  <c r="E724" i="35" s="1"/>
  <c r="F724" i="35" s="1" a="1"/>
  <c r="F724" i="35" s="1"/>
  <c r="M724" i="35" s="1"/>
  <c r="I724" i="35" s="1"/>
  <c r="G723" i="35"/>
  <c r="O723" i="35" s="1"/>
  <c r="P923" i="40" l="1"/>
  <c r="Q923" i="40"/>
  <c r="H924" i="40"/>
  <c r="E925" i="40" s="1" a="1"/>
  <c r="E925" i="40" s="1"/>
  <c r="F925" i="40" s="1" a="1"/>
  <c r="F925" i="40" s="1"/>
  <c r="M925" i="40" s="1"/>
  <c r="I925" i="40" s="1"/>
  <c r="I924" i="40"/>
  <c r="N924" i="40"/>
  <c r="P924" i="40"/>
  <c r="Q924" i="40"/>
  <c r="N723" i="35"/>
  <c r="P723" i="35"/>
  <c r="Q723" i="35"/>
  <c r="H724" i="35"/>
  <c r="E725" i="35" s="1" a="1"/>
  <c r="E725" i="35" s="1"/>
  <c r="F725" i="35" s="1" a="1"/>
  <c r="F725" i="35" s="1"/>
  <c r="H925" i="40" l="1"/>
  <c r="E926" i="40" s="1" a="1"/>
  <c r="E926" i="40" s="1"/>
  <c r="F926" i="40" s="1" a="1"/>
  <c r="F926" i="40" s="1"/>
  <c r="M926" i="40" s="1"/>
  <c r="G926" i="40" s="1"/>
  <c r="O926" i="40" s="1"/>
  <c r="G925" i="40"/>
  <c r="O925" i="40" s="1"/>
  <c r="N925" i="40" s="1"/>
  <c r="M725" i="35"/>
  <c r="I725" i="35" s="1"/>
  <c r="G724" i="35"/>
  <c r="O724" i="35" s="1"/>
  <c r="Q925" i="40" l="1"/>
  <c r="P925" i="40"/>
  <c r="I926" i="40"/>
  <c r="Q926" i="40"/>
  <c r="N926" i="40"/>
  <c r="P926" i="40"/>
  <c r="H926" i="40"/>
  <c r="E927" i="40" s="1" a="1"/>
  <c r="E927" i="40" s="1"/>
  <c r="F927" i="40" s="1" a="1"/>
  <c r="F927" i="40" s="1"/>
  <c r="H725" i="35"/>
  <c r="E726" i="35" s="1" a="1"/>
  <c r="E726" i="35" s="1"/>
  <c r="F726" i="35" s="1" a="1"/>
  <c r="F726" i="35" s="1"/>
  <c r="M726" i="35" s="1"/>
  <c r="I726" i="35" s="1"/>
  <c r="G725" i="35"/>
  <c r="O725" i="35" s="1"/>
  <c r="P725" i="35" s="1"/>
  <c r="Q724" i="35"/>
  <c r="N724" i="35"/>
  <c r="P724" i="35"/>
  <c r="M927" i="40" l="1"/>
  <c r="G927" i="40" s="1"/>
  <c r="O927" i="40" s="1"/>
  <c r="Q725" i="35"/>
  <c r="N725" i="35"/>
  <c r="H726" i="35"/>
  <c r="E727" i="35" s="1" a="1"/>
  <c r="E727" i="35" s="1"/>
  <c r="F727" i="35" s="1" a="1"/>
  <c r="F727" i="35" s="1"/>
  <c r="M727" i="35" s="1"/>
  <c r="I727" i="35" s="1"/>
  <c r="G726" i="35"/>
  <c r="O726" i="35" s="1"/>
  <c r="Q726" i="35" s="1"/>
  <c r="I927" i="40" l="1"/>
  <c r="H927" i="40"/>
  <c r="E928" i="40" s="1" a="1"/>
  <c r="E928" i="40" s="1"/>
  <c r="F928" i="40" s="1" a="1"/>
  <c r="F928" i="40" s="1"/>
  <c r="M928" i="40" s="1"/>
  <c r="G928" i="40" s="1"/>
  <c r="O928" i="40" s="1"/>
  <c r="N927" i="40"/>
  <c r="Q927" i="40"/>
  <c r="P927" i="40"/>
  <c r="N726" i="35"/>
  <c r="P726" i="35"/>
  <c r="G727" i="35"/>
  <c r="O727" i="35" s="1"/>
  <c r="Q928" i="40" l="1"/>
  <c r="P928" i="40"/>
  <c r="N928" i="40"/>
  <c r="I928" i="40"/>
  <c r="H928" i="40"/>
  <c r="E929" i="40" s="1" a="1"/>
  <c r="E929" i="40" s="1"/>
  <c r="F929" i="40" s="1" a="1"/>
  <c r="F929" i="40" s="1"/>
  <c r="P727" i="35"/>
  <c r="N727" i="35"/>
  <c r="Q727" i="35"/>
  <c r="H727" i="35"/>
  <c r="E728" i="35" s="1" a="1"/>
  <c r="E728" i="35" s="1"/>
  <c r="F728" i="35" s="1" a="1"/>
  <c r="F728" i="35" s="1"/>
  <c r="M929" i="40" l="1"/>
  <c r="I929" i="40" s="1"/>
  <c r="M728" i="35"/>
  <c r="I728" i="35" s="1"/>
  <c r="H929" i="40" l="1"/>
  <c r="E930" i="40" s="1" a="1"/>
  <c r="E930" i="40" s="1"/>
  <c r="F930" i="40" s="1" a="1"/>
  <c r="F930" i="40" s="1"/>
  <c r="M930" i="40" s="1"/>
  <c r="G930" i="40" s="1"/>
  <c r="O930" i="40" s="1"/>
  <c r="G929" i="40"/>
  <c r="O929" i="40" s="1"/>
  <c r="Q929" i="40" s="1"/>
  <c r="G728" i="35"/>
  <c r="O728" i="35" s="1"/>
  <c r="H728" i="35"/>
  <c r="E729" i="35" s="1" a="1"/>
  <c r="E729" i="35" s="1"/>
  <c r="F729" i="35" s="1" a="1"/>
  <c r="F729" i="35" s="1"/>
  <c r="P929" i="40" l="1"/>
  <c r="N929" i="40"/>
  <c r="N930" i="40"/>
  <c r="Q930" i="40"/>
  <c r="P930" i="40"/>
  <c r="H930" i="40"/>
  <c r="E931" i="40" s="1" a="1"/>
  <c r="E931" i="40" s="1"/>
  <c r="F931" i="40" s="1" a="1"/>
  <c r="F931" i="40" s="1"/>
  <c r="I930" i="40"/>
  <c r="M729" i="35"/>
  <c r="I729" i="35" s="1"/>
  <c r="Q728" i="35"/>
  <c r="N728" i="35"/>
  <c r="P728" i="35"/>
  <c r="M931" i="40" l="1"/>
  <c r="I931" i="40" s="1"/>
  <c r="H729" i="35"/>
  <c r="E730" i="35" s="1" a="1"/>
  <c r="E730" i="35" s="1"/>
  <c r="F730" i="35" s="1" a="1"/>
  <c r="F730" i="35" s="1"/>
  <c r="M730" i="35" s="1"/>
  <c r="I730" i="35" s="1"/>
  <c r="G729" i="35"/>
  <c r="O729" i="35" s="1"/>
  <c r="Q729" i="35" s="1"/>
  <c r="G931" i="40" l="1"/>
  <c r="O931" i="40" s="1"/>
  <c r="N931" i="40" s="1"/>
  <c r="H931" i="40"/>
  <c r="E932" i="40" s="1" a="1"/>
  <c r="E932" i="40" s="1"/>
  <c r="F932" i="40" s="1" a="1"/>
  <c r="F932" i="40" s="1"/>
  <c r="M932" i="40" s="1"/>
  <c r="H932" i="40" s="1"/>
  <c r="E933" i="40" s="1" a="1"/>
  <c r="E933" i="40" s="1"/>
  <c r="F933" i="40" s="1" a="1"/>
  <c r="F933" i="40" s="1"/>
  <c r="N729" i="35"/>
  <c r="P729" i="35"/>
  <c r="H730" i="35"/>
  <c r="E731" i="35" s="1" a="1"/>
  <c r="E731" i="35" s="1"/>
  <c r="F731" i="35" s="1" a="1"/>
  <c r="F731" i="35" s="1"/>
  <c r="G730" i="35"/>
  <c r="O730" i="35" s="1"/>
  <c r="Q931" i="40" l="1"/>
  <c r="P931" i="40"/>
  <c r="G932" i="40"/>
  <c r="O932" i="40" s="1"/>
  <c r="P932" i="40" s="1"/>
  <c r="I932" i="40"/>
  <c r="M933" i="40"/>
  <c r="H933" i="40" s="1"/>
  <c r="E934" i="40" s="1" a="1"/>
  <c r="E934" i="40" s="1"/>
  <c r="F934" i="40" s="1" a="1"/>
  <c r="F934" i="40" s="1"/>
  <c r="M731" i="35"/>
  <c r="I731" i="35" s="1"/>
  <c r="P730" i="35"/>
  <c r="Q730" i="35"/>
  <c r="N730" i="35"/>
  <c r="N932" i="40" l="1"/>
  <c r="Q932" i="40"/>
  <c r="I933" i="40"/>
  <c r="M934" i="40"/>
  <c r="G934" i="40" s="1"/>
  <c r="O934" i="40" s="1"/>
  <c r="G933" i="40"/>
  <c r="O933" i="40" s="1"/>
  <c r="G731" i="35"/>
  <c r="O731" i="35" s="1"/>
  <c r="P934" i="40" l="1"/>
  <c r="N934" i="40"/>
  <c r="Q934" i="40"/>
  <c r="N933" i="40"/>
  <c r="Q933" i="40"/>
  <c r="P933" i="40"/>
  <c r="H934" i="40"/>
  <c r="E935" i="40" s="1" a="1"/>
  <c r="E935" i="40" s="1"/>
  <c r="F935" i="40" s="1" a="1"/>
  <c r="F935" i="40" s="1"/>
  <c r="I934" i="40"/>
  <c r="H731" i="35"/>
  <c r="E732" i="35" s="1" a="1"/>
  <c r="E732" i="35" s="1"/>
  <c r="F732" i="35" s="1" a="1"/>
  <c r="F732" i="35" s="1"/>
  <c r="P731" i="35"/>
  <c r="N731" i="35"/>
  <c r="Q731" i="35"/>
  <c r="M935" i="40" l="1"/>
  <c r="H935" i="40" s="1"/>
  <c r="E936" i="40" s="1" a="1"/>
  <c r="E936" i="40" s="1"/>
  <c r="F936" i="40" s="1" a="1"/>
  <c r="F936" i="40" s="1"/>
  <c r="M732" i="35"/>
  <c r="I732" i="35" s="1"/>
  <c r="M936" i="40" l="1"/>
  <c r="I936" i="40" s="1"/>
  <c r="I935" i="40"/>
  <c r="G935" i="40"/>
  <c r="O935" i="40" s="1"/>
  <c r="H732" i="35"/>
  <c r="E733" i="35" s="1" a="1"/>
  <c r="E733" i="35" s="1"/>
  <c r="F733" i="35" s="1" a="1"/>
  <c r="F733" i="35" s="1"/>
  <c r="G732" i="35"/>
  <c r="O732" i="35" s="1"/>
  <c r="N732" i="35" s="1"/>
  <c r="H936" i="40" l="1"/>
  <c r="E937" i="40" s="1" a="1"/>
  <c r="E937" i="40" s="1"/>
  <c r="F937" i="40" s="1" a="1"/>
  <c r="F937" i="40" s="1"/>
  <c r="M937" i="40" s="1"/>
  <c r="G937" i="40" s="1"/>
  <c r="O937" i="40" s="1"/>
  <c r="G936" i="40"/>
  <c r="O936" i="40" s="1"/>
  <c r="P936" i="40" s="1"/>
  <c r="N935" i="40"/>
  <c r="Q935" i="40"/>
  <c r="P935" i="40"/>
  <c r="Q732" i="35"/>
  <c r="P732" i="35"/>
  <c r="M733" i="35"/>
  <c r="I733" i="35" s="1"/>
  <c r="Q936" i="40" l="1"/>
  <c r="N936" i="40"/>
  <c r="H937" i="40"/>
  <c r="E938" i="40" s="1" a="1"/>
  <c r="E938" i="40" s="1"/>
  <c r="F938" i="40" s="1" a="1"/>
  <c r="F938" i="40" s="1"/>
  <c r="M938" i="40" s="1"/>
  <c r="I938" i="40" s="1"/>
  <c r="I937" i="40"/>
  <c r="N937" i="40"/>
  <c r="Q937" i="40"/>
  <c r="P937" i="40"/>
  <c r="G733" i="35"/>
  <c r="O733" i="35" s="1"/>
  <c r="Q733" i="35" s="1"/>
  <c r="H733" i="35"/>
  <c r="E734" i="35" s="1" a="1"/>
  <c r="E734" i="35" s="1"/>
  <c r="F734" i="35" s="1" a="1"/>
  <c r="F734" i="35" s="1"/>
  <c r="H938" i="40" l="1"/>
  <c r="E939" i="40" s="1" a="1"/>
  <c r="E939" i="40" s="1"/>
  <c r="F939" i="40" s="1" a="1"/>
  <c r="F939" i="40" s="1"/>
  <c r="G938" i="40"/>
  <c r="O938" i="40" s="1"/>
  <c r="P733" i="35"/>
  <c r="N733" i="35"/>
  <c r="M734" i="35"/>
  <c r="I734" i="35" s="1"/>
  <c r="Q938" i="40" l="1"/>
  <c r="N938" i="40"/>
  <c r="P938" i="40"/>
  <c r="M939" i="40"/>
  <c r="I939" i="40" s="1"/>
  <c r="G939" i="40" l="1"/>
  <c r="O939" i="40" s="1"/>
  <c r="H939" i="40"/>
  <c r="E940" i="40" s="1" a="1"/>
  <c r="E940" i="40" s="1"/>
  <c r="F940" i="40" s="1" a="1"/>
  <c r="F940" i="40" s="1"/>
  <c r="H734" i="35"/>
  <c r="E735" i="35" s="1" a="1"/>
  <c r="E735" i="35" s="1"/>
  <c r="F735" i="35" s="1" a="1"/>
  <c r="F735" i="35" s="1"/>
  <c r="G734" i="35"/>
  <c r="O734" i="35" s="1"/>
  <c r="M940" i="40" l="1"/>
  <c r="H940" i="40" s="1"/>
  <c r="E941" i="40" s="1" a="1"/>
  <c r="E941" i="40" s="1"/>
  <c r="F941" i="40" s="1" a="1"/>
  <c r="F941" i="40" s="1"/>
  <c r="N939" i="40"/>
  <c r="P939" i="40"/>
  <c r="Q939" i="40"/>
  <c r="M735" i="35"/>
  <c r="I735" i="35" s="1"/>
  <c r="N734" i="35"/>
  <c r="P734" i="35"/>
  <c r="Q734" i="35"/>
  <c r="M941" i="40" l="1"/>
  <c r="G941" i="40" s="1"/>
  <c r="O941" i="40" s="1"/>
  <c r="I940" i="40"/>
  <c r="G940" i="40"/>
  <c r="O940" i="40" s="1"/>
  <c r="G735" i="35"/>
  <c r="O735" i="35" s="1"/>
  <c r="Q735" i="35" s="1"/>
  <c r="H735" i="35"/>
  <c r="E736" i="35" s="1" a="1"/>
  <c r="E736" i="35" s="1"/>
  <c r="F736" i="35" s="1" a="1"/>
  <c r="F736" i="35" s="1"/>
  <c r="N941" i="40" l="1"/>
  <c r="Q941" i="40"/>
  <c r="P941" i="40"/>
  <c r="P940" i="40"/>
  <c r="Q940" i="40"/>
  <c r="N940" i="40"/>
  <c r="H941" i="40"/>
  <c r="E942" i="40" s="1" a="1"/>
  <c r="E942" i="40" s="1"/>
  <c r="F942" i="40" s="1" a="1"/>
  <c r="F942" i="40" s="1"/>
  <c r="I941" i="40"/>
  <c r="P735" i="35"/>
  <c r="N735" i="35"/>
  <c r="M736" i="35"/>
  <c r="I736" i="35" s="1"/>
  <c r="M942" i="40" l="1"/>
  <c r="G942" i="40" s="1"/>
  <c r="O942" i="40" s="1"/>
  <c r="P942" i="40" l="1"/>
  <c r="N942" i="40"/>
  <c r="Q942" i="40"/>
  <c r="H942" i="40"/>
  <c r="E943" i="40" s="1" a="1"/>
  <c r="E943" i="40" s="1"/>
  <c r="F943" i="40" s="1" a="1"/>
  <c r="F943" i="40" s="1"/>
  <c r="I942" i="40"/>
  <c r="H736" i="35"/>
  <c r="E737" i="35" s="1" a="1"/>
  <c r="E737" i="35" s="1"/>
  <c r="F737" i="35" s="1" a="1"/>
  <c r="F737" i="35" s="1"/>
  <c r="G736" i="35"/>
  <c r="O736" i="35" s="1"/>
  <c r="M943" i="40" l="1"/>
  <c r="H943" i="40" s="1"/>
  <c r="E944" i="40" s="1" a="1"/>
  <c r="E944" i="40" s="1"/>
  <c r="F944" i="40" s="1" a="1"/>
  <c r="F944" i="40" s="1"/>
  <c r="M737" i="35"/>
  <c r="I737" i="35" s="1"/>
  <c r="P736" i="35"/>
  <c r="Q736" i="35"/>
  <c r="N736" i="35"/>
  <c r="I943" i="40" l="1"/>
  <c r="G943" i="40"/>
  <c r="O943" i="40" s="1"/>
  <c r="P943" i="40" s="1"/>
  <c r="M944" i="40"/>
  <c r="G944" i="40" s="1"/>
  <c r="O944" i="40" s="1"/>
  <c r="G737" i="35"/>
  <c r="O737" i="35" s="1"/>
  <c r="N737" i="35" s="1"/>
  <c r="H737" i="35"/>
  <c r="E738" i="35" s="1" a="1"/>
  <c r="E738" i="35" s="1"/>
  <c r="F738" i="35" s="1" a="1"/>
  <c r="F738" i="35" s="1"/>
  <c r="M738" i="35" s="1"/>
  <c r="I738" i="35" s="1"/>
  <c r="Q943" i="40" l="1"/>
  <c r="N943" i="40"/>
  <c r="I944" i="40"/>
  <c r="H944" i="40"/>
  <c r="E945" i="40" s="1" a="1"/>
  <c r="E945" i="40" s="1"/>
  <c r="F945" i="40" s="1" a="1"/>
  <c r="F945" i="40" s="1"/>
  <c r="M945" i="40" s="1"/>
  <c r="H945" i="40" s="1"/>
  <c r="E946" i="40" s="1" a="1"/>
  <c r="E946" i="40" s="1"/>
  <c r="F946" i="40" s="1" a="1"/>
  <c r="F946" i="40" s="1"/>
  <c r="N944" i="40"/>
  <c r="Q944" i="40"/>
  <c r="P944" i="40"/>
  <c r="P737" i="35"/>
  <c r="Q737" i="35"/>
  <c r="G738" i="35"/>
  <c r="O738" i="35" s="1"/>
  <c r="Q738" i="35" s="1"/>
  <c r="H738" i="35"/>
  <c r="E739" i="35" s="1" a="1"/>
  <c r="E739" i="35" s="1"/>
  <c r="F739" i="35" s="1" a="1"/>
  <c r="F739" i="35" s="1"/>
  <c r="M946" i="40" l="1"/>
  <c r="G946" i="40" s="1"/>
  <c r="O946" i="40" s="1"/>
  <c r="G945" i="40"/>
  <c r="O945" i="40" s="1"/>
  <c r="I945" i="40"/>
  <c r="N738" i="35"/>
  <c r="P738" i="35"/>
  <c r="M739" i="35"/>
  <c r="I739" i="35" s="1"/>
  <c r="I946" i="40" l="1"/>
  <c r="P946" i="40"/>
  <c r="N946" i="40"/>
  <c r="Q946" i="40"/>
  <c r="P945" i="40"/>
  <c r="N945" i="40"/>
  <c r="Q945" i="40"/>
  <c r="H946" i="40"/>
  <c r="E947" i="40" s="1" a="1"/>
  <c r="E947" i="40" s="1"/>
  <c r="F947" i="40" s="1" a="1"/>
  <c r="F947" i="40" s="1"/>
  <c r="G739" i="35"/>
  <c r="O739" i="35" s="1"/>
  <c r="H739" i="35"/>
  <c r="E740" i="35" s="1" a="1"/>
  <c r="E740" i="35" s="1"/>
  <c r="F740" i="35" s="1" a="1"/>
  <c r="F740" i="35" s="1"/>
  <c r="M947" i="40" l="1"/>
  <c r="G947" i="40" s="1"/>
  <c r="O947" i="40" s="1"/>
  <c r="N739" i="35"/>
  <c r="P739" i="35"/>
  <c r="Q739" i="35"/>
  <c r="M740" i="35"/>
  <c r="G740" i="35" s="1"/>
  <c r="O740" i="35" s="1"/>
  <c r="I947" i="40" l="1"/>
  <c r="N947" i="40"/>
  <c r="Q947" i="40"/>
  <c r="P947" i="40"/>
  <c r="H947" i="40"/>
  <c r="E948" i="40" s="1" a="1"/>
  <c r="E948" i="40" s="1"/>
  <c r="F948" i="40" s="1" a="1"/>
  <c r="F948" i="40" s="1"/>
  <c r="Q740" i="35"/>
  <c r="P740" i="35"/>
  <c r="N740" i="35"/>
  <c r="H740" i="35"/>
  <c r="E741" i="35" s="1" a="1"/>
  <c r="E741" i="35" s="1"/>
  <c r="F741" i="35" s="1" a="1"/>
  <c r="F741" i="35" s="1"/>
  <c r="I740" i="35"/>
  <c r="M948" i="40" l="1"/>
  <c r="G948" i="40" s="1"/>
  <c r="O948" i="40" s="1"/>
  <c r="M741" i="35"/>
  <c r="G741" i="35" s="1"/>
  <c r="O741" i="35" s="1"/>
  <c r="H948" i="40" l="1"/>
  <c r="E949" i="40" s="1" a="1"/>
  <c r="E949" i="40" s="1"/>
  <c r="F949" i="40" s="1" a="1"/>
  <c r="F949" i="40" s="1"/>
  <c r="M949" i="40" s="1"/>
  <c r="I949" i="40" s="1"/>
  <c r="I948" i="40"/>
  <c r="P948" i="40"/>
  <c r="Q948" i="40"/>
  <c r="N948" i="40"/>
  <c r="I741" i="35"/>
  <c r="P741" i="35"/>
  <c r="N741" i="35"/>
  <c r="Q741" i="35"/>
  <c r="H741" i="35"/>
  <c r="E742" i="35" s="1" a="1"/>
  <c r="E742" i="35" s="1"/>
  <c r="F742" i="35" s="1" a="1"/>
  <c r="F742" i="35" s="1"/>
  <c r="G949" i="40" l="1"/>
  <c r="O949" i="40" s="1"/>
  <c r="H949" i="40"/>
  <c r="E950" i="40" s="1" a="1"/>
  <c r="E950" i="40" s="1"/>
  <c r="F950" i="40" s="1" a="1"/>
  <c r="F950" i="40" s="1"/>
  <c r="M742" i="35"/>
  <c r="I742" i="35" s="1"/>
  <c r="M950" i="40" l="1"/>
  <c r="G950" i="40" s="1"/>
  <c r="O950" i="40" s="1"/>
  <c r="N949" i="40"/>
  <c r="Q949" i="40"/>
  <c r="P949" i="40"/>
  <c r="H742" i="35"/>
  <c r="E743" i="35" s="1" a="1"/>
  <c r="E743" i="35" s="1"/>
  <c r="F743" i="35" s="1" a="1"/>
  <c r="F743" i="35" s="1"/>
  <c r="M743" i="35" s="1"/>
  <c r="G743" i="35" s="1"/>
  <c r="O743" i="35" s="1"/>
  <c r="G742" i="35"/>
  <c r="O742" i="35" s="1"/>
  <c r="N950" i="40" l="1"/>
  <c r="Q950" i="40"/>
  <c r="P950" i="40"/>
  <c r="I950" i="40"/>
  <c r="H950" i="40"/>
  <c r="E951" i="40" s="1" a="1"/>
  <c r="E951" i="40" s="1"/>
  <c r="F951" i="40" s="1" a="1"/>
  <c r="F951" i="40" s="1"/>
  <c r="I743" i="35"/>
  <c r="N742" i="35"/>
  <c r="Q742" i="35"/>
  <c r="P742" i="35"/>
  <c r="H743" i="35"/>
  <c r="E744" i="35" s="1" a="1"/>
  <c r="E744" i="35" s="1"/>
  <c r="F744" i="35" s="1" a="1"/>
  <c r="F744" i="35" s="1"/>
  <c r="P743" i="35"/>
  <c r="N743" i="35"/>
  <c r="Q743" i="35"/>
  <c r="M951" i="40" l="1"/>
  <c r="G951" i="40" s="1"/>
  <c r="O951" i="40" s="1"/>
  <c r="M744" i="35"/>
  <c r="G744" i="35" s="1"/>
  <c r="O744" i="35" s="1"/>
  <c r="N951" i="40" l="1"/>
  <c r="Q951" i="40"/>
  <c r="P951" i="40"/>
  <c r="H951" i="40"/>
  <c r="E952" i="40" s="1" a="1"/>
  <c r="E952" i="40" s="1"/>
  <c r="F952" i="40" s="1" a="1"/>
  <c r="F952" i="40" s="1"/>
  <c r="I951" i="40"/>
  <c r="H744" i="35"/>
  <c r="E745" i="35" s="1" a="1"/>
  <c r="E745" i="35" s="1"/>
  <c r="F745" i="35" s="1" a="1"/>
  <c r="F745" i="35" s="1"/>
  <c r="M745" i="35" s="1"/>
  <c r="G745" i="35" s="1"/>
  <c r="O745" i="35" s="1"/>
  <c r="I744" i="35"/>
  <c r="P744" i="35"/>
  <c r="N744" i="35"/>
  <c r="Q744" i="35"/>
  <c r="M952" i="40" l="1"/>
  <c r="I952" i="40" s="1"/>
  <c r="I745" i="35"/>
  <c r="H745" i="35"/>
  <c r="E746" i="35" s="1" a="1"/>
  <c r="E746" i="35" s="1"/>
  <c r="F746" i="35" s="1" a="1"/>
  <c r="F746" i="35" s="1"/>
  <c r="M746" i="35" s="1"/>
  <c r="I746" i="35" s="1"/>
  <c r="N745" i="35"/>
  <c r="P745" i="35"/>
  <c r="Q745" i="35"/>
  <c r="G952" i="40" l="1"/>
  <c r="O952" i="40" s="1"/>
  <c r="P952" i="40" s="1"/>
  <c r="H952" i="40"/>
  <c r="E953" i="40" s="1" a="1"/>
  <c r="E953" i="40" s="1"/>
  <c r="F953" i="40" s="1" a="1"/>
  <c r="F953" i="40" s="1"/>
  <c r="M953" i="40" s="1"/>
  <c r="H953" i="40" s="1"/>
  <c r="E954" i="40" s="1" a="1"/>
  <c r="E954" i="40" s="1"/>
  <c r="F954" i="40" s="1" a="1"/>
  <c r="F954" i="40" s="1"/>
  <c r="H746" i="35"/>
  <c r="E747" i="35" s="1" a="1"/>
  <c r="E747" i="35" s="1"/>
  <c r="F747" i="35" s="1" a="1"/>
  <c r="F747" i="35" s="1"/>
  <c r="G746" i="35"/>
  <c r="O746" i="35" s="1"/>
  <c r="N952" i="40" l="1"/>
  <c r="Q952" i="40"/>
  <c r="I953" i="40"/>
  <c r="M954" i="40"/>
  <c r="G954" i="40" s="1"/>
  <c r="O954" i="40" s="1"/>
  <c r="G953" i="40"/>
  <c r="O953" i="40" s="1"/>
  <c r="P746" i="35"/>
  <c r="N746" i="35"/>
  <c r="Q746" i="35"/>
  <c r="M747" i="35"/>
  <c r="H747" i="35" s="1"/>
  <c r="E748" i="35" s="1" a="1"/>
  <c r="E748" i="35" s="1"/>
  <c r="F748" i="35" s="1" a="1"/>
  <c r="F748" i="35" s="1"/>
  <c r="H954" i="40" l="1"/>
  <c r="E955" i="40" s="1" a="1"/>
  <c r="E955" i="40" s="1"/>
  <c r="F955" i="40" s="1" a="1"/>
  <c r="F955" i="40" s="1"/>
  <c r="M955" i="40" s="1"/>
  <c r="G955" i="40" s="1"/>
  <c r="O955" i="40" s="1"/>
  <c r="I954" i="40"/>
  <c r="Q954" i="40"/>
  <c r="N954" i="40"/>
  <c r="P954" i="40"/>
  <c r="Q953" i="40"/>
  <c r="P953" i="40"/>
  <c r="N953" i="40"/>
  <c r="G747" i="35"/>
  <c r="O747" i="35" s="1"/>
  <c r="Q747" i="35" s="1"/>
  <c r="I747" i="35"/>
  <c r="M748" i="35"/>
  <c r="I748" i="35" s="1"/>
  <c r="H955" i="40" l="1"/>
  <c r="E956" i="40" s="1" a="1"/>
  <c r="E956" i="40" s="1"/>
  <c r="F956" i="40" s="1" a="1"/>
  <c r="F956" i="40" s="1"/>
  <c r="N955" i="40"/>
  <c r="Q955" i="40"/>
  <c r="P955" i="40"/>
  <c r="I955" i="40"/>
  <c r="P747" i="35"/>
  <c r="N747" i="35"/>
  <c r="G748" i="35"/>
  <c r="O748" i="35" s="1"/>
  <c r="Q748" i="35" s="1"/>
  <c r="H748" i="35"/>
  <c r="E749" i="35" s="1" a="1"/>
  <c r="E749" i="35" s="1"/>
  <c r="F749" i="35" s="1" a="1"/>
  <c r="F749" i="35" s="1"/>
  <c r="M956" i="40" l="1"/>
  <c r="G956" i="40" s="1"/>
  <c r="O956" i="40" s="1"/>
  <c r="Q956" i="40" s="1"/>
  <c r="P748" i="35"/>
  <c r="N748" i="35"/>
  <c r="M749" i="35"/>
  <c r="I749" i="35" s="1"/>
  <c r="I956" i="40" l="1"/>
  <c r="P956" i="40"/>
  <c r="N956" i="40"/>
  <c r="H956" i="40"/>
  <c r="E957" i="40" s="1" a="1"/>
  <c r="E957" i="40" s="1"/>
  <c r="F957" i="40" s="1" a="1"/>
  <c r="F957" i="40" s="1"/>
  <c r="G749" i="35"/>
  <c r="O749" i="35" s="1"/>
  <c r="M957" i="40" l="1"/>
  <c r="G957" i="40" s="1"/>
  <c r="O957" i="40" s="1"/>
  <c r="P749" i="35"/>
  <c r="N749" i="35"/>
  <c r="Q749" i="35"/>
  <c r="H749" i="35"/>
  <c r="E750" i="35" s="1" a="1"/>
  <c r="E750" i="35" s="1"/>
  <c r="F750" i="35" s="1" a="1"/>
  <c r="F750" i="35" s="1"/>
  <c r="H957" i="40" l="1"/>
  <c r="E958" i="40" s="1" a="1"/>
  <c r="E958" i="40" s="1"/>
  <c r="F958" i="40" s="1" a="1"/>
  <c r="F958" i="40" s="1"/>
  <c r="M958" i="40" s="1"/>
  <c r="G958" i="40" s="1"/>
  <c r="O958" i="40" s="1"/>
  <c r="N957" i="40"/>
  <c r="Q957" i="40"/>
  <c r="P957" i="40"/>
  <c r="I957" i="40"/>
  <c r="M750" i="35"/>
  <c r="I750" i="35" s="1"/>
  <c r="H958" i="40" l="1"/>
  <c r="E959" i="40" s="1" a="1"/>
  <c r="E959" i="40" s="1"/>
  <c r="F959" i="40" s="1" a="1"/>
  <c r="F959" i="40" s="1"/>
  <c r="M959" i="40" s="1"/>
  <c r="I958" i="40"/>
  <c r="N958" i="40"/>
  <c r="P958" i="40"/>
  <c r="Q958" i="40"/>
  <c r="H750" i="35"/>
  <c r="E751" i="35" s="1" a="1"/>
  <c r="E751" i="35" s="1"/>
  <c r="F751" i="35" s="1" a="1"/>
  <c r="F751" i="35" s="1"/>
  <c r="M751" i="35" s="1"/>
  <c r="I751" i="35" s="1"/>
  <c r="G750" i="35"/>
  <c r="O750" i="35" s="1"/>
  <c r="P750" i="35" s="1"/>
  <c r="G959" i="40" l="1"/>
  <c r="O959" i="40" s="1"/>
  <c r="Q959" i="40" s="1"/>
  <c r="I959" i="40"/>
  <c r="H959" i="40"/>
  <c r="E960" i="40" s="1" a="1"/>
  <c r="E960" i="40" s="1"/>
  <c r="F960" i="40" s="1" a="1"/>
  <c r="F960" i="40" s="1"/>
  <c r="N750" i="35"/>
  <c r="Q750" i="35"/>
  <c r="G751" i="35"/>
  <c r="O751" i="35" s="1"/>
  <c r="P751" i="35" s="1"/>
  <c r="H751" i="35"/>
  <c r="E752" i="35" s="1" a="1"/>
  <c r="E752" i="35" s="1"/>
  <c r="F752" i="35" s="1" a="1"/>
  <c r="F752" i="35" s="1"/>
  <c r="N959" i="40" l="1"/>
  <c r="P959" i="40"/>
  <c r="M960" i="40"/>
  <c r="H960" i="40" s="1"/>
  <c r="E961" i="40" s="1" a="1"/>
  <c r="E961" i="40" s="1"/>
  <c r="F961" i="40" s="1" a="1"/>
  <c r="F961" i="40" s="1"/>
  <c r="M961" i="40" s="1"/>
  <c r="I961" i="40" s="1"/>
  <c r="Q751" i="35"/>
  <c r="N751" i="35"/>
  <c r="M752" i="35"/>
  <c r="I752" i="35" s="1"/>
  <c r="G960" i="40" l="1"/>
  <c r="O960" i="40" s="1"/>
  <c r="P960" i="40" s="1"/>
  <c r="H961" i="40"/>
  <c r="E962" i="40" s="1" a="1"/>
  <c r="E962" i="40" s="1"/>
  <c r="F962" i="40" s="1" a="1"/>
  <c r="F962" i="40" s="1"/>
  <c r="M962" i="40" s="1"/>
  <c r="G962" i="40" s="1"/>
  <c r="O962" i="40" s="1"/>
  <c r="N962" i="40" s="1"/>
  <c r="G961" i="40"/>
  <c r="O961" i="40" s="1"/>
  <c r="I960" i="40"/>
  <c r="G752" i="35"/>
  <c r="O752" i="35" s="1"/>
  <c r="H752" i="35"/>
  <c r="E753" i="35" s="1" a="1"/>
  <c r="E753" i="35" s="1"/>
  <c r="F753" i="35" s="1" a="1"/>
  <c r="F753" i="35" s="1"/>
  <c r="N960" i="40" l="1"/>
  <c r="Q960" i="40"/>
  <c r="Q962" i="40"/>
  <c r="I962" i="40"/>
  <c r="P962" i="40"/>
  <c r="H962" i="40"/>
  <c r="E963" i="40" s="1" a="1"/>
  <c r="E963" i="40" s="1"/>
  <c r="F963" i="40" s="1" a="1"/>
  <c r="F963" i="40" s="1"/>
  <c r="M963" i="40" s="1"/>
  <c r="H963" i="40" s="1"/>
  <c r="E964" i="40" s="1" a="1"/>
  <c r="E964" i="40" s="1"/>
  <c r="F964" i="40" s="1" a="1"/>
  <c r="F964" i="40" s="1"/>
  <c r="M964" i="40" s="1"/>
  <c r="I964" i="40" s="1"/>
  <c r="Q961" i="40"/>
  <c r="P961" i="40"/>
  <c r="N961" i="40"/>
  <c r="M753" i="35"/>
  <c r="I753" i="35" s="1"/>
  <c r="Q752" i="35"/>
  <c r="P752" i="35"/>
  <c r="N752" i="35"/>
  <c r="H964" i="40" l="1"/>
  <c r="E965" i="40" s="1" a="1"/>
  <c r="E965" i="40" s="1"/>
  <c r="F965" i="40" s="1" a="1"/>
  <c r="F965" i="40" s="1"/>
  <c r="M965" i="40" s="1"/>
  <c r="G965" i="40" s="1"/>
  <c r="O965" i="40" s="1"/>
  <c r="I963" i="40"/>
  <c r="G963" i="40"/>
  <c r="O963" i="40" s="1"/>
  <c r="G964" i="40"/>
  <c r="O964" i="40" s="1"/>
  <c r="H753" i="35"/>
  <c r="E754" i="35" s="1" a="1"/>
  <c r="E754" i="35" s="1"/>
  <c r="F754" i="35" s="1" a="1"/>
  <c r="F754" i="35" s="1"/>
  <c r="M754" i="35" s="1"/>
  <c r="I754" i="35" s="1"/>
  <c r="G753" i="35"/>
  <c r="O753" i="35" s="1"/>
  <c r="Q963" i="40" l="1"/>
  <c r="N963" i="40"/>
  <c r="P963" i="40"/>
  <c r="Q965" i="40"/>
  <c r="P965" i="40"/>
  <c r="N965" i="40"/>
  <c r="P964" i="40"/>
  <c r="N964" i="40"/>
  <c r="Q964" i="40"/>
  <c r="I965" i="40"/>
  <c r="H965" i="40"/>
  <c r="E966" i="40" s="1" a="1"/>
  <c r="E966" i="40" s="1"/>
  <c r="F966" i="40" s="1" a="1"/>
  <c r="F966" i="40" s="1"/>
  <c r="Q753" i="35"/>
  <c r="N753" i="35"/>
  <c r="P753" i="35"/>
  <c r="M966" i="40" l="1"/>
  <c r="G966" i="40" s="1"/>
  <c r="O966" i="40" s="1"/>
  <c r="G754" i="35"/>
  <c r="O754" i="35" s="1"/>
  <c r="H754" i="35"/>
  <c r="E755" i="35" s="1" a="1"/>
  <c r="E755" i="35" s="1"/>
  <c r="F755" i="35" s="1" a="1"/>
  <c r="F755" i="35" s="1"/>
  <c r="N966" i="40" l="1"/>
  <c r="Q966" i="40"/>
  <c r="P966" i="40"/>
  <c r="I966" i="40"/>
  <c r="H966" i="40"/>
  <c r="E967" i="40" s="1" a="1"/>
  <c r="E967" i="40" s="1"/>
  <c r="F967" i="40" s="1" a="1"/>
  <c r="F967" i="40" s="1"/>
  <c r="M755" i="35"/>
  <c r="I755" i="35" s="1"/>
  <c r="P754" i="35"/>
  <c r="Q754" i="35"/>
  <c r="N754" i="35"/>
  <c r="M967" i="40" l="1"/>
  <c r="I967" i="40" s="1"/>
  <c r="G755" i="35"/>
  <c r="O755" i="35" s="1"/>
  <c r="Q755" i="35" s="1"/>
  <c r="H755" i="35"/>
  <c r="E756" i="35" s="1" a="1"/>
  <c r="E756" i="35" s="1"/>
  <c r="F756" i="35" s="1" a="1"/>
  <c r="F756" i="35" s="1"/>
  <c r="G967" i="40" l="1"/>
  <c r="O967" i="40" s="1"/>
  <c r="N967" i="40" s="1"/>
  <c r="H967" i="40"/>
  <c r="E968" i="40" s="1" a="1"/>
  <c r="E968" i="40" s="1"/>
  <c r="F968" i="40" s="1" a="1"/>
  <c r="F968" i="40" s="1"/>
  <c r="M968" i="40" s="1"/>
  <c r="I968" i="40" s="1"/>
  <c r="P755" i="35"/>
  <c r="N755" i="35"/>
  <c r="M756" i="35"/>
  <c r="I756" i="35" s="1"/>
  <c r="Q967" i="40" l="1"/>
  <c r="P967" i="40"/>
  <c r="H968" i="40"/>
  <c r="E969" i="40" s="1" a="1"/>
  <c r="E969" i="40" s="1"/>
  <c r="F969" i="40" s="1" a="1"/>
  <c r="F969" i="40" s="1"/>
  <c r="G968" i="40"/>
  <c r="O968" i="40" s="1"/>
  <c r="G756" i="35"/>
  <c r="O756" i="35" s="1"/>
  <c r="H756" i="35"/>
  <c r="E757" i="35" s="1" a="1"/>
  <c r="E757" i="35" s="1"/>
  <c r="F757" i="35" s="1" a="1"/>
  <c r="F757" i="35" s="1"/>
  <c r="P968" i="40" l="1"/>
  <c r="Q968" i="40"/>
  <c r="N968" i="40"/>
  <c r="M969" i="40"/>
  <c r="H969" i="40" s="1"/>
  <c r="E970" i="40" s="1" a="1"/>
  <c r="E970" i="40" s="1"/>
  <c r="F970" i="40" s="1" a="1"/>
  <c r="F970" i="40" s="1"/>
  <c r="M757" i="35"/>
  <c r="I757" i="35" s="1"/>
  <c r="P756" i="35"/>
  <c r="N756" i="35"/>
  <c r="Q756" i="35"/>
  <c r="I969" i="40" l="1"/>
  <c r="G969" i="40"/>
  <c r="O969" i="40" s="1"/>
  <c r="N969" i="40" s="1"/>
  <c r="M970" i="40"/>
  <c r="G970" i="40" s="1"/>
  <c r="O970" i="40" s="1"/>
  <c r="G757" i="35"/>
  <c r="O757" i="35" s="1"/>
  <c r="P757" i="35" s="1"/>
  <c r="H757" i="35"/>
  <c r="E758" i="35" s="1" a="1"/>
  <c r="E758" i="35" s="1"/>
  <c r="F758" i="35" s="1" a="1"/>
  <c r="F758" i="35" s="1"/>
  <c r="P969" i="40" l="1"/>
  <c r="Q969" i="40"/>
  <c r="P970" i="40"/>
  <c r="Q970" i="40"/>
  <c r="N970" i="40"/>
  <c r="I970" i="40"/>
  <c r="H970" i="40"/>
  <c r="E971" i="40" s="1" a="1"/>
  <c r="E971" i="40" s="1"/>
  <c r="F971" i="40" s="1" a="1"/>
  <c r="F971" i="40" s="1"/>
  <c r="N757" i="35"/>
  <c r="Q757" i="35"/>
  <c r="M758" i="35"/>
  <c r="I758" i="35" s="1"/>
  <c r="M971" i="40" l="1"/>
  <c r="G971" i="40" s="1"/>
  <c r="O971" i="40" s="1"/>
  <c r="N971" i="40" l="1"/>
  <c r="Q971" i="40"/>
  <c r="P971" i="40"/>
  <c r="I971" i="40"/>
  <c r="H971" i="40"/>
  <c r="E972" i="40" s="1" a="1"/>
  <c r="E972" i="40" s="1"/>
  <c r="F972" i="40" s="1" a="1"/>
  <c r="F972" i="40" s="1"/>
  <c r="G758" i="35"/>
  <c r="O758" i="35" s="1"/>
  <c r="H758" i="35"/>
  <c r="E759" i="35" s="1" a="1"/>
  <c r="E759" i="35" s="1"/>
  <c r="F759" i="35" s="1" a="1"/>
  <c r="F759" i="35" s="1"/>
  <c r="M972" i="40" l="1"/>
  <c r="H972" i="40" s="1"/>
  <c r="E973" i="40" s="1" a="1"/>
  <c r="E973" i="40" s="1"/>
  <c r="F973" i="40" s="1" a="1"/>
  <c r="F973" i="40" s="1"/>
  <c r="M759" i="35"/>
  <c r="I759" i="35" s="1"/>
  <c r="P758" i="35"/>
  <c r="N758" i="35"/>
  <c r="Q758" i="35"/>
  <c r="M973" i="40" l="1"/>
  <c r="H973" i="40" s="1"/>
  <c r="E974" i="40" s="1" a="1"/>
  <c r="E974" i="40" s="1"/>
  <c r="F974" i="40" s="1" a="1"/>
  <c r="F974" i="40" s="1"/>
  <c r="I972" i="40"/>
  <c r="G972" i="40"/>
  <c r="O972" i="40" s="1"/>
  <c r="G759" i="35"/>
  <c r="O759" i="35" s="1"/>
  <c r="N759" i="35" s="1"/>
  <c r="H759" i="35"/>
  <c r="E760" i="35" s="1" a="1"/>
  <c r="E760" i="35" s="1"/>
  <c r="F760" i="35" s="1" a="1"/>
  <c r="F760" i="35" s="1"/>
  <c r="M974" i="40" l="1"/>
  <c r="G974" i="40" s="1"/>
  <c r="O974" i="40" s="1"/>
  <c r="P972" i="40"/>
  <c r="Q972" i="40"/>
  <c r="N972" i="40"/>
  <c r="G973" i="40"/>
  <c r="O973" i="40" s="1"/>
  <c r="I973" i="40"/>
  <c r="Q759" i="35"/>
  <c r="P759" i="35"/>
  <c r="M760" i="35"/>
  <c r="I760" i="35" s="1"/>
  <c r="H974" i="40" l="1"/>
  <c r="E975" i="40" s="1" a="1"/>
  <c r="E975" i="40" s="1"/>
  <c r="F975" i="40" s="1" a="1"/>
  <c r="F975" i="40" s="1"/>
  <c r="M975" i="40" s="1"/>
  <c r="H975" i="40" s="1"/>
  <c r="E976" i="40" s="1" a="1"/>
  <c r="E976" i="40" s="1"/>
  <c r="F976" i="40" s="1" a="1"/>
  <c r="F976" i="40" s="1"/>
  <c r="P974" i="40"/>
  <c r="N974" i="40"/>
  <c r="Q974" i="40"/>
  <c r="P973" i="40"/>
  <c r="Q973" i="40"/>
  <c r="N973" i="40"/>
  <c r="I974" i="40"/>
  <c r="G975" i="40" l="1"/>
  <c r="O975" i="40" s="1"/>
  <c r="N975" i="40" s="1"/>
  <c r="I975" i="40"/>
  <c r="M976" i="40"/>
  <c r="H976" i="40" s="1"/>
  <c r="E977" i="40" s="1" a="1"/>
  <c r="E977" i="40" s="1"/>
  <c r="F977" i="40" s="1" a="1"/>
  <c r="F977" i="40" s="1"/>
  <c r="H760" i="35"/>
  <c r="E761" i="35" s="1" a="1"/>
  <c r="E761" i="35" s="1"/>
  <c r="F761" i="35" s="1" a="1"/>
  <c r="F761" i="35" s="1"/>
  <c r="G760" i="35"/>
  <c r="O760" i="35" s="1"/>
  <c r="P975" i="40" l="1"/>
  <c r="Q975" i="40"/>
  <c r="M977" i="40"/>
  <c r="G977" i="40" s="1"/>
  <c r="O977" i="40" s="1"/>
  <c r="I976" i="40"/>
  <c r="G976" i="40"/>
  <c r="O976" i="40" s="1"/>
  <c r="M761" i="35"/>
  <c r="I761" i="35" s="1"/>
  <c r="P760" i="35"/>
  <c r="N760" i="35"/>
  <c r="Q760" i="35"/>
  <c r="I977" i="40" l="1"/>
  <c r="N977" i="40"/>
  <c r="P977" i="40"/>
  <c r="Q977" i="40"/>
  <c r="N976" i="40"/>
  <c r="Q976" i="40"/>
  <c r="P976" i="40"/>
  <c r="H977" i="40"/>
  <c r="E978" i="40" s="1" a="1"/>
  <c r="E978" i="40" s="1"/>
  <c r="F978" i="40" s="1" a="1"/>
  <c r="F978" i="40" s="1"/>
  <c r="G761" i="35"/>
  <c r="O761" i="35" s="1"/>
  <c r="N761" i="35" s="1"/>
  <c r="H761" i="35"/>
  <c r="E762" i="35" s="1" a="1"/>
  <c r="E762" i="35" s="1"/>
  <c r="F762" i="35" s="1" a="1"/>
  <c r="F762" i="35" s="1"/>
  <c r="M762" i="35" s="1"/>
  <c r="I762" i="35" s="1"/>
  <c r="M978" i="40" l="1"/>
  <c r="G978" i="40" s="1"/>
  <c r="O978" i="40" s="1"/>
  <c r="Q761" i="35"/>
  <c r="P761" i="35"/>
  <c r="H762" i="35"/>
  <c r="E763" i="35" s="1" a="1"/>
  <c r="E763" i="35" s="1"/>
  <c r="F763" i="35" s="1" a="1"/>
  <c r="F763" i="35" s="1"/>
  <c r="M763" i="35" s="1"/>
  <c r="I763" i="35" s="1"/>
  <c r="G762" i="35"/>
  <c r="O762" i="35" s="1"/>
  <c r="Q762" i="35" s="1"/>
  <c r="H978" i="40" l="1"/>
  <c r="E979" i="40" s="1" a="1"/>
  <c r="E979" i="40" s="1"/>
  <c r="F979" i="40" s="1" a="1"/>
  <c r="F979" i="40" s="1"/>
  <c r="M979" i="40" s="1"/>
  <c r="G979" i="40" s="1"/>
  <c r="O979" i="40" s="1"/>
  <c r="P978" i="40"/>
  <c r="N978" i="40"/>
  <c r="Q978" i="40"/>
  <c r="I978" i="40"/>
  <c r="P762" i="35"/>
  <c r="N762" i="35"/>
  <c r="G763" i="35"/>
  <c r="O763" i="35" s="1"/>
  <c r="N979" i="40" l="1"/>
  <c r="Q979" i="40"/>
  <c r="P979" i="40"/>
  <c r="I979" i="40"/>
  <c r="H979" i="40"/>
  <c r="E980" i="40" s="1" a="1"/>
  <c r="E980" i="40" s="1"/>
  <c r="F980" i="40" s="1" a="1"/>
  <c r="F980" i="40" s="1"/>
  <c r="P763" i="35"/>
  <c r="N763" i="35"/>
  <c r="Q763" i="35"/>
  <c r="H763" i="35"/>
  <c r="E764" i="35" s="1" a="1"/>
  <c r="E764" i="35" s="1"/>
  <c r="F764" i="35" s="1" a="1"/>
  <c r="F764" i="35" s="1"/>
  <c r="M980" i="40" l="1"/>
  <c r="I980" i="40" s="1"/>
  <c r="M764" i="35"/>
  <c r="I764" i="35" s="1"/>
  <c r="H980" i="40" l="1"/>
  <c r="E981" i="40" s="1" a="1"/>
  <c r="E981" i="40" s="1"/>
  <c r="F981" i="40" s="1" a="1"/>
  <c r="F981" i="40" s="1"/>
  <c r="G980" i="40"/>
  <c r="O980" i="40" s="1"/>
  <c r="H764" i="35"/>
  <c r="E765" i="35" s="1" a="1"/>
  <c r="E765" i="35" s="1"/>
  <c r="F765" i="35" s="1" a="1"/>
  <c r="F765" i="35" s="1"/>
  <c r="M765" i="35" s="1"/>
  <c r="I765" i="35" s="1"/>
  <c r="G764" i="35"/>
  <c r="O764" i="35" s="1"/>
  <c r="Q980" i="40" l="1"/>
  <c r="P980" i="40"/>
  <c r="N980" i="40"/>
  <c r="M981" i="40"/>
  <c r="I981" i="40" s="1"/>
  <c r="H765" i="35"/>
  <c r="E766" i="35" s="1" a="1"/>
  <c r="E766" i="35" s="1"/>
  <c r="F766" i="35" s="1" a="1"/>
  <c r="F766" i="35" s="1"/>
  <c r="M766" i="35" s="1"/>
  <c r="I766" i="35" s="1"/>
  <c r="G765" i="35"/>
  <c r="O765" i="35" s="1"/>
  <c r="Q765" i="35" s="1"/>
  <c r="P764" i="35"/>
  <c r="Q764" i="35"/>
  <c r="N764" i="35"/>
  <c r="G981" i="40" l="1"/>
  <c r="O981" i="40" s="1"/>
  <c r="Q981" i="40" s="1"/>
  <c r="H981" i="40"/>
  <c r="E982" i="40" s="1" a="1"/>
  <c r="E982" i="40" s="1"/>
  <c r="F982" i="40" s="1" a="1"/>
  <c r="F982" i="40" s="1"/>
  <c r="M982" i="40" s="1"/>
  <c r="G982" i="40" s="1"/>
  <c r="O982" i="40" s="1"/>
  <c r="P765" i="35"/>
  <c r="N765" i="35"/>
  <c r="G766" i="35"/>
  <c r="O766" i="35" s="1"/>
  <c r="H766" i="35"/>
  <c r="E767" i="35" s="1" a="1"/>
  <c r="E767" i="35" s="1"/>
  <c r="F767" i="35" s="1" a="1"/>
  <c r="F767" i="35" s="1"/>
  <c r="P981" i="40" l="1"/>
  <c r="N981" i="40"/>
  <c r="N982" i="40"/>
  <c r="P982" i="40"/>
  <c r="Q982" i="40"/>
  <c r="I982" i="40"/>
  <c r="H982" i="40"/>
  <c r="E983" i="40" s="1" a="1"/>
  <c r="E983" i="40" s="1"/>
  <c r="F983" i="40" s="1" a="1"/>
  <c r="F983" i="40" s="1"/>
  <c r="M767" i="35"/>
  <c r="I767" i="35" s="1"/>
  <c r="N766" i="35"/>
  <c r="P766" i="35"/>
  <c r="Q766" i="35"/>
  <c r="M983" i="40" l="1"/>
  <c r="G983" i="40" s="1"/>
  <c r="O983" i="40" s="1"/>
  <c r="H767" i="35"/>
  <c r="E768" i="35" s="1" a="1"/>
  <c r="E768" i="35" s="1"/>
  <c r="F768" i="35" s="1" a="1"/>
  <c r="F768" i="35" s="1"/>
  <c r="N983" i="40" l="1"/>
  <c r="P983" i="40"/>
  <c r="Q983" i="40"/>
  <c r="I983" i="40"/>
  <c r="H983" i="40"/>
  <c r="E984" i="40" s="1" a="1"/>
  <c r="E984" i="40" s="1"/>
  <c r="F984" i="40" s="1" a="1"/>
  <c r="F984" i="40" s="1"/>
  <c r="M768" i="35"/>
  <c r="I768" i="35" s="1"/>
  <c r="G767" i="35"/>
  <c r="O767" i="35" s="1"/>
  <c r="M984" i="40" l="1"/>
  <c r="G984" i="40" s="1"/>
  <c r="O984" i="40" s="1"/>
  <c r="P767" i="35"/>
  <c r="N767" i="35"/>
  <c r="Q767" i="35"/>
  <c r="H768" i="35"/>
  <c r="E769" i="35" s="1" a="1"/>
  <c r="E769" i="35" s="1"/>
  <c r="F769" i="35" s="1" a="1"/>
  <c r="F769" i="35" s="1"/>
  <c r="H984" i="40" l="1"/>
  <c r="E985" i="40" s="1" a="1"/>
  <c r="E985" i="40" s="1"/>
  <c r="F985" i="40" s="1" a="1"/>
  <c r="F985" i="40" s="1"/>
  <c r="M985" i="40" s="1"/>
  <c r="H985" i="40" s="1"/>
  <c r="E986" i="40" s="1" a="1"/>
  <c r="E986" i="40" s="1"/>
  <c r="F986" i="40" s="1" a="1"/>
  <c r="F986" i="40" s="1"/>
  <c r="I984" i="40"/>
  <c r="Q984" i="40"/>
  <c r="N984" i="40"/>
  <c r="P984" i="40"/>
  <c r="M769" i="35"/>
  <c r="I769" i="35" s="1"/>
  <c r="G768" i="35"/>
  <c r="O768" i="35" s="1"/>
  <c r="G985" i="40" l="1"/>
  <c r="O985" i="40" s="1"/>
  <c r="P985" i="40" s="1"/>
  <c r="M986" i="40"/>
  <c r="G986" i="40" s="1"/>
  <c r="O986" i="40" s="1"/>
  <c r="I985" i="40"/>
  <c r="Q768" i="35"/>
  <c r="N768" i="35"/>
  <c r="P768" i="35"/>
  <c r="Q985" i="40" l="1"/>
  <c r="N985" i="40"/>
  <c r="I986" i="40"/>
  <c r="N986" i="40"/>
  <c r="P986" i="40"/>
  <c r="Q986" i="40"/>
  <c r="H986" i="40"/>
  <c r="E987" i="40" s="1" a="1"/>
  <c r="E987" i="40" s="1"/>
  <c r="F987" i="40" s="1" a="1"/>
  <c r="F987" i="40" s="1"/>
  <c r="H769" i="35"/>
  <c r="E770" i="35" s="1" a="1"/>
  <c r="E770" i="35" s="1"/>
  <c r="F770" i="35" s="1" a="1"/>
  <c r="F770" i="35" s="1"/>
  <c r="G769" i="35"/>
  <c r="O769" i="35" s="1"/>
  <c r="M987" i="40" l="1"/>
  <c r="H987" i="40" s="1"/>
  <c r="E988" i="40" s="1" a="1"/>
  <c r="E988" i="40" s="1"/>
  <c r="F988" i="40" s="1" a="1"/>
  <c r="F988" i="40" s="1"/>
  <c r="M770" i="35"/>
  <c r="I770" i="35" s="1"/>
  <c r="N769" i="35"/>
  <c r="Q769" i="35"/>
  <c r="P769" i="35"/>
  <c r="G987" i="40" l="1"/>
  <c r="O987" i="40" s="1"/>
  <c r="N987" i="40" s="1"/>
  <c r="I987" i="40"/>
  <c r="M988" i="40"/>
  <c r="I988" i="40" s="1"/>
  <c r="G770" i="35"/>
  <c r="O770" i="35" s="1"/>
  <c r="Q987" i="40" l="1"/>
  <c r="P987" i="40"/>
  <c r="G988" i="40"/>
  <c r="O988" i="40" s="1"/>
  <c r="H988" i="40"/>
  <c r="E989" i="40" s="1" a="1"/>
  <c r="E989" i="40" s="1"/>
  <c r="F989" i="40" s="1" a="1"/>
  <c r="F989" i="40" s="1"/>
  <c r="Q770" i="35"/>
  <c r="P770" i="35"/>
  <c r="N770" i="35"/>
  <c r="H770" i="35"/>
  <c r="E771" i="35" s="1" a="1"/>
  <c r="E771" i="35" s="1"/>
  <c r="F771" i="35" s="1" a="1"/>
  <c r="F771" i="35" s="1"/>
  <c r="M989" i="40" l="1"/>
  <c r="I989" i="40" s="1"/>
  <c r="N988" i="40"/>
  <c r="P988" i="40"/>
  <c r="Q988" i="40"/>
  <c r="M771" i="35"/>
  <c r="I771" i="35" s="1"/>
  <c r="G989" i="40" l="1"/>
  <c r="O989" i="40" s="1"/>
  <c r="H989" i="40"/>
  <c r="E990" i="40" s="1" a="1"/>
  <c r="E990" i="40" s="1"/>
  <c r="F990" i="40" s="1" a="1"/>
  <c r="F990" i="40" s="1"/>
  <c r="G771" i="35"/>
  <c r="O771" i="35" s="1"/>
  <c r="P771" i="35" s="1"/>
  <c r="H771" i="35"/>
  <c r="E772" i="35" s="1" a="1"/>
  <c r="E772" i="35" s="1"/>
  <c r="F772" i="35" s="1" a="1"/>
  <c r="F772" i="35" s="1"/>
  <c r="M990" i="40" l="1"/>
  <c r="G990" i="40" s="1"/>
  <c r="O990" i="40" s="1"/>
  <c r="P989" i="40"/>
  <c r="N989" i="40"/>
  <c r="Q989" i="40"/>
  <c r="Q771" i="35"/>
  <c r="N771" i="35"/>
  <c r="M772" i="35"/>
  <c r="I772" i="35" s="1"/>
  <c r="Q990" i="40" l="1"/>
  <c r="P990" i="40"/>
  <c r="N990" i="40"/>
  <c r="I990" i="40"/>
  <c r="H990" i="40"/>
  <c r="E991" i="40" s="1" a="1"/>
  <c r="E991" i="40" s="1"/>
  <c r="F991" i="40" s="1" a="1"/>
  <c r="F991" i="40" s="1"/>
  <c r="H772" i="35"/>
  <c r="E773" i="35" s="1" a="1"/>
  <c r="E773" i="35" s="1"/>
  <c r="F773" i="35" s="1" a="1"/>
  <c r="F773" i="35" s="1"/>
  <c r="M991" i="40" l="1"/>
  <c r="H991" i="40" s="1"/>
  <c r="E992" i="40" s="1" a="1"/>
  <c r="E992" i="40" s="1"/>
  <c r="F992" i="40" s="1" a="1"/>
  <c r="F992" i="40" s="1"/>
  <c r="M773" i="35"/>
  <c r="I773" i="35" s="1"/>
  <c r="G772" i="35"/>
  <c r="O772" i="35" s="1"/>
  <c r="G991" i="40" l="1"/>
  <c r="O991" i="40" s="1"/>
  <c r="N991" i="40" s="1"/>
  <c r="I991" i="40"/>
  <c r="M992" i="40"/>
  <c r="G992" i="40" s="1"/>
  <c r="O992" i="40" s="1"/>
  <c r="H773" i="35"/>
  <c r="E774" i="35" s="1" a="1"/>
  <c r="E774" i="35" s="1"/>
  <c r="F774" i="35" s="1" a="1"/>
  <c r="F774" i="35" s="1"/>
  <c r="M774" i="35" s="1"/>
  <c r="I774" i="35" s="1"/>
  <c r="G773" i="35"/>
  <c r="O773" i="35" s="1"/>
  <c r="P773" i="35" s="1"/>
  <c r="N772" i="35"/>
  <c r="P772" i="35"/>
  <c r="Q772" i="35"/>
  <c r="P991" i="40" l="1"/>
  <c r="Q991" i="40"/>
  <c r="Q992" i="40"/>
  <c r="N992" i="40"/>
  <c r="P992" i="40"/>
  <c r="I992" i="40"/>
  <c r="H992" i="40"/>
  <c r="E993" i="40" s="1" a="1"/>
  <c r="E993" i="40" s="1"/>
  <c r="F993" i="40" s="1" a="1"/>
  <c r="F993" i="40" s="1"/>
  <c r="N773" i="35"/>
  <c r="Q773" i="35"/>
  <c r="H774" i="35"/>
  <c r="E775" i="35" s="1" a="1"/>
  <c r="E775" i="35" s="1"/>
  <c r="F775" i="35" s="1" a="1"/>
  <c r="F775" i="35" s="1"/>
  <c r="M993" i="40" l="1"/>
  <c r="G993" i="40" s="1"/>
  <c r="O993" i="40" s="1"/>
  <c r="M775" i="35"/>
  <c r="I775" i="35" s="1"/>
  <c r="G774" i="35"/>
  <c r="O774" i="35" s="1"/>
  <c r="N993" i="40" l="1"/>
  <c r="P993" i="40"/>
  <c r="Q993" i="40"/>
  <c r="I993" i="40"/>
  <c r="H993" i="40"/>
  <c r="E994" i="40" s="1" a="1"/>
  <c r="E994" i="40" s="1"/>
  <c r="F994" i="40" s="1" a="1"/>
  <c r="F994" i="40" s="1"/>
  <c r="G775" i="35"/>
  <c r="O775" i="35" s="1"/>
  <c r="N775" i="35" s="1"/>
  <c r="H775" i="35"/>
  <c r="E776" i="35" s="1" a="1"/>
  <c r="E776" i="35" s="1"/>
  <c r="F776" i="35" s="1" a="1"/>
  <c r="F776" i="35" s="1"/>
  <c r="M776" i="35" s="1"/>
  <c r="I776" i="35" s="1"/>
  <c r="P774" i="35"/>
  <c r="Q774" i="35"/>
  <c r="N774" i="35"/>
  <c r="M994" i="40" l="1"/>
  <c r="G994" i="40" s="1"/>
  <c r="O994" i="40" s="1"/>
  <c r="P775" i="35"/>
  <c r="Q775" i="35"/>
  <c r="H776" i="35"/>
  <c r="E777" i="35" s="1" a="1"/>
  <c r="E777" i="35" s="1"/>
  <c r="F777" i="35" s="1" a="1"/>
  <c r="F777" i="35" s="1"/>
  <c r="M777" i="35" s="1"/>
  <c r="G776" i="35"/>
  <c r="O776" i="35" s="1"/>
  <c r="H994" i="40" l="1"/>
  <c r="E995" i="40" s="1" a="1"/>
  <c r="E995" i="40" s="1"/>
  <c r="F995" i="40" s="1" a="1"/>
  <c r="F995" i="40" s="1"/>
  <c r="M995" i="40" s="1"/>
  <c r="H995" i="40" s="1"/>
  <c r="E996" i="40" s="1" a="1"/>
  <c r="E996" i="40" s="1"/>
  <c r="F996" i="40" s="1" a="1"/>
  <c r="F996" i="40" s="1"/>
  <c r="I994" i="40"/>
  <c r="N994" i="40"/>
  <c r="Q994" i="40"/>
  <c r="P994" i="40"/>
  <c r="I777" i="35"/>
  <c r="G777" i="35"/>
  <c r="O777" i="35" s="1"/>
  <c r="N777" i="35" s="1"/>
  <c r="Q776" i="35"/>
  <c r="P776" i="35"/>
  <c r="N776" i="35"/>
  <c r="H777" i="35"/>
  <c r="E778" i="35" s="1" a="1"/>
  <c r="E778" i="35" s="1"/>
  <c r="F778" i="35" s="1" a="1"/>
  <c r="F778" i="35" s="1"/>
  <c r="I995" i="40" l="1"/>
  <c r="G995" i="40"/>
  <c r="O995" i="40" s="1"/>
  <c r="N995" i="40" s="1"/>
  <c r="M996" i="40"/>
  <c r="H996" i="40" s="1"/>
  <c r="E997" i="40" s="1" a="1"/>
  <c r="E997" i="40" s="1"/>
  <c r="F997" i="40" s="1" a="1"/>
  <c r="F997" i="40" s="1"/>
  <c r="Q777" i="35"/>
  <c r="P777" i="35"/>
  <c r="M778" i="35"/>
  <c r="I778" i="35" s="1"/>
  <c r="Q995" i="40" l="1"/>
  <c r="P995" i="40"/>
  <c r="G996" i="40"/>
  <c r="O996" i="40" s="1"/>
  <c r="N996" i="40" s="1"/>
  <c r="I996" i="40"/>
  <c r="M997" i="40"/>
  <c r="I997" i="40" s="1"/>
  <c r="G778" i="35"/>
  <c r="O778" i="35" s="1"/>
  <c r="N778" i="35" s="1"/>
  <c r="H778" i="35"/>
  <c r="E779" i="35" s="1" a="1"/>
  <c r="E779" i="35" s="1"/>
  <c r="F779" i="35" s="1" a="1"/>
  <c r="F779" i="35" s="1"/>
  <c r="P996" i="40" l="1"/>
  <c r="Q996" i="40"/>
  <c r="G997" i="40"/>
  <c r="O997" i="40" s="1"/>
  <c r="N997" i="40" s="1"/>
  <c r="H997" i="40"/>
  <c r="E998" i="40" s="1" a="1"/>
  <c r="E998" i="40" s="1"/>
  <c r="F998" i="40" s="1" a="1"/>
  <c r="F998" i="40" s="1"/>
  <c r="M998" i="40" s="1"/>
  <c r="G998" i="40" s="1"/>
  <c r="O998" i="40" s="1"/>
  <c r="P778" i="35"/>
  <c r="Q778" i="35"/>
  <c r="M779" i="35"/>
  <c r="I779" i="35" s="1"/>
  <c r="Q997" i="40" l="1"/>
  <c r="P997" i="40"/>
  <c r="H998" i="40"/>
  <c r="E999" i="40" s="1" a="1"/>
  <c r="E999" i="40" s="1"/>
  <c r="F999" i="40" s="1" a="1"/>
  <c r="F999" i="40" s="1"/>
  <c r="M999" i="40" s="1"/>
  <c r="H999" i="40" s="1"/>
  <c r="E1000" i="40" s="1" a="1"/>
  <c r="E1000" i="40" s="1"/>
  <c r="F1000" i="40" s="1" a="1"/>
  <c r="F1000" i="40" s="1"/>
  <c r="I998" i="40"/>
  <c r="P998" i="40"/>
  <c r="Q998" i="40"/>
  <c r="N998" i="40"/>
  <c r="H779" i="35"/>
  <c r="E780" i="35" s="1" a="1"/>
  <c r="E780" i="35" s="1"/>
  <c r="F780" i="35" s="1" a="1"/>
  <c r="F780" i="35" s="1"/>
  <c r="M780" i="35" s="1"/>
  <c r="I780" i="35" s="1"/>
  <c r="G779" i="35"/>
  <c r="O779" i="35" s="1"/>
  <c r="M1000" i="40" l="1"/>
  <c r="H1000" i="40" s="1"/>
  <c r="E1001" i="40" s="1" a="1"/>
  <c r="E1001" i="40" s="1"/>
  <c r="F1001" i="40" s="1" a="1"/>
  <c r="F1001" i="40" s="1"/>
  <c r="I999" i="40"/>
  <c r="G999" i="40"/>
  <c r="O999" i="40" s="1"/>
  <c r="G780" i="35"/>
  <c r="O780" i="35" s="1"/>
  <c r="Q780" i="35" s="1"/>
  <c r="H780" i="35"/>
  <c r="E781" i="35" s="1" a="1"/>
  <c r="E781" i="35" s="1"/>
  <c r="F781" i="35" s="1" a="1"/>
  <c r="F781" i="35" s="1"/>
  <c r="M781" i="35" s="1"/>
  <c r="P779" i="35"/>
  <c r="Q779" i="35"/>
  <c r="N779" i="35"/>
  <c r="G1000" i="40" l="1"/>
  <c r="O1000" i="40" s="1"/>
  <c r="P1000" i="40" s="1"/>
  <c r="M1001" i="40"/>
  <c r="I1001" i="40" s="1"/>
  <c r="N999" i="40"/>
  <c r="Q999" i="40"/>
  <c r="P999" i="40"/>
  <c r="I1000" i="40"/>
  <c r="N780" i="35"/>
  <c r="P780" i="35"/>
  <c r="G781" i="35"/>
  <c r="O781" i="35" s="1"/>
  <c r="I781" i="35"/>
  <c r="H781" i="35"/>
  <c r="E782" i="35" s="1" a="1"/>
  <c r="E782" i="35" s="1"/>
  <c r="F782" i="35" s="1" a="1"/>
  <c r="F782" i="35" s="1"/>
  <c r="M782" i="35" s="1"/>
  <c r="N1000" i="40" l="1"/>
  <c r="Q1000" i="40"/>
  <c r="H1001" i="40"/>
  <c r="E1002" i="40" s="1" a="1"/>
  <c r="E1002" i="40" s="1"/>
  <c r="F1002" i="40" s="1" a="1"/>
  <c r="F1002" i="40" s="1"/>
  <c r="G1001" i="40"/>
  <c r="O1001" i="40" s="1"/>
  <c r="G782" i="35"/>
  <c r="O782" i="35" s="1"/>
  <c r="Q782" i="35" s="1"/>
  <c r="H782" i="35"/>
  <c r="E783" i="35" s="1" a="1"/>
  <c r="E783" i="35" s="1"/>
  <c r="F783" i="35" s="1" a="1"/>
  <c r="F783" i="35" s="1"/>
  <c r="M783" i="35" s="1"/>
  <c r="I783" i="35" s="1"/>
  <c r="I782" i="35"/>
  <c r="Q781" i="35"/>
  <c r="N781" i="35"/>
  <c r="P781" i="35"/>
  <c r="P1001" i="40" l="1"/>
  <c r="Q1001" i="40"/>
  <c r="N1001" i="40"/>
  <c r="M1002" i="40"/>
  <c r="G1002" i="40" s="1"/>
  <c r="O1002" i="40" s="1"/>
  <c r="N782" i="35"/>
  <c r="P782" i="35"/>
  <c r="G783" i="35"/>
  <c r="O783" i="35" s="1"/>
  <c r="P783" i="35" s="1"/>
  <c r="H783" i="35"/>
  <c r="E784" i="35" s="1" a="1"/>
  <c r="E784" i="35" s="1"/>
  <c r="F784" i="35" s="1" a="1"/>
  <c r="F784" i="35" s="1"/>
  <c r="M784" i="35" s="1"/>
  <c r="I784" i="35" s="1"/>
  <c r="Q1002" i="40" l="1"/>
  <c r="P1002" i="40"/>
  <c r="N1002" i="40"/>
  <c r="H1002" i="40"/>
  <c r="E1003" i="40" s="1" a="1"/>
  <c r="E1003" i="40" s="1"/>
  <c r="F1003" i="40" s="1" a="1"/>
  <c r="F1003" i="40" s="1"/>
  <c r="I1002" i="40"/>
  <c r="Q783" i="35"/>
  <c r="H784" i="35"/>
  <c r="E785" i="35" s="1" a="1"/>
  <c r="E785" i="35" s="1"/>
  <c r="F785" i="35" s="1" a="1"/>
  <c r="F785" i="35" s="1"/>
  <c r="M785" i="35" s="1"/>
  <c r="I785" i="35" s="1"/>
  <c r="N783" i="35"/>
  <c r="G784" i="35"/>
  <c r="O784" i="35" s="1"/>
  <c r="Q784" i="35" s="1"/>
  <c r="M1003" i="40" l="1"/>
  <c r="G1003" i="40" s="1"/>
  <c r="O1003" i="40" s="1"/>
  <c r="N784" i="35"/>
  <c r="P784" i="35"/>
  <c r="G785" i="35"/>
  <c r="O785" i="35" s="1"/>
  <c r="N1003" i="40" l="1"/>
  <c r="P1003" i="40"/>
  <c r="Q1003" i="40"/>
  <c r="H1003" i="40"/>
  <c r="E1004" i="40" s="1" a="1"/>
  <c r="E1004" i="40" s="1"/>
  <c r="F1004" i="40" s="1" a="1"/>
  <c r="F1004" i="40" s="1"/>
  <c r="I1003" i="40"/>
  <c r="N785" i="35"/>
  <c r="P785" i="35"/>
  <c r="Q785" i="35"/>
  <c r="H785" i="35"/>
  <c r="E786" i="35" s="1" a="1"/>
  <c r="E786" i="35" s="1"/>
  <c r="F786" i="35" s="1" a="1"/>
  <c r="F786" i="35" s="1"/>
  <c r="M1004" i="40" l="1"/>
  <c r="I1004" i="40" s="1"/>
  <c r="M786" i="35"/>
  <c r="I786" i="35" s="1"/>
  <c r="G1004" i="40" l="1"/>
  <c r="O1004" i="40" s="1"/>
  <c r="N1004" i="40" s="1"/>
  <c r="H1004" i="40"/>
  <c r="E1005" i="40" s="1" a="1"/>
  <c r="E1005" i="40" s="1"/>
  <c r="F1005" i="40" s="1" a="1"/>
  <c r="F1005" i="40" s="1"/>
  <c r="M1005" i="40" s="1"/>
  <c r="H1005" i="40" s="1"/>
  <c r="E1006" i="40" s="1" a="1"/>
  <c r="E1006" i="40" s="1"/>
  <c r="F1006" i="40" s="1" a="1"/>
  <c r="F1006" i="40" s="1"/>
  <c r="H786" i="35"/>
  <c r="E787" i="35" s="1" a="1"/>
  <c r="E787" i="35" s="1"/>
  <c r="F787" i="35" s="1" a="1"/>
  <c r="F787" i="35" s="1"/>
  <c r="G786" i="35"/>
  <c r="O786" i="35" s="1"/>
  <c r="P1004" i="40" l="1"/>
  <c r="Q1004" i="40"/>
  <c r="I1005" i="40"/>
  <c r="M1006" i="40"/>
  <c r="G1006" i="40" s="1"/>
  <c r="O1006" i="40" s="1"/>
  <c r="G1005" i="40"/>
  <c r="O1005" i="40" s="1"/>
  <c r="M787" i="35"/>
  <c r="I787" i="35" s="1"/>
  <c r="Q786" i="35"/>
  <c r="N786" i="35"/>
  <c r="P786" i="35"/>
  <c r="H1006" i="40" l="1"/>
  <c r="E1007" i="40" s="1" a="1"/>
  <c r="E1007" i="40" s="1"/>
  <c r="F1007" i="40" s="1" a="1"/>
  <c r="F1007" i="40" s="1"/>
  <c r="M1007" i="40" s="1"/>
  <c r="H1007" i="40" s="1"/>
  <c r="E1008" i="40" s="1" a="1"/>
  <c r="E1008" i="40" s="1"/>
  <c r="F1008" i="40" s="1" a="1"/>
  <c r="F1008" i="40" s="1"/>
  <c r="I1006" i="40"/>
  <c r="N1006" i="40"/>
  <c r="P1006" i="40"/>
  <c r="Q1006" i="40"/>
  <c r="P1005" i="40"/>
  <c r="Q1005" i="40"/>
  <c r="N1005" i="40"/>
  <c r="G787" i="35"/>
  <c r="O787" i="35" s="1"/>
  <c r="Q787" i="35" s="1"/>
  <c r="H787" i="35"/>
  <c r="E788" i="35" s="1" a="1"/>
  <c r="E788" i="35" s="1"/>
  <c r="F788" i="35" s="1" a="1"/>
  <c r="F788" i="35" s="1"/>
  <c r="G1007" i="40" l="1"/>
  <c r="O1007" i="40" s="1"/>
  <c r="N1007" i="40" s="1"/>
  <c r="I1007" i="40"/>
  <c r="M1008" i="40"/>
  <c r="I1008" i="40" s="1"/>
  <c r="Q1007" i="40"/>
  <c r="P1007" i="40"/>
  <c r="N787" i="35"/>
  <c r="P787" i="35"/>
  <c r="M788" i="35"/>
  <c r="I788" i="35" s="1"/>
  <c r="H1008" i="40" l="1"/>
  <c r="E1009" i="40" s="1" a="1"/>
  <c r="E1009" i="40" s="1"/>
  <c r="F1009" i="40" s="1" a="1"/>
  <c r="F1009" i="40" s="1"/>
  <c r="G1008" i="40"/>
  <c r="O1008" i="40" s="1"/>
  <c r="Q1008" i="40" s="1"/>
  <c r="G788" i="35"/>
  <c r="O788" i="35" s="1"/>
  <c r="H788" i="35"/>
  <c r="E789" i="35" s="1" a="1"/>
  <c r="E789" i="35" s="1"/>
  <c r="F789" i="35" s="1" a="1"/>
  <c r="F789" i="35" s="1"/>
  <c r="N1008" i="40" l="1"/>
  <c r="P1008" i="40"/>
  <c r="M1009" i="40"/>
  <c r="H1009" i="40" s="1"/>
  <c r="E1010" i="40" s="1" a="1"/>
  <c r="E1010" i="40" s="1"/>
  <c r="F1010" i="40" s="1" a="1"/>
  <c r="F1010" i="40" s="1"/>
  <c r="M1010" i="40" s="1"/>
  <c r="G1010" i="40" s="1"/>
  <c r="O1010" i="40" s="1"/>
  <c r="M789" i="35"/>
  <c r="I789" i="35" s="1"/>
  <c r="Q788" i="35"/>
  <c r="P788" i="35"/>
  <c r="N788" i="35"/>
  <c r="G1009" i="40" l="1"/>
  <c r="O1009" i="40" s="1"/>
  <c r="I1010" i="40"/>
  <c r="I1009" i="40"/>
  <c r="P1010" i="40"/>
  <c r="Q1010" i="40"/>
  <c r="N1010" i="40"/>
  <c r="N1009" i="40"/>
  <c r="Q1009" i="40"/>
  <c r="P1009" i="40"/>
  <c r="H1010" i="40"/>
  <c r="E1011" i="40" s="1" a="1"/>
  <c r="E1011" i="40" s="1"/>
  <c r="F1011" i="40" s="1" a="1"/>
  <c r="F1011" i="40" s="1"/>
  <c r="H789" i="35"/>
  <c r="E790" i="35" s="1" a="1"/>
  <c r="E790" i="35" s="1"/>
  <c r="F790" i="35" s="1" a="1"/>
  <c r="F790" i="35" s="1"/>
  <c r="M790" i="35" s="1"/>
  <c r="I790" i="35" s="1"/>
  <c r="G789" i="35"/>
  <c r="O789" i="35" s="1"/>
  <c r="Q789" i="35" s="1"/>
  <c r="M1011" i="40" l="1"/>
  <c r="G1011" i="40" s="1"/>
  <c r="O1011" i="40" s="1"/>
  <c r="N789" i="35"/>
  <c r="P789" i="35"/>
  <c r="H790" i="35"/>
  <c r="E791" i="35" s="1" a="1"/>
  <c r="E791" i="35" s="1"/>
  <c r="F791" i="35" s="1" a="1"/>
  <c r="F791" i="35" s="1"/>
  <c r="M791" i="35" s="1"/>
  <c r="I791" i="35" s="1"/>
  <c r="G790" i="35"/>
  <c r="O790" i="35" s="1"/>
  <c r="H1011" i="40" l="1"/>
  <c r="E1012" i="40" s="1" a="1"/>
  <c r="E1012" i="40" s="1"/>
  <c r="F1012" i="40" s="1" a="1"/>
  <c r="F1012" i="40" s="1"/>
  <c r="M1012" i="40" s="1"/>
  <c r="I1012" i="40" s="1"/>
  <c r="N1011" i="40"/>
  <c r="P1011" i="40"/>
  <c r="Q1011" i="40"/>
  <c r="I1011" i="40"/>
  <c r="G791" i="35"/>
  <c r="O791" i="35" s="1"/>
  <c r="P791" i="35" s="1"/>
  <c r="H791" i="35"/>
  <c r="E792" i="35" s="1" a="1"/>
  <c r="E792" i="35" s="1"/>
  <c r="F792" i="35" s="1" a="1"/>
  <c r="F792" i="35" s="1"/>
  <c r="P790" i="35"/>
  <c r="N790" i="35"/>
  <c r="Q790" i="35"/>
  <c r="G1012" i="40" l="1"/>
  <c r="O1012" i="40" s="1"/>
  <c r="H1012" i="40"/>
  <c r="E1013" i="40" s="1" a="1"/>
  <c r="E1013" i="40" s="1"/>
  <c r="F1013" i="40" s="1" a="1"/>
  <c r="F1013" i="40" s="1"/>
  <c r="N791" i="35"/>
  <c r="Q791" i="35"/>
  <c r="M792" i="35"/>
  <c r="G792" i="35" s="1"/>
  <c r="O792" i="35" s="1"/>
  <c r="M1013" i="40" l="1"/>
  <c r="I1013" i="40" s="1"/>
  <c r="N1012" i="40"/>
  <c r="Q1012" i="40"/>
  <c r="P1012" i="40"/>
  <c r="H792" i="35"/>
  <c r="E793" i="35" s="1" a="1"/>
  <c r="E793" i="35" s="1"/>
  <c r="F793" i="35" s="1" a="1"/>
  <c r="F793" i="35" s="1"/>
  <c r="M793" i="35" s="1"/>
  <c r="H793" i="35" s="1"/>
  <c r="E794" i="35" s="1" a="1"/>
  <c r="E794" i="35" s="1"/>
  <c r="F794" i="35" s="1" a="1"/>
  <c r="F794" i="35" s="1"/>
  <c r="Q792" i="35"/>
  <c r="N792" i="35"/>
  <c r="P792" i="35"/>
  <c r="I792" i="35"/>
  <c r="H1013" i="40" l="1"/>
  <c r="E1014" i="40" s="1" a="1"/>
  <c r="E1014" i="40" s="1"/>
  <c r="F1014" i="40" s="1" a="1"/>
  <c r="F1014" i="40" s="1"/>
  <c r="G1013" i="40"/>
  <c r="O1013" i="40" s="1"/>
  <c r="G793" i="35"/>
  <c r="O793" i="35" s="1"/>
  <c r="N793" i="35" s="1"/>
  <c r="M794" i="35"/>
  <c r="I794" i="35" s="1"/>
  <c r="I793" i="35"/>
  <c r="N1013" i="40" l="1"/>
  <c r="Q1013" i="40"/>
  <c r="P1013" i="40"/>
  <c r="M1014" i="40"/>
  <c r="G1014" i="40" s="1"/>
  <c r="O1014" i="40" s="1"/>
  <c r="P793" i="35"/>
  <c r="Q793" i="35"/>
  <c r="H794" i="35"/>
  <c r="E795" i="35" s="1" a="1"/>
  <c r="E795" i="35" s="1"/>
  <c r="F795" i="35" s="1" a="1"/>
  <c r="F795" i="35" s="1"/>
  <c r="M795" i="35" s="1"/>
  <c r="I795" i="35" s="1"/>
  <c r="G794" i="35"/>
  <c r="O794" i="35" s="1"/>
  <c r="N1014" i="40" l="1"/>
  <c r="Q1014" i="40"/>
  <c r="P1014" i="40"/>
  <c r="I1014" i="40"/>
  <c r="H1014" i="40"/>
  <c r="E1015" i="40" s="1" a="1"/>
  <c r="E1015" i="40" s="1"/>
  <c r="F1015" i="40" s="1" a="1"/>
  <c r="F1015" i="40" s="1"/>
  <c r="G795" i="35"/>
  <c r="O795" i="35" s="1"/>
  <c r="N795" i="35" s="1"/>
  <c r="P794" i="35"/>
  <c r="Q794" i="35"/>
  <c r="N794" i="35"/>
  <c r="H795" i="35"/>
  <c r="E796" i="35" s="1" a="1"/>
  <c r="E796" i="35" s="1"/>
  <c r="F796" i="35" s="1" a="1"/>
  <c r="F796" i="35" s="1"/>
  <c r="M1015" i="40" l="1"/>
  <c r="I1015" i="40" s="1"/>
  <c r="P795" i="35"/>
  <c r="Q795" i="35"/>
  <c r="M796" i="35"/>
  <c r="I796" i="35" s="1"/>
  <c r="H1015" i="40" l="1"/>
  <c r="E1016" i="40" s="1" a="1"/>
  <c r="E1016" i="40" s="1"/>
  <c r="F1016" i="40" s="1" a="1"/>
  <c r="F1016" i="40" s="1"/>
  <c r="G1015" i="40"/>
  <c r="O1015" i="40" s="1"/>
  <c r="G796" i="35"/>
  <c r="O796" i="35" s="1"/>
  <c r="Q796" i="35" s="1"/>
  <c r="H796" i="35"/>
  <c r="E797" i="35" s="1" a="1"/>
  <c r="E797" i="35" s="1"/>
  <c r="F797" i="35" s="1" a="1"/>
  <c r="F797" i="35" s="1"/>
  <c r="N1015" i="40" l="1"/>
  <c r="Q1015" i="40"/>
  <c r="P1015" i="40"/>
  <c r="M1016" i="40"/>
  <c r="I1016" i="40" s="1"/>
  <c r="N796" i="35"/>
  <c r="P796" i="35"/>
  <c r="M797" i="35"/>
  <c r="I797" i="35" s="1"/>
  <c r="H1016" i="40" l="1"/>
  <c r="E1017" i="40" s="1" a="1"/>
  <c r="E1017" i="40" s="1"/>
  <c r="F1017" i="40" s="1" a="1"/>
  <c r="F1017" i="40" s="1"/>
  <c r="M1017" i="40" s="1"/>
  <c r="I1017" i="40" s="1"/>
  <c r="G1016" i="40"/>
  <c r="O1016" i="40" s="1"/>
  <c r="G797" i="35"/>
  <c r="O797" i="35" s="1"/>
  <c r="H1017" i="40" l="1"/>
  <c r="J12" i="40" s="1"/>
  <c r="G1017" i="40"/>
  <c r="O1017" i="40" s="1"/>
  <c r="Q1017" i="40" s="1"/>
  <c r="Q1016" i="40"/>
  <c r="P1016" i="40"/>
  <c r="N1016" i="40"/>
  <c r="J11" i="40"/>
  <c r="N797" i="35"/>
  <c r="Q797" i="35"/>
  <c r="P797" i="35"/>
  <c r="H797" i="35"/>
  <c r="E798" i="35" s="1" a="1"/>
  <c r="E798" i="35" s="1"/>
  <c r="F798" i="35" s="1" a="1"/>
  <c r="F798" i="35" s="1"/>
  <c r="N1017" i="40" l="1"/>
  <c r="P1017" i="40"/>
  <c r="M798" i="35"/>
  <c r="I798" i="35" s="1"/>
  <c r="H798" i="35" l="1"/>
  <c r="E799" i="35" s="1" a="1"/>
  <c r="E799" i="35" s="1"/>
  <c r="F799" i="35" s="1" a="1"/>
  <c r="F799" i="35" s="1"/>
  <c r="G798" i="35"/>
  <c r="O798" i="35" s="1"/>
  <c r="M799" i="35" l="1"/>
  <c r="I799" i="35" s="1"/>
  <c r="N798" i="35"/>
  <c r="Q798" i="35"/>
  <c r="P798" i="35"/>
  <c r="G799" i="35" l="1"/>
  <c r="O799" i="35" s="1"/>
  <c r="H799" i="35"/>
  <c r="E800" i="35" s="1" a="1"/>
  <c r="E800" i="35" s="1"/>
  <c r="F800" i="35" s="1" a="1"/>
  <c r="F800" i="35" s="1"/>
  <c r="M800" i="35" l="1"/>
  <c r="I800" i="35" s="1"/>
  <c r="N799" i="35"/>
  <c r="Q799" i="35"/>
  <c r="P799" i="35"/>
  <c r="H800" i="35" l="1"/>
  <c r="E801" i="35" s="1" a="1"/>
  <c r="E801" i="35" s="1"/>
  <c r="F801" i="35" s="1" a="1"/>
  <c r="F801" i="35" s="1"/>
  <c r="M801" i="35" s="1"/>
  <c r="I801" i="35" s="1"/>
  <c r="G800" i="35"/>
  <c r="O800" i="35" s="1"/>
  <c r="Q800" i="35" s="1"/>
  <c r="N800" i="35" l="1"/>
  <c r="P800" i="35"/>
  <c r="H801" i="35"/>
  <c r="E802" i="35" s="1" a="1"/>
  <c r="E802" i="35" s="1"/>
  <c r="F802" i="35" s="1" a="1"/>
  <c r="F802" i="35" s="1"/>
  <c r="M802" i="35" s="1"/>
  <c r="I802" i="35" s="1"/>
  <c r="G801" i="35"/>
  <c r="O801" i="35" s="1"/>
  <c r="Q801" i="35" s="1"/>
  <c r="P801" i="35" l="1"/>
  <c r="N801" i="35"/>
  <c r="G802" i="35"/>
  <c r="O802" i="35" s="1"/>
  <c r="N802" i="35" s="1"/>
  <c r="H802" i="35"/>
  <c r="E803" i="35" s="1" a="1"/>
  <c r="E803" i="35" s="1"/>
  <c r="F803" i="35" s="1" a="1"/>
  <c r="F803" i="35" s="1"/>
  <c r="Q802" i="35" l="1"/>
  <c r="P802" i="35"/>
  <c r="M803" i="35"/>
  <c r="I803" i="35" s="1"/>
  <c r="G803" i="35" l="1"/>
  <c r="O803" i="35" s="1"/>
  <c r="N803" i="35" l="1"/>
  <c r="P803" i="35"/>
  <c r="Q803" i="35"/>
  <c r="H803" i="35"/>
  <c r="E804" i="35" s="1" a="1"/>
  <c r="E804" i="35" s="1"/>
  <c r="F804" i="35" s="1" a="1"/>
  <c r="F804" i="35" s="1"/>
  <c r="M804" i="35" l="1"/>
  <c r="I804" i="35" s="1"/>
  <c r="G804" i="35" l="1"/>
  <c r="O804" i="35" s="1"/>
  <c r="H804" i="35"/>
  <c r="E805" i="35" s="1" a="1"/>
  <c r="E805" i="35" s="1"/>
  <c r="F805" i="35" s="1" a="1"/>
  <c r="F805" i="35" s="1"/>
  <c r="M805" i="35" l="1"/>
  <c r="I805" i="35" s="1"/>
  <c r="P804" i="35"/>
  <c r="Q804" i="35"/>
  <c r="N804" i="35"/>
  <c r="G805" i="35" l="1"/>
  <c r="O805" i="35" s="1"/>
  <c r="Q805" i="35" l="1"/>
  <c r="P805" i="35"/>
  <c r="N805" i="35"/>
  <c r="H805" i="35"/>
  <c r="E806" i="35" s="1" a="1"/>
  <c r="E806" i="35" s="1"/>
  <c r="F806" i="35" s="1" a="1"/>
  <c r="F806" i="35" s="1"/>
  <c r="M806" i="35" l="1"/>
  <c r="I806" i="35" s="1"/>
  <c r="G806" i="35" l="1"/>
  <c r="O806" i="35" s="1"/>
  <c r="P806" i="35" s="1"/>
  <c r="H806" i="35"/>
  <c r="E807" i="35" s="1" a="1"/>
  <c r="E807" i="35" s="1"/>
  <c r="F807" i="35" s="1" a="1"/>
  <c r="F807" i="35" s="1"/>
  <c r="Q806" i="35" l="1"/>
  <c r="N806" i="35"/>
  <c r="M807" i="35"/>
  <c r="I807" i="35" s="1"/>
  <c r="G807" i="35" l="1"/>
  <c r="O807" i="35" s="1"/>
  <c r="P807" i="35" l="1"/>
  <c r="N807" i="35"/>
  <c r="Q807" i="35"/>
  <c r="H807" i="35"/>
  <c r="E808" i="35" s="1" a="1"/>
  <c r="E808" i="35" s="1"/>
  <c r="F808" i="35" s="1" a="1"/>
  <c r="F808" i="35" s="1"/>
  <c r="M808" i="35" l="1"/>
  <c r="I808" i="35" s="1"/>
  <c r="H808" i="35" l="1"/>
  <c r="E809" i="35" s="1" a="1"/>
  <c r="E809" i="35" s="1"/>
  <c r="F809" i="35" s="1" a="1"/>
  <c r="F809" i="35" s="1"/>
  <c r="G808" i="35"/>
  <c r="O808" i="35" s="1"/>
  <c r="M809" i="35" l="1"/>
  <c r="I809" i="35" s="1"/>
  <c r="N808" i="35"/>
  <c r="Q808" i="35"/>
  <c r="P808" i="35"/>
  <c r="H809" i="35" l="1"/>
  <c r="E810" i="35" s="1" a="1"/>
  <c r="E810" i="35" s="1"/>
  <c r="F810" i="35" s="1" a="1"/>
  <c r="F810" i="35" s="1"/>
  <c r="G809" i="35"/>
  <c r="O809" i="35" s="1"/>
  <c r="M810" i="35" l="1"/>
  <c r="I810" i="35" s="1"/>
  <c r="Q809" i="35"/>
  <c r="P809" i="35"/>
  <c r="N809" i="35"/>
  <c r="H810" i="35" l="1"/>
  <c r="E811" i="35" s="1" a="1"/>
  <c r="E811" i="35" s="1"/>
  <c r="F811" i="35" s="1" a="1"/>
  <c r="F811" i="35" s="1"/>
  <c r="M811" i="35" s="1"/>
  <c r="I811" i="35" s="1"/>
  <c r="G810" i="35"/>
  <c r="O810" i="35" s="1"/>
  <c r="H811" i="35" l="1"/>
  <c r="E812" i="35" s="1" a="1"/>
  <c r="E812" i="35" s="1"/>
  <c r="F812" i="35" s="1" a="1"/>
  <c r="F812" i="35" s="1"/>
  <c r="M812" i="35" s="1"/>
  <c r="I812" i="35" s="1"/>
  <c r="G811" i="35"/>
  <c r="O811" i="35" s="1"/>
  <c r="Q811" i="35" s="1"/>
  <c r="P810" i="35"/>
  <c r="Q810" i="35"/>
  <c r="N810" i="35"/>
  <c r="N811" i="35" l="1"/>
  <c r="P811" i="35"/>
  <c r="G812" i="35" l="1"/>
  <c r="O812" i="35" s="1"/>
  <c r="H812" i="35"/>
  <c r="E813" i="35" s="1" a="1"/>
  <c r="E813" i="35" s="1"/>
  <c r="F813" i="35" s="1" a="1"/>
  <c r="F813" i="35" s="1"/>
  <c r="M813" i="35" l="1"/>
  <c r="I813" i="35" s="1"/>
  <c r="N812" i="35"/>
  <c r="Q812" i="35"/>
  <c r="P812" i="35"/>
  <c r="G813" i="35" l="1"/>
  <c r="O813" i="35" s="1"/>
  <c r="P813" i="35" s="1"/>
  <c r="H813" i="35"/>
  <c r="E814" i="35" s="1" a="1"/>
  <c r="E814" i="35" s="1"/>
  <c r="F814" i="35" s="1" a="1"/>
  <c r="F814" i="35" s="1"/>
  <c r="Q813" i="35" l="1"/>
  <c r="N813" i="35"/>
  <c r="M814" i="35"/>
  <c r="I814" i="35" s="1"/>
  <c r="G814" i="35" l="1"/>
  <c r="O814" i="35" s="1"/>
  <c r="N814" i="35" s="1"/>
  <c r="H814" i="35"/>
  <c r="E815" i="35" s="1" a="1"/>
  <c r="E815" i="35" s="1"/>
  <c r="F815" i="35" s="1" a="1"/>
  <c r="F815" i="35" s="1"/>
  <c r="Q814" i="35" l="1"/>
  <c r="P814" i="35"/>
  <c r="M815" i="35"/>
  <c r="I815" i="35" s="1"/>
  <c r="H815" i="35" l="1"/>
  <c r="E816" i="35" s="1" a="1"/>
  <c r="E816" i="35" s="1"/>
  <c r="F816" i="35" s="1" a="1"/>
  <c r="F816" i="35" s="1"/>
  <c r="M816" i="35" l="1"/>
  <c r="I816" i="35" s="1"/>
  <c r="G815" i="35"/>
  <c r="O815" i="35" s="1"/>
  <c r="H816" i="35" l="1"/>
  <c r="E817" i="35" s="1" a="1"/>
  <c r="E817" i="35" s="1"/>
  <c r="F817" i="35" s="1" a="1"/>
  <c r="F817" i="35" s="1"/>
  <c r="M817" i="35" s="1"/>
  <c r="I817" i="35" s="1"/>
  <c r="G816" i="35"/>
  <c r="O816" i="35" s="1"/>
  <c r="Q816" i="35" s="1"/>
  <c r="N815" i="35"/>
  <c r="Q815" i="35"/>
  <c r="P815" i="35"/>
  <c r="P816" i="35" l="1"/>
  <c r="N816" i="35"/>
  <c r="G817" i="35"/>
  <c r="O817" i="35" s="1"/>
  <c r="Q817" i="35" s="1"/>
  <c r="H817" i="35"/>
  <c r="E818" i="35" s="1" a="1"/>
  <c r="E818" i="35" s="1"/>
  <c r="F818" i="35" s="1" a="1"/>
  <c r="F818" i="35" s="1"/>
  <c r="P817" i="35" l="1"/>
  <c r="N817" i="35"/>
  <c r="M818" i="35"/>
  <c r="I818" i="35" s="1"/>
  <c r="G818" i="35" l="1"/>
  <c r="O818" i="35" s="1"/>
  <c r="Q818" i="35" s="1"/>
  <c r="H818" i="35"/>
  <c r="E819" i="35" s="1" a="1"/>
  <c r="E819" i="35" s="1"/>
  <c r="F819" i="35" s="1" a="1"/>
  <c r="F819" i="35" s="1"/>
  <c r="M819" i="35" s="1"/>
  <c r="I819" i="35" s="1"/>
  <c r="N818" i="35" l="1"/>
  <c r="P818" i="35"/>
  <c r="G819" i="35" l="1"/>
  <c r="O819" i="35" s="1"/>
  <c r="H819" i="35"/>
  <c r="E820" i="35" s="1" a="1"/>
  <c r="E820" i="35" s="1"/>
  <c r="F820" i="35" s="1" a="1"/>
  <c r="F820" i="35" s="1"/>
  <c r="M820" i="35" l="1"/>
  <c r="I820" i="35" s="1"/>
  <c r="N819" i="35"/>
  <c r="Q819" i="35"/>
  <c r="P819" i="35"/>
  <c r="H820" i="35" l="1"/>
  <c r="E821" i="35" s="1" a="1"/>
  <c r="E821" i="35" s="1"/>
  <c r="F821" i="35" s="1" a="1"/>
  <c r="F821" i="35" s="1"/>
  <c r="G820" i="35"/>
  <c r="O820" i="35" s="1"/>
  <c r="M821" i="35" l="1"/>
  <c r="I821" i="35" s="1"/>
  <c r="Q820" i="35"/>
  <c r="N820" i="35"/>
  <c r="P820" i="35"/>
  <c r="G821" i="35" l="1"/>
  <c r="O821" i="35" s="1"/>
  <c r="N821" i="35" l="1"/>
  <c r="Q821" i="35"/>
  <c r="P821" i="35"/>
  <c r="H821" i="35"/>
  <c r="E822" i="35" s="1" a="1"/>
  <c r="E822" i="35" s="1"/>
  <c r="F822" i="35" s="1" a="1"/>
  <c r="F822" i="35" s="1"/>
  <c r="M822" i="35" l="1"/>
  <c r="I822" i="35" s="1"/>
  <c r="G822" i="35" l="1"/>
  <c r="O822" i="35" s="1"/>
  <c r="H822" i="35"/>
  <c r="E823" i="35" s="1" a="1"/>
  <c r="E823" i="35" s="1"/>
  <c r="F823" i="35" s="1" a="1"/>
  <c r="F823" i="35" s="1"/>
  <c r="M823" i="35" l="1"/>
  <c r="I823" i="35" s="1"/>
  <c r="P822" i="35"/>
  <c r="N822" i="35"/>
  <c r="Q822" i="35"/>
  <c r="H823" i="35" l="1"/>
  <c r="E824" i="35" s="1" a="1"/>
  <c r="E824" i="35" s="1"/>
  <c r="F824" i="35" s="1" a="1"/>
  <c r="F824" i="35" s="1"/>
  <c r="M824" i="35" s="1"/>
  <c r="I824" i="35" s="1"/>
  <c r="G823" i="35"/>
  <c r="O823" i="35" s="1"/>
  <c r="N823" i="35" l="1"/>
  <c r="Q823" i="35"/>
  <c r="P823" i="35"/>
  <c r="G824" i="35"/>
  <c r="O824" i="35" s="1"/>
  <c r="H824" i="35"/>
  <c r="E825" i="35" s="1" a="1"/>
  <c r="E825" i="35" s="1"/>
  <c r="F825" i="35" s="1" a="1"/>
  <c r="F825" i="35" s="1"/>
  <c r="M825" i="35" l="1"/>
  <c r="I825" i="35" s="1"/>
  <c r="N824" i="35"/>
  <c r="P824" i="35"/>
  <c r="Q824" i="35"/>
  <c r="H825" i="35" l="1"/>
  <c r="E826" i="35" s="1" a="1"/>
  <c r="E826" i="35" s="1"/>
  <c r="F826" i="35" s="1" a="1"/>
  <c r="F826" i="35" s="1"/>
  <c r="M826" i="35" l="1"/>
  <c r="I826" i="35" s="1"/>
  <c r="G825" i="35"/>
  <c r="O825" i="35" s="1"/>
  <c r="Q825" i="35" l="1"/>
  <c r="N825" i="35"/>
  <c r="P825" i="35"/>
  <c r="H826" i="35"/>
  <c r="E827" i="35" s="1" a="1"/>
  <c r="E827" i="35" s="1"/>
  <c r="F827" i="35" s="1" a="1"/>
  <c r="F827" i="35" s="1"/>
  <c r="M827" i="35" l="1"/>
  <c r="I827" i="35" s="1"/>
  <c r="G826" i="35"/>
  <c r="O826" i="35" s="1"/>
  <c r="G827" i="35" l="1"/>
  <c r="O827" i="35" s="1"/>
  <c r="N827" i="35" s="1"/>
  <c r="N826" i="35"/>
  <c r="P826" i="35"/>
  <c r="Q826" i="35"/>
  <c r="H827" i="35"/>
  <c r="E828" i="35" s="1" a="1"/>
  <c r="E828" i="35" s="1"/>
  <c r="F828" i="35" s="1" a="1"/>
  <c r="F828" i="35" s="1"/>
  <c r="Q827" i="35" l="1"/>
  <c r="P827" i="35"/>
  <c r="M828" i="35"/>
  <c r="I828" i="35" s="1"/>
  <c r="H828" i="35" l="1"/>
  <c r="E829" i="35" s="1" a="1"/>
  <c r="E829" i="35" s="1"/>
  <c r="F829" i="35" s="1" a="1"/>
  <c r="F829" i="35" s="1"/>
  <c r="M829" i="35" l="1"/>
  <c r="I829" i="35" s="1"/>
  <c r="G828" i="35"/>
  <c r="O828" i="35" s="1"/>
  <c r="G829" i="35" l="1"/>
  <c r="O829" i="35" s="1"/>
  <c r="P829" i="35" s="1"/>
  <c r="H829" i="35"/>
  <c r="E830" i="35" s="1" a="1"/>
  <c r="E830" i="35" s="1"/>
  <c r="F830" i="35" s="1" a="1"/>
  <c r="F830" i="35" s="1"/>
  <c r="P828" i="35"/>
  <c r="Q828" i="35"/>
  <c r="N828" i="35"/>
  <c r="Q829" i="35" l="1"/>
  <c r="N829" i="35"/>
  <c r="M830" i="35"/>
  <c r="I830" i="35" s="1"/>
  <c r="H830" i="35" l="1"/>
  <c r="E831" i="35" s="1" a="1"/>
  <c r="E831" i="35" s="1"/>
  <c r="F831" i="35" s="1" a="1"/>
  <c r="F831" i="35" s="1"/>
  <c r="G830" i="35"/>
  <c r="O830" i="35" s="1"/>
  <c r="M831" i="35" l="1"/>
  <c r="I831" i="35" s="1"/>
  <c r="N830" i="35"/>
  <c r="Q830" i="35"/>
  <c r="P830" i="35"/>
  <c r="G831" i="35" l="1"/>
  <c r="O831" i="35" s="1"/>
  <c r="Q831" i="35" l="1"/>
  <c r="P831" i="35"/>
  <c r="N831" i="35"/>
  <c r="H831" i="35"/>
  <c r="E832" i="35" s="1" a="1"/>
  <c r="E832" i="35" s="1"/>
  <c r="F832" i="35" s="1" a="1"/>
  <c r="F832" i="35" s="1"/>
  <c r="M832" i="35" l="1"/>
  <c r="I832" i="35" s="1"/>
  <c r="H832" i="35" l="1"/>
  <c r="E833" i="35" s="1" a="1"/>
  <c r="E833" i="35" s="1"/>
  <c r="F833" i="35" s="1" a="1"/>
  <c r="F833" i="35" s="1"/>
  <c r="G832" i="35"/>
  <c r="O832" i="35" s="1"/>
  <c r="M833" i="35" l="1"/>
  <c r="I833" i="35" s="1"/>
  <c r="P832" i="35"/>
  <c r="N832" i="35"/>
  <c r="Q832" i="35"/>
  <c r="G833" i="35" l="1"/>
  <c r="O833" i="35" s="1"/>
  <c r="N833" i="35" s="1"/>
  <c r="H833" i="35"/>
  <c r="E834" i="35" s="1" a="1"/>
  <c r="E834" i="35" s="1"/>
  <c r="F834" i="35" s="1" a="1"/>
  <c r="F834" i="35" s="1"/>
  <c r="M834" i="35" s="1"/>
  <c r="I834" i="35" s="1"/>
  <c r="P833" i="35"/>
  <c r="Q833" i="35"/>
  <c r="H834" i="35" l="1"/>
  <c r="E835" i="35" s="1" a="1"/>
  <c r="E835" i="35" s="1"/>
  <c r="F835" i="35" s="1" a="1"/>
  <c r="F835" i="35" s="1"/>
  <c r="M835" i="35" s="1"/>
  <c r="H835" i="35" s="1"/>
  <c r="E836" i="35" s="1" a="1"/>
  <c r="E836" i="35" s="1"/>
  <c r="F836" i="35" s="1" a="1"/>
  <c r="F836" i="35" s="1"/>
  <c r="G834" i="35"/>
  <c r="O834" i="35" s="1"/>
  <c r="G835" i="35" l="1"/>
  <c r="O835" i="35" s="1"/>
  <c r="N835" i="35" s="1"/>
  <c r="I835" i="35"/>
  <c r="M836" i="35"/>
  <c r="I836" i="35" s="1"/>
  <c r="N834" i="35"/>
  <c r="P834" i="35"/>
  <c r="Q834" i="35"/>
  <c r="Q835" i="35" l="1"/>
  <c r="P835" i="35"/>
  <c r="G836" i="35"/>
  <c r="O836" i="35" s="1"/>
  <c r="N836" i="35" s="1"/>
  <c r="H836" i="35"/>
  <c r="E837" i="35" s="1" a="1"/>
  <c r="E837" i="35" s="1"/>
  <c r="F837" i="35" s="1" a="1"/>
  <c r="F837" i="35" s="1"/>
  <c r="M837" i="35" s="1"/>
  <c r="I837" i="35" s="1"/>
  <c r="Q836" i="35" l="1"/>
  <c r="P836" i="35"/>
  <c r="G837" i="35"/>
  <c r="O837" i="35" s="1"/>
  <c r="P837" i="35" l="1"/>
  <c r="N837" i="35"/>
  <c r="Q837" i="35"/>
  <c r="H837" i="35"/>
  <c r="E838" i="35" s="1" a="1"/>
  <c r="E838" i="35" s="1"/>
  <c r="F838" i="35" s="1" a="1"/>
  <c r="F838" i="35" s="1"/>
  <c r="M838" i="35" l="1"/>
  <c r="I838" i="35" s="1"/>
  <c r="G838" i="35" l="1"/>
  <c r="O838" i="35" s="1"/>
  <c r="H838" i="35"/>
  <c r="E839" i="35" s="1" a="1"/>
  <c r="E839" i="35" s="1"/>
  <c r="F839" i="35" s="1" a="1"/>
  <c r="F839" i="35" s="1"/>
  <c r="M839" i="35" l="1"/>
  <c r="I839" i="35" s="1"/>
  <c r="N838" i="35"/>
  <c r="Q838" i="35"/>
  <c r="P838" i="35"/>
  <c r="G839" i="35" l="1"/>
  <c r="O839" i="35" s="1"/>
  <c r="N839" i="35" l="1"/>
  <c r="P839" i="35"/>
  <c r="Q839" i="35"/>
  <c r="H839" i="35"/>
  <c r="E840" i="35" s="1" a="1"/>
  <c r="E840" i="35" s="1"/>
  <c r="F840" i="35" s="1" a="1"/>
  <c r="F840" i="35" s="1"/>
  <c r="M840" i="35" l="1"/>
  <c r="I840" i="35" s="1"/>
  <c r="H840" i="35" l="1"/>
  <c r="E841" i="35" s="1" a="1"/>
  <c r="E841" i="35" s="1"/>
  <c r="F841" i="35" s="1" a="1"/>
  <c r="F841" i="35" s="1"/>
  <c r="G840" i="35"/>
  <c r="O840" i="35" s="1"/>
  <c r="M841" i="35" l="1"/>
  <c r="I841" i="35" s="1"/>
  <c r="N840" i="35"/>
  <c r="Q840" i="35"/>
  <c r="P840" i="35"/>
  <c r="G841" i="35" l="1"/>
  <c r="O841" i="35" s="1"/>
  <c r="N841" i="35" s="1"/>
  <c r="H841" i="35"/>
  <c r="E842" i="35" s="1" a="1"/>
  <c r="E842" i="35" s="1"/>
  <c r="F842" i="35" s="1" a="1"/>
  <c r="F842" i="35" s="1"/>
  <c r="P841" i="35" l="1"/>
  <c r="Q841" i="35"/>
  <c r="M842" i="35"/>
  <c r="I842" i="35" s="1"/>
  <c r="G842" i="35" l="1"/>
  <c r="O842" i="35" s="1"/>
  <c r="H842" i="35"/>
  <c r="E843" i="35" s="1" a="1"/>
  <c r="E843" i="35" s="1"/>
  <c r="F843" i="35" s="1" a="1"/>
  <c r="F843" i="35" s="1"/>
  <c r="M843" i="35" l="1"/>
  <c r="I843" i="35" s="1"/>
  <c r="P842" i="35"/>
  <c r="N842" i="35"/>
  <c r="Q842" i="35"/>
  <c r="G843" i="35" l="1"/>
  <c r="O843" i="35" s="1"/>
  <c r="N843" i="35" s="1"/>
  <c r="H843" i="35"/>
  <c r="E844" i="35" s="1" a="1"/>
  <c r="E844" i="35" s="1"/>
  <c r="F844" i="35" s="1" a="1"/>
  <c r="F844" i="35" s="1"/>
  <c r="P843" i="35" l="1"/>
  <c r="Q843" i="35"/>
  <c r="M844" i="35"/>
  <c r="I844" i="35" s="1"/>
  <c r="G844" i="35" l="1"/>
  <c r="O844" i="35" s="1"/>
  <c r="N844" i="35" s="1"/>
  <c r="H844" i="35"/>
  <c r="E845" i="35" s="1" a="1"/>
  <c r="E845" i="35" s="1"/>
  <c r="F845" i="35" s="1" a="1"/>
  <c r="F845" i="35" s="1"/>
  <c r="Q844" i="35" l="1"/>
  <c r="P844" i="35"/>
  <c r="M845" i="35"/>
  <c r="I845" i="35" s="1"/>
  <c r="G845" i="35" l="1"/>
  <c r="O845" i="35" s="1"/>
  <c r="H845" i="35" l="1"/>
  <c r="E846" i="35" s="1" a="1"/>
  <c r="E846" i="35" s="1"/>
  <c r="F846" i="35" s="1" a="1"/>
  <c r="F846" i="35" s="1"/>
  <c r="P845" i="35"/>
  <c r="Q845" i="35"/>
  <c r="N845" i="35"/>
  <c r="M846" i="35" l="1"/>
  <c r="I846" i="35" s="1"/>
  <c r="H846" i="35" l="1"/>
  <c r="E847" i="35" s="1" a="1"/>
  <c r="E847" i="35" s="1"/>
  <c r="F847" i="35" s="1" a="1"/>
  <c r="F847" i="35" s="1"/>
  <c r="G846" i="35"/>
  <c r="O846" i="35" s="1"/>
  <c r="M847" i="35" l="1"/>
  <c r="I847" i="35" s="1"/>
  <c r="N846" i="35"/>
  <c r="Q846" i="35"/>
  <c r="P846" i="35"/>
  <c r="H847" i="35" l="1"/>
  <c r="E848" i="35" s="1" a="1"/>
  <c r="E848" i="35" s="1"/>
  <c r="F848" i="35" s="1" a="1"/>
  <c r="F848" i="35" s="1"/>
  <c r="M848" i="35" s="1"/>
  <c r="I848" i="35" s="1"/>
  <c r="G847" i="35"/>
  <c r="O847" i="35" s="1"/>
  <c r="Q847" i="35" s="1"/>
  <c r="N847" i="35" l="1"/>
  <c r="P847" i="35"/>
  <c r="G848" i="35" l="1"/>
  <c r="O848" i="35" s="1"/>
  <c r="H848" i="35"/>
  <c r="E849" i="35" s="1" a="1"/>
  <c r="E849" i="35" s="1"/>
  <c r="F849" i="35" s="1" a="1"/>
  <c r="F849" i="35" s="1"/>
  <c r="M849" i="35" l="1"/>
  <c r="I849" i="35" s="1"/>
  <c r="Q848" i="35"/>
  <c r="N848" i="35"/>
  <c r="P848" i="35"/>
  <c r="G849" i="35" l="1"/>
  <c r="O849" i="35" s="1"/>
  <c r="N849" i="35" l="1"/>
  <c r="Q849" i="35"/>
  <c r="P849" i="35"/>
  <c r="H849" i="35"/>
  <c r="E850" i="35" s="1" a="1"/>
  <c r="E850" i="35" s="1"/>
  <c r="F850" i="35" s="1" a="1"/>
  <c r="F850" i="35" s="1"/>
  <c r="M850" i="35" l="1"/>
  <c r="I850" i="35" s="1"/>
  <c r="H850" i="35" l="1"/>
  <c r="E851" i="35" s="1" a="1"/>
  <c r="E851" i="35" s="1"/>
  <c r="F851" i="35" s="1" a="1"/>
  <c r="F851" i="35" s="1"/>
  <c r="M851" i="35" s="1"/>
  <c r="I851" i="35" s="1"/>
  <c r="G850" i="35"/>
  <c r="O850" i="35" s="1"/>
  <c r="Q850" i="35" s="1"/>
  <c r="P850" i="35" l="1"/>
  <c r="N850" i="35"/>
  <c r="G851" i="35"/>
  <c r="O851" i="35" s="1"/>
  <c r="H851" i="35"/>
  <c r="E852" i="35" s="1" a="1"/>
  <c r="E852" i="35" s="1"/>
  <c r="F852" i="35" s="1" a="1"/>
  <c r="F852" i="35" s="1"/>
  <c r="M852" i="35" l="1"/>
  <c r="I852" i="35" s="1"/>
  <c r="P851" i="35"/>
  <c r="N851" i="35"/>
  <c r="Q851" i="35"/>
  <c r="H852" i="35" l="1"/>
  <c r="E853" i="35" s="1" a="1"/>
  <c r="E853" i="35" s="1"/>
  <c r="F853" i="35" s="1" a="1"/>
  <c r="F853" i="35" s="1"/>
  <c r="G852" i="35"/>
  <c r="O852" i="35" s="1"/>
  <c r="M853" i="35" l="1"/>
  <c r="I853" i="35" s="1"/>
  <c r="N852" i="35"/>
  <c r="Q852" i="35"/>
  <c r="P852" i="35"/>
  <c r="G853" i="35" l="1"/>
  <c r="O853" i="35" s="1"/>
  <c r="P853" i="35" l="1"/>
  <c r="Q853" i="35"/>
  <c r="N853" i="35"/>
  <c r="H853" i="35"/>
  <c r="E854" i="35" s="1" a="1"/>
  <c r="E854" i="35" s="1"/>
  <c r="F854" i="35" s="1" a="1"/>
  <c r="F854" i="35" s="1"/>
  <c r="M854" i="35" l="1"/>
  <c r="I854" i="35" s="1"/>
  <c r="G854" i="35" l="1"/>
  <c r="O854" i="35" s="1"/>
  <c r="H854" i="35"/>
  <c r="E855" i="35" s="1" a="1"/>
  <c r="E855" i="35" s="1"/>
  <c r="F855" i="35" s="1" a="1"/>
  <c r="F855" i="35" s="1"/>
  <c r="M855" i="35" l="1"/>
  <c r="I855" i="35" s="1"/>
  <c r="P854" i="35"/>
  <c r="N854" i="35"/>
  <c r="Q854" i="35"/>
  <c r="G855" i="35" l="1"/>
  <c r="O855" i="35" s="1"/>
  <c r="N855" i="35" l="1"/>
  <c r="Q855" i="35"/>
  <c r="P855" i="35"/>
  <c r="H855" i="35"/>
  <c r="E856" i="35" s="1" a="1"/>
  <c r="E856" i="35" s="1"/>
  <c r="F856" i="35" s="1" a="1"/>
  <c r="F856" i="35" s="1"/>
  <c r="M856" i="35" l="1"/>
  <c r="I856" i="35" s="1"/>
  <c r="H856" i="35" l="1"/>
  <c r="E857" i="35" s="1" a="1"/>
  <c r="E857" i="35" s="1"/>
  <c r="F857" i="35" s="1" a="1"/>
  <c r="F857" i="35" s="1"/>
  <c r="M857" i="35" s="1"/>
  <c r="I857" i="35" s="1"/>
  <c r="G856" i="35"/>
  <c r="O856" i="35" s="1"/>
  <c r="P856" i="35" s="1"/>
  <c r="Q856" i="35" l="1"/>
  <c r="N856" i="35"/>
  <c r="H857" i="35"/>
  <c r="E858" i="35" s="1" a="1"/>
  <c r="E858" i="35" s="1"/>
  <c r="F858" i="35" s="1" a="1"/>
  <c r="F858" i="35" s="1"/>
  <c r="G857" i="35"/>
  <c r="O857" i="35" s="1"/>
  <c r="Q857" i="35" s="1"/>
  <c r="N857" i="35" l="1"/>
  <c r="P857" i="35"/>
  <c r="M858" i="35"/>
  <c r="I858" i="35" s="1"/>
  <c r="H858" i="35" l="1"/>
  <c r="E859" i="35" s="1" a="1"/>
  <c r="E859" i="35" s="1"/>
  <c r="F859" i="35" s="1" a="1"/>
  <c r="F859" i="35" s="1"/>
  <c r="M859" i="35" s="1"/>
  <c r="I859" i="35" s="1"/>
  <c r="G858" i="35"/>
  <c r="O858" i="35" s="1"/>
  <c r="Q858" i="35" l="1"/>
  <c r="P858" i="35"/>
  <c r="N858" i="35"/>
  <c r="H859" i="35"/>
  <c r="E860" i="35" s="1" a="1"/>
  <c r="E860" i="35" s="1"/>
  <c r="F860" i="35" s="1" a="1"/>
  <c r="F860" i="35" s="1"/>
  <c r="M860" i="35" s="1"/>
  <c r="I860" i="35" s="1"/>
  <c r="G859" i="35"/>
  <c r="O859" i="35" s="1"/>
  <c r="H860" i="35" l="1"/>
  <c r="E861" i="35" s="1" a="1"/>
  <c r="E861" i="35" s="1"/>
  <c r="F861" i="35" s="1" a="1"/>
  <c r="F861" i="35" s="1"/>
  <c r="M861" i="35" s="1"/>
  <c r="P859" i="35"/>
  <c r="N859" i="35"/>
  <c r="Q859" i="35"/>
  <c r="G860" i="35"/>
  <c r="O860" i="35" s="1"/>
  <c r="G861" i="35" l="1"/>
  <c r="O861" i="35" s="1"/>
  <c r="N861" i="35" s="1"/>
  <c r="I861" i="35"/>
  <c r="H861" i="35"/>
  <c r="E862" i="35" s="1" a="1"/>
  <c r="E862" i="35" s="1"/>
  <c r="F862" i="35" s="1" a="1"/>
  <c r="F862" i="35" s="1"/>
  <c r="Q860" i="35"/>
  <c r="P860" i="35"/>
  <c r="N860" i="35"/>
  <c r="Q861" i="35" l="1"/>
  <c r="P861" i="35"/>
  <c r="M862" i="35"/>
  <c r="I862" i="35" s="1"/>
  <c r="G862" i="35" l="1"/>
  <c r="O862" i="35" s="1"/>
  <c r="H862" i="35"/>
  <c r="E863" i="35" s="1" a="1"/>
  <c r="E863" i="35" s="1"/>
  <c r="F863" i="35" s="1" a="1"/>
  <c r="F863" i="35" s="1"/>
  <c r="M863" i="35" l="1"/>
  <c r="I863" i="35" s="1"/>
  <c r="N862" i="35"/>
  <c r="Q862" i="35"/>
  <c r="P862" i="35"/>
  <c r="H863" i="35" l="1"/>
  <c r="E864" i="35" s="1" a="1"/>
  <c r="E864" i="35" s="1"/>
  <c r="F864" i="35" s="1" a="1"/>
  <c r="F864" i="35" s="1"/>
  <c r="G863" i="35"/>
  <c r="O863" i="35" s="1"/>
  <c r="M864" i="35" l="1"/>
  <c r="I864" i="35" s="1"/>
  <c r="N863" i="35"/>
  <c r="P863" i="35"/>
  <c r="Q863" i="35"/>
  <c r="H864" i="35" l="1"/>
  <c r="E865" i="35" s="1" a="1"/>
  <c r="E865" i="35" s="1"/>
  <c r="F865" i="35" s="1" a="1"/>
  <c r="F865" i="35" s="1"/>
  <c r="G864" i="35"/>
  <c r="O864" i="35" s="1"/>
  <c r="M865" i="35" l="1"/>
  <c r="I865" i="35" s="1"/>
  <c r="P864" i="35"/>
  <c r="Q864" i="35"/>
  <c r="N864" i="35"/>
  <c r="G865" i="35" l="1"/>
  <c r="O865" i="35" s="1"/>
  <c r="H865" i="35"/>
  <c r="E866" i="35" s="1" a="1"/>
  <c r="E866" i="35" s="1"/>
  <c r="F866" i="35" s="1" a="1"/>
  <c r="F866" i="35" s="1"/>
  <c r="M866" i="35" l="1"/>
  <c r="G866" i="35" s="1"/>
  <c r="O866" i="35" s="1"/>
  <c r="N865" i="35"/>
  <c r="P865" i="35"/>
  <c r="Q865" i="35"/>
  <c r="I866" i="35" l="1"/>
  <c r="N866" i="35"/>
  <c r="Q866" i="35"/>
  <c r="P866" i="35"/>
  <c r="H866" i="35"/>
  <c r="E867" i="35" s="1" a="1"/>
  <c r="E867" i="35" s="1"/>
  <c r="F867" i="35" s="1" a="1"/>
  <c r="F867" i="35" s="1"/>
  <c r="M867" i="35" l="1"/>
  <c r="I867" i="35" s="1"/>
  <c r="H867" i="35" l="1"/>
  <c r="E868" i="35" s="1" a="1"/>
  <c r="E868" i="35" s="1"/>
  <c r="F868" i="35" s="1" a="1"/>
  <c r="F868" i="35" s="1"/>
  <c r="M868" i="35" s="1"/>
  <c r="I868" i="35" s="1"/>
  <c r="G867" i="35"/>
  <c r="O867" i="35" s="1"/>
  <c r="N867" i="35" s="1"/>
  <c r="P867" i="35" l="1"/>
  <c r="Q867" i="35"/>
  <c r="G868" i="35"/>
  <c r="O868" i="35" s="1"/>
  <c r="P868" i="35" l="1"/>
  <c r="N868" i="35"/>
  <c r="Q868" i="35"/>
  <c r="H868" i="35"/>
  <c r="E869" i="35" s="1" a="1"/>
  <c r="E869" i="35" s="1"/>
  <c r="F869" i="35" s="1" a="1"/>
  <c r="F869" i="35" s="1"/>
  <c r="M869" i="35" l="1"/>
  <c r="I869" i="35" s="1"/>
  <c r="G869" i="35" l="1"/>
  <c r="O869" i="35" s="1"/>
  <c r="Q869" i="35" l="1"/>
  <c r="N869" i="35"/>
  <c r="P869" i="35"/>
  <c r="H869" i="35"/>
  <c r="E870" i="35" s="1" a="1"/>
  <c r="E870" i="35" s="1"/>
  <c r="F870" i="35" s="1" a="1"/>
  <c r="F870" i="35" s="1"/>
  <c r="M870" i="35" l="1"/>
  <c r="I870" i="35" s="1"/>
  <c r="G870" i="35" l="1"/>
  <c r="O870" i="35" s="1"/>
  <c r="P870" i="35" l="1"/>
  <c r="Q870" i="35"/>
  <c r="N870" i="35"/>
  <c r="H870" i="35"/>
  <c r="E871" i="35" s="1" a="1"/>
  <c r="E871" i="35" s="1"/>
  <c r="F871" i="35" s="1" a="1"/>
  <c r="F871" i="35" s="1"/>
  <c r="M871" i="35" l="1"/>
  <c r="I871" i="35" s="1"/>
  <c r="G871" i="35" l="1"/>
  <c r="O871" i="35" s="1"/>
  <c r="H871" i="35"/>
  <c r="E872" i="35" s="1" a="1"/>
  <c r="E872" i="35" s="1"/>
  <c r="F872" i="35" s="1" a="1"/>
  <c r="F872" i="35" s="1"/>
  <c r="M872" i="35" l="1"/>
  <c r="I872" i="35" s="1"/>
  <c r="Q871" i="35"/>
  <c r="P871" i="35"/>
  <c r="N871" i="35"/>
  <c r="G872" i="35" l="1"/>
  <c r="O872" i="35" s="1"/>
  <c r="H872" i="35"/>
  <c r="E873" i="35" s="1" a="1"/>
  <c r="E873" i="35" s="1"/>
  <c r="F873" i="35" s="1" a="1"/>
  <c r="F873" i="35" s="1"/>
  <c r="M873" i="35" l="1"/>
  <c r="I873" i="35" s="1"/>
  <c r="P872" i="35"/>
  <c r="Q872" i="35"/>
  <c r="N872" i="35"/>
  <c r="H873" i="35" l="1"/>
  <c r="E874" i="35" s="1" a="1"/>
  <c r="E874" i="35" s="1"/>
  <c r="F874" i="35" s="1" a="1"/>
  <c r="F874" i="35" s="1"/>
  <c r="G873" i="35"/>
  <c r="O873" i="35" s="1"/>
  <c r="M874" i="35" l="1"/>
  <c r="I874" i="35" s="1"/>
  <c r="N873" i="35"/>
  <c r="P873" i="35"/>
  <c r="Q873" i="35"/>
  <c r="H874" i="35" l="1"/>
  <c r="E875" i="35" s="1" a="1"/>
  <c r="E875" i="35" s="1"/>
  <c r="F875" i="35" s="1" a="1"/>
  <c r="F875" i="35" s="1"/>
  <c r="M875" i="35" s="1"/>
  <c r="I875" i="35" s="1"/>
  <c r="G874" i="35"/>
  <c r="O874" i="35" s="1"/>
  <c r="P874" i="35" s="1"/>
  <c r="Q874" i="35" l="1"/>
  <c r="N874" i="35"/>
  <c r="G875" i="35"/>
  <c r="O875" i="35" s="1"/>
  <c r="P875" i="35" l="1"/>
  <c r="Q875" i="35"/>
  <c r="N875" i="35"/>
  <c r="H875" i="35"/>
  <c r="E876" i="35" s="1" a="1"/>
  <c r="E876" i="35" s="1"/>
  <c r="F876" i="35" s="1" a="1"/>
  <c r="F876" i="35" s="1"/>
  <c r="M876" i="35" l="1"/>
  <c r="I876" i="35" s="1"/>
  <c r="H876" i="35" l="1"/>
  <c r="E877" i="35" s="1" a="1"/>
  <c r="E877" i="35" s="1"/>
  <c r="F877" i="35" s="1" a="1"/>
  <c r="F877" i="35" s="1"/>
  <c r="M877" i="35" s="1"/>
  <c r="I877" i="35" s="1"/>
  <c r="G876" i="35"/>
  <c r="O876" i="35" s="1"/>
  <c r="P876" i="35" s="1"/>
  <c r="N876" i="35" l="1"/>
  <c r="Q876" i="35"/>
  <c r="H877" i="35"/>
  <c r="E878" i="35" s="1" a="1"/>
  <c r="E878" i="35" s="1"/>
  <c r="F878" i="35" s="1" a="1"/>
  <c r="F878" i="35" s="1"/>
  <c r="M878" i="35" s="1"/>
  <c r="I878" i="35" s="1"/>
  <c r="G877" i="35"/>
  <c r="O877" i="35" s="1"/>
  <c r="N877" i="35" s="1"/>
  <c r="Q877" i="35" l="1"/>
  <c r="P877" i="35"/>
  <c r="H878" i="35" l="1"/>
  <c r="E879" i="35" s="1" a="1"/>
  <c r="E879" i="35" s="1"/>
  <c r="F879" i="35" s="1" a="1"/>
  <c r="F879" i="35" s="1"/>
  <c r="G878" i="35"/>
  <c r="O878" i="35" s="1"/>
  <c r="M879" i="35" l="1"/>
  <c r="I879" i="35" s="1"/>
  <c r="N878" i="35"/>
  <c r="P878" i="35"/>
  <c r="Q878" i="35"/>
  <c r="G879" i="35" l="1"/>
  <c r="O879" i="35" s="1"/>
  <c r="P879" i="35" s="1"/>
  <c r="H879" i="35"/>
  <c r="E880" i="35" s="1" a="1"/>
  <c r="E880" i="35" s="1"/>
  <c r="F880" i="35" s="1" a="1"/>
  <c r="F880" i="35" s="1"/>
  <c r="M880" i="35" s="1"/>
  <c r="I880" i="35" s="1"/>
  <c r="Q879" i="35" l="1"/>
  <c r="N879" i="35"/>
  <c r="G880" i="35"/>
  <c r="O880" i="35" s="1"/>
  <c r="N880" i="35" s="1"/>
  <c r="H880" i="35"/>
  <c r="E881" i="35" s="1" a="1"/>
  <c r="E881" i="35" s="1"/>
  <c r="F881" i="35" s="1" a="1"/>
  <c r="F881" i="35" s="1"/>
  <c r="Q880" i="35" l="1"/>
  <c r="P880" i="35"/>
  <c r="M881" i="35"/>
  <c r="I881" i="35" s="1"/>
  <c r="G881" i="35" l="1"/>
  <c r="O881" i="35" s="1"/>
  <c r="H881" i="35"/>
  <c r="E882" i="35" s="1" a="1"/>
  <c r="E882" i="35" s="1"/>
  <c r="F882" i="35" s="1" a="1"/>
  <c r="F882" i="35" s="1"/>
  <c r="M882" i="35" l="1"/>
  <c r="I882" i="35" s="1"/>
  <c r="P881" i="35"/>
  <c r="N881" i="35"/>
  <c r="Q881" i="35"/>
  <c r="G882" i="35" l="1"/>
  <c r="O882" i="35" s="1"/>
  <c r="H882" i="35"/>
  <c r="E883" i="35" s="1" a="1"/>
  <c r="E883" i="35" s="1"/>
  <c r="F883" i="35" s="1" a="1"/>
  <c r="F883" i="35" s="1"/>
  <c r="M883" i="35" l="1"/>
  <c r="I883" i="35" s="1"/>
  <c r="P882" i="35"/>
  <c r="Q882" i="35"/>
  <c r="N882" i="35"/>
  <c r="G883" i="35" l="1"/>
  <c r="O883" i="35" s="1"/>
  <c r="H883" i="35"/>
  <c r="E884" i="35" s="1" a="1"/>
  <c r="E884" i="35" s="1"/>
  <c r="F884" i="35" s="1" a="1"/>
  <c r="F884" i="35" s="1"/>
  <c r="M884" i="35" l="1"/>
  <c r="I884" i="35" s="1"/>
  <c r="Q883" i="35"/>
  <c r="P883" i="35"/>
  <c r="N883" i="35"/>
  <c r="H884" i="35" l="1"/>
  <c r="E885" i="35" s="1" a="1"/>
  <c r="E885" i="35" s="1"/>
  <c r="F885" i="35" s="1" a="1"/>
  <c r="F885" i="35" s="1"/>
  <c r="M885" i="35" s="1"/>
  <c r="I885" i="35" s="1"/>
  <c r="G884" i="35"/>
  <c r="O884" i="35" s="1"/>
  <c r="H885" i="35" l="1"/>
  <c r="E886" i="35" s="1" a="1"/>
  <c r="E886" i="35" s="1"/>
  <c r="F886" i="35" s="1" a="1"/>
  <c r="F886" i="35" s="1"/>
  <c r="G885" i="35"/>
  <c r="O885" i="35" s="1"/>
  <c r="N885" i="35" s="1"/>
  <c r="Q884" i="35"/>
  <c r="P884" i="35"/>
  <c r="N884" i="35"/>
  <c r="Q885" i="35" l="1"/>
  <c r="P885" i="35"/>
  <c r="M886" i="35"/>
  <c r="I886" i="35" s="1"/>
  <c r="H886" i="35" l="1"/>
  <c r="E887" i="35" s="1" a="1"/>
  <c r="E887" i="35" s="1"/>
  <c r="F887" i="35" s="1" a="1"/>
  <c r="F887" i="35" s="1"/>
  <c r="M887" i="35" s="1"/>
  <c r="I887" i="35" s="1"/>
  <c r="G886" i="35"/>
  <c r="O886" i="35" s="1"/>
  <c r="H887" i="35" l="1"/>
  <c r="E888" i="35" s="1" a="1"/>
  <c r="E888" i="35" s="1"/>
  <c r="F888" i="35" s="1" a="1"/>
  <c r="F888" i="35" s="1"/>
  <c r="M888" i="35" s="1"/>
  <c r="I888" i="35" s="1"/>
  <c r="Q886" i="35"/>
  <c r="N886" i="35"/>
  <c r="P886" i="35"/>
  <c r="G887" i="35"/>
  <c r="O887" i="35" s="1"/>
  <c r="G888" i="35" l="1"/>
  <c r="O888" i="35" s="1"/>
  <c r="Q888" i="35" s="1"/>
  <c r="H888" i="35"/>
  <c r="E889" i="35" s="1" a="1"/>
  <c r="E889" i="35" s="1"/>
  <c r="F889" i="35" s="1" a="1"/>
  <c r="F889" i="35" s="1"/>
  <c r="M889" i="35" s="1"/>
  <c r="Q887" i="35"/>
  <c r="N887" i="35"/>
  <c r="P887" i="35"/>
  <c r="P888" i="35" l="1"/>
  <c r="N888" i="35"/>
  <c r="H889" i="35"/>
  <c r="E890" i="35" s="1" a="1"/>
  <c r="E890" i="35" s="1"/>
  <c r="F890" i="35" s="1" a="1"/>
  <c r="F890" i="35" s="1"/>
  <c r="G889" i="35"/>
  <c r="O889" i="35" s="1"/>
  <c r="Q889" i="35" s="1"/>
  <c r="I889" i="35"/>
  <c r="N889" i="35" l="1"/>
  <c r="P889" i="35"/>
  <c r="M890" i="35"/>
  <c r="I890" i="35" s="1"/>
  <c r="G890" i="35" l="1"/>
  <c r="O890" i="35" s="1"/>
  <c r="H890" i="35"/>
  <c r="E891" i="35" s="1" a="1"/>
  <c r="E891" i="35" s="1"/>
  <c r="F891" i="35" s="1" a="1"/>
  <c r="F891" i="35" s="1"/>
  <c r="M891" i="35" l="1"/>
  <c r="I891" i="35" s="1"/>
  <c r="P890" i="35"/>
  <c r="N890" i="35"/>
  <c r="Q890" i="35"/>
  <c r="G891" i="35" l="1"/>
  <c r="O891" i="35" s="1"/>
  <c r="H891" i="35"/>
  <c r="E892" i="35" s="1" a="1"/>
  <c r="E892" i="35" s="1"/>
  <c r="F892" i="35" s="1" a="1"/>
  <c r="F892" i="35" s="1"/>
  <c r="M892" i="35" l="1"/>
  <c r="I892" i="35" s="1"/>
  <c r="N891" i="35"/>
  <c r="Q891" i="35"/>
  <c r="P891" i="35"/>
  <c r="H892" i="35" l="1"/>
  <c r="E893" i="35" s="1" a="1"/>
  <c r="E893" i="35" s="1"/>
  <c r="F893" i="35" s="1" a="1"/>
  <c r="F893" i="35" s="1"/>
  <c r="G892" i="35"/>
  <c r="O892" i="35" s="1"/>
  <c r="M893" i="35" l="1"/>
  <c r="I893" i="35" s="1"/>
  <c r="P892" i="35"/>
  <c r="Q892" i="35"/>
  <c r="N892" i="35"/>
  <c r="H893" i="35" l="1"/>
  <c r="E894" i="35" s="1" a="1"/>
  <c r="E894" i="35" s="1"/>
  <c r="F894" i="35" s="1" a="1"/>
  <c r="F894" i="35" s="1"/>
  <c r="M894" i="35" s="1"/>
  <c r="I894" i="35" s="1"/>
  <c r="G893" i="35"/>
  <c r="O893" i="35" s="1"/>
  <c r="G894" i="35" l="1"/>
  <c r="O894" i="35" s="1"/>
  <c r="Q894" i="35" s="1"/>
  <c r="H894" i="35"/>
  <c r="E895" i="35" s="1" a="1"/>
  <c r="E895" i="35" s="1"/>
  <c r="F895" i="35" s="1" a="1"/>
  <c r="F895" i="35" s="1"/>
  <c r="Q893" i="35"/>
  <c r="P893" i="35"/>
  <c r="N893" i="35"/>
  <c r="N894" i="35" l="1"/>
  <c r="P894" i="35"/>
  <c r="M895" i="35"/>
  <c r="I895" i="35" s="1"/>
  <c r="G895" i="35" l="1"/>
  <c r="O895" i="35" s="1"/>
  <c r="Q895" i="35" s="1"/>
  <c r="H895" i="35"/>
  <c r="E896" i="35" s="1" a="1"/>
  <c r="E896" i="35" s="1"/>
  <c r="F896" i="35" s="1" a="1"/>
  <c r="F896" i="35" s="1"/>
  <c r="P895" i="35" l="1"/>
  <c r="N895" i="35"/>
  <c r="M896" i="35"/>
  <c r="I896" i="35" s="1"/>
  <c r="G896" i="35" l="1"/>
  <c r="O896" i="35" s="1"/>
  <c r="N896" i="35" s="1"/>
  <c r="H896" i="35"/>
  <c r="E897" i="35" s="1" a="1"/>
  <c r="E897" i="35" s="1"/>
  <c r="F897" i="35" s="1" a="1"/>
  <c r="F897" i="35" s="1"/>
  <c r="M897" i="35" s="1"/>
  <c r="G897" i="35" s="1"/>
  <c r="O897" i="35" s="1"/>
  <c r="Q896" i="35" l="1"/>
  <c r="P896" i="35"/>
  <c r="I897" i="35"/>
  <c r="H897" i="35"/>
  <c r="E898" i="35" s="1" a="1"/>
  <c r="E898" i="35" s="1"/>
  <c r="F898" i="35" s="1" a="1"/>
  <c r="F898" i="35" s="1"/>
  <c r="M898" i="35" s="1"/>
  <c r="I898" i="35" s="1"/>
  <c r="P897" i="35"/>
  <c r="N897" i="35"/>
  <c r="Q897" i="35"/>
  <c r="H898" i="35" l="1"/>
  <c r="E899" i="35" s="1" a="1"/>
  <c r="E899" i="35" s="1"/>
  <c r="F899" i="35" s="1" a="1"/>
  <c r="F899" i="35" s="1"/>
  <c r="G898" i="35"/>
  <c r="O898" i="35" s="1"/>
  <c r="M899" i="35" l="1"/>
  <c r="I899" i="35" s="1"/>
  <c r="N898" i="35"/>
  <c r="Q898" i="35"/>
  <c r="P898" i="35"/>
  <c r="H899" i="35" l="1"/>
  <c r="E900" i="35" s="1" a="1"/>
  <c r="E900" i="35" s="1"/>
  <c r="F900" i="35" s="1" a="1"/>
  <c r="F900" i="35" s="1"/>
  <c r="M900" i="35" s="1"/>
  <c r="I900" i="35" s="1"/>
  <c r="G899" i="35"/>
  <c r="O899" i="35" s="1"/>
  <c r="N899" i="35" s="1"/>
  <c r="Q899" i="35" l="1"/>
  <c r="P899" i="35"/>
  <c r="G900" i="35"/>
  <c r="O900" i="35" s="1"/>
  <c r="P900" i="35" l="1"/>
  <c r="Q900" i="35"/>
  <c r="N900" i="35"/>
  <c r="H900" i="35"/>
  <c r="E901" i="35" s="1" a="1"/>
  <c r="E901" i="35" s="1"/>
  <c r="F901" i="35" s="1" a="1"/>
  <c r="F901" i="35" s="1"/>
  <c r="M901" i="35" l="1"/>
  <c r="I901" i="35" s="1"/>
  <c r="H901" i="35" l="1"/>
  <c r="E902" i="35" s="1" a="1"/>
  <c r="E902" i="35" s="1"/>
  <c r="F902" i="35" s="1" a="1"/>
  <c r="F902" i="35" s="1"/>
  <c r="G901" i="35"/>
  <c r="O901" i="35" s="1"/>
  <c r="M902" i="35" l="1"/>
  <c r="I902" i="35" s="1"/>
  <c r="N901" i="35"/>
  <c r="Q901" i="35"/>
  <c r="P901" i="35"/>
  <c r="H902" i="35" l="1"/>
  <c r="E903" i="35" s="1" a="1"/>
  <c r="E903" i="35" s="1"/>
  <c r="F903" i="35" s="1" a="1"/>
  <c r="F903" i="35" s="1"/>
  <c r="M903" i="35" l="1"/>
  <c r="I903" i="35" s="1"/>
  <c r="G902" i="35"/>
  <c r="O902" i="35" s="1"/>
  <c r="P902" i="35" l="1"/>
  <c r="N902" i="35"/>
  <c r="Q902" i="35"/>
  <c r="G903" i="35"/>
  <c r="O903" i="35" s="1"/>
  <c r="H903" i="35"/>
  <c r="E904" i="35" s="1" a="1"/>
  <c r="E904" i="35" s="1"/>
  <c r="F904" i="35" s="1" a="1"/>
  <c r="F904" i="35" s="1"/>
  <c r="M904" i="35" l="1"/>
  <c r="I904" i="35" s="1"/>
  <c r="Q903" i="35"/>
  <c r="N903" i="35"/>
  <c r="P903" i="35"/>
  <c r="H904" i="35" l="1"/>
  <c r="E905" i="35" s="1" a="1"/>
  <c r="E905" i="35" s="1"/>
  <c r="F905" i="35" s="1" a="1"/>
  <c r="F905" i="35" s="1"/>
  <c r="M905" i="35" l="1"/>
  <c r="I905" i="35" s="1"/>
  <c r="G904" i="35"/>
  <c r="O904" i="35" s="1"/>
  <c r="G905" i="35" l="1"/>
  <c r="O905" i="35" s="1"/>
  <c r="Q905" i="35" s="1"/>
  <c r="H905" i="35"/>
  <c r="E906" i="35" s="1" a="1"/>
  <c r="E906" i="35" s="1"/>
  <c r="F906" i="35" s="1" a="1"/>
  <c r="F906" i="35" s="1"/>
  <c r="M906" i="35" s="1"/>
  <c r="I906" i="35" s="1"/>
  <c r="P904" i="35"/>
  <c r="N904" i="35"/>
  <c r="Q904" i="35"/>
  <c r="P905" i="35" l="1"/>
  <c r="N905" i="35"/>
  <c r="G906" i="35"/>
  <c r="O906" i="35" s="1"/>
  <c r="Q906" i="35" s="1"/>
  <c r="H906" i="35"/>
  <c r="E907" i="35" s="1" a="1"/>
  <c r="E907" i="35" s="1"/>
  <c r="F907" i="35" s="1" a="1"/>
  <c r="F907" i="35" s="1"/>
  <c r="N906" i="35" l="1"/>
  <c r="P906" i="35"/>
  <c r="M907" i="35"/>
  <c r="I907" i="35" s="1"/>
  <c r="H907" i="35" l="1"/>
  <c r="E908" i="35" s="1" a="1"/>
  <c r="E908" i="35" s="1"/>
  <c r="F908" i="35" s="1" a="1"/>
  <c r="F908" i="35" s="1"/>
  <c r="M908" i="35" s="1"/>
  <c r="G907" i="35"/>
  <c r="O907" i="35" s="1"/>
  <c r="N907" i="35" s="1"/>
  <c r="P907" i="35" l="1"/>
  <c r="Q907" i="35"/>
  <c r="I908" i="35"/>
  <c r="G908" i="35" l="1"/>
  <c r="O908" i="35" s="1"/>
  <c r="H908" i="35"/>
  <c r="E909" i="35" s="1" a="1"/>
  <c r="E909" i="35" s="1"/>
  <c r="F909" i="35" s="1" a="1"/>
  <c r="F909" i="35" s="1"/>
  <c r="M909" i="35" l="1"/>
  <c r="I909" i="35" s="1"/>
  <c r="Q908" i="35"/>
  <c r="N908" i="35"/>
  <c r="P908" i="35"/>
  <c r="G909" i="35" l="1"/>
  <c r="O909" i="35" s="1"/>
  <c r="P909" i="35" s="1"/>
  <c r="H909" i="35"/>
  <c r="E910" i="35" s="1" a="1"/>
  <c r="E910" i="35" s="1"/>
  <c r="F910" i="35" s="1" a="1"/>
  <c r="F910" i="35" s="1"/>
  <c r="Q909" i="35" l="1"/>
  <c r="N909" i="35"/>
  <c r="M910" i="35"/>
  <c r="I910" i="35" s="1"/>
  <c r="H910" i="35" l="1"/>
  <c r="E911" i="35" s="1" a="1"/>
  <c r="E911" i="35" s="1"/>
  <c r="F911" i="35" s="1" a="1"/>
  <c r="F911" i="35" s="1"/>
  <c r="M911" i="35" l="1"/>
  <c r="I911" i="35" s="1"/>
  <c r="G910" i="35"/>
  <c r="O910" i="35" s="1"/>
  <c r="N910" i="35" l="1"/>
  <c r="Q910" i="35"/>
  <c r="P910" i="35"/>
  <c r="H911" i="35"/>
  <c r="E912" i="35" s="1" a="1"/>
  <c r="E912" i="35" s="1"/>
  <c r="F912" i="35" s="1" a="1"/>
  <c r="F912" i="35" s="1"/>
  <c r="G911" i="35"/>
  <c r="O911" i="35" s="1"/>
  <c r="M912" i="35" l="1"/>
  <c r="I912" i="35" s="1"/>
  <c r="Q911" i="35"/>
  <c r="P911" i="35"/>
  <c r="N911" i="35"/>
  <c r="H912" i="35" l="1"/>
  <c r="E913" i="35" s="1" a="1"/>
  <c r="E913" i="35" s="1"/>
  <c r="F913" i="35" s="1" a="1"/>
  <c r="F913" i="35" s="1"/>
  <c r="G912" i="35"/>
  <c r="O912" i="35" s="1"/>
  <c r="M913" i="35" l="1"/>
  <c r="H913" i="35" s="1"/>
  <c r="E914" i="35" s="1" a="1"/>
  <c r="E914" i="35" s="1"/>
  <c r="F914" i="35" s="1" a="1"/>
  <c r="F914" i="35" s="1"/>
  <c r="Q912" i="35"/>
  <c r="P912" i="35"/>
  <c r="N912" i="35"/>
  <c r="I913" i="35" l="1"/>
  <c r="M914" i="35"/>
  <c r="I914" i="35" s="1"/>
  <c r="G913" i="35"/>
  <c r="O913" i="35" s="1"/>
  <c r="G914" i="35" l="1"/>
  <c r="O914" i="35" s="1"/>
  <c r="N914" i="35" s="1"/>
  <c r="H914" i="35"/>
  <c r="E915" i="35" s="1" a="1"/>
  <c r="E915" i="35" s="1"/>
  <c r="F915" i="35" s="1" a="1"/>
  <c r="F915" i="35" s="1"/>
  <c r="M915" i="35" s="1"/>
  <c r="H915" i="35" s="1"/>
  <c r="E916" i="35" s="1" a="1"/>
  <c r="E916" i="35" s="1"/>
  <c r="F916" i="35" s="1" a="1"/>
  <c r="F916" i="35" s="1"/>
  <c r="Q913" i="35"/>
  <c r="N913" i="35"/>
  <c r="P913" i="35"/>
  <c r="Q914" i="35" l="1"/>
  <c r="P914" i="35"/>
  <c r="G915" i="35"/>
  <c r="O915" i="35" s="1"/>
  <c r="Q915" i="35" s="1"/>
  <c r="M916" i="35"/>
  <c r="I916" i="35" s="1"/>
  <c r="I915" i="35"/>
  <c r="P915" i="35" l="1"/>
  <c r="N915" i="35"/>
  <c r="G916" i="35"/>
  <c r="O916" i="35" s="1"/>
  <c r="Q916" i="35" s="1"/>
  <c r="H916" i="35"/>
  <c r="E917" i="35" s="1" a="1"/>
  <c r="E917" i="35" s="1"/>
  <c r="F917" i="35" s="1" a="1"/>
  <c r="F917" i="35" s="1"/>
  <c r="P916" i="35" l="1"/>
  <c r="N916" i="35"/>
  <c r="M917" i="35"/>
  <c r="I917" i="35" s="1"/>
  <c r="H917" i="35" l="1"/>
  <c r="E918" i="35" s="1" a="1"/>
  <c r="E918" i="35" s="1"/>
  <c r="F918" i="35" s="1" a="1"/>
  <c r="F918" i="35" s="1"/>
  <c r="G917" i="35"/>
  <c r="O917" i="35" s="1"/>
  <c r="M918" i="35" l="1"/>
  <c r="I918" i="35" s="1"/>
  <c r="Q917" i="35"/>
  <c r="P917" i="35"/>
  <c r="N917" i="35"/>
  <c r="G918" i="35" l="1"/>
  <c r="O918" i="35" s="1"/>
  <c r="Q918" i="35" s="1"/>
  <c r="H918" i="35"/>
  <c r="E919" i="35" s="1" a="1"/>
  <c r="E919" i="35" s="1"/>
  <c r="F919" i="35" s="1" a="1"/>
  <c r="F919" i="35" s="1"/>
  <c r="M919" i="35" s="1"/>
  <c r="I919" i="35" s="1"/>
  <c r="N918" i="35" l="1"/>
  <c r="P918" i="35"/>
  <c r="H919" i="35"/>
  <c r="E920" i="35" s="1" a="1"/>
  <c r="E920" i="35" s="1"/>
  <c r="F920" i="35" s="1" a="1"/>
  <c r="F920" i="35" s="1"/>
  <c r="G919" i="35"/>
  <c r="O919" i="35" s="1"/>
  <c r="N919" i="35" s="1"/>
  <c r="P919" i="35" l="1"/>
  <c r="Q919" i="35"/>
  <c r="M920" i="35"/>
  <c r="I920" i="35" s="1"/>
  <c r="G920" i="35" l="1"/>
  <c r="O920" i="35" s="1"/>
  <c r="N920" i="35" s="1"/>
  <c r="H920" i="35"/>
  <c r="E921" i="35" s="1" a="1"/>
  <c r="E921" i="35" s="1"/>
  <c r="F921" i="35" s="1" a="1"/>
  <c r="F921" i="35" s="1"/>
  <c r="P920" i="35" l="1"/>
  <c r="Q920" i="35"/>
  <c r="M921" i="35"/>
  <c r="I921" i="35" s="1"/>
  <c r="G921" i="35" l="1"/>
  <c r="O921" i="35" s="1"/>
  <c r="H921" i="35"/>
  <c r="E922" i="35" s="1" a="1"/>
  <c r="E922" i="35" s="1"/>
  <c r="F922" i="35" s="1" a="1"/>
  <c r="F922" i="35" s="1"/>
  <c r="M922" i="35" s="1"/>
  <c r="I922" i="35" s="1"/>
  <c r="H922" i="35" l="1"/>
  <c r="E923" i="35" s="1" a="1"/>
  <c r="E923" i="35" s="1"/>
  <c r="F923" i="35" s="1" a="1"/>
  <c r="F923" i="35" s="1"/>
  <c r="P921" i="35"/>
  <c r="N921" i="35"/>
  <c r="Q921" i="35"/>
  <c r="G922" i="35"/>
  <c r="O922" i="35" s="1"/>
  <c r="M923" i="35" l="1"/>
  <c r="I923" i="35" s="1"/>
  <c r="Q922" i="35"/>
  <c r="N922" i="35"/>
  <c r="P922" i="35"/>
  <c r="H923" i="35"/>
  <c r="E924" i="35" s="1" a="1"/>
  <c r="E924" i="35" s="1"/>
  <c r="F924" i="35" s="1" a="1"/>
  <c r="F924" i="35" s="1"/>
  <c r="G923" i="35" l="1"/>
  <c r="O923" i="35" s="1"/>
  <c r="Q923" i="35" s="1"/>
  <c r="M924" i="35"/>
  <c r="I924" i="35" s="1"/>
  <c r="P923" i="35" l="1"/>
  <c r="N923" i="35"/>
  <c r="G924" i="35" l="1"/>
  <c r="O924" i="35" s="1"/>
  <c r="H924" i="35"/>
  <c r="E925" i="35" s="1" a="1"/>
  <c r="E925" i="35" s="1"/>
  <c r="F925" i="35" s="1" a="1"/>
  <c r="F925" i="35" s="1"/>
  <c r="M925" i="35" l="1"/>
  <c r="I925" i="35" s="1"/>
  <c r="N924" i="35"/>
  <c r="P924" i="35"/>
  <c r="Q924" i="35"/>
  <c r="G925" i="35" l="1"/>
  <c r="O925" i="35" s="1"/>
  <c r="Q925" i="35" l="1"/>
  <c r="P925" i="35"/>
  <c r="N925" i="35"/>
  <c r="H925" i="35"/>
  <c r="E926" i="35" s="1" a="1"/>
  <c r="E926" i="35" s="1"/>
  <c r="F926" i="35" s="1" a="1"/>
  <c r="F926" i="35" s="1"/>
  <c r="M926" i="35" l="1"/>
  <c r="I926" i="35" s="1"/>
  <c r="H926" i="35" l="1"/>
  <c r="E927" i="35" s="1" a="1"/>
  <c r="E927" i="35" s="1"/>
  <c r="F927" i="35" s="1" a="1"/>
  <c r="F927" i="35" s="1"/>
  <c r="M927" i="35" s="1"/>
  <c r="I927" i="35" s="1"/>
  <c r="G926" i="35"/>
  <c r="O926" i="35" s="1"/>
  <c r="G927" i="35" l="1"/>
  <c r="O927" i="35" s="1"/>
  <c r="P927" i="35" s="1"/>
  <c r="H927" i="35"/>
  <c r="E928" i="35" s="1" a="1"/>
  <c r="E928" i="35" s="1"/>
  <c r="F928" i="35" s="1" a="1"/>
  <c r="F928" i="35" s="1"/>
  <c r="P926" i="35"/>
  <c r="N926" i="35"/>
  <c r="Q926" i="35"/>
  <c r="N927" i="35" l="1"/>
  <c r="Q927" i="35"/>
  <c r="M928" i="35"/>
  <c r="I928" i="35" s="1"/>
  <c r="G928" i="35" l="1"/>
  <c r="O928" i="35" s="1"/>
  <c r="P928" i="35" s="1"/>
  <c r="H928" i="35"/>
  <c r="E929" i="35" s="1" a="1"/>
  <c r="E929" i="35" s="1"/>
  <c r="F929" i="35" s="1" a="1"/>
  <c r="F929" i="35" s="1"/>
  <c r="M929" i="35" s="1"/>
  <c r="Q928" i="35" l="1"/>
  <c r="N928" i="35"/>
  <c r="H929" i="35"/>
  <c r="E930" i="35" s="1" a="1"/>
  <c r="E930" i="35" s="1"/>
  <c r="F930" i="35" s="1" a="1"/>
  <c r="F930" i="35" s="1"/>
  <c r="M930" i="35" s="1"/>
  <c r="I930" i="35" s="1"/>
  <c r="I929" i="35"/>
  <c r="G929" i="35"/>
  <c r="O929" i="35" s="1"/>
  <c r="H930" i="35" l="1"/>
  <c r="E931" i="35" s="1" a="1"/>
  <c r="E931" i="35" s="1"/>
  <c r="F931" i="35" s="1" a="1"/>
  <c r="F931" i="35" s="1"/>
  <c r="M931" i="35" s="1"/>
  <c r="I931" i="35" s="1"/>
  <c r="G930" i="35"/>
  <c r="O930" i="35" s="1"/>
  <c r="Q929" i="35"/>
  <c r="N929" i="35"/>
  <c r="P929" i="35"/>
  <c r="G931" i="35" l="1"/>
  <c r="O931" i="35" s="1"/>
  <c r="N931" i="35" s="1"/>
  <c r="P930" i="35"/>
  <c r="Q930" i="35"/>
  <c r="N930" i="35"/>
  <c r="H931" i="35"/>
  <c r="E932" i="35" s="1" a="1"/>
  <c r="E932" i="35" s="1"/>
  <c r="F932" i="35" s="1" a="1"/>
  <c r="F932" i="35" s="1"/>
  <c r="Q931" i="35" l="1"/>
  <c r="P931" i="35"/>
  <c r="M932" i="35"/>
  <c r="I932" i="35" s="1"/>
  <c r="H932" i="35" l="1"/>
  <c r="E933" i="35" s="1" a="1"/>
  <c r="E933" i="35" s="1"/>
  <c r="F933" i="35" s="1" a="1"/>
  <c r="F933" i="35" s="1"/>
  <c r="M933" i="35" l="1"/>
  <c r="I933" i="35" s="1"/>
  <c r="G932" i="35"/>
  <c r="O932" i="35" s="1"/>
  <c r="G933" i="35" l="1"/>
  <c r="O933" i="35" s="1"/>
  <c r="N933" i="35" s="1"/>
  <c r="P932" i="35"/>
  <c r="Q932" i="35"/>
  <c r="N932" i="35"/>
  <c r="H933" i="35"/>
  <c r="E934" i="35" s="1" a="1"/>
  <c r="E934" i="35" s="1"/>
  <c r="F934" i="35" s="1" a="1"/>
  <c r="F934" i="35" s="1"/>
  <c r="Q933" i="35" l="1"/>
  <c r="P933" i="35"/>
  <c r="M934" i="35"/>
  <c r="I934" i="35" s="1"/>
  <c r="G934" i="35" l="1"/>
  <c r="O934" i="35" s="1"/>
  <c r="Q934" i="35" s="1"/>
  <c r="H934" i="35"/>
  <c r="E935" i="35" s="1" a="1"/>
  <c r="E935" i="35" s="1"/>
  <c r="F935" i="35" s="1" a="1"/>
  <c r="F935" i="35" s="1"/>
  <c r="M935" i="35" s="1"/>
  <c r="I935" i="35" s="1"/>
  <c r="P934" i="35" l="1"/>
  <c r="N934" i="35"/>
  <c r="G935" i="35"/>
  <c r="O935" i="35" s="1"/>
  <c r="N935" i="35" s="1"/>
  <c r="H935" i="35"/>
  <c r="E936" i="35" s="1" a="1"/>
  <c r="E936" i="35" s="1"/>
  <c r="F936" i="35" s="1" a="1"/>
  <c r="F936" i="35" s="1"/>
  <c r="P935" i="35" l="1"/>
  <c r="Q935" i="35"/>
  <c r="M936" i="35"/>
  <c r="I936" i="35" s="1"/>
  <c r="G936" i="35" l="1"/>
  <c r="O936" i="35" s="1"/>
  <c r="Q936" i="35" s="1"/>
  <c r="H936" i="35"/>
  <c r="E937" i="35" s="1" a="1"/>
  <c r="E937" i="35" s="1"/>
  <c r="F937" i="35" s="1" a="1"/>
  <c r="F937" i="35" s="1"/>
  <c r="P936" i="35" l="1"/>
  <c r="N936" i="35"/>
  <c r="M937" i="35"/>
  <c r="I937" i="35" s="1"/>
  <c r="G937" i="35" l="1"/>
  <c r="O937" i="35" s="1"/>
  <c r="Q937" i="35" s="1"/>
  <c r="H937" i="35"/>
  <c r="E938" i="35" s="1" a="1"/>
  <c r="E938" i="35" s="1"/>
  <c r="F938" i="35" s="1" a="1"/>
  <c r="F938" i="35" s="1"/>
  <c r="M938" i="35" s="1"/>
  <c r="I938" i="35" s="1"/>
  <c r="P937" i="35" l="1"/>
  <c r="N937" i="35"/>
  <c r="G938" i="35"/>
  <c r="O938" i="35" s="1"/>
  <c r="P938" i="35" s="1"/>
  <c r="H938" i="35"/>
  <c r="E939" i="35" s="1" a="1"/>
  <c r="E939" i="35" s="1"/>
  <c r="F939" i="35" s="1" a="1"/>
  <c r="F939" i="35" s="1"/>
  <c r="M939" i="35" s="1"/>
  <c r="I939" i="35" s="1"/>
  <c r="Q938" i="35" l="1"/>
  <c r="N938" i="35"/>
  <c r="H939" i="35"/>
  <c r="E940" i="35" s="1" a="1"/>
  <c r="E940" i="35" s="1"/>
  <c r="F940" i="35" s="1" a="1"/>
  <c r="F940" i="35" s="1"/>
  <c r="G939" i="35"/>
  <c r="O939" i="35" s="1"/>
  <c r="P939" i="35" l="1"/>
  <c r="N939" i="35"/>
  <c r="Q939" i="35"/>
  <c r="M940" i="35"/>
  <c r="H940" i="35" s="1"/>
  <c r="E941" i="35" s="1" a="1"/>
  <c r="E941" i="35" s="1"/>
  <c r="F941" i="35" s="1" a="1"/>
  <c r="F941" i="35" s="1"/>
  <c r="M941" i="35" l="1"/>
  <c r="I941" i="35" s="1"/>
  <c r="I940" i="35"/>
  <c r="G940" i="35"/>
  <c r="O940" i="35" s="1"/>
  <c r="N940" i="35" l="1"/>
  <c r="P940" i="35"/>
  <c r="Q940" i="35"/>
  <c r="G941" i="35"/>
  <c r="O941" i="35" s="1"/>
  <c r="H941" i="35"/>
  <c r="E942" i="35" s="1" a="1"/>
  <c r="E942" i="35" s="1"/>
  <c r="F942" i="35" s="1" a="1"/>
  <c r="F942" i="35" s="1"/>
  <c r="M942" i="35" l="1"/>
  <c r="I942" i="35" s="1"/>
  <c r="Q941" i="35"/>
  <c r="P941" i="35"/>
  <c r="N941" i="35"/>
  <c r="G942" i="35" l="1"/>
  <c r="O942" i="35" s="1"/>
  <c r="H942" i="35"/>
  <c r="E943" i="35" s="1" a="1"/>
  <c r="E943" i="35" s="1"/>
  <c r="F943" i="35" s="1" a="1"/>
  <c r="F943" i="35" s="1"/>
  <c r="M943" i="35" l="1"/>
  <c r="I943" i="35" s="1"/>
  <c r="P942" i="35"/>
  <c r="N942" i="35"/>
  <c r="Q942" i="35"/>
  <c r="H943" i="35" l="1"/>
  <c r="E944" i="35" s="1" a="1"/>
  <c r="E944" i="35" s="1"/>
  <c r="F944" i="35" s="1" a="1"/>
  <c r="F944" i="35" s="1"/>
  <c r="M944" i="35" s="1"/>
  <c r="I944" i="35" s="1"/>
  <c r="G943" i="35"/>
  <c r="O943" i="35" s="1"/>
  <c r="G944" i="35" l="1"/>
  <c r="O944" i="35" s="1"/>
  <c r="N943" i="35"/>
  <c r="Q943" i="35"/>
  <c r="P943" i="35"/>
  <c r="H944" i="35"/>
  <c r="E945" i="35" s="1" a="1"/>
  <c r="E945" i="35" s="1"/>
  <c r="F945" i="35" s="1" a="1"/>
  <c r="F945" i="35" s="1"/>
  <c r="Q944" i="35" l="1"/>
  <c r="P944" i="35"/>
  <c r="N944" i="35"/>
  <c r="M945" i="35"/>
  <c r="I945" i="35" s="1"/>
  <c r="H945" i="35" l="1"/>
  <c r="E946" i="35" s="1" a="1"/>
  <c r="E946" i="35" s="1"/>
  <c r="F946" i="35" s="1" a="1"/>
  <c r="F946" i="35" s="1"/>
  <c r="M946" i="35" s="1"/>
  <c r="I946" i="35" s="1"/>
  <c r="G945" i="35"/>
  <c r="O945" i="35" s="1"/>
  <c r="H946" i="35" l="1"/>
  <c r="E947" i="35" s="1" a="1"/>
  <c r="E947" i="35" s="1"/>
  <c r="F947" i="35" s="1" a="1"/>
  <c r="F947" i="35" s="1"/>
  <c r="M947" i="35" s="1"/>
  <c r="I947" i="35" s="1"/>
  <c r="G946" i="35"/>
  <c r="O946" i="35" s="1"/>
  <c r="P946" i="35" s="1"/>
  <c r="P945" i="35"/>
  <c r="N945" i="35"/>
  <c r="Q945" i="35"/>
  <c r="Q946" i="35" l="1"/>
  <c r="N946" i="35"/>
  <c r="G947" i="35"/>
  <c r="O947" i="35" s="1"/>
  <c r="H947" i="35"/>
  <c r="E948" i="35" s="1" a="1"/>
  <c r="E948" i="35" s="1"/>
  <c r="F948" i="35" s="1" a="1"/>
  <c r="F948" i="35" s="1"/>
  <c r="M948" i="35" l="1"/>
  <c r="I948" i="35" s="1"/>
  <c r="Q947" i="35"/>
  <c r="N947" i="35"/>
  <c r="P947" i="35"/>
  <c r="H948" i="35" l="1"/>
  <c r="E949" i="35" s="1" a="1"/>
  <c r="E949" i="35" s="1"/>
  <c r="F949" i="35" s="1" a="1"/>
  <c r="F949" i="35" s="1"/>
  <c r="M949" i="35" l="1"/>
  <c r="I949" i="35" s="1"/>
  <c r="G948" i="35"/>
  <c r="O948" i="35" s="1"/>
  <c r="P948" i="35" l="1"/>
  <c r="Q948" i="35"/>
  <c r="N948" i="35"/>
  <c r="H949" i="35"/>
  <c r="E950" i="35" s="1" a="1"/>
  <c r="E950" i="35" s="1"/>
  <c r="F950" i="35" s="1" a="1"/>
  <c r="F950" i="35" s="1"/>
  <c r="G949" i="35"/>
  <c r="O949" i="35" s="1"/>
  <c r="M950" i="35" l="1"/>
  <c r="I950" i="35" s="1"/>
  <c r="N949" i="35"/>
  <c r="Q949" i="35"/>
  <c r="P949" i="35"/>
  <c r="H950" i="35" l="1"/>
  <c r="E951" i="35" s="1" a="1"/>
  <c r="E951" i="35" s="1"/>
  <c r="F951" i="35" s="1" a="1"/>
  <c r="F951" i="35" s="1"/>
  <c r="M951" i="35" l="1"/>
  <c r="I951" i="35" s="1"/>
  <c r="G950" i="35"/>
  <c r="O950" i="35" s="1"/>
  <c r="H951" i="35" l="1"/>
  <c r="E952" i="35" s="1" a="1"/>
  <c r="E952" i="35" s="1"/>
  <c r="F952" i="35" s="1" a="1"/>
  <c r="F952" i="35" s="1"/>
  <c r="M952" i="35" s="1"/>
  <c r="I952" i="35" s="1"/>
  <c r="G951" i="35"/>
  <c r="O951" i="35" s="1"/>
  <c r="N950" i="35"/>
  <c r="Q950" i="35"/>
  <c r="P950" i="35"/>
  <c r="H952" i="35" l="1"/>
  <c r="E953" i="35" s="1" a="1"/>
  <c r="E953" i="35" s="1"/>
  <c r="F953" i="35" s="1" a="1"/>
  <c r="F953" i="35" s="1"/>
  <c r="M953" i="35" s="1"/>
  <c r="I953" i="35" s="1"/>
  <c r="N951" i="35"/>
  <c r="P951" i="35"/>
  <c r="Q951" i="35"/>
  <c r="G952" i="35"/>
  <c r="O952" i="35" s="1"/>
  <c r="G953" i="35" l="1"/>
  <c r="O953" i="35" s="1"/>
  <c r="Q953" i="35" s="1"/>
  <c r="H953" i="35"/>
  <c r="E954" i="35" s="1" a="1"/>
  <c r="E954" i="35" s="1"/>
  <c r="F954" i="35" s="1" a="1"/>
  <c r="F954" i="35" s="1"/>
  <c r="Q952" i="35"/>
  <c r="P952" i="35"/>
  <c r="N952" i="35"/>
  <c r="P953" i="35" l="1"/>
  <c r="N953" i="35"/>
  <c r="M954" i="35"/>
  <c r="I954" i="35" s="1"/>
  <c r="H954" i="35" l="1"/>
  <c r="E955" i="35" s="1" a="1"/>
  <c r="E955" i="35" s="1"/>
  <c r="F955" i="35" s="1" a="1"/>
  <c r="F955" i="35" s="1"/>
  <c r="M955" i="35" l="1"/>
  <c r="I955" i="35" s="1"/>
  <c r="G954" i="35"/>
  <c r="O954" i="35" s="1"/>
  <c r="N954" i="35" l="1"/>
  <c r="Q954" i="35"/>
  <c r="P954" i="35"/>
  <c r="H955" i="35"/>
  <c r="E956" i="35" s="1" a="1"/>
  <c r="E956" i="35" s="1"/>
  <c r="F956" i="35" s="1" a="1"/>
  <c r="F956" i="35" s="1"/>
  <c r="G955" i="35"/>
  <c r="O955" i="35" s="1"/>
  <c r="M956" i="35" l="1"/>
  <c r="I956" i="35" s="1"/>
  <c r="Q955" i="35"/>
  <c r="P955" i="35"/>
  <c r="N955" i="35"/>
  <c r="G956" i="35" l="1"/>
  <c r="O956" i="35" s="1"/>
  <c r="H956" i="35" l="1"/>
  <c r="E957" i="35" s="1" a="1"/>
  <c r="E957" i="35" s="1"/>
  <c r="F957" i="35" s="1" a="1"/>
  <c r="F957" i="35" s="1"/>
  <c r="Q956" i="35"/>
  <c r="P956" i="35"/>
  <c r="N956" i="35"/>
  <c r="M957" i="35" l="1"/>
  <c r="I957" i="35" s="1"/>
  <c r="G957" i="35" l="1"/>
  <c r="O957" i="35" s="1"/>
  <c r="H957" i="35" l="1"/>
  <c r="E958" i="35" s="1" a="1"/>
  <c r="E958" i="35" s="1"/>
  <c r="F958" i="35" s="1" a="1"/>
  <c r="F958" i="35" s="1"/>
  <c r="Q957" i="35"/>
  <c r="P957" i="35"/>
  <c r="N957" i="35"/>
  <c r="M958" i="35" l="1"/>
  <c r="I958" i="35" s="1"/>
  <c r="G958" i="35" l="1"/>
  <c r="O958" i="35" s="1"/>
  <c r="N958" i="35" s="1"/>
  <c r="H958" i="35"/>
  <c r="E959" i="35" s="1" a="1"/>
  <c r="E959" i="35" s="1"/>
  <c r="F959" i="35" s="1" a="1"/>
  <c r="F959" i="35" s="1"/>
  <c r="M959" i="35" s="1"/>
  <c r="I959" i="35" s="1"/>
  <c r="Q958" i="35" l="1"/>
  <c r="P958" i="35"/>
  <c r="H959" i="35"/>
  <c r="E960" i="35" s="1" a="1"/>
  <c r="E960" i="35" s="1"/>
  <c r="F960" i="35" s="1" a="1"/>
  <c r="F960" i="35" s="1"/>
  <c r="M960" i="35" s="1"/>
  <c r="I960" i="35" s="1"/>
  <c r="G959" i="35"/>
  <c r="O959" i="35" s="1"/>
  <c r="P959" i="35" s="1"/>
  <c r="Q959" i="35" l="1"/>
  <c r="N959" i="35"/>
  <c r="H960" i="35"/>
  <c r="E961" i="35" s="1" a="1"/>
  <c r="E961" i="35" s="1"/>
  <c r="F961" i="35" s="1" a="1"/>
  <c r="F961" i="35" s="1"/>
  <c r="M961" i="35" s="1"/>
  <c r="I961" i="35" s="1"/>
  <c r="G960" i="35"/>
  <c r="O960" i="35" s="1"/>
  <c r="G961" i="35" l="1"/>
  <c r="O961" i="35" s="1"/>
  <c r="Q961" i="35" s="1"/>
  <c r="N960" i="35"/>
  <c r="P960" i="35"/>
  <c r="Q960" i="35"/>
  <c r="H961" i="35"/>
  <c r="E962" i="35" s="1" a="1"/>
  <c r="E962" i="35" s="1"/>
  <c r="F962" i="35" s="1" a="1"/>
  <c r="F962" i="35" s="1"/>
  <c r="N961" i="35" l="1"/>
  <c r="P961" i="35"/>
  <c r="M962" i="35"/>
  <c r="I962" i="35" s="1"/>
  <c r="G962" i="35" l="1"/>
  <c r="O962" i="35" s="1"/>
  <c r="H962" i="35" l="1"/>
  <c r="E963" i="35" s="1" a="1"/>
  <c r="E963" i="35" s="1"/>
  <c r="F963" i="35" s="1" a="1"/>
  <c r="F963" i="35" s="1"/>
  <c r="Q962" i="35"/>
  <c r="P962" i="35"/>
  <c r="N962" i="35"/>
  <c r="M963" i="35" l="1"/>
  <c r="I963" i="35" s="1"/>
  <c r="G963" i="35" l="1"/>
  <c r="O963" i="35" s="1"/>
  <c r="Q963" i="35" s="1"/>
  <c r="H963" i="35"/>
  <c r="E964" i="35" s="1" a="1"/>
  <c r="E964" i="35" s="1"/>
  <c r="F964" i="35" s="1" a="1"/>
  <c r="F964" i="35" s="1"/>
  <c r="P963" i="35" l="1"/>
  <c r="N963" i="35"/>
  <c r="M964" i="35"/>
  <c r="I964" i="35" s="1"/>
  <c r="H964" i="35" l="1"/>
  <c r="E965" i="35" s="1" a="1"/>
  <c r="E965" i="35" s="1"/>
  <c r="F965" i="35" s="1" a="1"/>
  <c r="F965" i="35" s="1"/>
  <c r="G964" i="35"/>
  <c r="O964" i="35" s="1"/>
  <c r="M965" i="35" l="1"/>
  <c r="I965" i="35" s="1"/>
  <c r="Q964" i="35"/>
  <c r="N964" i="35"/>
  <c r="P964" i="35"/>
  <c r="G965" i="35"/>
  <c r="O965" i="35" s="1"/>
  <c r="Q965" i="35" l="1"/>
  <c r="N965" i="35"/>
  <c r="P965" i="35"/>
  <c r="H965" i="35"/>
  <c r="E966" i="35" s="1" a="1"/>
  <c r="E966" i="35" s="1"/>
  <c r="F966" i="35" s="1" a="1"/>
  <c r="F966" i="35" s="1"/>
  <c r="M966" i="35" l="1"/>
  <c r="I966" i="35" s="1"/>
  <c r="H966" i="35" l="1"/>
  <c r="E967" i="35" s="1" a="1"/>
  <c r="E967" i="35" s="1"/>
  <c r="F967" i="35" s="1" a="1"/>
  <c r="F967" i="35" s="1"/>
  <c r="M967" i="35" s="1"/>
  <c r="I967" i="35" s="1"/>
  <c r="G966" i="35"/>
  <c r="O966" i="35" s="1"/>
  <c r="H967" i="35" l="1"/>
  <c r="E968" i="35" s="1" a="1"/>
  <c r="E968" i="35" s="1"/>
  <c r="F968" i="35" s="1" a="1"/>
  <c r="F968" i="35" s="1"/>
  <c r="G967" i="35"/>
  <c r="O967" i="35" s="1"/>
  <c r="N966" i="35"/>
  <c r="P966" i="35"/>
  <c r="Q966" i="35"/>
  <c r="M968" i="35" l="1"/>
  <c r="I968" i="35" s="1"/>
  <c r="P967" i="35"/>
  <c r="Q967" i="35"/>
  <c r="N967" i="35"/>
  <c r="H968" i="35" l="1"/>
  <c r="E969" i="35" s="1" a="1"/>
  <c r="E969" i="35" s="1"/>
  <c r="F969" i="35" s="1" a="1"/>
  <c r="F969" i="35" s="1"/>
  <c r="M969" i="35" l="1"/>
  <c r="I969" i="35" s="1"/>
  <c r="G968" i="35"/>
  <c r="O968" i="35" s="1"/>
  <c r="H969" i="35" l="1"/>
  <c r="E970" i="35" s="1" a="1"/>
  <c r="E970" i="35" s="1"/>
  <c r="F970" i="35" s="1" a="1"/>
  <c r="F970" i="35" s="1"/>
  <c r="M970" i="35" s="1"/>
  <c r="I970" i="35" s="1"/>
  <c r="G969" i="35"/>
  <c r="O969" i="35" s="1"/>
  <c r="N969" i="35" s="1"/>
  <c r="N968" i="35"/>
  <c r="Q968" i="35"/>
  <c r="P968" i="35"/>
  <c r="P969" i="35" l="1"/>
  <c r="Q969" i="35"/>
  <c r="G970" i="35"/>
  <c r="O970" i="35" s="1"/>
  <c r="N970" i="35" s="1"/>
  <c r="H970" i="35"/>
  <c r="E971" i="35" s="1" a="1"/>
  <c r="E971" i="35" s="1"/>
  <c r="F971" i="35" s="1" a="1"/>
  <c r="F971" i="35" s="1"/>
  <c r="M971" i="35" s="1"/>
  <c r="I971" i="35" s="1"/>
  <c r="Q970" i="35" l="1"/>
  <c r="P970" i="35"/>
  <c r="H971" i="35" l="1"/>
  <c r="E972" i="35" s="1" a="1"/>
  <c r="E972" i="35" s="1"/>
  <c r="F972" i="35" s="1" a="1"/>
  <c r="F972" i="35" s="1"/>
  <c r="G971" i="35"/>
  <c r="O971" i="35" s="1"/>
  <c r="M972" i="35" l="1"/>
  <c r="I972" i="35" s="1"/>
  <c r="N971" i="35"/>
  <c r="P971" i="35"/>
  <c r="Q971" i="35"/>
  <c r="H972" i="35" l="1"/>
  <c r="E973" i="35" s="1" a="1"/>
  <c r="E973" i="35" s="1"/>
  <c r="F973" i="35" s="1" a="1"/>
  <c r="F973" i="35" s="1"/>
  <c r="M973" i="35" l="1"/>
  <c r="I973" i="35" s="1"/>
  <c r="G972" i="35"/>
  <c r="O972" i="35" s="1"/>
  <c r="G973" i="35" l="1"/>
  <c r="O973" i="35" s="1"/>
  <c r="Q973" i="35" s="1"/>
  <c r="Q972" i="35"/>
  <c r="N972" i="35"/>
  <c r="P972" i="35"/>
  <c r="H973" i="35"/>
  <c r="E974" i="35" s="1" a="1"/>
  <c r="E974" i="35" s="1"/>
  <c r="F974" i="35" s="1" a="1"/>
  <c r="F974" i="35" s="1"/>
  <c r="P973" i="35" l="1"/>
  <c r="N973" i="35"/>
  <c r="M974" i="35"/>
  <c r="I974" i="35" s="1"/>
  <c r="G974" i="35" l="1"/>
  <c r="O974" i="35" s="1"/>
  <c r="H974" i="35"/>
  <c r="E975" i="35" s="1" a="1"/>
  <c r="E975" i="35" s="1"/>
  <c r="F975" i="35" s="1" a="1"/>
  <c r="F975" i="35" s="1"/>
  <c r="M975" i="35" l="1"/>
  <c r="I975" i="35" s="1"/>
  <c r="Q974" i="35"/>
  <c r="N974" i="35"/>
  <c r="P974" i="35"/>
  <c r="G975" i="35" l="1"/>
  <c r="O975" i="35" s="1"/>
  <c r="H975" i="35"/>
  <c r="E976" i="35" s="1" a="1"/>
  <c r="E976" i="35" s="1"/>
  <c r="F976" i="35" s="1" a="1"/>
  <c r="F976" i="35" s="1"/>
  <c r="M976" i="35" l="1"/>
  <c r="I976" i="35" s="1"/>
  <c r="Q975" i="35"/>
  <c r="P975" i="35"/>
  <c r="N975" i="35"/>
  <c r="H976" i="35" l="1"/>
  <c r="E977" i="35" s="1" a="1"/>
  <c r="E977" i="35" s="1"/>
  <c r="F977" i="35" s="1" a="1"/>
  <c r="F977" i="35" s="1"/>
  <c r="M977" i="35" s="1"/>
  <c r="G976" i="35"/>
  <c r="O976" i="35" s="1"/>
  <c r="H977" i="35" l="1"/>
  <c r="E978" i="35" s="1" a="1"/>
  <c r="E978" i="35" s="1"/>
  <c r="F978" i="35" s="1" a="1"/>
  <c r="F978" i="35" s="1"/>
  <c r="G977" i="35"/>
  <c r="O977" i="35" s="1"/>
  <c r="N977" i="35" s="1"/>
  <c r="I977" i="35"/>
  <c r="N976" i="35"/>
  <c r="Q976" i="35"/>
  <c r="P976" i="35"/>
  <c r="Q977" i="35" l="1"/>
  <c r="P977" i="35"/>
  <c r="M978" i="35"/>
  <c r="I978" i="35" s="1"/>
  <c r="G978" i="35" l="1"/>
  <c r="O978" i="35" s="1"/>
  <c r="Q978" i="35" s="1"/>
  <c r="H978" i="35"/>
  <c r="E979" i="35" s="1" a="1"/>
  <c r="E979" i="35" s="1"/>
  <c r="F979" i="35" s="1" a="1"/>
  <c r="F979" i="35" s="1"/>
  <c r="M979" i="35" s="1"/>
  <c r="I979" i="35" s="1"/>
  <c r="P978" i="35" l="1"/>
  <c r="N978" i="35"/>
  <c r="H979" i="35"/>
  <c r="E980" i="35" s="1" a="1"/>
  <c r="E980" i="35" s="1"/>
  <c r="F980" i="35" s="1" a="1"/>
  <c r="F980" i="35" s="1"/>
  <c r="G979" i="35"/>
  <c r="O979" i="35" s="1"/>
  <c r="M980" i="35" l="1"/>
  <c r="I980" i="35" s="1"/>
  <c r="Q979" i="35"/>
  <c r="P979" i="35"/>
  <c r="N979" i="35"/>
  <c r="H980" i="35" l="1"/>
  <c r="E981" i="35" s="1" a="1"/>
  <c r="E981" i="35" s="1"/>
  <c r="F981" i="35" s="1" a="1"/>
  <c r="F981" i="35" s="1"/>
  <c r="M981" i="35" l="1"/>
  <c r="I981" i="35" s="1"/>
  <c r="G980" i="35"/>
  <c r="O980" i="35" s="1"/>
  <c r="H981" i="35"/>
  <c r="E982" i="35" s="1" a="1"/>
  <c r="E982" i="35" s="1"/>
  <c r="F982" i="35" s="1" a="1"/>
  <c r="F982" i="35" s="1"/>
  <c r="M982" i="35" l="1"/>
  <c r="I982" i="35" s="1"/>
  <c r="G981" i="35"/>
  <c r="O981" i="35" s="1"/>
  <c r="P980" i="35"/>
  <c r="Q980" i="35"/>
  <c r="N980" i="35"/>
  <c r="H982" i="35" l="1"/>
  <c r="E983" i="35" s="1" a="1"/>
  <c r="E983" i="35" s="1"/>
  <c r="F983" i="35" s="1" a="1"/>
  <c r="F983" i="35" s="1"/>
  <c r="M983" i="35" s="1"/>
  <c r="I983" i="35" s="1"/>
  <c r="Q981" i="35"/>
  <c r="P981" i="35"/>
  <c r="N981" i="35"/>
  <c r="G982" i="35"/>
  <c r="O982" i="35" s="1"/>
  <c r="G983" i="35" l="1"/>
  <c r="O983" i="35" s="1"/>
  <c r="N983" i="35" s="1"/>
  <c r="H983" i="35"/>
  <c r="E984" i="35" s="1" a="1"/>
  <c r="E984" i="35" s="1"/>
  <c r="F984" i="35" s="1" a="1"/>
  <c r="F984" i="35" s="1"/>
  <c r="M984" i="35" s="1"/>
  <c r="I984" i="35" s="1"/>
  <c r="P982" i="35"/>
  <c r="Q982" i="35"/>
  <c r="N982" i="35"/>
  <c r="P983" i="35" l="1"/>
  <c r="Q983" i="35"/>
  <c r="H984" i="35"/>
  <c r="E985" i="35" s="1" a="1"/>
  <c r="E985" i="35" s="1"/>
  <c r="F985" i="35" s="1" a="1"/>
  <c r="F985" i="35" s="1"/>
  <c r="M985" i="35" s="1"/>
  <c r="I985" i="35" s="1"/>
  <c r="G984" i="35"/>
  <c r="O984" i="35" s="1"/>
  <c r="N984" i="35" s="1"/>
  <c r="Q984" i="35" l="1"/>
  <c r="P984" i="35"/>
  <c r="H985" i="35"/>
  <c r="E986" i="35" s="1" a="1"/>
  <c r="E986" i="35" s="1"/>
  <c r="F986" i="35" s="1" a="1"/>
  <c r="F986" i="35" s="1"/>
  <c r="M986" i="35" s="1"/>
  <c r="I986" i="35" s="1"/>
  <c r="G985" i="35"/>
  <c r="O985" i="35" s="1"/>
  <c r="Q985" i="35" s="1"/>
  <c r="N985" i="35" l="1"/>
  <c r="P985" i="35"/>
  <c r="H986" i="35"/>
  <c r="E987" i="35" s="1" a="1"/>
  <c r="E987" i="35" s="1"/>
  <c r="F987" i="35" s="1" a="1"/>
  <c r="F987" i="35" s="1"/>
  <c r="M987" i="35" l="1"/>
  <c r="I987" i="35" s="1"/>
  <c r="G986" i="35"/>
  <c r="O986" i="35" s="1"/>
  <c r="H987" i="35" l="1"/>
  <c r="E988" i="35" s="1" a="1"/>
  <c r="E988" i="35" s="1"/>
  <c r="F988" i="35" s="1" a="1"/>
  <c r="F988" i="35" s="1"/>
  <c r="M988" i="35" s="1"/>
  <c r="G987" i="35"/>
  <c r="O987" i="35" s="1"/>
  <c r="P986" i="35"/>
  <c r="N986" i="35"/>
  <c r="Q986" i="35"/>
  <c r="I988" i="35" l="1"/>
  <c r="N987" i="35"/>
  <c r="Q987" i="35"/>
  <c r="P987" i="35"/>
  <c r="G988" i="35"/>
  <c r="O988" i="35" s="1"/>
  <c r="Q988" i="35" l="1"/>
  <c r="N988" i="35"/>
  <c r="P988" i="35"/>
  <c r="H988" i="35"/>
  <c r="E989" i="35" s="1" a="1"/>
  <c r="E989" i="35" s="1"/>
  <c r="F989" i="35" s="1" a="1"/>
  <c r="F989" i="35" s="1"/>
  <c r="M989" i="35" l="1"/>
  <c r="I989" i="35" s="1"/>
  <c r="G989" i="35" l="1"/>
  <c r="O989" i="35" s="1"/>
  <c r="P989" i="35" l="1"/>
  <c r="Q989" i="35"/>
  <c r="N989" i="35"/>
  <c r="H989" i="35"/>
  <c r="E990" i="35" s="1" a="1"/>
  <c r="E990" i="35" s="1"/>
  <c r="F990" i="35" s="1" a="1"/>
  <c r="F990" i="35" s="1"/>
  <c r="M990" i="35" l="1"/>
  <c r="I990" i="35" s="1"/>
  <c r="H990" i="35" l="1"/>
  <c r="E991" i="35" s="1" a="1"/>
  <c r="E991" i="35" s="1"/>
  <c r="F991" i="35" s="1" a="1"/>
  <c r="F991" i="35" s="1"/>
  <c r="M991" i="35" l="1"/>
  <c r="I991" i="35" s="1"/>
  <c r="G990" i="35"/>
  <c r="O990" i="35" s="1"/>
  <c r="H991" i="35" l="1"/>
  <c r="E992" i="35" s="1" a="1"/>
  <c r="E992" i="35" s="1"/>
  <c r="F992" i="35" s="1" a="1"/>
  <c r="F992" i="35" s="1"/>
  <c r="Q990" i="35"/>
  <c r="N990" i="35"/>
  <c r="P990" i="35"/>
  <c r="G991" i="35"/>
  <c r="O991" i="35" s="1"/>
  <c r="M992" i="35" l="1"/>
  <c r="H992" i="35" s="1"/>
  <c r="E993" i="35" s="1" a="1"/>
  <c r="E993" i="35" s="1"/>
  <c r="F993" i="35" s="1" a="1"/>
  <c r="F993" i="35" s="1"/>
  <c r="N991" i="35"/>
  <c r="P991" i="35"/>
  <c r="Q991" i="35"/>
  <c r="M993" i="35" l="1"/>
  <c r="I993" i="35" s="1"/>
  <c r="I992" i="35"/>
  <c r="G992" i="35"/>
  <c r="O992" i="35" s="1"/>
  <c r="H993" i="35" l="1"/>
  <c r="E994" i="35" s="1" a="1"/>
  <c r="E994" i="35" s="1"/>
  <c r="F994" i="35" s="1" a="1"/>
  <c r="F994" i="35" s="1"/>
  <c r="M994" i="35" s="1"/>
  <c r="G994" i="35" s="1"/>
  <c r="O994" i="35" s="1"/>
  <c r="G993" i="35"/>
  <c r="O993" i="35" s="1"/>
  <c r="P993" i="35" s="1"/>
  <c r="P992" i="35"/>
  <c r="N992" i="35"/>
  <c r="Q992" i="35"/>
  <c r="Q993" i="35" l="1"/>
  <c r="N993" i="35"/>
  <c r="I994" i="35"/>
  <c r="Q994" i="35"/>
  <c r="N994" i="35"/>
  <c r="P994" i="35"/>
  <c r="H994" i="35"/>
  <c r="E995" i="35" s="1" a="1"/>
  <c r="E995" i="35" s="1"/>
  <c r="F995" i="35" s="1" a="1"/>
  <c r="F995" i="35" s="1"/>
  <c r="M995" i="35" l="1"/>
  <c r="G995" i="35" s="1"/>
  <c r="O995" i="35" s="1"/>
  <c r="I995" i="35" l="1"/>
  <c r="P995" i="35"/>
  <c r="N995" i="35"/>
  <c r="Q995" i="35"/>
  <c r="H995" i="35"/>
  <c r="E996" i="35" s="1" a="1"/>
  <c r="E996" i="35" s="1"/>
  <c r="F996" i="35" s="1" a="1"/>
  <c r="F996" i="35" s="1"/>
  <c r="M996" i="35" l="1"/>
  <c r="I996" i="35" s="1"/>
  <c r="H996" i="35" l="1"/>
  <c r="E997" i="35" s="1" a="1"/>
  <c r="E997" i="35" s="1"/>
  <c r="F997" i="35" s="1" a="1"/>
  <c r="F997" i="35" s="1"/>
  <c r="M997" i="35" s="1"/>
  <c r="I997" i="35" s="1"/>
  <c r="G996" i="35"/>
  <c r="O996" i="35" s="1"/>
  <c r="Q996" i="35" s="1"/>
  <c r="N996" i="35" l="1"/>
  <c r="P996" i="35"/>
  <c r="G997" i="35"/>
  <c r="O997" i="35" s="1"/>
  <c r="Q997" i="35" s="1"/>
  <c r="H997" i="35"/>
  <c r="E998" i="35" s="1" a="1"/>
  <c r="E998" i="35" s="1"/>
  <c r="F998" i="35" s="1" a="1"/>
  <c r="F998" i="35" s="1"/>
  <c r="M998" i="35" s="1"/>
  <c r="N997" i="35" l="1"/>
  <c r="P997" i="35"/>
  <c r="I998" i="35"/>
  <c r="G998" i="35"/>
  <c r="O998" i="35" s="1"/>
  <c r="H998" i="35" l="1"/>
  <c r="E999" i="35" s="1" a="1"/>
  <c r="E999" i="35" s="1"/>
  <c r="F999" i="35" s="1" a="1"/>
  <c r="F999" i="35" s="1"/>
  <c r="Q998" i="35"/>
  <c r="P998" i="35"/>
  <c r="N998" i="35"/>
  <c r="M999" i="35" l="1"/>
  <c r="I999" i="35" s="1"/>
  <c r="H999" i="35" l="1"/>
  <c r="E1000" i="35" s="1" a="1"/>
  <c r="E1000" i="35" s="1"/>
  <c r="F1000" i="35" s="1" a="1"/>
  <c r="F1000" i="35" s="1"/>
  <c r="M1000" i="35" s="1"/>
  <c r="I1000" i="35" s="1"/>
  <c r="G999" i="35"/>
  <c r="O999" i="35" s="1"/>
  <c r="H1000" i="35" l="1"/>
  <c r="E1001" i="35" s="1" a="1"/>
  <c r="E1001" i="35" s="1"/>
  <c r="F1001" i="35" s="1" a="1"/>
  <c r="F1001" i="35" s="1"/>
  <c r="M1001" i="35" s="1"/>
  <c r="I1001" i="35" s="1"/>
  <c r="G1000" i="35"/>
  <c r="O1000" i="35" s="1"/>
  <c r="N999" i="35"/>
  <c r="P999" i="35"/>
  <c r="Q999" i="35"/>
  <c r="N1000" i="35" l="1"/>
  <c r="P1000" i="35"/>
  <c r="Q1000" i="35"/>
  <c r="G1001" i="35"/>
  <c r="O1001" i="35" s="1"/>
  <c r="H1001" i="35"/>
  <c r="E1002" i="35" s="1" a="1"/>
  <c r="E1002" i="35" s="1"/>
  <c r="F1002" i="35" s="1" a="1"/>
  <c r="F1002" i="35" s="1"/>
  <c r="M1002" i="35" l="1"/>
  <c r="I1002" i="35" s="1"/>
  <c r="Q1001" i="35"/>
  <c r="N1001" i="35"/>
  <c r="P1001" i="35"/>
  <c r="H1002" i="35" l="1"/>
  <c r="E1003" i="35" s="1" a="1"/>
  <c r="E1003" i="35" s="1"/>
  <c r="F1003" i="35" s="1" a="1"/>
  <c r="F1003" i="35" s="1"/>
  <c r="M1003" i="35" l="1"/>
  <c r="I1003" i="35" s="1"/>
  <c r="G1002" i="35"/>
  <c r="O1002" i="35" s="1"/>
  <c r="H1003" i="35" l="1"/>
  <c r="E1004" i="35" s="1" a="1"/>
  <c r="E1004" i="35" s="1"/>
  <c r="F1004" i="35" s="1" a="1"/>
  <c r="F1004" i="35" s="1"/>
  <c r="G1003" i="35"/>
  <c r="O1003" i="35" s="1"/>
  <c r="N1002" i="35"/>
  <c r="Q1002" i="35"/>
  <c r="P1002" i="35"/>
  <c r="M1004" i="35" l="1"/>
  <c r="I1004" i="35" s="1"/>
  <c r="Q1003" i="35"/>
  <c r="N1003" i="35"/>
  <c r="P1003" i="35"/>
  <c r="H1004" i="35" l="1"/>
  <c r="E1005" i="35" s="1" a="1"/>
  <c r="E1005" i="35" s="1"/>
  <c r="F1005" i="35" s="1" a="1"/>
  <c r="F1005" i="35" s="1"/>
  <c r="M1005" i="35" l="1"/>
  <c r="I1005" i="35" s="1"/>
  <c r="G1004" i="35"/>
  <c r="O1004" i="35" s="1"/>
  <c r="G1005" i="35" l="1"/>
  <c r="O1005" i="35" s="1"/>
  <c r="Q1005" i="35" s="1"/>
  <c r="Q1004" i="35"/>
  <c r="N1004" i="35"/>
  <c r="P1004" i="35"/>
  <c r="H1005" i="35"/>
  <c r="E1006" i="35" s="1" a="1"/>
  <c r="E1006" i="35" s="1"/>
  <c r="F1006" i="35" s="1" a="1"/>
  <c r="F1006" i="35" s="1"/>
  <c r="N1005" i="35" l="1"/>
  <c r="P1005" i="35"/>
  <c r="M1006" i="35"/>
  <c r="I1006" i="35" s="1"/>
  <c r="H1006" i="35" l="1"/>
  <c r="E1007" i="35" s="1" a="1"/>
  <c r="E1007" i="35" s="1"/>
  <c r="F1007" i="35" s="1" a="1"/>
  <c r="F1007" i="35" s="1"/>
  <c r="M1007" i="35" l="1"/>
  <c r="I1007" i="35" s="1"/>
  <c r="G1006" i="35"/>
  <c r="O1006" i="35" s="1"/>
  <c r="H1007" i="35" l="1"/>
  <c r="E1008" i="35" s="1" a="1"/>
  <c r="E1008" i="35" s="1"/>
  <c r="F1008" i="35" s="1" a="1"/>
  <c r="F1008" i="35" s="1"/>
  <c r="G1007" i="35"/>
  <c r="O1007" i="35" s="1"/>
  <c r="N1006" i="35"/>
  <c r="Q1006" i="35"/>
  <c r="P1006" i="35"/>
  <c r="M1008" i="35" l="1"/>
  <c r="I1008" i="35" s="1"/>
  <c r="Q1007" i="35"/>
  <c r="P1007" i="35"/>
  <c r="N1007" i="35"/>
  <c r="H1008" i="35" l="1"/>
  <c r="E1009" i="35" s="1" a="1"/>
  <c r="E1009" i="35" s="1"/>
  <c r="F1009" i="35" s="1" a="1"/>
  <c r="F1009" i="35" s="1"/>
  <c r="M1009" i="35" l="1"/>
  <c r="I1009" i="35" s="1"/>
  <c r="G1008" i="35"/>
  <c r="O1008" i="35" s="1"/>
  <c r="H1009" i="35"/>
  <c r="E1010" i="35" s="1" a="1"/>
  <c r="E1010" i="35" s="1"/>
  <c r="F1010" i="35" s="1" a="1"/>
  <c r="F1010" i="35" s="1"/>
  <c r="M1010" i="35" l="1"/>
  <c r="I1010" i="35" s="1"/>
  <c r="G1009" i="35"/>
  <c r="O1009" i="35" s="1"/>
  <c r="N1008" i="35"/>
  <c r="P1008" i="35"/>
  <c r="Q1008" i="35"/>
  <c r="H1010" i="35" l="1"/>
  <c r="E1011" i="35" s="1" a="1"/>
  <c r="E1011" i="35" s="1"/>
  <c r="F1011" i="35" s="1" a="1"/>
  <c r="F1011" i="35" s="1"/>
  <c r="G1010" i="35"/>
  <c r="O1010" i="35" s="1"/>
  <c r="Q1009" i="35"/>
  <c r="N1009" i="35"/>
  <c r="P1009" i="35"/>
  <c r="M1011" i="35" l="1"/>
  <c r="I1011" i="35" s="1"/>
  <c r="P1010" i="35"/>
  <c r="N1010" i="35"/>
  <c r="Q1010" i="35"/>
  <c r="H1011" i="35" l="1"/>
  <c r="E1012" i="35" s="1" a="1"/>
  <c r="E1012" i="35" s="1"/>
  <c r="F1012" i="35" s="1" a="1"/>
  <c r="F1012" i="35" s="1"/>
  <c r="M1012" i="35" s="1"/>
  <c r="I1012" i="35" s="1"/>
  <c r="G1011" i="35"/>
  <c r="O1011" i="35" s="1"/>
  <c r="Q1011" i="35" l="1"/>
  <c r="N1011" i="35"/>
  <c r="P1011" i="35"/>
  <c r="G1012" i="35"/>
  <c r="O1012" i="35" s="1"/>
  <c r="N1012" i="35" l="1"/>
  <c r="Q1012" i="35"/>
  <c r="P1012" i="35"/>
  <c r="H1012" i="35"/>
  <c r="E1013" i="35" s="1" a="1"/>
  <c r="E1013" i="35" s="1"/>
  <c r="F1013" i="35" s="1" a="1"/>
  <c r="F1013" i="35" s="1"/>
  <c r="M1013" i="35" l="1"/>
  <c r="I1013" i="35" s="1"/>
  <c r="G1013" i="35" l="1"/>
  <c r="O1013" i="35" s="1"/>
  <c r="H1013" i="35"/>
  <c r="E1014" i="35" s="1" a="1"/>
  <c r="E1014" i="35" s="1"/>
  <c r="F1014" i="35" s="1" a="1"/>
  <c r="F1014" i="35" s="1"/>
  <c r="M1014" i="35" l="1"/>
  <c r="I1014" i="35" s="1"/>
  <c r="Q1013" i="35"/>
  <c r="N1013" i="35"/>
  <c r="P1013" i="35"/>
  <c r="H1014" i="35" l="1"/>
  <c r="E1015" i="35" s="1" a="1"/>
  <c r="E1015" i="35" s="1"/>
  <c r="F1015" i="35" s="1" a="1"/>
  <c r="F1015" i="35" s="1"/>
  <c r="M1015" i="35" s="1"/>
  <c r="G1014" i="35"/>
  <c r="O1014" i="35" s="1"/>
  <c r="H1015" i="35" l="1"/>
  <c r="E1016" i="35" s="1" a="1"/>
  <c r="E1016" i="35" s="1"/>
  <c r="F1016" i="35" s="1" a="1"/>
  <c r="F1016" i="35" s="1"/>
  <c r="I1015" i="35"/>
  <c r="G1015" i="35"/>
  <c r="O1015" i="35" s="1"/>
  <c r="P1014" i="35"/>
  <c r="Q1014" i="35"/>
  <c r="N1014" i="35"/>
  <c r="M1016" i="35" l="1"/>
  <c r="I1016" i="35" s="1"/>
  <c r="P1015" i="35"/>
  <c r="N1015" i="35"/>
  <c r="Q1015" i="35"/>
  <c r="G1016" i="35" l="1"/>
  <c r="O1016" i="35" s="1"/>
  <c r="P1016" i="35" s="1"/>
  <c r="H1016" i="35"/>
  <c r="E1017" i="35" s="1" a="1"/>
  <c r="E1017" i="35" s="1"/>
  <c r="F1017" i="35" s="1" a="1"/>
  <c r="F1017" i="35" s="1"/>
  <c r="Q1016" i="35" l="1"/>
  <c r="N1016" i="35"/>
  <c r="M1017" i="35"/>
  <c r="G1017" i="35" s="1"/>
  <c r="O1017" i="35" s="1"/>
  <c r="I1017" i="35" l="1"/>
  <c r="J11" i="35"/>
  <c r="Q1017" i="35"/>
  <c r="P1017" i="35"/>
  <c r="N1017" i="35"/>
  <c r="H1017" i="35"/>
  <c r="J12" i="3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<sst xmlns="http://schemas.openxmlformats.org/spreadsheetml/2006/main" count="22934" uniqueCount="5917">
  <si>
    <t>Ce document est composé de : This document is composed of: Este documento se compone de:</t>
  </si>
  <si>
    <t>avec valeurs ou texte-with values or text-con valores o texto</t>
  </si>
  <si>
    <t>cellules vides - empty cells - celdas vacías</t>
  </si>
  <si>
    <t>lignes - rows - filas</t>
  </si>
  <si>
    <t>colonnes - columns - columnas</t>
  </si>
  <si>
    <t>FIN</t>
  </si>
  <si>
    <t>ICI</t>
  </si>
  <si>
    <t>Les fonctions LET, non compatibles avec toutes les versions d’Excel</t>
  </si>
  <si>
    <t xml:space="preserve"> (notamment avant 2021), ont été remplacées par des formules classiques</t>
  </si>
  <si>
    <t xml:space="preserve"> pour garantir un bon fonctionnement sur toutes les versions.</t>
  </si>
  <si>
    <t xml:space="preserve">LET functions, not compatible with all versions of Excel </t>
  </si>
  <si>
    <t xml:space="preserve">(especially before 2021), have been replaced with standard formulas </t>
  </si>
  <si>
    <t>to ensure proper functioning across all versions.</t>
  </si>
  <si>
    <t>Las funciones LET, no compatibles con todas las versiones de Excel</t>
  </si>
  <si>
    <t xml:space="preserve"> (especialmente antes de 2021), han sido sustituidas por fórmulas clásicas </t>
  </si>
  <si>
    <t>▼</t>
  </si>
  <si>
    <t>Fin du document cellule &gt;</t>
  </si>
  <si>
    <t xml:space="preserve">◄ 2️⃣  Saisissez  la largeur du document dans lequel vous collerez ensuite le texte. </t>
  </si>
  <si>
    <t>◄ 4️⃣  Si vous ne voulez pas de ponctuation saisissez un X dans cette cellule</t>
  </si>
  <si>
    <t xml:space="preserve">1️⃣ COLLEZ LE TEXTE BRUT  A DÉCOUPER  DANS CETTE COLONNE ▼    </t>
  </si>
  <si>
    <t>►</t>
  </si>
  <si>
    <t>◄</t>
  </si>
  <si>
    <t>bœuf bourguignon de grand-mère</t>
  </si>
  <si>
    <t>Préparation</t>
  </si>
  <si>
    <t>Portez à ébullition, puis baissez le feu et</t>
  </si>
  <si>
    <t>1. Coupez la viande en cubes d’environ 4 cm et mettez-la dans un grand saladier. Ajoutez-y les oignons coupés en rondelles, les carottes coupées en rondelles, les lardons, l’ail émincé et le bouquet garni. Versez le vin rouge sur le tout et laissez mariner au frais pendant 24 heures.</t>
  </si>
  <si>
    <t>2. Le lendemain, sortez la viande et les légumes de la marinade et égouttez-les. Réservez la marinade.</t>
  </si>
  <si>
    <t>3. Dans une cocotte en fonte, faites chauffer l’huile d’olive à feu moyen. Ajoutez la viande et faites-la dorer de tous les côtés. Retirez-la de la cocotte et réservez-la.</t>
  </si>
  <si>
    <t>4. Dans la même cocotte, faites revenir les légumes et les lardons pendant environ 5 minutes. Saupoudrez de farine et mélangez bien.</t>
  </si>
  <si>
    <t>5. Remettez la viande dans la cocotte et versez la marinade filtrée par-dessus. Ajoutez de l’eau si nécessaire pour recouvrir la viande. Salez et poivrez.</t>
  </si>
  <si>
    <t>6. Portez à ébullition, puis baissez le feu et laissez mijoter à feu doux pendant environ 3 heures, en remuant de temps en temps. La viande doit être tendre et la sauce onctueuse.</t>
  </si>
  <si>
    <t>7. Pendant ce temps, faites revenir les champignons dans une poêle avec un peu d’huile d’olive pendant environ 5 minutes.</t>
  </si>
  <si>
    <t>8. Ajoutez les champignons dans la cocotte environ 30 minutes avant la fin de la cuisson.</t>
  </si>
  <si>
    <t>9. Servez le bœuf bourguignon bien chaud accompagné de pommes de terre, de pâtes ou de riz.</t>
  </si>
  <si>
    <t xml:space="preserve">Séparez le blanc du jaune d’œuf. Versez la farine dans un saladier et mélangez avec le sucre et la levure. </t>
  </si>
  <si>
    <t>Faites un puits au centre, ajoutez le jaune d’œuf et délayez petit à petit avec le lait.</t>
  </si>
  <si>
    <t>Fouettez le blanc en neige puis incorporez-le à la préparation. Laissez reposer la pâte 2h.</t>
  </si>
  <si>
    <t xml:space="preserve">Faites chauffer le bain de friture. </t>
  </si>
  <si>
    <t xml:space="preserve">Nettoyez les fleurs d’accacia sans les faire tremper puis plongez-les dans la pâte à beignet puis la friture. </t>
  </si>
  <si>
    <t>Laissez cuire 2 min en les retournant.</t>
  </si>
  <si>
    <t>Egouttez sur un papier absorbant, saupoudrez de sucre et dégustez.</t>
  </si>
  <si>
    <t>Collage spécial &gt; 1.2.3 Valeurs pour ne coller que le texte, sans formules.</t>
  </si>
  <si>
    <t>Colonne B</t>
  </si>
  <si>
    <t>puis dans votre document faites</t>
  </si>
  <si>
    <t>Colonne A</t>
  </si>
  <si>
    <t>Ensuite, dans la colonne B copiez le texte nettoyé</t>
  </si>
  <si>
    <t xml:space="preserve"> collez-le texte brut dans la colonne A</t>
  </si>
  <si>
    <t>Ensuite, dans la colonne C copiez le texte nettoyé</t>
  </si>
  <si>
    <t>texte brut</t>
  </si>
  <si>
    <t>◄ 3️⃣ saisissez un nombre de caractères par lignes</t>
  </si>
  <si>
    <t>LA</t>
  </si>
  <si>
    <t>TABLEAU " MAGIQUE " de 61  lignes 🎯 Objectif nettoyer et aligner votre texte</t>
  </si>
  <si>
    <t>Copiez/collez dans votre document</t>
  </si>
  <si>
    <t>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t>
  </si>
  <si>
    <t>FAITES UN ESSAIS</t>
  </si>
  <si>
    <t xml:space="preserve">►collez votre texte colonne 1️⃣ </t>
  </si>
  <si>
    <t>Tendez la main, partagez vos savoir-faire : vos essais, vos erreurs et votre ténacité sont des tremplins pour celles et ceux qui veulent progresser.</t>
  </si>
  <si>
    <t>Avec vos exemples, chacun pourra avancer à son rythme, avec confiance et gagner en autonomie.</t>
  </si>
  <si>
    <t xml:space="preserve">Partager ses savoir-faire, c’est une façon de rendre hommage à celles et ceux qui nous ont transmis les leurs, </t>
  </si>
  <si>
    <t>parfois dans le silence ou l’exigence, et grâce à qui nous avançons aujourd’hui.</t>
  </si>
  <si>
    <t>Reach out, share your know-how: your attempts, mistakes, and determination are stepping stones for those who want to grow.</t>
  </si>
  <si>
    <t>Through your examples, everyone can move forward at their own pace, with confidence, and gain autonomy.</t>
  </si>
  <si>
    <t>Sharing your know-how is a way to pay tribute to those who passed theirs on to us —</t>
  </si>
  <si>
    <t>sometimes in silence, sometimes with high expectations — and thanks to whom we move forward today.</t>
  </si>
  <si>
    <t>Tiende la mano, comparte tus saberes: tus intentos, tus errores y tu perseverancia son impulsores para quienes desean avanzar.</t>
  </si>
  <si>
    <t>Con tu ejemplo, cada persona podrá progresar a su ritmo, con confianza y ganar en autonomía.</t>
  </si>
  <si>
    <t>Compartir tus saberes es una forma de rendir homenaje a quienes nos transmitieron los suyos,</t>
  </si>
  <si>
    <t>a veces en silencio, a veces con exigencia, y gracias a quienes seguimos avanzando hoy.</t>
  </si>
  <si>
    <t>Adresse PC</t>
  </si>
  <si>
    <t xml:space="preserve"> &lt; largeurs de colonnes conseillées</t>
  </si>
  <si>
    <t xml:space="preserve"> &lt; largeurs de colonnes réelles</t>
  </si>
  <si>
    <t>Pour coller ces postits dans vos documents</t>
  </si>
  <si>
    <t>Cliquez sur A rouge</t>
  </si>
  <si>
    <t>Déportez vous vers LA vert</t>
  </si>
  <si>
    <t>Copiez puis coller dans vos documents</t>
  </si>
  <si>
    <t>ensuite ajustez les colonnes</t>
  </si>
  <si>
    <t>Si vous récupérez du texte sur internet, collez-le d’abord dans la colonne A pour le “nettoyer” : cela supprime les espaces insécables, tabulations invisibles et autres “pollutions”.</t>
  </si>
  <si>
    <t>CHOISISSEZ UN MODÈLE ET COLLEZ LE DANS VOS DOCUMENTS</t>
  </si>
  <si>
    <t>Ajustez la largeur (conseillée) des colonnes ligne verte</t>
  </si>
  <si>
    <t>texte brut ▼</t>
  </si>
  <si>
    <t>texte nettoyé ▼</t>
  </si>
  <si>
    <t>Nettoyez votre texte (ligne verte largeurs conseillées)</t>
  </si>
  <si>
    <t>pour éviter la "pollution " et de coller les formules</t>
  </si>
  <si>
    <t xml:space="preserve">Lorsque vous collez un texte ; collage spécial Valeurs 1.2.3. </t>
  </si>
  <si>
    <t>Colonne B - que fait la formule supprimer les lignes vides</t>
  </si>
  <si>
    <t>D=SIERREUR(SI(C24="";"";SUBSTITUE(SUBSTITUE(SUBSTITUE(SUBSTITUE(SUBSTITUE(SUBSTITUE(SUBSTITUE(SUBSTITUE(SUBSTITUE(SUBSTITUE(C24;"œ";"oe");"Œ";"oe");CAR(160);" ");CAR(9);" ");CAR(10);" ");CAR(13);" ");"’";"'");".";" ");",";" ");":";" "));"")</t>
  </si>
  <si>
    <t>E=SI(D24="";"";SUBSTITUE(SUBSTITUE(SUBSTITUE(SUBSTITUE(SUBSTITUE(SUBSTITUE(SUBSTITUE(SUBSTITUE(SUBSTITUE(D24;",";" ");"!";" ");"?";" ");"«";" ");"»";" ");"(";" ");")";" ");"-";" ");"=";" "))</t>
  </si>
  <si>
    <t>Cette formule renvoie la liste des cellules non vides de F24:F84, en ignorant les faux vides (cellules qui contiennent seulement des espaces).</t>
  </si>
  <si>
    <t xml:space="preserve">Cette formule nettoie et normalise le texte de C24 pour le rendre plus facile à analyser </t>
  </si>
  <si>
    <t>(recherche de mots-clés, comparaisons, scoring, etc.).</t>
  </si>
  <si>
    <r>
      <t xml:space="preserve">👉 Le but est de </t>
    </r>
    <r>
      <rPr>
        <b/>
        <sz val="11"/>
        <color theme="1"/>
        <rFont val="Calibri"/>
        <family val="2"/>
        <scheme val="minor"/>
      </rPr>
      <t>neutraliser la ponctuation</t>
    </r>
    <r>
      <rPr>
        <sz val="11"/>
        <color theme="1"/>
        <rFont val="Calibri"/>
        <family val="2"/>
        <scheme val="minor"/>
      </rPr>
      <t xml:space="preserve"> pour garder un texte plus “propre” </t>
    </r>
  </si>
  <si>
    <t>à analyser (recherche de mots-clés, scoring, comparaison, etc.).</t>
  </si>
  <si>
    <r>
      <t xml:space="preserve">Cette formule </t>
    </r>
    <r>
      <rPr>
        <b/>
        <sz val="11"/>
        <color theme="1"/>
        <rFont val="Calibri"/>
        <family val="2"/>
        <scheme val="minor"/>
      </rPr>
      <t xml:space="preserve">nettoie et normalise fortement le texte de </t>
    </r>
    <r>
      <rPr>
        <b/>
        <sz val="10"/>
        <color theme="1"/>
        <rFont val="Arial Unicode MS"/>
      </rPr>
      <t>F106</t>
    </r>
    <r>
      <rPr>
        <sz val="11"/>
        <color theme="1"/>
        <rFont val="Calibri"/>
        <family val="2"/>
        <scheme val="minor"/>
      </rPr>
      <t xml:space="preserve">, </t>
    </r>
  </si>
  <si>
    <t xml:space="preserve">surtout pour les notations techniques (températures, symboles, opérateurs), </t>
  </si>
  <si>
    <t>afin de le rendre plus exploitable par un moteur de détection/recherche.</t>
  </si>
  <si>
    <t>Que fait cette formule</t>
  </si>
  <si>
    <t>F=SI(F106="";"";SUBSTITUE(SUBSTITUE(SUBSTITUE(SUBSTITUE(SUBSTITUE(SUBSTITUE(SUBSTITUE(SUBSTITUE(SUBSTITUE(SUBSTITUE(SUBSTITUE(SUBSTITUE(SUBSTITUE(SUBSTITUE(SUBSTITUE(SUBSTITUE(SUBSTITUE(SUBSTITUE(SUBSTITUE(SUBSTITUE(SUBSTITUE(F106;"/";" ");"+";" ");"→";" ");"≤";" ");"≥";" ");" t°c";" tdegc");"t°c";"tdegc");" t°";" tdeg");"t°";"tdeg");"°C";"degc");"°c";"degc");"° C";"degc");"° c";"degc");" °C";"degc");" °c";"degc");" ° C";"degc");" ° c";"degc");"°F";"degf");"°f";"degf");"°";"");CAR(176);""))</t>
  </si>
  <si>
    <t>G =FILTRE(F24:F84;SUPPRESPACE(SUBSTITUE(F24:F84;CAR(160);""))&lt;&gt;"")</t>
  </si>
  <si>
    <r>
      <t xml:space="preserve">Si vous récupérez du texte sur internet, collez-le d’abord dans la </t>
    </r>
    <r>
      <rPr>
        <b/>
        <sz val="12"/>
        <color rgb="FF0033CC"/>
        <rFont val="Calibri"/>
        <family val="2"/>
        <scheme val="minor"/>
      </rPr>
      <t>colonne A</t>
    </r>
    <r>
      <rPr>
        <sz val="12"/>
        <color rgb="FF0033CC"/>
        <rFont val="Calibri"/>
        <family val="2"/>
        <scheme val="minor"/>
      </rPr>
      <t xml:space="preserve"> . Il sera  “nettoyé”  dans la colonne B : cela supprime les espaces insécables, tabulations invisibles et autres “pollutions”. Idem pour les textes Word ou PDF</t>
    </r>
  </si>
  <si>
    <r>
      <t xml:space="preserve">Si vous récupérez du texte sur internet, collez-le d’abord dans la </t>
    </r>
    <r>
      <rPr>
        <b/>
        <sz val="11"/>
        <color rgb="FF0000FF"/>
        <rFont val="Calibri"/>
        <family val="2"/>
        <scheme val="minor"/>
      </rPr>
      <t>colonne A</t>
    </r>
    <r>
      <rPr>
        <sz val="11"/>
        <color rgb="FF0000FF"/>
        <rFont val="Calibri"/>
        <family val="2"/>
        <scheme val="minor"/>
      </rPr>
      <t xml:space="preserve"> pour le “nettoyer” : cela supprime les espaces insécables, tabulations invisibles et autres “pollutions”.</t>
    </r>
  </si>
  <si>
    <r>
      <t>Collage spécial &gt; 1.2.3 Valeurs</t>
    </r>
    <r>
      <rPr>
        <sz val="11"/>
        <color rgb="FF0000FF"/>
        <rFont val="Calibri"/>
        <family val="2"/>
        <scheme val="minor"/>
      </rPr>
      <t xml:space="preserve"> pour ne coller que le texte, sans formules.</t>
    </r>
  </si>
  <si>
    <t>Lignes saisies</t>
  </si>
  <si>
    <t>Nettoyage</t>
  </si>
  <si>
    <t>Sélection</t>
  </si>
  <si>
    <t>Texte cumulé</t>
  </si>
  <si>
    <t>Reste</t>
  </si>
  <si>
    <t>Ligne</t>
  </si>
  <si>
    <t>Suite</t>
  </si>
  <si>
    <t>Alerte</t>
  </si>
  <si>
    <t>N°</t>
  </si>
  <si>
    <t>Mots</t>
  </si>
  <si>
    <t>Caractères source</t>
  </si>
  <si>
    <t>Mots source</t>
  </si>
  <si>
    <t>Lignes de sortie</t>
  </si>
  <si>
    <t>Statut</t>
  </si>
  <si>
    <t>1</t>
  </si>
  <si>
    <t>2</t>
  </si>
  <si>
    <t>Arachides</t>
  </si>
  <si>
    <t>Lait</t>
  </si>
  <si>
    <t>Lupin</t>
  </si>
  <si>
    <t>Mollusques</t>
  </si>
  <si>
    <t>Moutarde</t>
  </si>
  <si>
    <t>Poissons</t>
  </si>
  <si>
    <t>Soja</t>
  </si>
  <si>
    <t>Sulfites</t>
  </si>
  <si>
    <t>ALERTE</t>
  </si>
  <si>
    <t>EXCL</t>
  </si>
  <si>
    <t>arachide</t>
  </si>
  <si>
    <t>arachides</t>
  </si>
  <si>
    <t>beurre d arachide</t>
  </si>
  <si>
    <t>beurre de cacahuete</t>
  </si>
  <si>
    <t>cacahuete</t>
  </si>
  <si>
    <t>cacahuetes</t>
  </si>
  <si>
    <t>huile d arachide</t>
  </si>
  <si>
    <t>pate d arachide</t>
  </si>
  <si>
    <t>celeri</t>
  </si>
  <si>
    <t>celeri rave</t>
  </si>
  <si>
    <t>feuille de celeri</t>
  </si>
  <si>
    <t>feuilles de celeri</t>
  </si>
  <si>
    <t>graine de celeri</t>
  </si>
  <si>
    <t>graines de celeri</t>
  </si>
  <si>
    <t>sel de celeri</t>
  </si>
  <si>
    <t>araignee de mer</t>
  </si>
  <si>
    <t>crabe</t>
  </si>
  <si>
    <t>crevette</t>
  </si>
  <si>
    <t>crevettes</t>
  </si>
  <si>
    <t>ecrevisse</t>
  </si>
  <si>
    <t>ecrevisses</t>
  </si>
  <si>
    <t>gambas</t>
  </si>
  <si>
    <t>homard</t>
  </si>
  <si>
    <t>langouste</t>
  </si>
  <si>
    <t>langoustine</t>
  </si>
  <si>
    <t>amande</t>
  </si>
  <si>
    <t>amandes</t>
  </si>
  <si>
    <t>cajou</t>
  </si>
  <si>
    <t>cajous</t>
  </si>
  <si>
    <t>creme d amande</t>
  </si>
  <si>
    <t>creme de cajou</t>
  </si>
  <si>
    <t>lait d amande</t>
  </si>
  <si>
    <t>lait de cajou</t>
  </si>
  <si>
    <t>lait de noisette</t>
  </si>
  <si>
    <t>macadamia</t>
  </si>
  <si>
    <t>noisette</t>
  </si>
  <si>
    <t>noisettes</t>
  </si>
  <si>
    <t>noix</t>
  </si>
  <si>
    <t>noix de cajou</t>
  </si>
  <si>
    <t>noix de macadamia</t>
  </si>
  <si>
    <t>noix de pecan</t>
  </si>
  <si>
    <t>noix du bresil</t>
  </si>
  <si>
    <t>noix du queensland</t>
  </si>
  <si>
    <t>pate de pistache</t>
  </si>
  <si>
    <t>pecan</t>
  </si>
  <si>
    <t>pecans</t>
  </si>
  <si>
    <t>pistache</t>
  </si>
  <si>
    <t>pistaches</t>
  </si>
  <si>
    <t>poudre d amande</t>
  </si>
  <si>
    <t>poudre de noisette</t>
  </si>
  <si>
    <t>avoine</t>
  </si>
  <si>
    <t>ble</t>
  </si>
  <si>
    <t>boulgour</t>
  </si>
  <si>
    <t>chapelure</t>
  </si>
  <si>
    <t>couscous</t>
  </si>
  <si>
    <t>epeautre</t>
  </si>
  <si>
    <t>extrait de malt</t>
  </si>
  <si>
    <t>farine</t>
  </si>
  <si>
    <t>farine de ble</t>
  </si>
  <si>
    <t>froment</t>
  </si>
  <si>
    <t>germe de ble</t>
  </si>
  <si>
    <t>gluten</t>
  </si>
  <si>
    <t>kamut</t>
  </si>
  <si>
    <t>lait d avoine</t>
  </si>
  <si>
    <t>malt</t>
  </si>
  <si>
    <t>malt d orge</t>
  </si>
  <si>
    <t>orge</t>
  </si>
  <si>
    <t>panure</t>
  </si>
  <si>
    <t>petit epeautre</t>
  </si>
  <si>
    <t>seigle</t>
  </si>
  <si>
    <t>seitan</t>
  </si>
  <si>
    <t>semoule</t>
  </si>
  <si>
    <t>semoule de ble</t>
  </si>
  <si>
    <t>son de ble</t>
  </si>
  <si>
    <t>triticale</t>
  </si>
  <si>
    <t>babeurre</t>
  </si>
  <si>
    <t>beurre</t>
  </si>
  <si>
    <t>beurre demi sel</t>
  </si>
  <si>
    <t>beurre doux</t>
  </si>
  <si>
    <t>beurre laitier</t>
  </si>
  <si>
    <t>caseinate</t>
  </si>
  <si>
    <t>caseinates</t>
  </si>
  <si>
    <t>caseine</t>
  </si>
  <si>
    <t>creme</t>
  </si>
  <si>
    <t>creme entiere</t>
  </si>
  <si>
    <t>creme fraiche</t>
  </si>
  <si>
    <t>creme liquide</t>
  </si>
  <si>
    <t>fromage</t>
  </si>
  <si>
    <t>lactalbumine</t>
  </si>
  <si>
    <t>lactose</t>
  </si>
  <si>
    <t>lactoserum</t>
  </si>
  <si>
    <t>lait</t>
  </si>
  <si>
    <t>lait demi ecreme</t>
  </si>
  <si>
    <t>lait ecreme</t>
  </si>
  <si>
    <t>lait en poudre</t>
  </si>
  <si>
    <t>lait entier</t>
  </si>
  <si>
    <t>lait fermente</t>
  </si>
  <si>
    <t>petit lait</t>
  </si>
  <si>
    <t>poudre de lait</t>
  </si>
  <si>
    <t>proteine de lait</t>
  </si>
  <si>
    <t>proteines de lait</t>
  </si>
  <si>
    <t>yaourt</t>
  </si>
  <si>
    <t>farine de lupin</t>
  </si>
  <si>
    <t>graine de lupin</t>
  </si>
  <si>
    <t>graines de lupin</t>
  </si>
  <si>
    <t>lupin</t>
  </si>
  <si>
    <t>proteine de lupin</t>
  </si>
  <si>
    <t>proteines de lupin</t>
  </si>
  <si>
    <t>semoule de lupin</t>
  </si>
  <si>
    <t>son de lupin</t>
  </si>
  <si>
    <t>bigorneau</t>
  </si>
  <si>
    <t>calamar</t>
  </si>
  <si>
    <t>calamars</t>
  </si>
  <si>
    <t>calmar</t>
  </si>
  <si>
    <t>coque</t>
  </si>
  <si>
    <t>coques</t>
  </si>
  <si>
    <t>coquille saint jacques</t>
  </si>
  <si>
    <t>coquilles saint jacques</t>
  </si>
  <si>
    <t>encornet</t>
  </si>
  <si>
    <t>encornets</t>
  </si>
  <si>
    <t>escargot</t>
  </si>
  <si>
    <t>escargots</t>
  </si>
  <si>
    <t>huitre</t>
  </si>
  <si>
    <t>huitres</t>
  </si>
  <si>
    <t>mollusque</t>
  </si>
  <si>
    <t>mollusques</t>
  </si>
  <si>
    <t>moules</t>
  </si>
  <si>
    <t>noix de saint jacques</t>
  </si>
  <si>
    <t>noix de st jacques</t>
  </si>
  <si>
    <t>octopus</t>
  </si>
  <si>
    <t>palourde</t>
  </si>
  <si>
    <t>palourdes</t>
  </si>
  <si>
    <t>pieuvre</t>
  </si>
  <si>
    <t>poulpe</t>
  </si>
  <si>
    <t>poulpes</t>
  </si>
  <si>
    <t>praire</t>
  </si>
  <si>
    <t>praires</t>
  </si>
  <si>
    <t>saint jacques</t>
  </si>
  <si>
    <t>seiche</t>
  </si>
  <si>
    <t>seiches</t>
  </si>
  <si>
    <t>farine de moutarde</t>
  </si>
  <si>
    <t>graine de moutarde</t>
  </si>
  <si>
    <t>graines de moutarde</t>
  </si>
  <si>
    <t>huile de moutarde</t>
  </si>
  <si>
    <t>moutarde</t>
  </si>
  <si>
    <t>moutarde en poudre</t>
  </si>
  <si>
    <t>albumine</t>
  </si>
  <si>
    <t>blanc d oeuf</t>
  </si>
  <si>
    <t>blancs d oeufs</t>
  </si>
  <si>
    <t>jaune d oeuf</t>
  </si>
  <si>
    <t>jaunes d oeufs</t>
  </si>
  <si>
    <t>oeuf</t>
  </si>
  <si>
    <t>oeufs</t>
  </si>
  <si>
    <t>ovalbumine</t>
  </si>
  <si>
    <t>ovoproduit</t>
  </si>
  <si>
    <t>ovoproduits</t>
  </si>
  <si>
    <t>poudre d oeuf</t>
  </si>
  <si>
    <t>anchois</t>
  </si>
  <si>
    <t>bar</t>
  </si>
  <si>
    <t>cabillaud</t>
  </si>
  <si>
    <t>colin</t>
  </si>
  <si>
    <t>dorade</t>
  </si>
  <si>
    <t>gelatine de poisson</t>
  </si>
  <si>
    <t>haddock</t>
  </si>
  <si>
    <t>lieu noir</t>
  </si>
  <si>
    <t>maquereau</t>
  </si>
  <si>
    <t>merlu</t>
  </si>
  <si>
    <t>poisson</t>
  </si>
  <si>
    <t>poissons</t>
  </si>
  <si>
    <t>sardine</t>
  </si>
  <si>
    <t>sardines</t>
  </si>
  <si>
    <t>saumon</t>
  </si>
  <si>
    <t>sole</t>
  </si>
  <si>
    <t>surimi</t>
  </si>
  <si>
    <t>thon</t>
  </si>
  <si>
    <t>truite</t>
  </si>
  <si>
    <t>gomasio</t>
  </si>
  <si>
    <t>graine de sesame</t>
  </si>
  <si>
    <t>graines de sesame</t>
  </si>
  <si>
    <t>huile de sesame</t>
  </si>
  <si>
    <t>pate de sesame</t>
  </si>
  <si>
    <t>puree de sesame</t>
  </si>
  <si>
    <t>sesame</t>
  </si>
  <si>
    <t>tahin</t>
  </si>
  <si>
    <t>tahini</t>
  </si>
  <si>
    <t>boisson au soja</t>
  </si>
  <si>
    <t>creme de soja</t>
  </si>
  <si>
    <t>edamame</t>
  </si>
  <si>
    <t>farine de soja</t>
  </si>
  <si>
    <t>huile de soja</t>
  </si>
  <si>
    <t>lait de soja</t>
  </si>
  <si>
    <t>lecithine de soja</t>
  </si>
  <si>
    <t>miso</t>
  </si>
  <si>
    <t>proteine de soja</t>
  </si>
  <si>
    <t>proteines de soja</t>
  </si>
  <si>
    <t>sauce soja</t>
  </si>
  <si>
    <t>soja</t>
  </si>
  <si>
    <t>soya</t>
  </si>
  <si>
    <t>tempeh</t>
  </si>
  <si>
    <t>tofu</t>
  </si>
  <si>
    <t>anhydride sulfureux</t>
  </si>
  <si>
    <t>bisulfite</t>
  </si>
  <si>
    <t>dioxyde de soufre</t>
  </si>
  <si>
    <t>metabisulfite</t>
  </si>
  <si>
    <t>sulfite</t>
  </si>
  <si>
    <t>sulfites</t>
  </si>
  <si>
    <t>beurre d amande</t>
  </si>
  <si>
    <t>beurre de cacao</t>
  </si>
  <si>
    <t>beurre de cajou</t>
  </si>
  <si>
    <t>beurre de coco</t>
  </si>
  <si>
    <t>beurre de noisette</t>
  </si>
  <si>
    <t>chataigne</t>
  </si>
  <si>
    <t>chataignes</t>
  </si>
  <si>
    <t>creme de coco</t>
  </si>
  <si>
    <t>huile de coco</t>
  </si>
  <si>
    <t>marron</t>
  </si>
  <si>
    <t>marrons</t>
  </si>
  <si>
    <t>muscade</t>
  </si>
  <si>
    <t>noix de coco</t>
  </si>
  <si>
    <t>noix de muscade</t>
  </si>
  <si>
    <t>pignon de pin</t>
  </si>
  <si>
    <t>farine d amande</t>
  </si>
  <si>
    <t>farine de chataigne</t>
  </si>
  <si>
    <t>farine de coco</t>
  </si>
  <si>
    <t>farine de mais</t>
  </si>
  <si>
    <t>farine de noisette</t>
  </si>
  <si>
    <t>farine de pois chiche</t>
  </si>
  <si>
    <t>farine de riz</t>
  </si>
  <si>
    <t>farine de sarrasin</t>
  </si>
  <si>
    <t>creme vegetale</t>
  </si>
  <si>
    <t>creme d avoine</t>
  </si>
  <si>
    <t>creme de riz</t>
  </si>
  <si>
    <t>lait de coco</t>
  </si>
  <si>
    <t>lait de riz</t>
  </si>
  <si>
    <t>boisson vegetale</t>
  </si>
  <si>
    <t>moule inox</t>
  </si>
  <si>
    <t>moule silicone</t>
  </si>
  <si>
    <t>maltodextrines a base de ble</t>
  </si>
  <si>
    <t>maltodextrines de ble</t>
  </si>
  <si>
    <t>sirop de glucose de ble</t>
  </si>
  <si>
    <t>sirops de glucose a base de ble</t>
  </si>
  <si>
    <t>noix de veau</t>
  </si>
  <si>
    <t>noix de boeuf</t>
  </si>
  <si>
    <t>creme de marrons</t>
  </si>
  <si>
    <t>creme de cassis</t>
  </si>
  <si>
    <t>graisse de soja entierement raffinee</t>
  </si>
  <si>
    <t>huile de soja entierement raffinee</t>
  </si>
  <si>
    <t>biscotte</t>
  </si>
  <si>
    <t>biscuit</t>
  </si>
  <si>
    <t>biscuits</t>
  </si>
  <si>
    <t>croutons</t>
  </si>
  <si>
    <t>nouilles</t>
  </si>
  <si>
    <t>D:\Données\1.UPRT\MOTEURS.VILLIERS\[saiisissez.vos.recettes.détectez.les.allergenes.xlsx]Allergenes.decouper.le texte</t>
  </si>
  <si>
    <t>largeurs de colonnes ►</t>
  </si>
  <si>
    <t>Résumé</t>
  </si>
  <si>
    <t>Réglages</t>
  </si>
  <si>
    <t>🎯  Saisir ou coller un texte et le découper automatiquement au nombre de caractères saisis sans couper les mots. Avec ou sans ponctuation, pour qu’il tienne dans le cadre prévu.</t>
  </si>
  <si>
    <t>Moteur interne</t>
  </si>
  <si>
    <t>Entrée</t>
  </si>
  <si>
    <t>Sortie</t>
  </si>
  <si>
    <t>Sans ponctuation</t>
  </si>
  <si>
    <t>Car.</t>
  </si>
  <si>
    <t>Saisie jusqu’à la ligne 200     formules jusqu’à la ligne 1017</t>
  </si>
  <si>
    <t>8 colonnes masquées ►</t>
  </si>
  <si>
    <t>►   Masquez ces colonnes</t>
  </si>
  <si>
    <t>►&gt; &gt; &gt;</t>
  </si>
  <si>
    <t>Tarte normande aux pommes et aux amandes 🍎🥧</t>
  </si>
  <si>
    <t>Un grand classique de la pâtisserie française ! Cette tarte normande fondante aux pommes et aux amandes est à la fois simple, économique et délicieusement parfumée. À servir tiède avec une cuillerée de crème fraîche pour un pur moment de douceur.</t>
  </si>
  <si>
    <t>Ingrédients :</t>
  </si>
  <si>
    <t>• 1 pâte sablée</t>
  </si>
  <si>
    <t>• 6 pommes</t>
  </si>
  <si>
    <t>• 3 œufs</t>
  </si>
  <si>
    <t>• 50 g de poudre d’amandes</t>
  </si>
  <si>
    <t>• 50 g d’amandes effilées</t>
  </si>
  <si>
    <t>• 50 g de sucre en poudre</t>
  </si>
  <si>
    <t>• 30 g de farine</t>
  </si>
  <si>
    <t>• 15 cl de crème liquide</t>
  </si>
  <si>
    <t>• 1 sachet de sucre vanillé</t>
  </si>
  <si>
    <t>• 15 g de beurre</t>
  </si>
  <si>
    <t>• 10 g de sucre glace</t>
  </si>
  <si>
    <t>Préparation :</t>
  </si>
  <si>
    <t>1. Préchauffez le four à 180°C (th. 6).</t>
  </si>
  <si>
    <t>2. Étalez la pâte sablée dans un moule beurré, piquez le fond avec une fourchette et placez au réfrigérateur pendant la préparation.</t>
  </si>
  <si>
    <t>3. Épluchez, épépinez et coupez les pommes en tranches épaisses. Disposez-les joliment sur le fond de tarte.</t>
  </si>
  <si>
    <t>4. Dans un saladier, fouettez les œufs avec le sucre et le sucre vanillé jusqu’à ce que le mélange blanchisse.</t>
  </si>
  <si>
    <t>5. Incorporez la farine, la poudre d’amandes puis la crème liquide, en mélangeant bien entre chaque ajout.</t>
  </si>
  <si>
    <t>6. Versez cette préparation sur les pommes, parsemez d’amandes effilées et ajoutez quelques noisettes de beurre.</t>
  </si>
  <si>
    <t>7. Enfournez pendant 30 minutes jusqu’à ce que la tarte soit dorée.</t>
  </si>
  <si>
    <t>8. Laissez tiédir, saupoudrez de sucre glace et servez avec une touche de crème fraîche.</t>
  </si>
  <si>
    <t>Préparation : 20 min</t>
  </si>
  <si>
    <t>Cuisson : 30 min</t>
  </si>
  <si>
    <t>Portions : 4</t>
  </si>
  <si>
    <t>Calories : ≈ 410 kcal par part</t>
  </si>
  <si>
    <t>farine d arachide</t>
  </si>
  <si>
    <t>groundnut</t>
  </si>
  <si>
    <t>groundnuts</t>
  </si>
  <si>
    <t>peanut</t>
  </si>
  <si>
    <t>peanut butter</t>
  </si>
  <si>
    <t>peanuts</t>
  </si>
  <si>
    <t>proteine d arachide</t>
  </si>
  <si>
    <t>celeri branche</t>
  </si>
  <si>
    <t>celery</t>
  </si>
  <si>
    <t>extrait de celeri</t>
  </si>
  <si>
    <t>jus de celeri</t>
  </si>
  <si>
    <t>poudre de celeri</t>
  </si>
  <si>
    <t>bisque de homard</t>
  </si>
  <si>
    <t>crab</t>
  </si>
  <si>
    <t>fumet de crustaces</t>
  </si>
  <si>
    <t>gamba</t>
  </si>
  <si>
    <t>homards</t>
  </si>
  <si>
    <t>jus de crustaces</t>
  </si>
  <si>
    <t>langoustes</t>
  </si>
  <si>
    <t>langoustines</t>
  </si>
  <si>
    <t>prawn</t>
  </si>
  <si>
    <t>scampi</t>
  </si>
  <si>
    <t>scampis</t>
  </si>
  <si>
    <t>shrimp</t>
  </si>
  <si>
    <t>frangipane</t>
  </si>
  <si>
    <t>gianduja</t>
  </si>
  <si>
    <t>massepain</t>
  </si>
  <si>
    <t>pate d amande</t>
  </si>
  <si>
    <t>poudre de pistache</t>
  </si>
  <si>
    <t>pralin</t>
  </si>
  <si>
    <t>praline</t>
  </si>
  <si>
    <t>puree d amande</t>
  </si>
  <si>
    <t>puree de cajou</t>
  </si>
  <si>
    <t>puree de noisette</t>
  </si>
  <si>
    <t>amidon de ble</t>
  </si>
  <si>
    <t>barley</t>
  </si>
  <si>
    <t>biscottes</t>
  </si>
  <si>
    <t>biscuit cuillere</t>
  </si>
  <si>
    <t>brioche</t>
  </si>
  <si>
    <t>croissant</t>
  </si>
  <si>
    <t>farine d avoine</t>
  </si>
  <si>
    <t>farine d epeautre</t>
  </si>
  <si>
    <t>farine d orge</t>
  </si>
  <si>
    <t>farine de froment</t>
  </si>
  <si>
    <t>farine de seigle</t>
  </si>
  <si>
    <t>genoise</t>
  </si>
  <si>
    <t>pain de mie</t>
  </si>
  <si>
    <t>panko</t>
  </si>
  <si>
    <t>pate a choux</t>
  </si>
  <si>
    <t>pate brisee</t>
  </si>
  <si>
    <t>pate feuilletee</t>
  </si>
  <si>
    <t>pate sablee</t>
  </si>
  <si>
    <t>pates fraiches</t>
  </si>
  <si>
    <t>rye</t>
  </si>
  <si>
    <t>spelt</t>
  </si>
  <si>
    <t>wheat flour</t>
  </si>
  <si>
    <t>beurre clarifie</t>
  </si>
  <si>
    <t>beurre noisette</t>
  </si>
  <si>
    <t>caseinate de calcium</t>
  </si>
  <si>
    <t>caseinate de sodium</t>
  </si>
  <si>
    <t>cheddar</t>
  </si>
  <si>
    <t>cottage cheese</t>
  </si>
  <si>
    <t>creme epaisse</t>
  </si>
  <si>
    <t>creme fleurette</t>
  </si>
  <si>
    <t>emmental</t>
  </si>
  <si>
    <t>faisselle</t>
  </si>
  <si>
    <t>feta</t>
  </si>
  <si>
    <t>fromage blanc</t>
  </si>
  <si>
    <t>fromage frais</t>
  </si>
  <si>
    <t>ghee</t>
  </si>
  <si>
    <t>lactoglobuline</t>
  </si>
  <si>
    <t>lait concentre</t>
  </si>
  <si>
    <t>lait concentre sucre</t>
  </si>
  <si>
    <t>lait ribot</t>
  </si>
  <si>
    <t>mascarpone</t>
  </si>
  <si>
    <t>mozzarella</t>
  </si>
  <si>
    <t>parmesan</t>
  </si>
  <si>
    <t>petit suisse</t>
  </si>
  <si>
    <t>poudre de lait ecreme</t>
  </si>
  <si>
    <t>ricotta</t>
  </si>
  <si>
    <t>skyr</t>
  </si>
  <si>
    <t>whey</t>
  </si>
  <si>
    <t>whey protein</t>
  </si>
  <si>
    <t>buccin</t>
  </si>
  <si>
    <t>buccins</t>
  </si>
  <si>
    <t>bulot</t>
  </si>
  <si>
    <t>bulots</t>
  </si>
  <si>
    <t>ormeau</t>
  </si>
  <si>
    <t>ormeaux</t>
  </si>
  <si>
    <t>telline</t>
  </si>
  <si>
    <t>tellines</t>
  </si>
  <si>
    <t>moutarde a l ancienne</t>
  </si>
  <si>
    <t>moutarde de dijon</t>
  </si>
  <si>
    <t>dorure a l oeuf</t>
  </si>
  <si>
    <t>lysozyme</t>
  </si>
  <si>
    <t>ovomucine</t>
  </si>
  <si>
    <t>ovomucoide</t>
  </si>
  <si>
    <t>fletan</t>
  </si>
  <si>
    <t>fumet de poisson</t>
  </si>
  <si>
    <t>garum</t>
  </si>
  <si>
    <t>hareng</t>
  </si>
  <si>
    <t>huile de poisson</t>
  </si>
  <si>
    <t>lieu jaune</t>
  </si>
  <si>
    <t>lotte</t>
  </si>
  <si>
    <t>nuoc mam</t>
  </si>
  <si>
    <t>proteine de poisson</t>
  </si>
  <si>
    <t>sauce poisson</t>
  </si>
  <si>
    <t>tilapia</t>
  </si>
  <si>
    <t>halva</t>
  </si>
  <si>
    <t>natto</t>
  </si>
  <si>
    <t>tamari</t>
  </si>
  <si>
    <t>e220</t>
  </si>
  <si>
    <t>e221</t>
  </si>
  <si>
    <t>e222</t>
  </si>
  <si>
    <t>e223</t>
  </si>
  <si>
    <t>e224</t>
  </si>
  <si>
    <t>e226</t>
  </si>
  <si>
    <t>e227</t>
  </si>
  <si>
    <t>e228</t>
  </si>
  <si>
    <t>amande de mer</t>
  </si>
  <si>
    <t>amandes de mer</t>
  </si>
  <si>
    <t>eau de coco</t>
  </si>
  <si>
    <t>farine de lentille</t>
  </si>
  <si>
    <t>farine de manioc</t>
  </si>
  <si>
    <t>farine de quinoa</t>
  </si>
  <si>
    <t>farine de tapioca</t>
  </si>
  <si>
    <t>fromage vegan</t>
  </si>
  <si>
    <t>fromage vegetal</t>
  </si>
  <si>
    <t>lait de chanvre</t>
  </si>
  <si>
    <t>lait de quinoa</t>
  </si>
  <si>
    <t>moule a brioche</t>
  </si>
  <si>
    <t>moule a cake</t>
  </si>
  <si>
    <t>moule a madeleine</t>
  </si>
  <si>
    <t>moule a tarte</t>
  </si>
  <si>
    <t>bar a vin</t>
  </si>
  <si>
    <t>bar lounge</t>
  </si>
  <si>
    <t>sirop de glucose d orge</t>
  </si>
  <si>
    <t>sirops de glucose d orge</t>
  </si>
  <si>
    <t>cidre</t>
  </si>
  <si>
    <t>madere</t>
  </si>
  <si>
    <t>porto</t>
  </si>
  <si>
    <t>vin blanc</t>
  </si>
  <si>
    <t>vin rouge</t>
  </si>
  <si>
    <t>vinaigre balsamique</t>
  </si>
  <si>
    <t>vinaigre de cidre</t>
  </si>
  <si>
    <t>vinaigre de vin</t>
  </si>
  <si>
    <t>(Je fournis la base. Vous construisez votre outil)</t>
  </si>
  <si>
    <t>TEXTE DÉCOUPÉ  SANS DÉTECTION D'ALLERGÈNES</t>
  </si>
  <si>
    <t>TABLEAU MAGIQUE - Découpez votre texte au nombre de caractères choisis avec ou sans ponctuation</t>
  </si>
  <si>
    <t>Auteur : Joel Leboucher • Rochefort sur Mer | Version actualisée : 8 août 2026 | Document réalisé avec l'aide de ChatGPT</t>
  </si>
  <si>
    <t>Dans ce document collez votre texte soit colonne O ; soit colonne K et récupérez le colonnes U et V</t>
  </si>
  <si>
    <t>RÉSULTAT</t>
  </si>
  <si>
    <t>DÉTECTION DES ALLERGÈNES POUR CARTES DE RESTAURANT</t>
  </si>
  <si>
    <t>Saisir uniquement les cellules fond jaune en colonne K.              Résultat colonne U  * = allergène certain ;                                   ? = composition à contrôler.</t>
  </si>
  <si>
    <t>Formules individuelles scindées : recherches par blocs de 100 termes ; exclusions neutralisées avant détection.</t>
  </si>
  <si>
    <t>ID</t>
  </si>
  <si>
    <t>Famille allergène</t>
  </si>
  <si>
    <t>Terme métier / ingrédient</t>
  </si>
  <si>
    <t>Terme normalisé</t>
  </si>
  <si>
    <t>Métiers concernés</t>
  </si>
  <si>
    <t>Commentaire</t>
  </si>
  <si>
    <t>Source URL</t>
  </si>
  <si>
    <t>Version</t>
  </si>
  <si>
    <t>Auteur : Joel Leboucher • Rochefort sur Mer | Version actualisée : 9 août 2026 | Document réalisé avec l'aide de ChatGPT</t>
  </si>
  <si>
    <t>Céréales contenant du gluten</t>
  </si>
  <si>
    <t>Fin du document cellule &gt;End of the “cell” document &gt;Fin del documento “celda” &gt;</t>
  </si>
  <si>
    <t>R0001</t>
  </si>
  <si>
    <t>ale</t>
  </si>
  <si>
    <t>Tous métiers</t>
  </si>
  <si>
    <t>Céréale contenant du gluten ou préparation courante.</t>
  </si>
  <si>
    <t>https://eur-lex.europa.eu/legal-content/FR/TXT/?uri=CELEX:32011R1169</t>
  </si>
  <si>
    <t>2011</t>
  </si>
  <si>
    <t>* = allergène détecté certain  |  ? = composition / allergène à vérifier  |  AFFICHAGE CARTE : un seul statut, jamais * ?</t>
  </si>
  <si>
    <t>Vin : ? tant que l’étiquette n’est pas contrôlée (Œufs, Lait, Sulfites possibles). Voir lignes 114.</t>
  </si>
  <si>
    <t>Le mot « farine » tout seul est  trop imprécis. je préfère le classer ? à vérifier, sauf si la fiche recette désigne clairement une farine contenant du gluten.</t>
  </si>
  <si>
    <t>R0002</t>
  </si>
  <si>
    <t>amidon de blé</t>
  </si>
  <si>
    <t>R0003</t>
  </si>
  <si>
    <t xml:space="preserve">le texte de la colonne K est découpé ICI SANS allergènes puis "collé" colonne T pour détection des Allergènes </t>
  </si>
  <si>
    <t>AFFICHAGE CARTE Texte à Copier / coller (collage spécial 1.2.3.Valeur)</t>
  </si>
  <si>
    <t>ALLERGÈNES CERTAINS Allergènes détectés (à coller)</t>
  </si>
  <si>
    <t>ALLERGÈNES À VÉRIFIER</t>
  </si>
  <si>
    <t>R0004</t>
  </si>
  <si>
    <t>baguette</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</si>
  <si>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</si>
  <si>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</si>
  <si>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</si>
  <si>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</si>
  <si>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</si>
  <si>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</si>
  <si>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</si>
  <si>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</si>
  <si>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</si>
  <si>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</si>
  <si>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</si>
  <si>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</si>
  <si>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</si>
  <si>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Crustacés</t>
  </si>
  <si>
    <t>Œufs ALER 1</t>
  </si>
  <si>
    <t>Œufs SUSP 1</t>
  </si>
  <si>
    <t>Œufs EXCL 1</t>
  </si>
  <si>
    <t>Œufs</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</si>
  <si>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</si>
  <si>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</si>
  <si>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</si>
  <si>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</si>
  <si>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</si>
  <si>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</si>
  <si>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</si>
  <si>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</si>
  <si>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</si>
  <si>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</si>
  <si>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</si>
  <si>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</si>
  <si>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</si>
  <si>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</si>
  <si>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</si>
  <si>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</si>
  <si>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</si>
  <si>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</si>
  <si>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</si>
  <si>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</si>
  <si>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</si>
  <si>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Lait EXCL SUSP</t>
  </si>
  <si>
    <t>Fruits à c ALER 1</t>
  </si>
  <si>
    <t>Fruits à c EXCL 1</t>
  </si>
  <si>
    <t>Fruits à c SUSP 1</t>
  </si>
  <si>
    <t>Fruits à coque</t>
  </si>
  <si>
    <t>Céleri ALER 1</t>
  </si>
  <si>
    <t>Céleri SUSP 1</t>
  </si>
  <si>
    <t>Céleri</t>
  </si>
  <si>
    <t>Moutarde ALER 1</t>
  </si>
  <si>
    <t>Moutarde SUSP 1</t>
  </si>
  <si>
    <t>Sésame ALER 1</t>
  </si>
  <si>
    <t>Sésame SUSP 1</t>
  </si>
  <si>
    <t>Sésame</t>
  </si>
  <si>
    <t>Sulfites ALER 1</t>
  </si>
  <si>
    <t>Sulfites SUSP 1</t>
  </si>
  <si>
    <t>Lupin ALER 1</t>
  </si>
  <si>
    <t>Lupin SUSP 1</t>
  </si>
  <si>
    <t>Mollusques ALER 1</t>
  </si>
  <si>
    <t>Mollusques ALER 2</t>
  </si>
  <si>
    <t>Mollusques ALER 3</t>
  </si>
  <si>
    <t>Mollusques EXCL 1</t>
  </si>
  <si>
    <t>Mollusques SUSP 1</t>
  </si>
  <si>
    <t>R0005</t>
  </si>
  <si>
    <t>Cuisine/Bar/Charcuterie/Glacier/Traiteur</t>
  </si>
  <si>
    <t>Synonyme métier, terme de carte ou dénomination courante.</t>
  </si>
  <si>
    <t>2026</t>
  </si>
  <si>
    <t>R0006</t>
  </si>
  <si>
    <t>bière</t>
  </si>
  <si>
    <t>biere</t>
  </si>
  <si>
    <t>R0007</t>
  </si>
  <si>
    <t>bière blanche</t>
  </si>
  <si>
    <t>biere blanche</t>
  </si>
  <si>
    <t>R0008</t>
  </si>
  <si>
    <t>bière blonde</t>
  </si>
  <si>
    <t>biere blonde</t>
  </si>
  <si>
    <t>R0009</t>
  </si>
  <si>
    <t>bière brune</t>
  </si>
  <si>
    <t>biere brune</t>
  </si>
  <si>
    <t>R0010</t>
  </si>
  <si>
    <t>R0011</t>
  </si>
  <si>
    <t>R0012</t>
  </si>
  <si>
    <t>R0013</t>
  </si>
  <si>
    <t>R0014</t>
  </si>
  <si>
    <t>blé</t>
  </si>
  <si>
    <t>R0015</t>
  </si>
  <si>
    <t>R0016</t>
  </si>
  <si>
    <t>bread</t>
  </si>
  <si>
    <t>R0017</t>
  </si>
  <si>
    <t>breadcrumbs</t>
  </si>
  <si>
    <t>R0018</t>
  </si>
  <si>
    <t>bretzel</t>
  </si>
  <si>
    <t>R0019</t>
  </si>
  <si>
    <t>bretzels</t>
  </si>
  <si>
    <t>R0020</t>
  </si>
  <si>
    <t>brick</t>
  </si>
  <si>
    <t>R0021</t>
  </si>
  <si>
    <t>R0022</t>
  </si>
  <si>
    <t>bulgur</t>
  </si>
  <si>
    <t>R0023</t>
  </si>
  <si>
    <t>cake</t>
  </si>
  <si>
    <t>R0024</t>
  </si>
  <si>
    <t>cakes</t>
  </si>
  <si>
    <t>R0025</t>
  </si>
  <si>
    <t>R0026</t>
  </si>
  <si>
    <t>choux pâtissier</t>
  </si>
  <si>
    <t>choux patissier</t>
  </si>
  <si>
    <t>R0027</t>
  </si>
  <si>
    <t>cookie</t>
  </si>
  <si>
    <t>R0028</t>
  </si>
  <si>
    <t>cookies</t>
  </si>
  <si>
    <t>R0029</t>
  </si>
  <si>
    <t>R0030</t>
  </si>
  <si>
    <t>cracker</t>
  </si>
  <si>
    <t>R0031</t>
  </si>
  <si>
    <t>crackers</t>
  </si>
  <si>
    <t>R0032</t>
  </si>
  <si>
    <t>crêpe</t>
  </si>
  <si>
    <t>crepe</t>
  </si>
  <si>
    <t>R0033</t>
  </si>
  <si>
    <t>crêpes</t>
  </si>
  <si>
    <t>crepes</t>
  </si>
  <si>
    <t>R0034</t>
  </si>
  <si>
    <t>R0035</t>
  </si>
  <si>
    <t>croûton</t>
  </si>
  <si>
    <t>crouton</t>
  </si>
  <si>
    <t>R0036</t>
  </si>
  <si>
    <t>croûtons</t>
  </si>
  <si>
    <t>R0037</t>
  </si>
  <si>
    <t>crumble</t>
  </si>
  <si>
    <t>R0038</t>
  </si>
  <si>
    <t>éclair</t>
  </si>
  <si>
    <t>eclair</t>
  </si>
  <si>
    <t>R0039</t>
  </si>
  <si>
    <t>éclairs</t>
  </si>
  <si>
    <t>eclairs</t>
  </si>
  <si>
    <t>R0040</t>
  </si>
  <si>
    <t>engrain</t>
  </si>
  <si>
    <t>R0041</t>
  </si>
  <si>
    <t>épeautre</t>
  </si>
  <si>
    <t>R0042</t>
  </si>
  <si>
    <t>R0043</t>
  </si>
  <si>
    <t>farine de blé dur</t>
  </si>
  <si>
    <t>farine de ble dur</t>
  </si>
  <si>
    <t>Blé dur : céréale contenant du gluten.</t>
  </si>
  <si>
    <t>R0044</t>
  </si>
  <si>
    <t>farine bise</t>
  </si>
  <si>
    <t>R0045</t>
  </si>
  <si>
    <t>farine blanche</t>
  </si>
  <si>
    <t>R0046</t>
  </si>
  <si>
    <t>farine complète</t>
  </si>
  <si>
    <t>farine complete</t>
  </si>
  <si>
    <t>R0047</t>
  </si>
  <si>
    <t>R0048</t>
  </si>
  <si>
    <t>farine d épeautre</t>
  </si>
  <si>
    <t>R0049</t>
  </si>
  <si>
    <t>R0050</t>
  </si>
  <si>
    <t>farine de blé</t>
  </si>
  <si>
    <t>R0051</t>
  </si>
  <si>
    <t>R0052</t>
  </si>
  <si>
    <t>farine de kamut</t>
  </si>
  <si>
    <t>R0053</t>
  </si>
  <si>
    <t>farine de khorasan</t>
  </si>
  <si>
    <t>R0054</t>
  </si>
  <si>
    <t>R0055</t>
  </si>
  <si>
    <t>farine de triticale</t>
  </si>
  <si>
    <t>R0056</t>
  </si>
  <si>
    <t>farine intégrale</t>
  </si>
  <si>
    <t>farine integrale</t>
  </si>
  <si>
    <t>R0057</t>
  </si>
  <si>
    <t>feuille de brick</t>
  </si>
  <si>
    <t>R0058</t>
  </si>
  <si>
    <t>ficelle</t>
  </si>
  <si>
    <t>R0059</t>
  </si>
  <si>
    <t>financier</t>
  </si>
  <si>
    <t>R0060</t>
  </si>
  <si>
    <t>financiers</t>
  </si>
  <si>
    <t>R0061</t>
  </si>
  <si>
    <t>R0062</t>
  </si>
  <si>
    <t>gaufre</t>
  </si>
  <si>
    <t>R0063</t>
  </si>
  <si>
    <t>gaufres</t>
  </si>
  <si>
    <t>R0064</t>
  </si>
  <si>
    <t>génoise</t>
  </si>
  <si>
    <t>R0065</t>
  </si>
  <si>
    <t>germe de blé</t>
  </si>
  <si>
    <t>R0066</t>
  </si>
  <si>
    <t>R0067</t>
  </si>
  <si>
    <t>gluten de blé</t>
  </si>
  <si>
    <t>gluten de ble</t>
  </si>
  <si>
    <t>R0068</t>
  </si>
  <si>
    <t>gnocchi de blé</t>
  </si>
  <si>
    <t>gnocchi de ble</t>
  </si>
  <si>
    <t>MODE D’EMPLOI</t>
  </si>
  <si>
    <t>R0069</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</si>
  <si>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</si>
  <si>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</si>
  <si>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</si>
  <si>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</si>
  <si>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</si>
  <si>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</si>
  <si>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</si>
  <si>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</si>
  <si>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2. La colonne C ajoute * pour un allergène certain, ? pour un contrôle, et * ? lorsque les deux situations sont présentes.</t>
  </si>
  <si>
    <t>R0073</t>
  </si>
  <si>
    <t>macaroni</t>
  </si>
  <si>
    <t>4. Chaque formule de recherche porte sur 100 termes maximum ; les résultats sont additionnés dans une cellule séparée.</t>
  </si>
  <si>
    <t>R0074</t>
  </si>
  <si>
    <t>madeleine</t>
  </si>
  <si>
    <t>4. Les expressions d’exclusion sont retirées du texte avant la recherche : elles ne peuvent plus annuler un allergène sans rapport.</t>
  </si>
  <si>
    <t>R0075</t>
  </si>
  <si>
    <t>madeleines</t>
  </si>
  <si>
    <t>5. La base se trouve à droite sur la même feuille. Les règles certaines, les contrôles et les exclusions sont séparés.</t>
  </si>
  <si>
    <t>R0076</t>
  </si>
  <si>
    <t>R0077</t>
  </si>
  <si>
    <t>R0078</t>
  </si>
  <si>
    <t>maltodextrine de blé</t>
  </si>
  <si>
    <t>zzzxq_exception_maltodextrine_ble_qxzzz</t>
  </si>
  <si>
    <t>Exception réglementaire : la maltodextrine à base de blé ne doit pas déclencher automatiquement le gluten.</t>
  </si>
  <si>
    <t>https://eur-lex.europa.eu/eli/reg/2011/1169/oj?locale=fr</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</si>
  <si>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</si>
  <si>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</si>
  <si>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</si>
  <si>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</si>
  <si>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</si>
  <si>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</si>
  <si>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</si>
  <si>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</si>
  <si>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</si>
  <si>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</si>
  <si>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</si>
  <si>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</si>
  <si>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</si>
  <si>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</si>
  <si>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</si>
  <si>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</si>
  <si>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</si>
  <si>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Gratin au gruyère</t>
  </si>
  <si>
    <t>Traiteur</t>
  </si>
  <si>
    <t>R0083</t>
  </si>
  <si>
    <t>oat</t>
  </si>
  <si>
    <t>Pecorino romano</t>
  </si>
  <si>
    <t>Fromager / cuisine italienne</t>
  </si>
  <si>
    <t>R0084</t>
  </si>
  <si>
    <t>oats</t>
  </si>
  <si>
    <t>Glace au mascarpone</t>
  </si>
  <si>
    <t>Glacier</t>
  </si>
  <si>
    <t>R0085</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</si>
  <si>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</si>
  <si>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</si>
  <si>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</si>
  <si>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</si>
  <si>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</si>
  <si>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</si>
  <si>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</si>
  <si>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</si>
  <si>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</si>
  <si>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</si>
  <si>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</si>
  <si>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</si>
  <si>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</si>
  <si>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</si>
  <si>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</si>
  <si>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</si>
  <si>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</si>
  <si>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</si>
  <si>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</si>
  <si>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</si>
  <si>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</si>
  <si>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</si>
  <si>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</si>
  <si>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</si>
  <si>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</si>
  <si>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</si>
  <si>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R0091</t>
  </si>
  <si>
    <t>pain de seigle</t>
  </si>
  <si>
    <t>R0092</t>
  </si>
  <si>
    <t>pain pita</t>
  </si>
  <si>
    <t>ARCHITECTURE ET CONTRÔLES</t>
  </si>
  <si>
    <t>R0093</t>
  </si>
  <si>
    <t>panaché</t>
  </si>
  <si>
    <t>panache</t>
  </si>
  <si>
    <t>MODE D’EMPLOI — LECTURE DES ALLERGÈNES</t>
  </si>
  <si>
    <t>R0094</t>
  </si>
  <si>
    <t>Zone de saisie</t>
  </si>
  <si>
    <t>B7:B66 : saisir la dénomination réelle du produit ou de l’ingrédient utilisé.</t>
  </si>
  <si>
    <t>R0095</t>
  </si>
  <si>
    <t>Résultat carte</t>
  </si>
  <si>
    <t>C7:C66 : le nom est repris avec un seul statut final : * ou ?.</t>
  </si>
  <si>
    <t>R0096</t>
  </si>
  <si>
    <t>pasta</t>
  </si>
  <si>
    <t>Allergènes certains</t>
  </si>
  <si>
    <t>Les colonnes de détection E:R marquent X lorsqu’un allergène est identifié comme certain.</t>
  </si>
  <si>
    <t>R0097</t>
  </si>
  <si>
    <t>pâte à choux</t>
  </si>
  <si>
    <t>À vérifier</t>
  </si>
  <si>
    <t>La colonne S liste les familles qui restent à contrôler sur l’étiquette ou la fiche technique.</t>
  </si>
  <si>
    <t>R0098</t>
  </si>
  <si>
    <t>pâte à pizza</t>
  </si>
  <si>
    <t>pate a pizza</t>
  </si>
  <si>
    <t>Règle des symboles</t>
  </si>
  <si>
    <t>* = allergène certain. ? = composition ou présence à vérifier. Un produit ne doit jamais afficher « * ? ».</t>
  </si>
  <si>
    <t>R0099</t>
  </si>
  <si>
    <t>pâte alimentaire</t>
  </si>
  <si>
    <t>pate alimentaire</t>
  </si>
  <si>
    <t>Principe de décision</t>
  </si>
  <si>
    <t>S’il existe au moins un allergène certain, l’affichage final est *. S’il n’y a aucun allergène certain mais qu’un doute subsiste, l’affichage est ?.</t>
  </si>
  <si>
    <t>R0100</t>
  </si>
  <si>
    <t>pâte brisée</t>
  </si>
  <si>
    <t>R0101</t>
  </si>
  <si>
    <t>pâte feuilletée</t>
  </si>
  <si>
    <t>POURQUOI PEUT-IL Y AVOIR DE L’ŒUF OU DU LAIT DANS LE VIN ?</t>
  </si>
  <si>
    <t>R0102</t>
  </si>
  <si>
    <t>pâte filo</t>
  </si>
  <si>
    <t>pate filo</t>
  </si>
  <si>
    <t>Ce n’est pas un ingrédient de recette</t>
  </si>
  <si>
    <t>Tous les vins ne contiennent pas d’œuf ou de lait. Ces substances peuvent être utilisées comme auxiliaires technologiques pendant certains traitements œnologiques.</t>
  </si>
  <si>
    <t>R0103</t>
  </si>
  <si>
    <t>pâte fraîche</t>
  </si>
  <si>
    <t>pate fraiche</t>
  </si>
  <si>
    <t>Œuf</t>
  </si>
  <si>
    <t>L’albumine ou le blanc d’œuf peuvent servir au collage/à la clarification. Le lysozyme, dérivé de l’œuf, peut également être utilisé dans certains traitements œnologiques.</t>
  </si>
  <si>
    <t>R0104</t>
  </si>
  <si>
    <t>pâte sablée</t>
  </si>
  <si>
    <t>La caséine, les caséinates ou d’autres protéines du lait peuvent être utilisés comme agents de collage pour clarifier le vin ou corriger certains défauts.</t>
  </si>
  <si>
    <t>R0105</t>
  </si>
  <si>
    <t>pâtes alimentaires</t>
  </si>
  <si>
    <t>pates alimentaires</t>
  </si>
  <si>
    <t>Après le traitement</t>
  </si>
  <si>
    <t>Ces auxiliaires sont normalement éliminés autant que possible. Leur emploi ne signifie donc pas automatiquement que le vin fini contient encore de l’œuf ou du lait.</t>
  </si>
  <si>
    <t>R0106</t>
  </si>
  <si>
    <t>petit épeautre</t>
  </si>
  <si>
    <t>Obligation d’étiquetage</t>
  </si>
  <si>
    <t>Si des substances provenant de l’œuf ou du lait restent détectables dans le vin fini, leur présence doit être indiquée sur l’étiquette.</t>
  </si>
  <si>
    <t>R0107</t>
  </si>
  <si>
    <t>pita</t>
  </si>
  <si>
    <t>Les sulfites doivent être déclarés lorsqu’ils dépassent 10 mg/L, exprimés en SO₂.</t>
  </si>
  <si>
    <t>R0108</t>
  </si>
  <si>
    <t>pizza</t>
  </si>
  <si>
    <t>Conséquence dans ce document</t>
  </si>
  <si>
    <t xml:space="preserve">Pour un libellé générique comme « vin rouge » ou « vin blanc », le ? signifie : vérifier la bouteille ou la fiche technique. </t>
  </si>
  <si>
    <t>R0109</t>
  </si>
  <si>
    <t>porter</t>
  </si>
  <si>
    <t>Si l’étiquette indique « contient des sulfites », « œuf » ou « lait », l’allergène concerné devient certain (*) pour le produit réellement utilisé.</t>
  </si>
  <si>
    <t>R0110</t>
  </si>
  <si>
    <t>pretzel</t>
  </si>
  <si>
    <t>Vin utilisé en cuisine</t>
  </si>
  <si>
    <t>La cuisson ne remplace pas le contrôle de l’étiquette : la déclaration des allergènes se fonde sur la composition du produit mis en œuvre.</t>
  </si>
  <si>
    <t>R0152</t>
  </si>
  <si>
    <t>cake tin</t>
  </si>
  <si>
    <t>Exclusion métier destinée à éviter un faux positif.</t>
  </si>
  <si>
    <t>SOURCES OFFICIELLES</t>
  </si>
  <si>
    <t>R0153</t>
  </si>
  <si>
    <t>eau de vie</t>
  </si>
  <si>
    <t>Évite un faux positif ou correspond à une exception réglementaire.</t>
  </si>
  <si>
    <t>DGCCRF — Étiquetage des vins</t>
  </si>
  <si>
    <t>https://www.economie.gouv.fr/dgccrf/les-fiches-pratiques/etiquetage-des-vins-savoir-lire-les-etiquettes</t>
  </si>
  <si>
    <t>R0154</t>
  </si>
  <si>
    <t>DGCCRF — Guide produits vitivinicoles</t>
  </si>
  <si>
    <t>https://www.economie.gouv.fr/files/files/directions_services/dgccrf/media-document/guide-dgccrf-regles-etiquetage-vitivinicoles-professionnels.pdf</t>
  </si>
  <si>
    <t>R0155</t>
  </si>
  <si>
    <t>farine de châtaigne</t>
  </si>
  <si>
    <t>Règlement (UE) n°1169/2011 — Annexe II</t>
  </si>
  <si>
    <t>R0111</t>
  </si>
  <si>
    <t>pretzels</t>
  </si>
  <si>
    <t>R0112</t>
  </si>
  <si>
    <t>profiterole</t>
  </si>
  <si>
    <t>EXEMPLES DE LECTURE</t>
  </si>
  <si>
    <t>R0113</t>
  </si>
  <si>
    <t>profiteroles</t>
  </si>
  <si>
    <t>Beurre</t>
  </si>
  <si>
    <t>Lait certain → Beurre *.</t>
  </si>
  <si>
    <t>R0114</t>
  </si>
  <si>
    <t>protéine de blé</t>
  </si>
  <si>
    <t>proteine de ble</t>
  </si>
  <si>
    <t>Farine</t>
  </si>
  <si>
    <t>Gluten certain dans la règle actuelle du moteur → Farine *.</t>
  </si>
  <si>
    <t>R0115</t>
  </si>
  <si>
    <t>protéines de blé</t>
  </si>
  <si>
    <t>proteines de ble</t>
  </si>
  <si>
    <t>TOMATE ET MOZARELLA AU BASILIC</t>
  </si>
  <si>
    <t>La mozzarella contient du lait → produit *.</t>
  </si>
  <si>
    <t>R0116</t>
  </si>
  <si>
    <t>quatre quarts</t>
  </si>
  <si>
    <t>Céleri-branche</t>
  </si>
  <si>
    <t>Céleri certain → Céleri-branche *.</t>
  </si>
  <si>
    <t>R0117</t>
  </si>
  <si>
    <t>quiche</t>
  </si>
  <si>
    <t>Fond brun de veau lié</t>
  </si>
  <si>
    <t>Composition variable selon la recette ou le fabricant → ? tant que la fiche technique n’a pas confirmé les allergènes.</t>
  </si>
  <si>
    <t>R0118</t>
  </si>
  <si>
    <t>ravioli</t>
  </si>
  <si>
    <t xml:space="preserve"> Après contrôle, les allergènes réellement présents doivent être considérés comme certains (*).</t>
  </si>
  <si>
    <t>R0119</t>
  </si>
  <si>
    <t>raviolis</t>
  </si>
  <si>
    <t>Margarine</t>
  </si>
  <si>
    <t>Composition variable selon la marque : elle peut notamment contenir du lait ou du soja → ? tant que l’étiquette n’est pas contrôlée.</t>
  </si>
  <si>
    <t>R0120</t>
  </si>
  <si>
    <t>Vinaigre de vin</t>
  </si>
  <si>
    <t>Dans la base actuelle, il est classé * pour les sulfites. En pratique, ce statut doit correspondre au produit réellement utilisé :</t>
  </si>
  <si>
    <t>R0121</t>
  </si>
  <si>
    <t xml:space="preserve"> si l’étiquette ou la fiche technique confirme les sulfites, * ; sinon la règle doit être réévaluée.</t>
  </si>
  <si>
    <t>R0122</t>
  </si>
  <si>
    <t>R0123</t>
  </si>
  <si>
    <t>LES 14 ALLERGÈNES — OÙ PEUT-ON LES TROUVER ?</t>
  </si>
  <si>
    <t>R0124</t>
  </si>
  <si>
    <t>semoule de blé</t>
  </si>
  <si>
    <t>Objectif CFA</t>
  </si>
  <si>
    <t>Savoir reconnaître un allergène évident, repérer un produit à risque, vérifier l'information disponible, décider avant le service et conserver une traçabilité exploitable.</t>
  </si>
  <si>
    <t>R0125</t>
  </si>
  <si>
    <t>semoule de couscous</t>
  </si>
  <si>
    <t>Dans notre outil</t>
  </si>
  <si>
    <t>* = allergène identifié avec certitude pour le produit tel qu'il est décrit.</t>
  </si>
  <si>
    <t>R0126</t>
  </si>
  <si>
    <t>semoule fine</t>
  </si>
  <si>
    <t>? = la dénomination ou les informations disponibles ne permettent pas de conclure : contrôle obligatoire avant de considérer le produit comme compatible.</t>
  </si>
  <si>
    <t>R0127</t>
  </si>
  <si>
    <t>sirop de malt</t>
  </si>
  <si>
    <t>Point essentiel</t>
  </si>
  <si>
    <t xml:space="preserve">Lire l'étiquette et la fiche technique est indispensable, mais ce n'est pas une garantie absolue. </t>
  </si>
  <si>
    <t>R0128</t>
  </si>
  <si>
    <t>son de blé</t>
  </si>
  <si>
    <t>Il faut contrôler le produit réellement livré et servi, sa référence, son lot, sa version de fiche technique et toute modification de composition.</t>
  </si>
  <si>
    <t>R0129</t>
  </si>
  <si>
    <t>spaghetti</t>
  </si>
  <si>
    <t>R0130</t>
  </si>
  <si>
    <t>ALLERGÈNE</t>
  </si>
  <si>
    <t>ON LE TROUVE ÉVIDEMMENT DANS…</t>
  </si>
  <si>
    <t>R0131</t>
  </si>
  <si>
    <t>stout</t>
  </si>
  <si>
    <t>1. Céréales contenant du gluten</t>
  </si>
  <si>
    <t>Blé, seigle, orge, avoine, épeautre, kamut.</t>
  </si>
  <si>
    <t>R0132</t>
  </si>
  <si>
    <t>tagliatelle</t>
  </si>
  <si>
    <t>2. Crustacés</t>
  </si>
  <si>
    <t>Crevette, crabe, homard, langouste, langoustine, écrevisse.</t>
  </si>
  <si>
    <t>R0133</t>
  </si>
  <si>
    <t>tarte salée</t>
  </si>
  <si>
    <t>tarte salee</t>
  </si>
  <si>
    <t>3. Œufs</t>
  </si>
  <si>
    <t>Œuf entier, jaune d'œuf, blanc d'œuf.</t>
  </si>
  <si>
    <t>R0134</t>
  </si>
  <si>
    <t>tartelette</t>
  </si>
  <si>
    <t>4. Poissons</t>
  </si>
  <si>
    <t>Saumon, thon, cabillaud, colin, merlu, sardine, anchois, sole, truite, etc.</t>
  </si>
  <si>
    <t>R0135</t>
  </si>
  <si>
    <t>tartelettes</t>
  </si>
  <si>
    <t>5. Arachides</t>
  </si>
  <si>
    <t>Cacahuètes, pâte et beurre d'arachide.</t>
  </si>
  <si>
    <t>R0136</t>
  </si>
  <si>
    <t>tempura</t>
  </si>
  <si>
    <t>6. Soja</t>
  </si>
  <si>
    <t>Graines de soja, tofu, tempeh.</t>
  </si>
  <si>
    <t>R0137</t>
  </si>
  <si>
    <t>tortellini</t>
  </si>
  <si>
    <t>7. Lait</t>
  </si>
  <si>
    <t>Lait, crème, beurre, fromage, yaourt.</t>
  </si>
  <si>
    <t>R0138</t>
  </si>
  <si>
    <t>tortilla de blé</t>
  </si>
  <si>
    <t>tortilla de ble</t>
  </si>
  <si>
    <t>8. Fruits à coque</t>
  </si>
  <si>
    <t>Amande, noisette, noix, noix de cajou, noix de pécan, noix du Brésil, pistache, noix de Macadamia.</t>
  </si>
  <si>
    <t>R0139</t>
  </si>
  <si>
    <t>tourte</t>
  </si>
  <si>
    <t>9. Céleri</t>
  </si>
  <si>
    <t>Céleri-branche, céleri-rave, graines de céleri.</t>
  </si>
  <si>
    <t>R0140</t>
  </si>
  <si>
    <t>10. Moutarde</t>
  </si>
  <si>
    <t>Moutarde, graines de moutarde.</t>
  </si>
  <si>
    <t>R0141</t>
  </si>
  <si>
    <t>vermicelle</t>
  </si>
  <si>
    <t>11. Graines de sésame</t>
  </si>
  <si>
    <t>Sésame blanc, blond ou noir.</t>
  </si>
  <si>
    <t>R0142</t>
  </si>
  <si>
    <t>viennoiserie</t>
  </si>
  <si>
    <t>12. Anhydride sulfureux et sulfites</t>
  </si>
  <si>
    <t>Produits portant la mention sulfites, dioxyde de soufre ou E220 à E228.</t>
  </si>
  <si>
    <t>R0156</t>
  </si>
  <si>
    <t>13. Lupin</t>
  </si>
  <si>
    <t>Graines de lupin, farine de lupin.</t>
  </si>
  <si>
    <t>R0144</t>
  </si>
  <si>
    <t>14. Mollusques</t>
  </si>
  <si>
    <t>Moule, huître, coquille Saint-Jacques, palourde, escargot, calmar, seiche, poulpe.</t>
  </si>
  <si>
    <t>R0145</t>
  </si>
  <si>
    <t>wrap</t>
  </si>
  <si>
    <t>R0146</t>
  </si>
  <si>
    <t>wraps</t>
  </si>
  <si>
    <t>IL PEUT AUSSI SE CACHER DANS…</t>
  </si>
  <si>
    <t>R0147</t>
  </si>
  <si>
    <t>bière sans gluten</t>
  </si>
  <si>
    <t>biere sans gluten</t>
  </si>
  <si>
    <t>Farines, chapelure, pâtes, semoule, boulgour, couscous, biscuits, pâtisseries, panures, roux et certaines sauces liées.</t>
  </si>
  <si>
    <t>R0148</t>
  </si>
  <si>
    <t>biscuit sans gluten</t>
  </si>
  <si>
    <t>Fumets, bisques, sauces, soupes de poissons, préparations asiatiques et mélanges de fruits de mer.</t>
  </si>
  <si>
    <t>R0149</t>
  </si>
  <si>
    <t>bread tin</t>
  </si>
  <si>
    <t>Mayonnaise, sauces émulsionnées, pâtisseries, biscuits, pâtes fraîches, panures, farces et certaines charcuteries.</t>
  </si>
  <si>
    <t>R0150</t>
  </si>
  <si>
    <t>cake mold</t>
  </si>
  <si>
    <t>Fumet de poisson, sauce poisson, nuoc-mâm, anchois dans certaines sauces, condiments et préparations.</t>
  </si>
  <si>
    <t>R0157</t>
  </si>
  <si>
    <t>Sauces exotiques, préparations asiatiques ou africaines, confiseries, pâtisseries, assaisonnements ou produits composés.</t>
  </si>
  <si>
    <t>R0158</t>
  </si>
  <si>
    <t>Sauce soja, miso, protéines de soja, boissons végétales au soja, lécithine de soja et certains produits végétaux transformés.</t>
  </si>
  <si>
    <t>R0159</t>
  </si>
  <si>
    <t>farine de maïs</t>
  </si>
  <si>
    <t>Lactose, lactosérum, caséine, poudre de lait, chocolat au lait, purées, sauces, pâtisseries et certaines margarines.</t>
  </si>
  <si>
    <t>R0160</t>
  </si>
  <si>
    <t>Praliné, pâte d'amande, nougat, pesto, chocolats, pâtisseries et desserts.</t>
  </si>
  <si>
    <t>R0161</t>
  </si>
  <si>
    <t>Fonds, bouillons, potages, sauces, jus, mélanges d'épices et certaines préparations industrielles.</t>
  </si>
  <si>
    <t>R0162</t>
  </si>
  <si>
    <t>Mayonnaises, vinaigrettes, sauces, marinades, charcuteries et condiments.</t>
  </si>
  <si>
    <t>R0163</t>
  </si>
  <si>
    <t>Tahini, pains spéciaux, houmous, sauces et préparations orientales ou asiatiques.</t>
  </si>
  <si>
    <t>R0164</t>
  </si>
  <si>
    <t>Vin, certains vinaigres, fruits secs, fruits confits, certaines préparations de pommes de terre et autres produits transformés.</t>
  </si>
  <si>
    <t>R0165</t>
  </si>
  <si>
    <t>Farines composées, certains pains, biscuits, pâtisseries et produits de boulangerie.</t>
  </si>
  <si>
    <t>R0166</t>
  </si>
  <si>
    <t>gin</t>
  </si>
  <si>
    <t>Sauces, soupes, fumets et préparations de fruits de mer.</t>
  </si>
  <si>
    <t>R0167</t>
  </si>
  <si>
    <t>gluten free</t>
  </si>
  <si>
    <t>R0168</t>
  </si>
  <si>
    <t>loaf tin</t>
  </si>
  <si>
    <t>EXEMPLES EN CUISINE</t>
  </si>
  <si>
    <t>R0169</t>
  </si>
  <si>
    <t>moule à brioche</t>
  </si>
  <si>
    <t>Roux, béchamel, pâte à tarte, pain, croûtons, panures, certaines sauces liées.</t>
  </si>
  <si>
    <t>R0170</t>
  </si>
  <si>
    <t>moule à cake</t>
  </si>
  <si>
    <t>Bisque de homard, sauce américaine, crevettes sautées, fumet de crustacés.</t>
  </si>
  <si>
    <t>R0171</t>
  </si>
  <si>
    <t>moule à gâteau</t>
  </si>
  <si>
    <t>moule a gateau</t>
  </si>
  <si>
    <t>Mayonnaise, crème anglaise, génoise, quiche, pâte à choux, dorure.</t>
  </si>
  <si>
    <t>R0172</t>
  </si>
  <si>
    <t>moule à kouglof</t>
  </si>
  <si>
    <t>moule a kouglof</t>
  </si>
  <si>
    <t>Dos de colin, brandade, soupe de poisson, sauce aux anchois, fumet.</t>
  </si>
  <si>
    <t>R0173</t>
  </si>
  <si>
    <t>moule à madeleine</t>
  </si>
  <si>
    <t>Sauce satay, cacahuètes grillées, beurre de cacahuète.</t>
  </si>
  <si>
    <t>R0174</t>
  </si>
  <si>
    <t>moule à pain</t>
  </si>
  <si>
    <t>moule a pain</t>
  </si>
  <si>
    <t>Tofu, sauce soja, desserts au soja, certaines préparations végétales.</t>
  </si>
  <si>
    <t>R0175</t>
  </si>
  <si>
    <t>moule à tarte</t>
  </si>
  <si>
    <t>Crème fraîche, beurre, béchamel, gratin, mozzarella, parmesan, crème glacée.</t>
  </si>
  <si>
    <t>R0176</t>
  </si>
  <si>
    <t>pain sans gluten</t>
  </si>
  <si>
    <t>Paris-Brest, frangipane, praliné, pesto contenant des fruits à coque.</t>
  </si>
  <si>
    <t>R0177</t>
  </si>
  <si>
    <t>pastry mold</t>
  </si>
  <si>
    <t>Céleri rémoulade, mirepoix, fond brun, bouillon, potage.</t>
  </si>
  <si>
    <t>R0178</t>
  </si>
  <si>
    <t>pastry mould</t>
  </si>
  <si>
    <t>Vinaigrette, sauce moutarde, mayonnaise contenant de la moutarde, marinade.</t>
  </si>
  <si>
    <t>R0179</t>
  </si>
  <si>
    <t>pâtisserie sans gluten</t>
  </si>
  <si>
    <t>patisserie sans gluten</t>
  </si>
  <si>
    <t>Houmous au tahini, pain au sésame, sauce sésame.</t>
  </si>
  <si>
    <t>R0180</t>
  </si>
  <si>
    <t>rhum</t>
  </si>
  <si>
    <t>Vin, raisins secs, fruits confits : vérifier le produit réellement utilisé et sa documentation.</t>
  </si>
  <si>
    <t>R0181</t>
  </si>
  <si>
    <t>sans gluten</t>
  </si>
  <si>
    <t>Pain ou pâtisserie contenant de la farine de lupin.</t>
  </si>
  <si>
    <t>R0182</t>
  </si>
  <si>
    <t>vodka</t>
  </si>
  <si>
    <t>Moules marinières, encornets, seiche, poulpe, escargots, coquilles Saint-Jacques.</t>
  </si>
  <si>
    <t>R0183</t>
  </si>
  <si>
    <t>whiskey</t>
  </si>
  <si>
    <t>R0184</t>
  </si>
  <si>
    <t>whisky</t>
  </si>
  <si>
    <t>ATTENTION AUX PRODUITS COMPOSÉS, AUX SUBSTITUTIONS ET AUX PAI</t>
  </si>
  <si>
    <t>R0185</t>
  </si>
  <si>
    <t>SUSPICION</t>
  </si>
  <si>
    <t>boudin blanc</t>
  </si>
  <si>
    <t>Composition variable : vérifier la fiche technique.</t>
  </si>
  <si>
    <t>Principe</t>
  </si>
  <si>
    <t xml:space="preserve">Le nom d'un produit ne suffit pas toujours pour connaître son profil allergène. </t>
  </si>
  <si>
    <t>R0186</t>
  </si>
  <si>
    <t>bouillon cube</t>
  </si>
  <si>
    <t>Une charcuterie, une sauce, un fond, une saumure, une marinade ou un produit industriel peut contenir un allergène qui n'est pas évident dans son nom.</t>
  </si>
  <si>
    <t>R0187</t>
  </si>
  <si>
    <t>caesar dressing</t>
  </si>
  <si>
    <t>Composition ou recette variable : vérifier la fiche technique.</t>
  </si>
  <si>
    <t>Limite de la fiche technique</t>
  </si>
  <si>
    <t xml:space="preserve">La fiche technique est une référence indispensable, mais elle peut être ancienne, mal associée au produit réellement livré, ne plus correspondre à une nouvelle formulation </t>
  </si>
  <si>
    <t>R0188</t>
  </si>
  <si>
    <t>caesar salad</t>
  </si>
  <si>
    <t>ou ne pas permettre à elle seule d'exclure une contamination croisée.</t>
  </si>
  <si>
    <t>R0189</t>
  </si>
  <si>
    <t>charcuterie</t>
  </si>
  <si>
    <t>R0190</t>
  </si>
  <si>
    <t>cordon bleu</t>
  </si>
  <si>
    <t>CAS PROFESSIONNEL CFA — PAI : L'ALLERGÈNE N'ÉTAIT PAS VISIBLE</t>
  </si>
  <si>
    <t>R0191</t>
  </si>
  <si>
    <t>fond blanc</t>
  </si>
  <si>
    <t>Contexte</t>
  </si>
  <si>
    <t>Cuisine centrale municipale servant notamment des enfants et des résidents d'EHPAD. Un enfant dispose d'un PAI pour allergie alimentaire.</t>
  </si>
  <si>
    <t>R0192</t>
  </si>
  <si>
    <t>fond brun</t>
  </si>
  <si>
    <t>Menu prévu</t>
  </si>
  <si>
    <t>Poisson et purée. Pour respecter le PAI, le menu de l'enfant est remplacé par jambon blanc et salade composée.</t>
  </si>
  <si>
    <t>R0193</t>
  </si>
  <si>
    <t>glace industrielle</t>
  </si>
  <si>
    <t>Au moment du repas</t>
  </si>
  <si>
    <t>Réaction allergique grave : appel des secours, prise en charge hospitalière et diagnostic d'œdème de Quincke.</t>
  </si>
  <si>
    <t>R0194</t>
  </si>
  <si>
    <t>hoisin</t>
  </si>
  <si>
    <t>Première réaction autour de l'incident</t>
  </si>
  <si>
    <t>Le changement de menu fait immédiatement suspecter un non-respect du PAI. Le menu, la recette et les ingrédients utilisés en cuisine sont contrôlés :</t>
  </si>
  <si>
    <t>R0195</t>
  </si>
  <si>
    <t>quenelle</t>
  </si>
  <si>
    <t xml:space="preserve"> aucune arachide n'a été volontairement employée par l'équipe.</t>
  </si>
  <si>
    <t>R0196</t>
  </si>
  <si>
    <t>salade césar</t>
  </si>
  <si>
    <t>salade cesar</t>
  </si>
  <si>
    <t>Enquête</t>
  </si>
  <si>
    <t>Les services compétents et le laboratoire sont saisis. L'analyse met en évidence la présence d'arachide dans le produit de jambon utilisé, via sa saumure selon le résultat de l'enquête.</t>
  </si>
  <si>
    <t>R0197</t>
  </si>
  <si>
    <t>sauce anglaise</t>
  </si>
  <si>
    <t>R0198</t>
  </si>
  <si>
    <t>sauce industrielle</t>
  </si>
  <si>
    <t>Leçon essentielle</t>
  </si>
  <si>
    <t>L'absence d'arachide dans la recette de la cuisine et l'absence d'utilisation volontaire par l'équipe ne suffisaient pas à garantir l'absence d'arachide dans un produit industriel composé.</t>
  </si>
  <si>
    <t>R0199</t>
  </si>
  <si>
    <t>Pourquoi ce cas est important</t>
  </si>
  <si>
    <t xml:space="preserve">Il montre qu'une substitution décidée pour protéger un convive peut introduire un risque différent. </t>
  </si>
  <si>
    <t>R0200</t>
  </si>
  <si>
    <t>sauce worcestershire</t>
  </si>
  <si>
    <t>Le produit de remplacement doit donc être contrôlé comme un nouveau produit, même s'il paraît simple ou habituel.</t>
  </si>
  <si>
    <t>R0201</t>
  </si>
  <si>
    <t>saucisse</t>
  </si>
  <si>
    <t>Conséquence professionnelle</t>
  </si>
  <si>
    <t xml:space="preserve">Un incident allergique entraîne immédiatement une enquête et peut mettre en cause l'organisation, les personnes et la réputation de l'établissement </t>
  </si>
  <si>
    <t>R0202</t>
  </si>
  <si>
    <t>saucisson</t>
  </si>
  <si>
    <t>avant même que la cause réelle soit connue. Une traçabilité précise est donc indispensable.</t>
  </si>
  <si>
    <t>R0203</t>
  </si>
  <si>
    <t>shoyu</t>
  </si>
  <si>
    <t>R0204</t>
  </si>
  <si>
    <t>sorbet industriel</t>
  </si>
  <si>
    <t>CE QUE L'APPRENANT DOIT RETENIR</t>
  </si>
  <si>
    <t>R0205</t>
  </si>
  <si>
    <t>1.</t>
  </si>
  <si>
    <t>Un PAI ne se gère pas seulement avec une liste d'aliments interdits : chaque produit réellement servi doit être compatible avec le PAI.</t>
  </si>
  <si>
    <t>R0206</t>
  </si>
  <si>
    <t>teriyaki</t>
  </si>
  <si>
    <t>2.</t>
  </si>
  <si>
    <t>Un changement de menu = une nouvelle analyse du risque allergène. Ne jamais considérer le produit de remplacement comme automatiquement sûr.</t>
  </si>
  <si>
    <t>R0207</t>
  </si>
  <si>
    <t>Cuisine/Traiteur</t>
  </si>
  <si>
    <t>Dénomination commerciale officielle ou usuelle.</t>
  </si>
  <si>
    <t>https://www.economie.gouv.fr/dgccrf/les-fiches-pratiques/denominations-commerciales-des-produits-de-la-peche-et-de-laquaculture</t>
  </si>
  <si>
    <t>2024-2026</t>
  </si>
  <si>
    <t>3.</t>
  </si>
  <si>
    <t>Le nom commercial n'est pas une preuve. « Jambon blanc », « fond brun », « margarine », « sauce », « dessert », etc. peuvent être des produits composés.</t>
  </si>
  <si>
    <t>R0208</t>
  </si>
  <si>
    <t>araignées de mer</t>
  </si>
  <si>
    <t>araignees de mer</t>
  </si>
  <si>
    <t>Crustacé ou dérivé explicite.</t>
  </si>
  <si>
    <t>4.</t>
  </si>
  <si>
    <t>Contrôler l'étiquette du produit réellement livré, puis la fiche technique correspondant à la bonne référence et, si possible, à la formulation en vigueur.</t>
  </si>
  <si>
    <t>R0209</t>
  </si>
  <si>
    <t>bisque de crustacés</t>
  </si>
  <si>
    <t>bisque de crustaces</t>
  </si>
  <si>
    <t>5.</t>
  </si>
  <si>
    <t>Conserver les éléments de traçabilité : fournisseur, marque, référence, numéro de lot, date de livraison, emballage ou photo de l'étiquette et fiche technique utilisée.</t>
  </si>
  <si>
    <t>R0210</t>
  </si>
  <si>
    <t>6.</t>
  </si>
  <si>
    <t xml:space="preserve">Si la composition est incertaine, contradictoire ou impossible à vérifier pour un convive allergique : ne pas improviser. </t>
  </si>
  <si>
    <t>R0211</t>
  </si>
  <si>
    <t>canada sa chair peut etre vendue comme</t>
  </si>
  <si>
    <t>Utiliser une solution de remplacement validée selon le protocole de l'établissement.</t>
  </si>
  <si>
    <t>R0212</t>
  </si>
  <si>
    <t>caramote</t>
  </si>
  <si>
    <t>7.</t>
  </si>
  <si>
    <t>La traçabilité protège d'abord le convive, mais elle permet aussi de reconstituer les faits et de déterminer l'origine réelle d'un incident.</t>
  </si>
  <si>
    <t>R0213</t>
  </si>
  <si>
    <t>chevrette</t>
  </si>
  <si>
    <t>R0214</t>
  </si>
  <si>
    <t>cigale</t>
  </si>
  <si>
    <t>AVANT DE SERVIR UN REPAS DE REMPLACEMENT PAI</t>
  </si>
  <si>
    <t>R0215</t>
  </si>
  <si>
    <t>cigale d afrique du sud</t>
  </si>
  <si>
    <t>1. Identifier</t>
  </si>
  <si>
    <t>Relire le PAI : allergène(s) concerné(s), consignes particulières, procédure prévue et conduite à tenir en urgence.</t>
  </si>
  <si>
    <t>R0216</t>
  </si>
  <si>
    <t>cigale de mer</t>
  </si>
  <si>
    <t>2. Refaire le contrôle</t>
  </si>
  <si>
    <t>Considérer le produit de substitution comme une nouvelle matière première : vérifier tous ses ingrédients et allergènes.</t>
  </si>
  <si>
    <t>R0217</t>
  </si>
  <si>
    <t>cigale du bresil</t>
  </si>
  <si>
    <t>3. Contrôler le produit réel</t>
  </si>
  <si>
    <t>Ne pas se contenter d'une fiche générique. Vérifier la marque, la référence et l'étiquette du conditionnement réellement utilisé.</t>
  </si>
  <si>
    <t>R0218</t>
  </si>
  <si>
    <t>cigale japonaise</t>
  </si>
  <si>
    <t>4. Vérifier la documentation</t>
  </si>
  <si>
    <t>Comparer l'étiquette et la fiche technique. En cas d'écart, d'ancienne version ou de doute, arrêter la décision et demander confirmation.</t>
  </si>
  <si>
    <t>R0219</t>
  </si>
  <si>
    <t>cigale raquette</t>
  </si>
  <si>
    <t>5. Tracer</t>
  </si>
  <si>
    <t>Conserver le lot, le fournisseur, la date, le document contrôlé et la personne ayant réalisé la vérification selon l'organisation de l'établissement.</t>
  </si>
  <si>
    <t>R0220</t>
  </si>
  <si>
    <t>cigale rouge</t>
  </si>
  <si>
    <t>6. Décider</t>
  </si>
  <si>
    <t>Si la sécurité ne peut pas être établie, ne pas servir ce produit au convive concerné et appliquer la solution de remplacement prévue.</t>
  </si>
  <si>
    <t>R0221</t>
  </si>
  <si>
    <t>cigales de mer</t>
  </si>
  <si>
    <t>R0222</t>
  </si>
  <si>
    <t>EN CAS D'INCIDENT ALLERGIQUE</t>
  </si>
  <si>
    <t>R0223</t>
  </si>
  <si>
    <t>Priorité absolue</t>
  </si>
  <si>
    <t>Appliquer immédiatement le protocole d'urgence prévu pour le convive et alerter les secours selon la situation. La recherche de responsabilité vient après la prise en charge.</t>
  </si>
  <si>
    <t>R0224</t>
  </si>
  <si>
    <t>crabe bleu</t>
  </si>
  <si>
    <t>Préserver les preuves</t>
  </si>
  <si>
    <t>Mettre de côté l'emballage, le numéro de lot, le produit restant si le protocole le permet, le bon de livraison, la fiche technique,</t>
  </si>
  <si>
    <t>R0225</t>
  </si>
  <si>
    <t>crabe de mangrove</t>
  </si>
  <si>
    <t xml:space="preserve"> le menu, la fiche de production et les enregistrements de traçabilité.</t>
  </si>
  <si>
    <t>R0226</t>
  </si>
  <si>
    <t>crabe de paletuviers</t>
  </si>
  <si>
    <t>Reconstituer les faits</t>
  </si>
  <si>
    <t>Noter l'heure, le produit servi, la quantité, les opérations réalisées, les personnes présentes et les informations transmises.</t>
  </si>
  <si>
    <t>R0227</t>
  </si>
  <si>
    <t>crabe des neiges de l antarctique</t>
  </si>
  <si>
    <t>Éviter les conclusions hâtives</t>
  </si>
  <si>
    <t>Ne pas attribuer immédiatement l'incident à une erreur de cuisine ou, inversement, au fournisseur. Les analyses et la traçabilité doivent établir les faits.</t>
  </si>
  <si>
    <t>R0228</t>
  </si>
  <si>
    <t>crabe des sables</t>
  </si>
  <si>
    <t>R0229</t>
  </si>
  <si>
    <t>crabe gazami</t>
  </si>
  <si>
    <t>PROTÉGER LE CONVIVE ET LE PROFESSIONNEL</t>
  </si>
  <si>
    <t>R0230</t>
  </si>
  <si>
    <t>crabe nageur</t>
  </si>
  <si>
    <t>Sécurité</t>
  </si>
  <si>
    <t>La vigilance allergène doit couvrir toute la chaîne : achat, réception, stockage, production, substitution, service et traçabilité.</t>
  </si>
  <si>
    <t>R0231</t>
  </si>
  <si>
    <t>crabe royal</t>
  </si>
  <si>
    <t>Responsabilité</t>
  </si>
  <si>
    <t>Une information fournisseur incomplète ou un changement de composition peut placer la cuisine en difficulté même si la recette interne est correctement maîtrisée.</t>
  </si>
  <si>
    <t>R0232</t>
  </si>
  <si>
    <t>crabe royal brun</t>
  </si>
  <si>
    <t>Traçabilité</t>
  </si>
  <si>
    <t>Une fiche technique explique ce que le produit est censé contenir ; la traçabilité permet de démontrer quel produit et quel lot ont réellement été servis.</t>
  </si>
  <si>
    <t>R0233</t>
  </si>
  <si>
    <t>crabe royal de l antarctique</t>
  </si>
  <si>
    <t>Réputation professionnelle</t>
  </si>
  <si>
    <t xml:space="preserve">Un incident peut marquer durablement un établissement ou un professionnel. Des preuves factuelles, </t>
  </si>
  <si>
    <t>R0234</t>
  </si>
  <si>
    <t>crabe royal du kamtchatka</t>
  </si>
  <si>
    <t>datées et conservées sont essentielles pour sortir du registre de l'accusation et revenir aux faits.</t>
  </si>
  <si>
    <t>R0235</t>
  </si>
  <si>
    <t>crabe vert</t>
  </si>
  <si>
    <t>R0236</t>
  </si>
  <si>
    <t>crabes</t>
  </si>
  <si>
    <t>EXEMPLES À INTERPRÉTER CORRECTEMENT</t>
  </si>
  <si>
    <t>R0237</t>
  </si>
  <si>
    <t>crabs</t>
  </si>
  <si>
    <t>Fond brun de veau ?</t>
  </si>
  <si>
    <t>Produit composé : vérifier notamment gluten, céleri et tout autre allergène déclaré par le fabricant.</t>
  </si>
  <si>
    <t>R0238</t>
  </si>
  <si>
    <t>crayfish</t>
  </si>
  <si>
    <t>Farine ?</t>
  </si>
  <si>
    <t>Le mot « farine » seul ne précise pas la céréale. Farine de blé = gluten certain ; farine de riz ou de maïs ≠ gluten automatiquement.</t>
  </si>
  <si>
    <t>R0239</t>
  </si>
  <si>
    <t>Vin ?</t>
  </si>
  <si>
    <t>Vérifier notamment les sulfites et les mentions allergènes réellement portées par le produit utilisé.</t>
  </si>
  <si>
    <t>R0240</t>
  </si>
  <si>
    <t>crevette blanche</t>
  </si>
  <si>
    <t>Sucre glace</t>
  </si>
  <si>
    <t>Le mot « glace » ne signifie pas crème glacée : il ne doit pas déclencher automatiquement l'allergène lait.</t>
  </si>
  <si>
    <t>R0241</t>
  </si>
  <si>
    <t>crevette bleu</t>
  </si>
  <si>
    <t>Raisins secs ? / Fruits confits ?</t>
  </si>
  <si>
    <t>Les sulfites peuvent être présents : vérifier l'étiquette et la fiche du produit réellement utilisé.</t>
  </si>
  <si>
    <t>R0242</t>
  </si>
  <si>
    <t>crevette bouquet</t>
  </si>
  <si>
    <t>Produit avec « ou »</t>
  </si>
  <si>
    <t>Exemple « beurre ou margarine » : le produit réellement utilisé doit être identifié avant de conclure sur les allergènes.</t>
  </si>
  <si>
    <t>R0243</t>
  </si>
  <si>
    <t>crevette chamois</t>
  </si>
  <si>
    <t>R0244</t>
  </si>
  <si>
    <t>crevette couteau</t>
  </si>
  <si>
    <t>RÉFLEXE PROFESSIONNEL</t>
  </si>
  <si>
    <t>R0245</t>
  </si>
  <si>
    <t>crevette cristal</t>
  </si>
  <si>
    <t>Question 1</t>
  </si>
  <si>
    <t>L'allergène est-il évident dans le nom ? Exemple : beurre → lait ; crevettes → crustacés ; dos de colin → poisson. Si oui : *.</t>
  </si>
  <si>
    <t>R0246</t>
  </si>
  <si>
    <t>crevette de guinee</t>
  </si>
  <si>
    <t>Question 2</t>
  </si>
  <si>
    <t>Le produit est-il composé ou sa dénomination est-elle imprécise ? Exemple : farine, fond, margarine, vin, charcuterie industrielle. Si oui : vérifier avant de conclure.</t>
  </si>
  <si>
    <t>R0247</t>
  </si>
  <si>
    <t>crevette des canaux</t>
  </si>
  <si>
    <t>Question 3</t>
  </si>
  <si>
    <t>Ai-je contrôlé le produit réellement utilisé, et pas seulement une recette théorique ou une ancienne fiche technique ?</t>
  </si>
  <si>
    <t>R0248</t>
  </si>
  <si>
    <t>crevette esope</t>
  </si>
  <si>
    <t>Question 4</t>
  </si>
  <si>
    <t>Puis-je retrouver après le service la marque, la référence, le lot et le document qui ont servi à ma décision ?</t>
  </si>
  <si>
    <t>R0249</t>
  </si>
  <si>
    <t>crevette grise</t>
  </si>
  <si>
    <t>Question 5</t>
  </si>
  <si>
    <t>Pour un PAI, la substitution a-t-elle été vérifiée comme un nouveau risque avant d'être servie ?</t>
  </si>
  <si>
    <t>R0250</t>
  </si>
  <si>
    <t>crevette kidi</t>
  </si>
  <si>
    <t>R0251</t>
  </si>
  <si>
    <t>crevette kuruma</t>
  </si>
  <si>
    <t>À RETENIR</t>
  </si>
  <si>
    <t>R0252</t>
  </si>
  <si>
    <t>crevette nordique</t>
  </si>
  <si>
    <t>On ne devine jamais un allergène et on ne déclare jamais « absence garantie » sur la seule apparence d'un produit.</t>
  </si>
  <si>
    <t>R0253</t>
  </si>
  <si>
    <t>crevette oceanique</t>
  </si>
  <si>
    <t>*</t>
  </si>
  <si>
    <t>JE SAIS : l'allergène est présent dans le produit identifié.</t>
  </si>
  <si>
    <t>R0254</t>
  </si>
  <si>
    <t>crevette rouge</t>
  </si>
  <si>
    <t>?</t>
  </si>
  <si>
    <t>JE DOIS VÉRIFIER avant de conclure.</t>
  </si>
  <si>
    <t>R0255</t>
  </si>
  <si>
    <t>crevette rouge d arabie</t>
  </si>
  <si>
    <t>Aucun symbole</t>
  </si>
  <si>
    <t>Le moteur n'a rien identifié avec les informations disponibles ; cela ne prouve pas l'absence absolue d'allergène dans un produit composé.</t>
  </si>
  <si>
    <t>R0256</t>
  </si>
  <si>
    <t>crevette rouge de l atlantique</t>
  </si>
  <si>
    <t>Fiche technique</t>
  </si>
  <si>
    <t>Document de référence indispensable, à rapprocher du produit, de la référence et de la version réellement utilisés.</t>
  </si>
  <si>
    <t>R0257</t>
  </si>
  <si>
    <t>crevette tachetee</t>
  </si>
  <si>
    <t>Preuve du produit réellement reçu, utilisé et servi.</t>
  </si>
  <si>
    <t>R0258</t>
  </si>
  <si>
    <t>crevette tropicale</t>
  </si>
  <si>
    <t>PAI</t>
  </si>
  <si>
    <t>Toute substitution doit être considérée comme une nouvelle décision de sécurité alimentaire.</t>
  </si>
  <si>
    <t>R0259</t>
  </si>
  <si>
    <t>crevette tropicale d eau douce</t>
  </si>
  <si>
    <t>R0260</t>
  </si>
  <si>
    <t>MESSAGE CFA</t>
  </si>
  <si>
    <t>La sécurité allergène ne repose pas sur une seule personne ni sur un seul document.</t>
  </si>
  <si>
    <t>R0261</t>
  </si>
  <si>
    <t xml:space="preserve"> Elle repose sur une chaîne de contrôles, une décision prudente et une traçabilité capable de démontrer les faits.</t>
  </si>
  <si>
    <t>R0262</t>
  </si>
  <si>
    <t>ecrevisse a pattes greles</t>
  </si>
  <si>
    <t>R0263</t>
  </si>
  <si>
    <t>ecrevisse a pattes rouges</t>
  </si>
  <si>
    <t>Règle à retenir</t>
  </si>
  <si>
    <t>R0264</t>
  </si>
  <si>
    <t>ecrevisse australienne</t>
  </si>
  <si>
    <t>Raisins secs → ? Sulfites</t>
  </si>
  <si>
    <t>R0265</t>
  </si>
  <si>
    <t>ecrevisse de californie</t>
  </si>
  <si>
    <t>Pour raisins secs et fruits confits, dès que la fiche technique indique sulfites / E220 à E228 au-dessus du seuil réglementaire, le statut devient *.</t>
  </si>
  <si>
    <t>R0266</t>
  </si>
  <si>
    <t>ecrevisse du bresil</t>
  </si>
  <si>
    <t>Fruits confits en cubes → ? Sulfites</t>
  </si>
  <si>
    <t>R0267</t>
  </si>
  <si>
    <t>ecrevisse signal</t>
  </si>
  <si>
    <t>Sucre glace → aucun ? à cause du mot “glace”</t>
  </si>
  <si>
    <t>R0268</t>
  </si>
  <si>
    <t>écrevisses</t>
  </si>
  <si>
    <t>Sucre glace ? → faux positif du moteur. Le document ne possède aucune règle sucre glace. Il trouve simplement le mot glace, enregistré en Lait – SUSPICION</t>
  </si>
  <si>
    <t>R0269</t>
  </si>
  <si>
    <t>etrille</t>
  </si>
  <si>
    <t>Il comprend donc à tort sucre glace comme s’il s’agissait d’une glace alimentaire pouvant contenir du lait.</t>
  </si>
  <si>
    <t>R0270</t>
  </si>
  <si>
    <t>étrilles</t>
  </si>
  <si>
    <t>etrilles</t>
  </si>
  <si>
    <t xml:space="preserve">Le défaut « sucre glace » montre surtout qu’il faut corriger le mot-clé générique glace : il est trop large. </t>
  </si>
  <si>
    <t>R0271</t>
  </si>
  <si>
    <t>fumet de crustacés</t>
  </si>
  <si>
    <t>Il vaut mieux reconnaître crème glacée, glace artisanale, glace au lait, etc., ou neutraliser explicitement sucre glace.</t>
  </si>
  <si>
    <t>R0272</t>
  </si>
  <si>
    <t>galathee</t>
  </si>
  <si>
    <t>Ces changements ont été fait</t>
  </si>
  <si>
    <t>R0273</t>
  </si>
  <si>
    <t>galathee bleue</t>
  </si>
  <si>
    <t>R0274</t>
  </si>
  <si>
    <t>galathee pelagique</t>
  </si>
  <si>
    <t>R0275</t>
  </si>
  <si>
    <t>galathee rouge</t>
  </si>
  <si>
    <t>R0276</t>
  </si>
  <si>
    <t>R0277</t>
  </si>
  <si>
    <t>R0278</t>
  </si>
  <si>
    <t>grande crevette rouge</t>
  </si>
  <si>
    <t>R0279</t>
  </si>
  <si>
    <t>R0280</t>
  </si>
  <si>
    <t>homard americain</t>
  </si>
  <si>
    <t>R0281</t>
  </si>
  <si>
    <t>homard canadien</t>
  </si>
  <si>
    <t>R0282</t>
  </si>
  <si>
    <t>homard europeen</t>
  </si>
  <si>
    <t>R0283</t>
  </si>
  <si>
    <t>R0284</t>
  </si>
  <si>
    <t>hyas coarctatus</t>
  </si>
  <si>
    <t>R0285</t>
  </si>
  <si>
    <t>jasus paulensis</t>
  </si>
  <si>
    <t>R0286</t>
  </si>
  <si>
    <t>jus de crustacés</t>
  </si>
  <si>
    <t>R0287</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</si>
  <si>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</si>
  <si>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</si>
  <si>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</si>
  <si>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</si>
  <si>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</si>
  <si>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</si>
  <si>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</si>
  <si>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</si>
  <si>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</si>
  <si>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</si>
  <si>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</si>
  <si>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</si>
  <si>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</si>
  <si>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</si>
  <si>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</si>
  <si>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</si>
  <si>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</si>
  <si>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</si>
  <si>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</si>
  <si>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</si>
  <si>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</si>
  <si>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</si>
  <si>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</si>
  <si>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</si>
  <si>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</si>
  <si>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</si>
  <si>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</si>
  <si>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</si>
  <si>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</si>
  <si>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</si>
  <si>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</si>
  <si>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</si>
  <si>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</si>
  <si>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</si>
  <si>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</si>
  <si>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</si>
  <si>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</si>
  <si>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</si>
  <si>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</si>
  <si>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</si>
  <si>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</si>
  <si>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</si>
  <si>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</si>
  <si>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</si>
  <si>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</si>
  <si>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</si>
  <si>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</si>
  <si>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</si>
  <si>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</si>
  <si>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</si>
  <si>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</si>
  <si>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</si>
  <si>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</si>
  <si>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</si>
  <si>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</si>
  <si>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R0316</t>
  </si>
  <si>
    <t>R0317</t>
  </si>
  <si>
    <t>langoustine andamane</t>
  </si>
  <si>
    <t>R0318</t>
  </si>
  <si>
    <t>langoustine d uruguay</t>
  </si>
  <si>
    <t>R0319</t>
  </si>
  <si>
    <t>langoustine de nouvelle zelande</t>
  </si>
  <si>
    <t>R0320</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</si>
  <si>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</si>
  <si>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</si>
  <si>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</si>
  <si>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</si>
  <si>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</si>
  <si>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</si>
  <si>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</si>
  <si>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</si>
  <si>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</si>
  <si>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</si>
  <si>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</si>
  <si>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</si>
  <si>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</si>
  <si>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</si>
  <si>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</si>
  <si>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</si>
  <si>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</si>
  <si>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</si>
  <si>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</si>
  <si>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</si>
  <si>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R0331</t>
  </si>
  <si>
    <t>prawns</t>
  </si>
  <si>
    <t>R0332</t>
  </si>
  <si>
    <t>sauce de crustacés</t>
  </si>
  <si>
    <t>sauce de crustaces</t>
  </si>
  <si>
    <t>R0333</t>
  </si>
  <si>
    <t>R0334</t>
  </si>
  <si>
    <t>R0335</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</si>
  <si>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</si>
  <si>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</si>
  <si>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</si>
  <si>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</si>
  <si>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</si>
  <si>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</si>
  <si>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</si>
  <si>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</si>
  <si>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</si>
  <si>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</si>
  <si>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</si>
  <si>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</si>
  <si>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</si>
  <si>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</si>
  <si>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</si>
  <si>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</si>
  <si>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</si>
  <si>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R0344</t>
  </si>
  <si>
    <t>béarnaise</t>
  </si>
  <si>
    <t>bearnaise</t>
  </si>
  <si>
    <t>R0345</t>
  </si>
  <si>
    <t>biscuit cuillère</t>
  </si>
  <si>
    <t>R0346</t>
  </si>
  <si>
    <t>blanc d œuf</t>
  </si>
  <si>
    <t>R0347</t>
  </si>
  <si>
    <t>blancs d œufs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</si>
  <si>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</si>
  <si>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</si>
  <si>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</si>
  <si>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</si>
  <si>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</si>
  <si>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</si>
  <si>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</si>
  <si>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</si>
  <si>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</si>
  <si>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</si>
  <si>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</si>
  <si>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</si>
  <si>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</si>
  <si>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</si>
  <si>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</si>
  <si>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</si>
  <si>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</si>
  <si>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</si>
  <si>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</si>
  <si>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</si>
  <si>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</si>
  <si>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</si>
  <si>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</si>
  <si>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R0357</t>
  </si>
  <si>
    <t>E1105</t>
  </si>
  <si>
    <t>e1105</t>
  </si>
  <si>
    <t>R0358</t>
  </si>
  <si>
    <t>egg</t>
  </si>
  <si>
    <t>R0359</t>
  </si>
  <si>
    <t>egg white</t>
  </si>
  <si>
    <t>R0360</t>
  </si>
  <si>
    <t>egg whites</t>
  </si>
  <si>
    <t>R0361</t>
  </si>
  <si>
    <t>egg yolk</t>
  </si>
  <si>
    <t>R0362</t>
  </si>
  <si>
    <t>egg yolks</t>
  </si>
  <si>
    <t>R0363</t>
  </si>
  <si>
    <t>eggs</t>
  </si>
  <si>
    <t>R0364</t>
  </si>
  <si>
    <t>flan</t>
  </si>
  <si>
    <t>R0365</t>
  </si>
  <si>
    <t>R0366</t>
  </si>
  <si>
    <t>hollandaise</t>
  </si>
  <si>
    <t>R0367</t>
  </si>
  <si>
    <t>île flottante</t>
  </si>
  <si>
    <t>ile flottante</t>
  </si>
  <si>
    <t>R0368</t>
  </si>
  <si>
    <t>jaune d œuf</t>
  </si>
  <si>
    <t>R0369</t>
  </si>
  <si>
    <t>jaunes d œufs</t>
  </si>
  <si>
    <t>R0370</t>
  </si>
  <si>
    <t>lécithine d œuf</t>
  </si>
  <si>
    <t>lecithine d oeuf</t>
  </si>
  <si>
    <t>R0371</t>
  </si>
  <si>
    <t>R0372</t>
  </si>
  <si>
    <t>mayo</t>
  </si>
  <si>
    <t>R0373</t>
  </si>
  <si>
    <t>mayonnaise</t>
  </si>
  <si>
    <t>R0374</t>
  </si>
  <si>
    <t>meringue</t>
  </si>
  <si>
    <t>R0375</t>
  </si>
  <si>
    <t>meringues</t>
  </si>
  <si>
    <t>R0376</t>
  </si>
  <si>
    <t>œuf</t>
  </si>
  <si>
    <t>R0377</t>
  </si>
  <si>
    <t>œuf dur</t>
  </si>
  <si>
    <t>oeuf dur</t>
  </si>
  <si>
    <t>R0378</t>
  </si>
  <si>
    <t>œuf en poudre</t>
  </si>
  <si>
    <t>oeuf en poudre</t>
  </si>
  <si>
    <t>R0379</t>
  </si>
  <si>
    <t>œuf mollet</t>
  </si>
  <si>
    <t>oeuf mollet</t>
  </si>
  <si>
    <t>R0380</t>
  </si>
  <si>
    <t>œuf poché</t>
  </si>
  <si>
    <t>oeuf poche</t>
  </si>
  <si>
    <t>R0381</t>
  </si>
  <si>
    <t>œufs</t>
  </si>
  <si>
    <t>R0382</t>
  </si>
  <si>
    <t>œufs brouillés</t>
  </si>
  <si>
    <t>oeufs brouilles</t>
  </si>
  <si>
    <t>R0383</t>
  </si>
  <si>
    <t>omelette</t>
  </si>
  <si>
    <t>R0384</t>
  </si>
  <si>
    <t>R0385</t>
  </si>
  <si>
    <t>R0386</t>
  </si>
  <si>
    <t>ovomucoïde</t>
  </si>
  <si>
    <t>R0387</t>
  </si>
  <si>
    <t>R0388</t>
  </si>
  <si>
    <t>R0389</t>
  </si>
  <si>
    <t>pâte à bombe</t>
  </si>
  <si>
    <t>pate a bombe</t>
  </si>
  <si>
    <t>R0390</t>
  </si>
  <si>
    <t>R0391</t>
  </si>
  <si>
    <t>poudre d œuf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</si>
  <si>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</si>
  <si>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</si>
  <si>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</si>
  <si>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</si>
  <si>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</si>
  <si>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</si>
  <si>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</si>
  <si>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</si>
  <si>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</si>
  <si>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</si>
  <si>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</si>
  <si>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</si>
  <si>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</si>
  <si>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</si>
  <si>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</si>
  <si>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</si>
  <si>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</si>
  <si>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</si>
  <si>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</si>
  <si>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</si>
  <si>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</si>
  <si>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</si>
  <si>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</si>
  <si>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</si>
  <si>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</si>
  <si>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</si>
  <si>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</si>
  <si>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</si>
  <si>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</si>
  <si>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</si>
  <si>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</si>
  <si>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</si>
  <si>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</si>
  <si>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</si>
  <si>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</si>
  <si>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</si>
  <si>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</si>
  <si>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</si>
  <si>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</si>
  <si>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</si>
  <si>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</si>
  <si>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</si>
  <si>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</si>
  <si>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</si>
  <si>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</si>
  <si>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</si>
  <si>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</si>
  <si>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</si>
  <si>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</si>
  <si>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</si>
  <si>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</si>
  <si>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</si>
  <si>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</si>
  <si>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</si>
  <si>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</si>
  <si>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</si>
  <si>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</si>
  <si>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</si>
  <si>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</si>
  <si>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</si>
  <si>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</si>
  <si>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</si>
  <si>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</si>
  <si>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</si>
  <si>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</si>
  <si>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</si>
  <si>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</si>
  <si>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</si>
  <si>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</si>
  <si>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</si>
  <si>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</si>
  <si>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</si>
  <si>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</si>
  <si>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</si>
  <si>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</si>
  <si>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</si>
  <si>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</si>
  <si>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</si>
  <si>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</si>
  <si>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</si>
  <si>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</si>
  <si>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</si>
  <si>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</si>
  <si>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</si>
  <si>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</si>
  <si>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</si>
  <si>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</si>
  <si>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</si>
  <si>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</si>
  <si>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</si>
  <si>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</si>
  <si>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</si>
  <si>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</si>
  <si>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</si>
  <si>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</si>
  <si>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</si>
  <si>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</si>
  <si>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</si>
  <si>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</si>
  <si>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</si>
  <si>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</si>
  <si>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</si>
  <si>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</si>
  <si>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</si>
  <si>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</si>
  <si>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</si>
  <si>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</si>
  <si>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</si>
  <si>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</si>
  <si>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</si>
  <si>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</si>
  <si>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</si>
  <si>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</si>
  <si>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</si>
  <si>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</si>
  <si>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</si>
  <si>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</si>
  <si>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</si>
  <si>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</si>
  <si>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</si>
  <si>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</si>
  <si>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</si>
  <si>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</si>
  <si>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</si>
  <si>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</si>
  <si>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</si>
  <si>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</si>
  <si>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</si>
  <si>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</si>
  <si>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</si>
  <si>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</si>
  <si>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</si>
  <si>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</si>
  <si>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</si>
  <si>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</si>
  <si>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</si>
  <si>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</si>
  <si>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</si>
  <si>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</si>
  <si>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</si>
  <si>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</si>
  <si>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</si>
  <si>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</si>
  <si>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</si>
  <si>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</si>
  <si>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</si>
  <si>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</si>
  <si>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</si>
  <si>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</si>
  <si>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</si>
  <si>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</si>
  <si>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</si>
  <si>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</si>
  <si>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</si>
  <si>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</si>
  <si>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</si>
  <si>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</si>
  <si>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</si>
  <si>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</si>
  <si>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</si>
  <si>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</si>
  <si>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</si>
  <si>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</si>
  <si>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</si>
  <si>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</si>
  <si>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</si>
  <si>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</si>
  <si>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</si>
  <si>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</si>
  <si>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</si>
  <si>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</si>
  <si>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</si>
  <si>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</si>
  <si>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</si>
  <si>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</si>
  <si>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</si>
  <si>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</si>
  <si>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</si>
  <si>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</si>
  <si>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</si>
  <si>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</si>
  <si>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</si>
  <si>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</si>
  <si>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</si>
  <si>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</si>
  <si>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</si>
  <si>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</si>
  <si>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</si>
  <si>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</si>
  <si>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</si>
  <si>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</si>
  <si>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</si>
  <si>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</si>
  <si>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</si>
  <si>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</si>
  <si>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</si>
  <si>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</si>
  <si>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</si>
  <si>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</si>
  <si>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</si>
  <si>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</si>
  <si>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</si>
  <si>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</si>
  <si>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</si>
  <si>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</si>
  <si>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</si>
  <si>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</si>
  <si>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</si>
  <si>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</si>
  <si>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</si>
  <si>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</si>
  <si>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</si>
  <si>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</si>
  <si>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</si>
  <si>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</si>
  <si>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</si>
  <si>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</si>
  <si>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</si>
  <si>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</si>
  <si>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</si>
  <si>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</si>
  <si>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</si>
  <si>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</si>
  <si>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</si>
  <si>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</si>
  <si>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</si>
  <si>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</si>
  <si>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</si>
  <si>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</si>
  <si>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</si>
  <si>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</si>
  <si>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</si>
  <si>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</si>
  <si>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</si>
  <si>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</si>
  <si>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</si>
  <si>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</si>
  <si>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</si>
  <si>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</si>
  <si>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</si>
  <si>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</si>
  <si>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</si>
  <si>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</si>
  <si>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</si>
  <si>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</si>
  <si>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</si>
  <si>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</si>
  <si>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</si>
  <si>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</si>
  <si>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</si>
  <si>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</si>
  <si>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</si>
  <si>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</si>
  <si>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</si>
  <si>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</si>
  <si>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</si>
  <si>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</si>
  <si>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</si>
  <si>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</si>
  <si>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</si>
  <si>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</si>
  <si>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</si>
  <si>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</si>
  <si>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</si>
  <si>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</si>
  <si>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</si>
  <si>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</si>
  <si>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</si>
  <si>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</si>
  <si>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</si>
  <si>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</si>
  <si>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</si>
  <si>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</si>
  <si>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</si>
  <si>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</si>
  <si>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</si>
  <si>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</si>
  <si>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</si>
  <si>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</si>
  <si>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</si>
  <si>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</si>
  <si>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</si>
  <si>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</si>
  <si>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</si>
  <si>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</si>
  <si>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</si>
  <si>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</si>
  <si>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</si>
  <si>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</si>
  <si>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</si>
  <si>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</si>
  <si>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</si>
  <si>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</si>
  <si>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</si>
  <si>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</si>
  <si>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</si>
  <si>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</si>
  <si>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</si>
  <si>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</si>
  <si>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</si>
  <si>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</si>
  <si>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</si>
  <si>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</si>
  <si>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</si>
  <si>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</si>
  <si>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</si>
  <si>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</si>
  <si>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</si>
  <si>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</si>
  <si>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</si>
  <si>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</si>
  <si>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</si>
  <si>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</si>
  <si>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</si>
  <si>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</si>
  <si>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</si>
  <si>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</si>
  <si>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</si>
  <si>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</si>
  <si>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</si>
  <si>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</si>
  <si>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</si>
  <si>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</si>
  <si>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</si>
  <si>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</si>
  <si>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</si>
  <si>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</si>
  <si>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</si>
  <si>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</si>
  <si>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</si>
  <si>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</si>
  <si>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</si>
  <si>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</si>
  <si>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</si>
  <si>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</si>
  <si>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</si>
  <si>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</si>
  <si>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</si>
  <si>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</si>
  <si>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</si>
  <si>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</si>
  <si>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</si>
  <si>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</si>
  <si>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</si>
  <si>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</si>
  <si>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</si>
  <si>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</si>
  <si>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</si>
  <si>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</si>
  <si>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</si>
  <si>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</si>
  <si>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</si>
  <si>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</si>
  <si>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</si>
  <si>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</si>
  <si>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</si>
  <si>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</si>
  <si>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</si>
  <si>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</si>
  <si>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</si>
  <si>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</si>
  <si>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</si>
  <si>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</si>
  <si>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</si>
  <si>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</si>
  <si>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</si>
  <si>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</si>
  <si>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</si>
  <si>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</si>
  <si>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</si>
  <si>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</si>
  <si>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</si>
  <si>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</si>
  <si>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</si>
  <si>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</si>
  <si>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</si>
  <si>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</si>
  <si>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</si>
  <si>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</si>
  <si>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</si>
  <si>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</si>
  <si>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</si>
  <si>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</si>
  <si>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</si>
  <si>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</si>
  <si>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</si>
  <si>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</si>
  <si>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</si>
  <si>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</si>
  <si>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</si>
  <si>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</si>
  <si>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</si>
  <si>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</si>
  <si>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</si>
  <si>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</si>
  <si>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</si>
  <si>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</si>
  <si>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</si>
  <si>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</si>
  <si>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</si>
  <si>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</si>
  <si>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</si>
  <si>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</si>
  <si>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</si>
  <si>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</si>
  <si>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</si>
  <si>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</si>
  <si>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</si>
  <si>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</si>
  <si>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</si>
  <si>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</si>
  <si>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</si>
  <si>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</si>
  <si>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</si>
  <si>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</si>
  <si>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</si>
  <si>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</si>
  <si>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</si>
  <si>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</si>
  <si>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</si>
  <si>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</si>
  <si>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</si>
  <si>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</si>
  <si>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</si>
  <si>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</si>
  <si>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</si>
  <si>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</si>
  <si>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</si>
  <si>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</si>
  <si>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</si>
  <si>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</si>
  <si>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</si>
  <si>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</si>
  <si>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</si>
  <si>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</si>
  <si>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</si>
  <si>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</si>
  <si>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</si>
  <si>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</si>
  <si>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</si>
  <si>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</si>
  <si>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</si>
  <si>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</si>
  <si>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</si>
  <si>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</si>
  <si>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</si>
  <si>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</si>
  <si>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</si>
  <si>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</si>
  <si>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</si>
  <si>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</si>
  <si>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</si>
  <si>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</si>
  <si>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</si>
  <si>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</si>
  <si>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</si>
  <si>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Dénomination usuelle générique de poisson. Détecte notamment dos de colin, filet de colin et colin surgelé.</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</si>
  <si>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</si>
  <si>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</si>
  <si>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</si>
  <si>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</si>
  <si>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</si>
  <si>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</si>
  <si>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</si>
  <si>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</si>
  <si>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</si>
  <si>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</si>
  <si>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</si>
  <si>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</si>
  <si>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</si>
  <si>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</si>
  <si>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</si>
  <si>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</si>
  <si>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</si>
  <si>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</si>
  <si>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</si>
  <si>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</si>
  <si>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</si>
  <si>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</si>
  <si>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</si>
  <si>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</si>
  <si>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</si>
  <si>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</si>
  <si>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</si>
  <si>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</si>
  <si>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</si>
  <si>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</si>
  <si>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</si>
  <si>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</si>
  <si>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</si>
  <si>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</si>
  <si>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</si>
  <si>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</si>
  <si>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</si>
  <si>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</si>
  <si>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</si>
  <si>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</si>
  <si>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</si>
  <si>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</si>
  <si>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</si>
  <si>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</si>
  <si>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</si>
  <si>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</si>
  <si>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</si>
  <si>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</si>
  <si>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</si>
  <si>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</si>
  <si>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</si>
  <si>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</si>
  <si>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</si>
  <si>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</si>
  <si>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</si>
  <si>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</si>
  <si>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</si>
  <si>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</si>
  <si>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</si>
  <si>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</si>
  <si>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</si>
  <si>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</si>
  <si>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</si>
  <si>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</si>
  <si>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</si>
  <si>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</si>
  <si>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</si>
  <si>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</si>
  <si>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</si>
  <si>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</si>
  <si>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</si>
  <si>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</si>
  <si>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</si>
  <si>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</si>
  <si>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</si>
  <si>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</si>
  <si>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</si>
  <si>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</si>
  <si>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</si>
  <si>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</si>
  <si>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</si>
  <si>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</si>
  <si>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</si>
  <si>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</si>
  <si>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</si>
  <si>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</si>
  <si>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</si>
  <si>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</si>
  <si>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</si>
  <si>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</si>
  <si>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</si>
  <si>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</si>
  <si>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</si>
  <si>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</si>
  <si>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</si>
  <si>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</si>
  <si>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</si>
  <si>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</si>
  <si>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</si>
  <si>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</si>
  <si>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</si>
  <si>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</si>
  <si>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</si>
  <si>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</si>
  <si>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</si>
  <si>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</si>
  <si>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</si>
  <si>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</si>
  <si>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</si>
  <si>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</si>
  <si>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</si>
  <si>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</si>
  <si>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</si>
  <si>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</si>
  <si>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</si>
  <si>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</si>
  <si>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</si>
  <si>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</si>
  <si>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</si>
  <si>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</si>
  <si>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</si>
  <si>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</si>
  <si>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</si>
  <si>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</si>
  <si>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</si>
  <si>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</si>
  <si>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</si>
  <si>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</si>
  <si>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</si>
  <si>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</si>
  <si>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</si>
  <si>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</si>
  <si>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</si>
  <si>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</si>
  <si>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</si>
  <si>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</si>
  <si>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</si>
  <si>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</si>
  <si>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</si>
  <si>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</si>
  <si>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</si>
  <si>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</si>
  <si>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</si>
  <si>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</si>
  <si>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</si>
  <si>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</si>
  <si>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</si>
  <si>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</si>
  <si>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</si>
  <si>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</si>
  <si>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</si>
  <si>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</si>
  <si>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</si>
  <si>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</si>
  <si>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</si>
  <si>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</si>
  <si>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</si>
  <si>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</si>
  <si>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</si>
  <si>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</si>
  <si>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</si>
  <si>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</si>
  <si>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</si>
  <si>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</si>
  <si>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</si>
  <si>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</si>
  <si>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</si>
  <si>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</si>
  <si>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</si>
  <si>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</si>
  <si>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</si>
  <si>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</si>
  <si>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</si>
  <si>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</si>
  <si>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</si>
  <si>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</si>
  <si>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</si>
  <si>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</si>
  <si>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</si>
  <si>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</si>
  <si>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</si>
  <si>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</si>
  <si>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</si>
  <si>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</si>
  <si>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</si>
  <si>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</si>
  <si>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</si>
  <si>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</si>
  <si>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</si>
  <si>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</si>
  <si>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</si>
  <si>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</si>
  <si>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</si>
  <si>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</si>
  <si>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</si>
  <si>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</si>
  <si>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</si>
  <si>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</si>
  <si>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</si>
  <si>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</si>
  <si>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</si>
  <si>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</si>
  <si>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</si>
  <si>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</si>
  <si>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</si>
  <si>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</si>
  <si>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</si>
  <si>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</si>
  <si>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</si>
  <si>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</si>
  <si>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</si>
  <si>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</si>
  <si>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</si>
  <si>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</si>
  <si>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</si>
  <si>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</si>
  <si>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</si>
  <si>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</si>
  <si>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</si>
  <si>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</si>
  <si>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</si>
  <si>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</si>
  <si>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</si>
  <si>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</si>
  <si>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</si>
  <si>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</si>
  <si>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</si>
  <si>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</si>
  <si>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</si>
  <si>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</si>
  <si>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</si>
  <si>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</si>
  <si>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</si>
  <si>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</si>
  <si>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</si>
  <si>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</si>
  <si>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</si>
  <si>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</si>
  <si>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</si>
  <si>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</si>
  <si>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</si>
  <si>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</si>
  <si>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</si>
  <si>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</si>
  <si>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</si>
  <si>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</si>
  <si>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</si>
  <si>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</si>
  <si>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</si>
  <si>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</si>
  <si>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</si>
  <si>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</si>
  <si>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</si>
  <si>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</si>
  <si>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</si>
  <si>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</si>
  <si>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</si>
  <si>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</si>
  <si>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</si>
  <si>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</si>
  <si>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</si>
  <si>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</si>
  <si>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</si>
  <si>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</si>
  <si>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</si>
  <si>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</si>
  <si>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</si>
  <si>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</si>
  <si>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</si>
  <si>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</si>
  <si>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</si>
  <si>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</si>
  <si>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</si>
  <si>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</si>
  <si>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</si>
  <si>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</si>
  <si>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</si>
  <si>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</si>
  <si>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</si>
  <si>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</si>
  <si>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</si>
  <si>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</si>
  <si>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</si>
  <si>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</si>
  <si>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R0765</t>
  </si>
  <si>
    <t>gélatine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</si>
  <si>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</si>
  <si>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</si>
  <si>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</si>
  <si>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</si>
  <si>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</si>
  <si>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</si>
  <si>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</si>
  <si>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</si>
  <si>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</si>
  <si>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</si>
  <si>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</si>
  <si>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</si>
  <si>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</si>
  <si>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</si>
  <si>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</si>
  <si>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</si>
  <si>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</si>
  <si>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</si>
  <si>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</si>
  <si>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</si>
  <si>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</si>
  <si>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</si>
  <si>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</si>
  <si>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</si>
  <si>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</si>
  <si>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</si>
  <si>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</si>
  <si>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</si>
  <si>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</si>
  <si>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</si>
  <si>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</si>
  <si>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</si>
  <si>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</si>
  <si>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</si>
  <si>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</si>
  <si>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</si>
  <si>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</si>
  <si>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</si>
  <si>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</si>
  <si>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</si>
  <si>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</si>
  <si>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</si>
  <si>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</si>
  <si>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</si>
  <si>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</si>
  <si>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</si>
  <si>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</si>
  <si>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</si>
  <si>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</si>
  <si>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</si>
  <si>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</si>
  <si>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</si>
  <si>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</si>
  <si>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</si>
  <si>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</si>
  <si>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</si>
  <si>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</si>
  <si>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</si>
  <si>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</si>
  <si>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</si>
  <si>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</si>
  <si>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</si>
  <si>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</si>
  <si>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</si>
  <si>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</si>
  <si>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</si>
  <si>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</si>
  <si>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</si>
  <si>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</si>
  <si>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</si>
  <si>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</si>
  <si>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</si>
  <si>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</si>
  <si>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</si>
  <si>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</si>
  <si>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</si>
  <si>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</si>
  <si>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</si>
  <si>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</si>
  <si>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</si>
  <si>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</si>
  <si>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</si>
  <si>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R0807</t>
  </si>
  <si>
    <t>hake</t>
  </si>
  <si>
    <t>R0808</t>
  </si>
  <si>
    <t>halibut</t>
  </si>
  <si>
    <t>R0809</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</si>
  <si>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</si>
  <si>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</si>
  <si>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</si>
  <si>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</si>
  <si>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</si>
  <si>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</si>
  <si>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</si>
  <si>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</si>
  <si>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</si>
  <si>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</si>
  <si>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</si>
  <si>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</si>
  <si>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</si>
  <si>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</si>
  <si>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</si>
  <si>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</si>
  <si>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</si>
  <si>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</si>
  <si>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</si>
  <si>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</si>
  <si>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</si>
  <si>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</si>
  <si>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</si>
  <si>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</si>
  <si>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</si>
  <si>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</si>
  <si>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</si>
  <si>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</si>
  <si>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</si>
  <si>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</si>
  <si>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</si>
  <si>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</si>
  <si>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</si>
  <si>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</si>
  <si>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</si>
  <si>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</si>
  <si>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</si>
  <si>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</si>
  <si>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</si>
  <si>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</si>
  <si>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</si>
  <si>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</si>
  <si>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</si>
  <si>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</si>
  <si>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</si>
  <si>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</si>
  <si>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</si>
  <si>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</si>
  <si>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</si>
  <si>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</si>
  <si>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</si>
  <si>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</si>
  <si>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</si>
  <si>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</si>
  <si>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R0838</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</si>
  <si>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</si>
  <si>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</si>
  <si>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</si>
  <si>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</si>
  <si>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</si>
  <si>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</si>
  <si>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</si>
  <si>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</si>
  <si>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</si>
  <si>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</si>
  <si>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</si>
  <si>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</si>
  <si>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</si>
  <si>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</si>
  <si>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</si>
  <si>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</si>
  <si>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</si>
  <si>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</si>
  <si>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</si>
  <si>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</si>
  <si>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</si>
  <si>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</si>
  <si>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</si>
  <si>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</si>
  <si>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</si>
  <si>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</si>
  <si>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</si>
  <si>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</si>
  <si>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</si>
  <si>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</si>
  <si>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</si>
  <si>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</si>
  <si>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</si>
  <si>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</si>
  <si>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</si>
  <si>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</si>
  <si>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</si>
  <si>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</si>
  <si>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</si>
  <si>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</si>
  <si>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</si>
  <si>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</si>
  <si>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</si>
  <si>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</si>
  <si>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</si>
  <si>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</si>
  <si>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</si>
  <si>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</si>
  <si>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</si>
  <si>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</si>
  <si>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</si>
  <si>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</si>
  <si>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</si>
  <si>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</si>
  <si>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</si>
  <si>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</si>
  <si>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</si>
  <si>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</si>
  <si>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</si>
  <si>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</si>
  <si>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</si>
  <si>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</si>
  <si>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</si>
  <si>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</si>
  <si>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</si>
  <si>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</si>
  <si>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</si>
  <si>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</si>
  <si>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</si>
  <si>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</si>
  <si>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</si>
  <si>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</si>
  <si>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</si>
  <si>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</si>
  <si>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</si>
  <si>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</si>
  <si>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</si>
  <si>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</si>
  <si>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</si>
  <si>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</si>
  <si>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</si>
  <si>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</si>
  <si>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</si>
  <si>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</si>
  <si>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</si>
  <si>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</si>
  <si>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</si>
  <si>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</si>
  <si>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</si>
  <si>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</si>
  <si>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</si>
  <si>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</si>
  <si>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</si>
  <si>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</si>
  <si>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</si>
  <si>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</si>
  <si>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</si>
  <si>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</si>
  <si>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</si>
  <si>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</si>
  <si>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</si>
  <si>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</si>
  <si>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</si>
  <si>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</si>
  <si>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</si>
  <si>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</si>
  <si>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</si>
  <si>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</si>
  <si>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</si>
  <si>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</si>
  <si>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</si>
  <si>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</si>
  <si>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</si>
  <si>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</si>
  <si>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</si>
  <si>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</si>
  <si>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</si>
  <si>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</si>
  <si>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</si>
  <si>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</si>
  <si>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</si>
  <si>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</si>
  <si>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</si>
  <si>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</si>
  <si>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</si>
  <si>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</si>
  <si>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</si>
  <si>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</si>
  <si>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</si>
  <si>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</si>
  <si>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</si>
  <si>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</si>
  <si>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</si>
  <si>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</si>
  <si>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</si>
  <si>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</si>
  <si>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</si>
  <si>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</si>
  <si>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</si>
  <si>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</si>
  <si>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</si>
  <si>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</si>
  <si>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</si>
  <si>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</si>
  <si>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</si>
  <si>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</si>
  <si>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</si>
  <si>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</si>
  <si>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</si>
  <si>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</si>
  <si>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</si>
  <si>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</si>
  <si>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</si>
  <si>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</si>
  <si>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</si>
  <si>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</si>
  <si>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</si>
  <si>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</si>
  <si>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</si>
  <si>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</si>
  <si>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</si>
  <si>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</si>
  <si>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</si>
  <si>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</si>
  <si>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</si>
  <si>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</si>
  <si>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</si>
  <si>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</si>
  <si>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</si>
  <si>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</si>
  <si>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</si>
  <si>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</si>
  <si>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</si>
  <si>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</si>
  <si>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</si>
  <si>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</si>
  <si>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</si>
  <si>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</si>
  <si>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</si>
  <si>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</si>
  <si>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</si>
  <si>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</si>
  <si>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</si>
  <si>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</si>
  <si>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</si>
  <si>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</si>
  <si>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</si>
  <si>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</si>
  <si>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</si>
  <si>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</si>
  <si>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</si>
  <si>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</si>
  <si>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</si>
  <si>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</si>
  <si>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</si>
  <si>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</si>
  <si>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</si>
  <si>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</si>
  <si>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</si>
  <si>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</si>
  <si>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</si>
  <si>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</si>
  <si>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</si>
  <si>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</si>
  <si>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</si>
  <si>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</si>
  <si>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</si>
  <si>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</si>
  <si>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</si>
  <si>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</si>
  <si>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</si>
  <si>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</si>
  <si>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</si>
  <si>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</si>
  <si>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</si>
  <si>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</si>
  <si>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</si>
  <si>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</si>
  <si>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</si>
  <si>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</si>
  <si>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</si>
  <si>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</si>
  <si>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</si>
  <si>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</si>
  <si>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</si>
  <si>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</si>
  <si>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</si>
  <si>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</si>
  <si>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</si>
  <si>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</si>
  <si>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</si>
  <si>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</si>
  <si>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</si>
  <si>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</si>
  <si>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</si>
  <si>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</si>
  <si>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</si>
  <si>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</si>
  <si>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</si>
  <si>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</si>
  <si>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</si>
  <si>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</si>
  <si>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</si>
  <si>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</si>
  <si>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</si>
  <si>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</si>
  <si>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</si>
  <si>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</si>
  <si>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</si>
  <si>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</si>
  <si>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</si>
  <si>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</si>
  <si>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</si>
  <si>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</si>
  <si>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</si>
  <si>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</si>
  <si>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</si>
  <si>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</si>
  <si>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</si>
  <si>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</si>
  <si>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</si>
  <si>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</si>
  <si>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</si>
  <si>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</si>
  <si>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</si>
  <si>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</si>
  <si>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</si>
  <si>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</si>
  <si>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</si>
  <si>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</si>
  <si>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</si>
  <si>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</si>
  <si>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</si>
  <si>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</si>
  <si>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</si>
  <si>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</si>
  <si>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</si>
  <si>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</si>
  <si>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</si>
  <si>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</si>
  <si>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</si>
  <si>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</si>
  <si>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</si>
  <si>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</si>
  <si>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</si>
  <si>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</si>
  <si>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</si>
  <si>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</si>
  <si>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</si>
  <si>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</si>
  <si>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</si>
  <si>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</si>
  <si>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</si>
  <si>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</si>
  <si>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</si>
  <si>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</si>
  <si>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</si>
  <si>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</si>
  <si>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</si>
  <si>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</si>
  <si>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</si>
  <si>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</si>
  <si>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</si>
  <si>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</si>
  <si>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</si>
  <si>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</si>
  <si>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</si>
  <si>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</si>
  <si>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</si>
  <si>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</si>
  <si>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</si>
  <si>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</si>
  <si>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</si>
  <si>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</si>
  <si>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</si>
  <si>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</si>
  <si>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</si>
  <si>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</si>
  <si>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</si>
  <si>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</si>
  <si>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</si>
  <si>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</si>
  <si>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</si>
  <si>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</si>
  <si>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</si>
  <si>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</si>
  <si>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</si>
  <si>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</si>
  <si>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</si>
  <si>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</si>
  <si>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</si>
  <si>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</si>
  <si>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</si>
  <si>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</si>
  <si>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</si>
  <si>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</si>
  <si>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</si>
  <si>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</si>
  <si>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</si>
  <si>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</si>
  <si>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</si>
  <si>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</si>
  <si>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</si>
  <si>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</si>
  <si>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</si>
  <si>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</si>
  <si>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</si>
  <si>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</si>
  <si>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</si>
  <si>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</si>
  <si>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</si>
  <si>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</si>
  <si>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</si>
  <si>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</si>
  <si>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</si>
  <si>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</si>
  <si>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</si>
  <si>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</si>
  <si>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</si>
  <si>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</si>
  <si>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</si>
  <si>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</si>
  <si>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</si>
  <si>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</si>
  <si>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</si>
  <si>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</si>
  <si>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</si>
  <si>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</si>
  <si>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</si>
  <si>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</si>
  <si>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</si>
  <si>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</si>
  <si>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</si>
  <si>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</si>
  <si>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</si>
  <si>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</si>
  <si>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</si>
  <si>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</si>
  <si>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</si>
  <si>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</si>
  <si>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</si>
  <si>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</si>
  <si>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</si>
  <si>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</si>
  <si>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</si>
  <si>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</si>
  <si>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</si>
  <si>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</si>
  <si>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</si>
  <si>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</si>
  <si>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</si>
  <si>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</si>
  <si>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</si>
  <si>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</si>
  <si>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</si>
  <si>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</si>
  <si>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</si>
  <si>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</si>
  <si>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</si>
  <si>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</si>
  <si>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</si>
  <si>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</si>
  <si>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</si>
  <si>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</si>
  <si>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</si>
  <si>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</si>
  <si>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</si>
  <si>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</si>
  <si>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</si>
  <si>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</si>
  <si>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</si>
  <si>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</si>
  <si>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</si>
  <si>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</si>
  <si>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</si>
  <si>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</si>
  <si>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</si>
  <si>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</si>
  <si>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</si>
  <si>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</si>
  <si>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</si>
  <si>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</si>
  <si>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</si>
  <si>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</si>
  <si>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</si>
  <si>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</si>
  <si>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</si>
  <si>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</si>
  <si>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</si>
  <si>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</si>
  <si>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</si>
  <si>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</si>
  <si>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</si>
  <si>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</si>
  <si>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</si>
  <si>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</si>
  <si>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</si>
  <si>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</si>
  <si>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</si>
  <si>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</si>
  <si>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</si>
  <si>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</si>
  <si>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</si>
  <si>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</si>
  <si>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</si>
  <si>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</si>
  <si>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</si>
  <si>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</si>
  <si>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</si>
  <si>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</si>
  <si>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</si>
  <si>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</si>
  <si>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</si>
  <si>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</si>
  <si>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</si>
  <si>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</si>
  <si>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</si>
  <si>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</si>
  <si>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</si>
  <si>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</si>
  <si>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</si>
  <si>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</si>
  <si>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</si>
  <si>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</si>
  <si>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</si>
  <si>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</si>
  <si>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</si>
  <si>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</si>
  <si>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</si>
  <si>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</si>
  <si>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</si>
  <si>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</si>
  <si>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</si>
  <si>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</si>
  <si>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</si>
  <si>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</si>
  <si>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</si>
  <si>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</si>
  <si>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</si>
  <si>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</si>
  <si>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</si>
  <si>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</si>
  <si>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</si>
  <si>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</si>
  <si>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</si>
  <si>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</si>
  <si>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</si>
  <si>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</si>
  <si>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</si>
  <si>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</si>
  <si>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</si>
  <si>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</si>
  <si>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</si>
  <si>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</si>
  <si>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</si>
  <si>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</si>
  <si>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</si>
  <si>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</si>
  <si>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R1089</t>
  </si>
  <si>
    <t>pompaneau lune</t>
  </si>
  <si>
    <t>R1090</t>
  </si>
  <si>
    <t>pompaneau sole</t>
  </si>
  <si>
    <t>R1091</t>
  </si>
  <si>
    <t>poulamon atlantique</t>
  </si>
  <si>
    <t>R1092</t>
  </si>
  <si>
    <t>poutargue</t>
  </si>
  <si>
    <t>R1093</t>
  </si>
  <si>
    <t>protéine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</si>
  <si>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</si>
  <si>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</si>
  <si>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</si>
  <si>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</si>
  <si>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</si>
  <si>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</si>
  <si>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</si>
  <si>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</si>
  <si>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</si>
  <si>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</si>
  <si>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</si>
  <si>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</si>
  <si>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</si>
  <si>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</si>
  <si>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</si>
  <si>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</si>
  <si>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</si>
  <si>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</si>
  <si>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</si>
  <si>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</si>
  <si>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</si>
  <si>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</si>
  <si>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</si>
  <si>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</si>
  <si>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</si>
  <si>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</si>
  <si>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</si>
  <si>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</si>
  <si>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</si>
  <si>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</si>
  <si>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</si>
  <si>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</si>
  <si>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</si>
  <si>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</si>
  <si>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</si>
  <si>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</si>
  <si>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</si>
  <si>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</si>
  <si>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</si>
  <si>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</si>
  <si>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</si>
  <si>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</si>
  <si>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</si>
  <si>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</si>
  <si>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</si>
  <si>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</si>
  <si>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</si>
  <si>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</si>
  <si>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</si>
  <si>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</si>
  <si>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</si>
  <si>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</si>
  <si>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</si>
  <si>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</si>
  <si>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</si>
  <si>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</si>
  <si>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</si>
  <si>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</si>
  <si>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</si>
  <si>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</si>
  <si>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</si>
  <si>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</si>
  <si>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</si>
  <si>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</si>
  <si>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</si>
  <si>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</si>
  <si>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</si>
  <si>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</si>
  <si>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</si>
  <si>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</si>
  <si>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</si>
  <si>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</si>
  <si>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</si>
  <si>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</si>
  <si>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</si>
  <si>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</si>
  <si>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</si>
  <si>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</si>
  <si>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</si>
  <si>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</si>
  <si>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</si>
  <si>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</si>
  <si>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</si>
  <si>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</si>
  <si>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</si>
  <si>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</si>
  <si>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</si>
  <si>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</si>
  <si>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</si>
  <si>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</si>
  <si>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</si>
  <si>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</si>
  <si>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</si>
  <si>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</si>
  <si>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</si>
  <si>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</si>
  <si>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</si>
  <si>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</si>
  <si>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</si>
  <si>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</si>
  <si>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</si>
  <si>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</si>
  <si>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</si>
  <si>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</si>
  <si>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</si>
  <si>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</si>
  <si>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</si>
  <si>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</si>
  <si>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</si>
  <si>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</si>
  <si>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</si>
  <si>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</si>
  <si>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</si>
  <si>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</si>
  <si>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</si>
  <si>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</si>
  <si>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</si>
  <si>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</si>
  <si>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</si>
  <si>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</si>
  <si>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</si>
  <si>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</si>
  <si>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</si>
  <si>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</si>
  <si>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</si>
  <si>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</si>
  <si>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</si>
  <si>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</si>
  <si>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</si>
  <si>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</si>
  <si>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</si>
  <si>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</si>
  <si>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</si>
  <si>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</si>
  <si>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</si>
  <si>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</si>
  <si>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</si>
  <si>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</si>
  <si>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</si>
  <si>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</si>
  <si>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</si>
  <si>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</si>
  <si>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</si>
  <si>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</si>
  <si>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</si>
  <si>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</si>
  <si>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</si>
  <si>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</si>
  <si>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</si>
  <si>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</si>
  <si>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</si>
  <si>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</si>
  <si>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</si>
  <si>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</si>
  <si>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</si>
  <si>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</si>
  <si>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</si>
  <si>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</si>
  <si>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</si>
  <si>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</si>
  <si>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</si>
  <si>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</si>
  <si>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</si>
  <si>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</si>
  <si>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</si>
  <si>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</si>
  <si>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</si>
  <si>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</si>
  <si>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</si>
  <si>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</si>
  <si>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</si>
  <si>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</si>
  <si>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</si>
  <si>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</si>
  <si>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</si>
  <si>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</si>
  <si>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</si>
  <si>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</si>
  <si>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</si>
  <si>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R1184</t>
  </si>
  <si>
    <t>sardine commune</t>
  </si>
  <si>
    <t>R1185</t>
  </si>
  <si>
    <t>sardinelle indonesienne</t>
  </si>
  <si>
    <t>R1186</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</si>
  <si>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</si>
  <si>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</si>
  <si>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</si>
  <si>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</si>
  <si>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</si>
  <si>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</si>
  <si>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</si>
  <si>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</si>
  <si>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</si>
  <si>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</si>
  <si>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</si>
  <si>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</si>
  <si>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</si>
  <si>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</si>
  <si>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</si>
  <si>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R1195</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</si>
  <si>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</si>
  <si>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</si>
  <si>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</si>
  <si>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</si>
  <si>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</si>
  <si>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</si>
  <si>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</si>
  <si>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</si>
  <si>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</si>
  <si>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</si>
  <si>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</si>
  <si>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</si>
  <si>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</si>
  <si>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</si>
  <si>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</si>
  <si>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</si>
  <si>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</si>
  <si>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</si>
  <si>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</si>
  <si>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</si>
  <si>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</si>
  <si>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</si>
  <si>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</si>
  <si>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</si>
  <si>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</si>
  <si>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</si>
  <si>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</si>
  <si>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</si>
  <si>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</si>
  <si>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</si>
  <si>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</si>
  <si>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</si>
  <si>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</si>
  <si>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</si>
  <si>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</si>
  <si>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</si>
  <si>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</si>
  <si>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</si>
  <si>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</si>
  <si>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</si>
  <si>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</si>
  <si>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</si>
  <si>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</si>
  <si>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</si>
  <si>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</si>
  <si>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</si>
  <si>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</si>
  <si>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</si>
  <si>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</si>
  <si>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</si>
  <si>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</si>
  <si>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</si>
  <si>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</si>
  <si>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</si>
  <si>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</si>
  <si>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</si>
  <si>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</si>
  <si>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</si>
  <si>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</si>
  <si>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</si>
  <si>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</si>
  <si>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</si>
  <si>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</si>
  <si>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</si>
  <si>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</si>
  <si>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</si>
  <si>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</si>
  <si>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</si>
  <si>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</si>
  <si>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</si>
  <si>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</si>
  <si>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</si>
  <si>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</si>
  <si>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</si>
  <si>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</si>
  <si>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</si>
  <si>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</si>
  <si>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</si>
  <si>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</si>
  <si>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</si>
  <si>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</si>
  <si>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</si>
  <si>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</si>
  <si>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</si>
  <si>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</si>
  <si>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</si>
  <si>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</si>
  <si>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</si>
  <si>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</si>
  <si>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</si>
  <si>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</si>
  <si>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</si>
  <si>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</si>
  <si>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</si>
  <si>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</si>
  <si>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</si>
  <si>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</si>
  <si>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</si>
  <si>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</si>
  <si>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</si>
  <si>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</si>
  <si>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</si>
  <si>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</si>
  <si>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</si>
  <si>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</si>
  <si>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</si>
  <si>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</si>
  <si>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</si>
  <si>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</si>
  <si>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</si>
  <si>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</si>
  <si>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</si>
  <si>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</si>
  <si>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</si>
  <si>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</si>
  <si>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</si>
  <si>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</si>
  <si>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</si>
  <si>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</si>
  <si>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</si>
  <si>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</si>
  <si>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</si>
  <si>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</si>
  <si>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</si>
  <si>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</si>
  <si>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</si>
  <si>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</si>
  <si>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</si>
  <si>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</si>
  <si>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</si>
  <si>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</si>
  <si>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</si>
  <si>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</si>
  <si>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</si>
  <si>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</si>
  <si>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</si>
  <si>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</si>
  <si>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</si>
  <si>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</si>
  <si>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</si>
  <si>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</si>
  <si>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</si>
  <si>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</si>
  <si>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</si>
  <si>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</si>
  <si>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</si>
  <si>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</si>
  <si>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</si>
  <si>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</si>
  <si>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</si>
  <si>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</si>
  <si>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</si>
  <si>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</si>
  <si>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</si>
  <si>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</si>
  <si>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</si>
  <si>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</si>
  <si>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</si>
  <si>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</si>
  <si>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</si>
  <si>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</si>
  <si>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</si>
  <si>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</si>
  <si>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</si>
  <si>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</si>
  <si>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</si>
  <si>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</si>
  <si>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</si>
  <si>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</si>
  <si>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</si>
  <si>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</si>
  <si>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</si>
  <si>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</si>
  <si>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</si>
  <si>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</si>
  <si>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</si>
  <si>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</si>
  <si>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</si>
  <si>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</si>
  <si>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</si>
  <si>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</si>
  <si>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</si>
  <si>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</si>
  <si>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</si>
  <si>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</si>
  <si>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</si>
  <si>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</si>
  <si>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</si>
  <si>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</si>
  <si>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</si>
  <si>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</si>
  <si>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</si>
  <si>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</si>
  <si>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</si>
  <si>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</si>
  <si>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</si>
  <si>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</si>
  <si>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</si>
  <si>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</si>
  <si>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</si>
  <si>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</si>
  <si>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</si>
  <si>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</si>
  <si>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</si>
  <si>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</si>
  <si>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</si>
  <si>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</si>
  <si>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</si>
  <si>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</si>
  <si>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</si>
  <si>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</si>
  <si>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</si>
  <si>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</si>
  <si>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</si>
  <si>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</si>
  <si>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</si>
  <si>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</si>
  <si>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</si>
  <si>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</si>
  <si>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</si>
  <si>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</si>
  <si>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</si>
  <si>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</si>
  <si>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</si>
  <si>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</si>
  <si>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</si>
  <si>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</si>
  <si>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</si>
  <si>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</si>
  <si>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</si>
  <si>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</si>
  <si>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</si>
  <si>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</si>
  <si>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</si>
  <si>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</si>
  <si>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</si>
  <si>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</si>
  <si>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</si>
  <si>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</si>
  <si>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</si>
  <si>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</si>
  <si>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</si>
  <si>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</si>
  <si>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</si>
  <si>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</si>
  <si>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</si>
  <si>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</si>
  <si>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</si>
  <si>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</si>
  <si>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</si>
  <si>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</si>
  <si>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</si>
  <si>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</si>
  <si>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</si>
  <si>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</si>
  <si>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</si>
  <si>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</si>
  <si>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</si>
  <si>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</si>
  <si>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</si>
  <si>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</si>
  <si>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</si>
  <si>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</si>
  <si>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</si>
  <si>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</si>
  <si>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</si>
  <si>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</si>
  <si>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</si>
  <si>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</si>
  <si>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</si>
  <si>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</si>
  <si>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</si>
  <si>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</si>
  <si>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</si>
  <si>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</si>
  <si>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</si>
  <si>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</si>
  <si>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</si>
  <si>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</si>
  <si>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</si>
  <si>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</si>
  <si>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</si>
  <si>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</si>
  <si>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</si>
  <si>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</si>
  <si>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</si>
  <si>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</si>
  <si>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</si>
  <si>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</si>
  <si>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</si>
  <si>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</si>
  <si>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</si>
  <si>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</si>
  <si>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</si>
  <si>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</si>
  <si>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</si>
  <si>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</si>
  <si>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</si>
  <si>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</si>
  <si>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</si>
  <si>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</si>
  <si>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</si>
  <si>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</si>
  <si>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</si>
  <si>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</si>
  <si>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</si>
  <si>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</si>
  <si>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</si>
  <si>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</si>
  <si>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</si>
  <si>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</si>
  <si>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</si>
  <si>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</si>
  <si>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</si>
  <si>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</si>
  <si>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</si>
  <si>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</si>
  <si>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</si>
  <si>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</si>
  <si>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</si>
  <si>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</si>
  <si>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</si>
  <si>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</si>
  <si>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</si>
  <si>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</si>
  <si>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</si>
  <si>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</si>
  <si>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</si>
  <si>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</si>
  <si>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</si>
  <si>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</si>
  <si>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</si>
  <si>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</si>
  <si>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</si>
  <si>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</si>
  <si>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</si>
  <si>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</si>
  <si>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</si>
  <si>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</si>
  <si>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</si>
  <si>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</si>
  <si>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</si>
  <si>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R1368</t>
  </si>
  <si>
    <t>bar à vins</t>
  </si>
  <si>
    <t>bar a vins</t>
  </si>
  <si>
    <t>R1369</t>
  </si>
  <si>
    <t>bar hôtel</t>
  </si>
  <si>
    <t>bar hotel</t>
  </si>
  <si>
    <t>R1370</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</si>
  <si>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</si>
  <si>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</si>
  <si>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</si>
  <si>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</si>
  <si>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</si>
  <si>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</si>
  <si>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</si>
  <si>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</si>
  <si>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</si>
  <si>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</si>
  <si>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</si>
  <si>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</si>
  <si>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</si>
  <si>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</si>
  <si>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</si>
  <si>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</si>
  <si>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</si>
  <si>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</si>
  <si>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</si>
  <si>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</si>
  <si>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</si>
  <si>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</si>
  <si>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</si>
  <si>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</si>
  <si>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</si>
  <si>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</si>
  <si>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</si>
  <si>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</si>
  <si>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</si>
  <si>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</si>
  <si>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</si>
  <si>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 ou dérivé.</t>
  </si>
  <si>
    <t>R1386</t>
  </si>
  <si>
    <t>R1387</t>
  </si>
  <si>
    <t>R1388</t>
  </si>
  <si>
    <t>beurre de cacahuète</t>
  </si>
  <si>
    <t>R1389</t>
  </si>
  <si>
    <t>cacahuète</t>
  </si>
  <si>
    <t>R1390</t>
  </si>
  <si>
    <t>cacahuètes</t>
  </si>
  <si>
    <t>R1391</t>
  </si>
  <si>
    <t>R1392</t>
  </si>
  <si>
    <t>R1393</t>
  </si>
  <si>
    <t>groundnut oil</t>
  </si>
  <si>
    <t>R1394</t>
  </si>
  <si>
    <t>R1395</t>
  </si>
  <si>
    <t>R1396</t>
  </si>
  <si>
    <t>pâte d arachide</t>
  </si>
  <si>
    <t>R1397</t>
  </si>
  <si>
    <t>R1398</t>
  </si>
  <si>
    <t>R1399</t>
  </si>
  <si>
    <t>R1400</t>
  </si>
  <si>
    <t>praliné cacahuète</t>
  </si>
  <si>
    <t>praline cacahuete</t>
  </si>
  <si>
    <t>R1401</t>
  </si>
  <si>
    <t>protéine d arachide</t>
  </si>
  <si>
    <t>R1402</t>
  </si>
  <si>
    <t>satay</t>
  </si>
  <si>
    <t>R1403</t>
  </si>
  <si>
    <t>saté</t>
  </si>
  <si>
    <t>sate</t>
  </si>
  <si>
    <t>R1404</t>
  </si>
  <si>
    <t>sauce cacahuète</t>
  </si>
  <si>
    <t>sauce cacahuete</t>
  </si>
  <si>
    <t>R1405</t>
  </si>
  <si>
    <t>sauce satay</t>
  </si>
  <si>
    <t>R1406</t>
  </si>
  <si>
    <t>Soja ou dérivé explicite.</t>
  </si>
  <si>
    <t>R1407</t>
  </si>
  <si>
    <t>concentré de soja</t>
  </si>
  <si>
    <t>concentre de soja</t>
  </si>
  <si>
    <t>R1408</t>
  </si>
  <si>
    <t>crème de soja</t>
  </si>
  <si>
    <t>R1409</t>
  </si>
  <si>
    <t>dessert soja</t>
  </si>
  <si>
    <t>R1410</t>
  </si>
  <si>
    <t>E322 soja</t>
  </si>
  <si>
    <t>e322 soja</t>
  </si>
  <si>
    <t>R1411</t>
  </si>
  <si>
    <t>R1412</t>
  </si>
  <si>
    <t>R1413</t>
  </si>
  <si>
    <t>fève de soja</t>
  </si>
  <si>
    <t>feve de soja</t>
  </si>
  <si>
    <t>R1414</t>
  </si>
  <si>
    <t>fèves de soja</t>
  </si>
  <si>
    <t>feves de soja</t>
  </si>
  <si>
    <t>R1415</t>
  </si>
  <si>
    <t>graisse de soja</t>
  </si>
  <si>
    <t>R1416</t>
  </si>
  <si>
    <t>R1417</t>
  </si>
  <si>
    <t>isolat de soja</t>
  </si>
  <si>
    <t>R1418</t>
  </si>
  <si>
    <t>R1419</t>
  </si>
  <si>
    <t>lécithine de soja</t>
  </si>
  <si>
    <t>R1420</t>
  </si>
  <si>
    <t>R1421</t>
  </si>
  <si>
    <t>R1422</t>
  </si>
  <si>
    <t>okara</t>
  </si>
  <si>
    <t>R1423</t>
  </si>
  <si>
    <t>protéine de soja</t>
  </si>
  <si>
    <t>R1424</t>
  </si>
  <si>
    <t>protéine végétale texturée</t>
  </si>
  <si>
    <t>proteine vegetale texturee</t>
  </si>
  <si>
    <t>R1425</t>
  </si>
  <si>
    <t>protéines de soja</t>
  </si>
  <si>
    <t>R1426</t>
  </si>
  <si>
    <t>PVT soja</t>
  </si>
  <si>
    <t>pvt soja</t>
  </si>
  <si>
    <t>R1427</t>
  </si>
  <si>
    <t>R1428</t>
  </si>
  <si>
    <t>R1429</t>
  </si>
  <si>
    <t>R1430</t>
  </si>
  <si>
    <t>soy</t>
  </si>
  <si>
    <t>R1431</t>
  </si>
  <si>
    <t>soy milk</t>
  </si>
  <si>
    <t>R1432</t>
  </si>
  <si>
    <t>soy sauce</t>
  </si>
  <si>
    <t>R1433</t>
  </si>
  <si>
    <t>R1434</t>
  </si>
  <si>
    <t>soya sauce</t>
  </si>
  <si>
    <t>R1435</t>
  </si>
  <si>
    <t>soybean</t>
  </si>
  <si>
    <t>R1436</t>
  </si>
  <si>
    <t>soybeans</t>
  </si>
  <si>
    <t>R1437</t>
  </si>
  <si>
    <t>R1438</t>
  </si>
  <si>
    <t>R1439</t>
  </si>
  <si>
    <t>toffu</t>
  </si>
  <si>
    <t>R1440</t>
  </si>
  <si>
    <t>R1441</t>
  </si>
  <si>
    <t>TVP soja</t>
  </si>
  <si>
    <t>tvp soja</t>
  </si>
  <si>
    <t>R1442</t>
  </si>
  <si>
    <t>yaourt soja</t>
  </si>
  <si>
    <t>R1443</t>
  </si>
  <si>
    <t>yuba</t>
  </si>
  <si>
    <t>R1444</t>
  </si>
  <si>
    <t>graisse de soja entièrement raffinée</t>
  </si>
  <si>
    <t>Exception réglementaire.</t>
  </si>
  <si>
    <t>R1445</t>
  </si>
  <si>
    <t>huile de soja entièrement raffinée</t>
  </si>
  <si>
    <t>R1446</t>
  </si>
  <si>
    <t>charcuterie industrielle</t>
  </si>
  <si>
    <t>R1447</t>
  </si>
  <si>
    <t>chocolat</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</si>
  <si>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</si>
  <si>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</si>
  <si>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</si>
  <si>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</si>
  <si>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</si>
  <si>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</si>
  <si>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</si>
  <si>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</si>
  <si>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</si>
  <si>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</si>
  <si>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</si>
  <si>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</si>
  <si>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</si>
  <si>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</si>
  <si>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</si>
  <si>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</si>
  <si>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</si>
  <si>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</si>
  <si>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</si>
  <si>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</si>
  <si>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</si>
  <si>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</si>
  <si>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</si>
  <si>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2026-07</t>
  </si>
  <si>
    <t>R1458</t>
  </si>
  <si>
    <t>akkawi</t>
  </si>
  <si>
    <t>R1459</t>
  </si>
  <si>
    <t>american cheese</t>
  </si>
  <si>
    <t>R1460</t>
  </si>
  <si>
    <t>appenzeller</t>
  </si>
  <si>
    <t>R1461</t>
  </si>
  <si>
    <t>asiago</t>
  </si>
  <si>
    <t>R1462</t>
  </si>
  <si>
    <t>assiette de fromages</t>
  </si>
  <si>
    <t>R1463</t>
  </si>
  <si>
    <t>Lait, protéine laitière ou produit laitier.</t>
  </si>
  <si>
    <t>R1464</t>
  </si>
  <si>
    <t>babybel</t>
  </si>
  <si>
    <t>R1465</t>
  </si>
  <si>
    <t>baileys</t>
  </si>
  <si>
    <t>R1466</t>
  </si>
  <si>
    <t>banon</t>
  </si>
  <si>
    <t>R1467</t>
  </si>
  <si>
    <t>beaufort</t>
  </si>
  <si>
    <t>R1468</t>
  </si>
  <si>
    <t>bel paese</t>
  </si>
  <si>
    <t>R1469</t>
  </si>
  <si>
    <t>R1470</t>
  </si>
  <si>
    <t>beurre blanc</t>
  </si>
  <si>
    <t>R1471</t>
  </si>
  <si>
    <t>beurre clarifié</t>
  </si>
  <si>
    <t>R1472</t>
  </si>
  <si>
    <t>R1473</t>
  </si>
  <si>
    <t>R1474</t>
  </si>
  <si>
    <t>R1475</t>
  </si>
  <si>
    <t>beurre maître d'hôtel</t>
  </si>
  <si>
    <t>beurre maitre d hotel</t>
  </si>
  <si>
    <t>R1476</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</si>
  <si>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</si>
  <si>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</si>
  <si>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</si>
  <si>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</si>
  <si>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</si>
  <si>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</si>
  <si>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</si>
  <si>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</si>
  <si>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</si>
  <si>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</si>
  <si>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</si>
  <si>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</si>
  <si>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</si>
  <si>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</si>
  <si>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</si>
  <si>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</si>
  <si>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</si>
  <si>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</si>
  <si>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</si>
  <si>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</si>
  <si>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</si>
  <si>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</si>
  <si>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</si>
  <si>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</si>
  <si>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</si>
  <si>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</si>
  <si>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</si>
  <si>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</si>
  <si>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</si>
  <si>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</si>
  <si>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</si>
  <si>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</si>
  <si>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</si>
  <si>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</si>
  <si>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</si>
  <si>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</si>
  <si>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</si>
  <si>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</si>
  <si>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</si>
  <si>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</si>
  <si>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</si>
  <si>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</si>
  <si>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</si>
  <si>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</si>
  <si>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</si>
  <si>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</si>
  <si>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</si>
  <si>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</si>
  <si>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</si>
  <si>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</si>
  <si>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</si>
  <si>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</si>
  <si>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</si>
  <si>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</si>
  <si>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</si>
  <si>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</si>
  <si>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</si>
  <si>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</si>
  <si>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</si>
  <si>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</si>
  <si>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</si>
  <si>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</si>
  <si>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</si>
  <si>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</si>
  <si>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</si>
  <si>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</si>
  <si>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</si>
  <si>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</si>
  <si>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</si>
  <si>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</si>
  <si>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</si>
  <si>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</si>
  <si>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</si>
  <si>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</si>
  <si>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</si>
  <si>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</si>
  <si>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</si>
  <si>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</si>
  <si>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</si>
  <si>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</si>
  <si>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</si>
  <si>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</si>
  <si>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</si>
  <si>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R1514</t>
  </si>
  <si>
    <t>caséinate de calcium</t>
  </si>
  <si>
    <t>R1515</t>
  </si>
  <si>
    <t>caséinate de sodium</t>
  </si>
  <si>
    <t>R1516</t>
  </si>
  <si>
    <t>caséinates</t>
  </si>
  <si>
    <t>R1517</t>
  </si>
  <si>
    <t>caséine</t>
  </si>
  <si>
    <t>R1518</t>
  </si>
  <si>
    <t>chabichou du poitou</t>
  </si>
  <si>
    <t>R1519</t>
  </si>
  <si>
    <t>chantilly</t>
  </si>
  <si>
    <t>R1520</t>
  </si>
  <si>
    <t>chaource</t>
  </si>
  <si>
    <t>R1521</t>
  </si>
  <si>
    <t>charolais</t>
  </si>
  <si>
    <t>R1522</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</si>
  <si>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</si>
  <si>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</si>
  <si>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</si>
  <si>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</si>
  <si>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</si>
  <si>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</si>
  <si>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</si>
  <si>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</si>
  <si>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</si>
  <si>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</si>
  <si>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</si>
  <si>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</si>
  <si>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</si>
  <si>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</si>
  <si>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</si>
  <si>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</si>
  <si>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</si>
  <si>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</si>
  <si>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</si>
  <si>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</si>
  <si>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</si>
  <si>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</si>
  <si>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</si>
  <si>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</si>
  <si>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</si>
  <si>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</si>
  <si>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R1535</t>
  </si>
  <si>
    <t>coulommiers</t>
  </si>
  <si>
    <t>R1536</t>
  </si>
  <si>
    <t>cream</t>
  </si>
  <si>
    <t>R1537</t>
  </si>
  <si>
    <t>cream cheese</t>
  </si>
  <si>
    <t>R1538</t>
  </si>
  <si>
    <t>cream liqueur</t>
  </si>
  <si>
    <t>R1539</t>
  </si>
  <si>
    <t>crème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</si>
  <si>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</si>
  <si>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</si>
  <si>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</si>
  <si>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</si>
  <si>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</si>
  <si>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</si>
  <si>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</si>
  <si>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</si>
  <si>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</si>
  <si>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</si>
  <si>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</si>
  <si>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</si>
  <si>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</si>
  <si>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</si>
  <si>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R1545</t>
  </si>
  <si>
    <t>crème épaisse</t>
  </si>
  <si>
    <t>R1546</t>
  </si>
  <si>
    <t>crème fleurette</t>
  </si>
  <si>
    <t>R1547</t>
  </si>
  <si>
    <t>crème fraîche</t>
  </si>
  <si>
    <t>R1548</t>
  </si>
  <si>
    <t>R1549</t>
  </si>
  <si>
    <t>crème liquide</t>
  </si>
  <si>
    <t>R1550</t>
  </si>
  <si>
    <t>crescenza</t>
  </si>
  <si>
    <t>R1551</t>
  </si>
  <si>
    <t>crottin</t>
  </si>
  <si>
    <t>R1552</t>
  </si>
  <si>
    <t>crottin de chavignol</t>
  </si>
  <si>
    <t>R1553</t>
  </si>
  <si>
    <t>double cream</t>
  </si>
  <si>
    <t>R1554</t>
  </si>
  <si>
    <t>double gloucester</t>
  </si>
  <si>
    <t>R1555</t>
  </si>
  <si>
    <t>dulce de leche</t>
  </si>
  <si>
    <t>R1556</t>
  </si>
  <si>
    <t>edam</t>
  </si>
  <si>
    <t>R1557</t>
  </si>
  <si>
    <t>R1558</t>
  </si>
  <si>
    <t>emmental râpé</t>
  </si>
  <si>
    <t>emmental rape</t>
  </si>
  <si>
    <t>R1559</t>
  </si>
  <si>
    <t>emmenthal</t>
  </si>
  <si>
    <t>R1560</t>
  </si>
  <si>
    <t>emmenthal râpé</t>
  </si>
  <si>
    <t>emmenthal rape</t>
  </si>
  <si>
    <t>R1561</t>
  </si>
  <si>
    <t>époisses</t>
  </si>
  <si>
    <t>epoisses</t>
  </si>
  <si>
    <t>R1562</t>
  </si>
  <si>
    <t>extrait sec laitier</t>
  </si>
  <si>
    <t>R1563</t>
  </si>
  <si>
    <t>R1564</t>
  </si>
  <si>
    <t>R1565</t>
  </si>
  <si>
    <t>flat white</t>
  </si>
  <si>
    <t>R1566</t>
  </si>
  <si>
    <t>fontina</t>
  </si>
  <si>
    <t>R1567</t>
  </si>
  <si>
    <t>fourme</t>
  </si>
  <si>
    <t>R1568</t>
  </si>
  <si>
    <t>fourme d'ambert</t>
  </si>
  <si>
    <t>fourme d ambert</t>
  </si>
  <si>
    <t>R1569</t>
  </si>
  <si>
    <t>fourme de montbrison</t>
  </si>
  <si>
    <t>R1570</t>
  </si>
  <si>
    <t>R1571</t>
  </si>
  <si>
    <t>fromage à tartiner</t>
  </si>
  <si>
    <t>fromage a tartiner</t>
  </si>
  <si>
    <t>R1572</t>
  </si>
  <si>
    <t>fromage battu</t>
  </si>
  <si>
    <t>R1573</t>
  </si>
  <si>
    <t>R1574</t>
  </si>
  <si>
    <t>fromage de brebis</t>
  </si>
  <si>
    <t>R1575</t>
  </si>
  <si>
    <t>fromage de chèvre</t>
  </si>
  <si>
    <t>fromage de chevre</t>
  </si>
  <si>
    <t>R1576</t>
  </si>
  <si>
    <t>fromage de vache</t>
  </si>
  <si>
    <t>R1577</t>
  </si>
  <si>
    <t>fromage fondu</t>
  </si>
  <si>
    <t>R1578</t>
  </si>
  <si>
    <t>R1579</t>
  </si>
  <si>
    <t>fromage râpé</t>
  </si>
  <si>
    <t>fromage rape</t>
  </si>
  <si>
    <t>R1580</t>
  </si>
  <si>
    <t>fromages</t>
  </si>
  <si>
    <t>R1581</t>
  </si>
  <si>
    <t>frozen yogurt</t>
  </si>
  <si>
    <t>R1582</t>
  </si>
  <si>
    <t>ganache</t>
  </si>
  <si>
    <t>R1583</t>
  </si>
  <si>
    <t>gaperon</t>
  </si>
  <si>
    <t>R1584</t>
  </si>
  <si>
    <t>gelato</t>
  </si>
  <si>
    <t>R1585</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</si>
  <si>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</si>
  <si>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</si>
  <si>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</si>
  <si>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</si>
  <si>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</si>
  <si>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</si>
  <si>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</si>
  <si>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</si>
  <si>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</si>
  <si>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</si>
  <si>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</si>
  <si>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</si>
  <si>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</si>
  <si>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</si>
  <si>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</si>
  <si>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</si>
  <si>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</si>
  <si>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</si>
  <si>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</si>
  <si>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</si>
  <si>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</si>
  <si>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</si>
  <si>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</si>
  <si>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</si>
  <si>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</si>
  <si>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</si>
  <si>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</si>
  <si>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</si>
  <si>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</si>
  <si>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</si>
  <si>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</si>
  <si>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</si>
  <si>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</si>
  <si>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</si>
  <si>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</si>
  <si>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</si>
  <si>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</si>
  <si>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</si>
  <si>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</si>
  <si>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</si>
  <si>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</si>
  <si>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</si>
  <si>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R1606</t>
  </si>
  <si>
    <t>R1607</t>
  </si>
  <si>
    <t>R1608</t>
  </si>
  <si>
    <t>lactose monohydraté</t>
  </si>
  <si>
    <t>lactose monohydrate</t>
  </si>
  <si>
    <t>R1609</t>
  </si>
  <si>
    <t>lactosérum</t>
  </si>
  <si>
    <t>R1610</t>
  </si>
  <si>
    <t>laguiole</t>
  </si>
  <si>
    <t>R1611</t>
  </si>
  <si>
    <t>R1612</t>
  </si>
  <si>
    <t>lait concentré</t>
  </si>
  <si>
    <t>R1613</t>
  </si>
  <si>
    <t>lait concentré sucré</t>
  </si>
  <si>
    <t>R1614</t>
  </si>
  <si>
    <t>lait cru</t>
  </si>
  <si>
    <t>R1615</t>
  </si>
  <si>
    <t>lait de brebis</t>
  </si>
  <si>
    <t>R1616</t>
  </si>
  <si>
    <t>lait de bufflonne</t>
  </si>
  <si>
    <t>R1617</t>
  </si>
  <si>
    <t>lait de chèvre</t>
  </si>
  <si>
    <t>lait de chevre</t>
  </si>
  <si>
    <t>R1618</t>
  </si>
  <si>
    <t>lait de vache</t>
  </si>
  <si>
    <t>R1619</t>
  </si>
  <si>
    <t>lait demi écrémé</t>
  </si>
  <si>
    <t>R1620</t>
  </si>
  <si>
    <t>lait écrémé</t>
  </si>
  <si>
    <t>R1621</t>
  </si>
  <si>
    <t>R1622</t>
  </si>
  <si>
    <t>R1623</t>
  </si>
  <si>
    <t>lait évaporé</t>
  </si>
  <si>
    <t>lait evapore</t>
  </si>
  <si>
    <t>R1624</t>
  </si>
  <si>
    <t>lait fermenté</t>
  </si>
  <si>
    <t>R1625</t>
  </si>
  <si>
    <t>lait frappé</t>
  </si>
  <si>
    <t>lait frappe</t>
  </si>
  <si>
    <t>R1626</t>
  </si>
  <si>
    <t>lait microfiltré</t>
  </si>
  <si>
    <t>lait microfiltre</t>
  </si>
  <si>
    <t>R1627</t>
  </si>
  <si>
    <t>lait pasteurisé</t>
  </si>
  <si>
    <t>lait pasteurise</t>
  </si>
  <si>
    <t>R1628</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</si>
  <si>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</si>
  <si>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</si>
  <si>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</si>
  <si>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</si>
  <si>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</si>
  <si>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</si>
  <si>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</si>
  <si>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</si>
  <si>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</si>
  <si>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</si>
  <si>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</si>
  <si>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</si>
  <si>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</si>
  <si>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</si>
  <si>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</si>
  <si>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</si>
  <si>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</si>
  <si>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</si>
  <si>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</si>
  <si>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</si>
  <si>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</si>
  <si>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</si>
  <si>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</si>
  <si>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</si>
  <si>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</si>
  <si>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</si>
  <si>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</si>
  <si>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</si>
  <si>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</si>
  <si>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</si>
  <si>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</si>
  <si>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</si>
  <si>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</si>
  <si>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</si>
  <si>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</si>
  <si>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</si>
  <si>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</si>
  <si>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</si>
  <si>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</si>
  <si>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</si>
  <si>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</si>
  <si>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</si>
  <si>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R1649</t>
  </si>
  <si>
    <t>mozzarella di bufala</t>
  </si>
  <si>
    <t>R1650</t>
  </si>
  <si>
    <t>munster</t>
  </si>
  <si>
    <t>R1651</t>
  </si>
  <si>
    <t>nabulsi</t>
  </si>
  <si>
    <t>R1652</t>
  </si>
  <si>
    <t>neufchâtel</t>
  </si>
  <si>
    <t>neufchatel</t>
  </si>
  <si>
    <t>R1653</t>
  </si>
  <si>
    <t>ossau-iraty</t>
  </si>
  <si>
    <t>ossau iraty</t>
  </si>
  <si>
    <t>R1654</t>
  </si>
  <si>
    <t>paneer</t>
  </si>
  <si>
    <t>R1655</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</si>
  <si>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</si>
  <si>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</si>
  <si>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</si>
  <si>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</si>
  <si>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</si>
  <si>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</si>
  <si>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</si>
  <si>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</si>
  <si>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</si>
  <si>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</si>
  <si>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</si>
  <si>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</si>
  <si>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</si>
  <si>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</si>
  <si>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</si>
  <si>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</si>
  <si>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</si>
  <si>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</si>
  <si>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</si>
  <si>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</si>
  <si>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</si>
  <si>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</si>
  <si>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</si>
  <si>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</si>
  <si>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</si>
  <si>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</si>
  <si>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</si>
  <si>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</si>
  <si>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</si>
  <si>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R1668</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</si>
  <si>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</si>
  <si>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</si>
  <si>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</si>
  <si>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</si>
  <si>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</si>
  <si>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</si>
  <si>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</si>
  <si>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</si>
  <si>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</si>
  <si>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</si>
  <si>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</si>
  <si>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</si>
  <si>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</si>
  <si>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</si>
  <si>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</si>
  <si>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</si>
  <si>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R1676</t>
  </si>
  <si>
    <t>poudre de lait écrémé</t>
  </si>
  <si>
    <t>R1677</t>
  </si>
  <si>
    <t>protéine de lait</t>
  </si>
  <si>
    <t>R1678</t>
  </si>
  <si>
    <t>protéine laitière</t>
  </si>
  <si>
    <t>proteine laitiere</t>
  </si>
  <si>
    <t>R1679</t>
  </si>
  <si>
    <t>protéines de lactosérum</t>
  </si>
  <si>
    <t>proteines de lactoserum</t>
  </si>
  <si>
    <t>R1680</t>
  </si>
  <si>
    <t>protéines de lait</t>
  </si>
  <si>
    <t>R1681</t>
  </si>
  <si>
    <t>provolone</t>
  </si>
  <si>
    <t>R1682</t>
  </si>
  <si>
    <t>quark</t>
  </si>
  <si>
    <t>R1683</t>
  </si>
  <si>
    <t>queso blanco</t>
  </si>
  <si>
    <t>R1684</t>
  </si>
  <si>
    <t>queso fresco</t>
  </si>
  <si>
    <t>R1685</t>
  </si>
  <si>
    <t>raclette</t>
  </si>
  <si>
    <t>R1686</t>
  </si>
  <si>
    <t>reblochon</t>
  </si>
  <si>
    <t>R1687</t>
  </si>
  <si>
    <t>red leicester</t>
  </si>
  <si>
    <t>R1688</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</si>
  <si>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</si>
  <si>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</si>
  <si>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</si>
  <si>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</si>
  <si>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</si>
  <si>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</si>
  <si>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</si>
  <si>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</si>
  <si>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</si>
  <si>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</si>
  <si>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</si>
  <si>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</si>
  <si>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</si>
  <si>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</si>
  <si>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</si>
  <si>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</si>
  <si>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</si>
  <si>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</si>
  <si>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</si>
  <si>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</si>
  <si>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</si>
  <si>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</si>
  <si>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</si>
  <si>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</si>
  <si>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</si>
  <si>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</si>
  <si>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</si>
  <si>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</si>
  <si>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</si>
  <si>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</si>
  <si>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</si>
  <si>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</si>
  <si>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</si>
  <si>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</si>
  <si>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</si>
  <si>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</si>
  <si>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</si>
  <si>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</si>
  <si>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</si>
  <si>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</si>
  <si>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</si>
  <si>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</si>
  <si>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</si>
  <si>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</si>
  <si>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</si>
  <si>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</si>
  <si>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</si>
  <si>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</si>
  <si>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</si>
  <si>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</si>
  <si>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</si>
  <si>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</si>
  <si>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</si>
  <si>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</si>
  <si>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</si>
  <si>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</si>
  <si>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</si>
  <si>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</si>
  <si>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</si>
  <si>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</si>
  <si>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</si>
  <si>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</si>
  <si>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</si>
  <si>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</si>
  <si>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</si>
  <si>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</si>
  <si>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</si>
  <si>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</si>
  <si>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</si>
  <si>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</si>
  <si>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</si>
  <si>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</si>
  <si>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</si>
  <si>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</si>
  <si>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</si>
  <si>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</si>
  <si>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</si>
  <si>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</si>
  <si>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</si>
  <si>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</si>
  <si>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</si>
  <si>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</si>
  <si>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</si>
  <si>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</si>
  <si>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</si>
  <si>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</si>
  <si>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</si>
  <si>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</si>
  <si>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</si>
  <si>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</si>
  <si>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</si>
  <si>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</si>
  <si>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</si>
  <si>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</si>
  <si>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</si>
  <si>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R1731</t>
  </si>
  <si>
    <t>R1732</t>
  </si>
  <si>
    <t>whipping cream</t>
  </si>
  <si>
    <t>R1733</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</si>
  <si>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</si>
  <si>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</si>
  <si>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</si>
  <si>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</si>
  <si>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</si>
  <si>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</si>
  <si>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</si>
  <si>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</si>
  <si>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</si>
  <si>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</si>
  <si>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</si>
  <si>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</si>
  <si>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</si>
  <si>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</si>
  <si>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</si>
  <si>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</si>
  <si>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</si>
  <si>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</si>
  <si>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</si>
  <si>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</si>
  <si>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</si>
  <si>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</si>
  <si>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</si>
  <si>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</si>
  <si>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Évite un faux positif.</t>
  </si>
  <si>
    <t>R1745</t>
  </si>
  <si>
    <t>R1746</t>
  </si>
  <si>
    <t>R1747</t>
  </si>
  <si>
    <t>R1748</t>
  </si>
  <si>
    <t>R1749</t>
  </si>
  <si>
    <t>R1750</t>
  </si>
  <si>
    <t>beurre de karité</t>
  </si>
  <si>
    <t>beurre de karite</t>
  </si>
  <si>
    <t>R1751</t>
  </si>
  <si>
    <t>R1752</t>
  </si>
  <si>
    <t>boisson végétale</t>
  </si>
  <si>
    <t>R1753</t>
  </si>
  <si>
    <t>cashew butter</t>
  </si>
  <si>
    <t>R1754</t>
  </si>
  <si>
    <t>cashew milk</t>
  </si>
  <si>
    <t>R1755</t>
  </si>
  <si>
    <t>cheddar vegan</t>
  </si>
  <si>
    <t>R1756</t>
  </si>
  <si>
    <t>cocoa butter</t>
  </si>
  <si>
    <t>R1757</t>
  </si>
  <si>
    <t>coconut cream</t>
  </si>
  <si>
    <t>R1758</t>
  </si>
  <si>
    <t>coconut milk</t>
  </si>
  <si>
    <t>R1759</t>
  </si>
  <si>
    <t>crème d'amande</t>
  </si>
  <si>
    <t>R1760</t>
  </si>
  <si>
    <t>crème d'avoine</t>
  </si>
  <si>
    <t>R1761</t>
  </si>
  <si>
    <t>crème de cacao</t>
  </si>
  <si>
    <t>creme de cacao</t>
  </si>
  <si>
    <t>R1762</t>
  </si>
  <si>
    <t>crème de cajou</t>
  </si>
  <si>
    <t>R1763</t>
  </si>
  <si>
    <t>crème de cassis</t>
  </si>
  <si>
    <t>R1764</t>
  </si>
  <si>
    <t>crème de coco</t>
  </si>
  <si>
    <t>R1765</t>
  </si>
  <si>
    <t>crème de marrons</t>
  </si>
  <si>
    <t>R1766</t>
  </si>
  <si>
    <t>crème de menthe</t>
  </si>
  <si>
    <t>creme de menthe</t>
  </si>
  <si>
    <t>R1767</t>
  </si>
  <si>
    <t>crème de riz</t>
  </si>
  <si>
    <t>R1768</t>
  </si>
  <si>
    <t>Cuisine/Glacier/Bar</t>
  </si>
  <si>
    <t>Boisson ou crème végétale : ne doit pas déclencher l’allergène lait.</t>
  </si>
  <si>
    <t>R1769</t>
  </si>
  <si>
    <t>crème végétale</t>
  </si>
  <si>
    <t>R1770</t>
  </si>
  <si>
    <t>fauxmage</t>
  </si>
  <si>
    <t>R1771</t>
  </si>
  <si>
    <t>fromage de tête</t>
  </si>
  <si>
    <t>fromage de tete</t>
  </si>
  <si>
    <t>R1772</t>
  </si>
  <si>
    <t>R1773</t>
  </si>
  <si>
    <t>fromage végétal</t>
  </si>
  <si>
    <t>R1774</t>
  </si>
  <si>
    <t>R1775</t>
  </si>
  <si>
    <t>R1776</t>
  </si>
  <si>
    <t>R1777</t>
  </si>
  <si>
    <t>R1778</t>
  </si>
  <si>
    <t>R1779</t>
  </si>
  <si>
    <t>R1780</t>
  </si>
  <si>
    <t>R1781</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</si>
  <si>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</si>
  <si>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</si>
  <si>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</si>
  <si>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</si>
  <si>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</si>
  <si>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</si>
  <si>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</si>
  <si>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</si>
  <si>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</si>
  <si>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</si>
  <si>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</si>
  <si>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</si>
  <si>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</si>
  <si>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</si>
  <si>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</si>
  <si>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</si>
  <si>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</si>
  <si>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</si>
  <si>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</si>
  <si>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</si>
  <si>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</si>
  <si>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</si>
  <si>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</si>
  <si>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</si>
  <si>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</si>
  <si>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</si>
  <si>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</si>
  <si>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</si>
  <si>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</si>
  <si>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</si>
  <si>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</si>
  <si>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</si>
  <si>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</si>
  <si>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</si>
  <si>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</si>
  <si>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</si>
  <si>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</si>
  <si>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</si>
  <si>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</si>
  <si>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</si>
  <si>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</si>
  <si>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</si>
  <si>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</si>
  <si>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</si>
  <si>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</si>
  <si>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</si>
  <si>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</si>
  <si>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</si>
  <si>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</si>
  <si>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</si>
  <si>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</si>
  <si>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</si>
  <si>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</si>
  <si>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</si>
  <si>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</si>
  <si>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</si>
  <si>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</si>
  <si>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</si>
  <si>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</si>
  <si>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</si>
  <si>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</si>
  <si>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</si>
  <si>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</si>
  <si>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</si>
  <si>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</si>
  <si>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</si>
  <si>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</si>
  <si>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</si>
  <si>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</si>
  <si>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</si>
  <si>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</si>
  <si>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</si>
  <si>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</si>
  <si>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</si>
  <si>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</si>
  <si>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</si>
  <si>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</si>
  <si>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</si>
  <si>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</si>
  <si>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</si>
  <si>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</si>
  <si>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</si>
  <si>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</si>
  <si>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</si>
  <si>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</si>
  <si>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</si>
  <si>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</si>
  <si>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</si>
  <si>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</si>
  <si>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</si>
  <si>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</si>
  <si>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</si>
  <si>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</si>
  <si>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</si>
  <si>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</si>
  <si>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</si>
  <si>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</si>
  <si>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</si>
  <si>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</si>
  <si>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</si>
  <si>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</si>
  <si>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</si>
  <si>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</si>
  <si>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</si>
  <si>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</si>
  <si>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</si>
  <si>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</si>
  <si>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</si>
  <si>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</si>
  <si>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</si>
  <si>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</si>
  <si>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</si>
  <si>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</si>
  <si>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</si>
  <si>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</si>
  <si>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</si>
  <si>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</si>
  <si>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</si>
  <si>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</si>
  <si>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</si>
  <si>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</si>
  <si>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</si>
  <si>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</si>
  <si>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</si>
  <si>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</si>
  <si>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</si>
  <si>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</si>
  <si>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</si>
  <si>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</si>
  <si>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</si>
  <si>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</si>
  <si>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</si>
  <si>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</si>
  <si>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</si>
  <si>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</si>
  <si>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</si>
  <si>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</si>
  <si>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</si>
  <si>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</si>
  <si>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</si>
  <si>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</si>
  <si>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</si>
  <si>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</si>
  <si>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</si>
  <si>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</si>
  <si>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</si>
  <si>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</si>
  <si>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</si>
  <si>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</si>
  <si>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</si>
  <si>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</si>
  <si>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</si>
  <si>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</si>
  <si>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</si>
  <si>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</si>
  <si>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</si>
  <si>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</si>
  <si>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</si>
  <si>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</si>
  <si>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</si>
  <si>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</si>
  <si>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</si>
  <si>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</si>
  <si>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</si>
  <si>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</si>
  <si>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</si>
  <si>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</si>
  <si>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</si>
  <si>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</si>
  <si>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</si>
  <si>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</si>
  <si>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</si>
  <si>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</si>
  <si>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</si>
  <si>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</si>
  <si>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</si>
  <si>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</si>
  <si>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</si>
  <si>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</si>
  <si>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almond</t>
  </si>
  <si>
    <t>R1881</t>
  </si>
  <si>
    <t>almonds</t>
  </si>
  <si>
    <t>R1882</t>
  </si>
  <si>
    <t>Fruit à coque réglementaire ou dérivé.</t>
  </si>
  <si>
    <t>R1883</t>
  </si>
  <si>
    <t>R1884</t>
  </si>
  <si>
    <t>baklava</t>
  </si>
  <si>
    <t>R1885</t>
  </si>
  <si>
    <t>baklawa</t>
  </si>
  <si>
    <t>R1886</t>
  </si>
  <si>
    <t>brazil nut</t>
  </si>
  <si>
    <t>R1887</t>
  </si>
  <si>
    <t>brazil nuts</t>
  </si>
  <si>
    <t>R1888</t>
  </si>
  <si>
    <t>R1889</t>
  </si>
  <si>
    <t>R1890</t>
  </si>
  <si>
    <t>cashew</t>
  </si>
  <si>
    <t>R1891</t>
  </si>
  <si>
    <t>cashews</t>
  </si>
  <si>
    <t>R1892</t>
  </si>
  <si>
    <t>cerneau de noix</t>
  </si>
  <si>
    <t>R1893</t>
  </si>
  <si>
    <t>cerneaux de noix</t>
  </si>
  <si>
    <t>R1894</t>
  </si>
  <si>
    <t>R1895</t>
  </si>
  <si>
    <t>R1896</t>
  </si>
  <si>
    <t>R1897</t>
  </si>
  <si>
    <t>R1898</t>
  </si>
  <si>
    <t>hazelnut</t>
  </si>
  <si>
    <t>R1899</t>
  </si>
  <si>
    <t>hazelnuts</t>
  </si>
  <si>
    <t>R1900</t>
  </si>
  <si>
    <t>huile de noix</t>
  </si>
  <si>
    <t>R1901</t>
  </si>
  <si>
    <t>huile de pistache</t>
  </si>
  <si>
    <t>R1902</t>
  </si>
  <si>
    <t>R1903</t>
  </si>
  <si>
    <t>R1904</t>
  </si>
  <si>
    <t>R1905</t>
  </si>
  <si>
    <t>macadamia nut</t>
  </si>
  <si>
    <t>R1906</t>
  </si>
  <si>
    <t>macadamia nuts</t>
  </si>
  <si>
    <t>R1907</t>
  </si>
  <si>
    <t>marzipan</t>
  </si>
  <si>
    <t>R1908</t>
  </si>
  <si>
    <t>R1909</t>
  </si>
  <si>
    <t>R1910</t>
  </si>
  <si>
    <t>R1911</t>
  </si>
  <si>
    <t>R1912</t>
  </si>
  <si>
    <t>R1913</t>
  </si>
  <si>
    <t>R1914</t>
  </si>
  <si>
    <t>noix de pécan</t>
  </si>
  <si>
    <t>R1915</t>
  </si>
  <si>
    <t>noix du brésil</t>
  </si>
  <si>
    <t>R1916</t>
  </si>
  <si>
    <t>R1917</t>
  </si>
  <si>
    <t>nougat</t>
  </si>
  <si>
    <t>R1918</t>
  </si>
  <si>
    <t>nougatine</t>
  </si>
  <si>
    <t>R1919</t>
  </si>
  <si>
    <t>pacane</t>
  </si>
  <si>
    <t>R1920</t>
  </si>
  <si>
    <t>pâte d amande</t>
  </si>
  <si>
    <t>R1921</t>
  </si>
  <si>
    <t>pâte de pistache</t>
  </si>
  <si>
    <t>R1922</t>
  </si>
  <si>
    <t>pécan</t>
  </si>
  <si>
    <t>R1923</t>
  </si>
  <si>
    <t>R1924</t>
  </si>
  <si>
    <t>R1925</t>
  </si>
  <si>
    <t>R1926</t>
  </si>
  <si>
    <t>pistachio</t>
  </si>
  <si>
    <t>R1927</t>
  </si>
  <si>
    <t>pistachios</t>
  </si>
  <si>
    <t>R1928</t>
  </si>
  <si>
    <t>R1929</t>
  </si>
  <si>
    <t>R1930</t>
  </si>
  <si>
    <t>R1931</t>
  </si>
  <si>
    <t>R1932</t>
  </si>
  <si>
    <t>praliné</t>
  </si>
  <si>
    <t>R1933</t>
  </si>
  <si>
    <t>purée d amande</t>
  </si>
  <si>
    <t>R1934</t>
  </si>
  <si>
    <t>purée de cajou</t>
  </si>
  <si>
    <t>R1935</t>
  </si>
  <si>
    <t>purée de noisette</t>
  </si>
  <si>
    <t>R1936</t>
  </si>
  <si>
    <t>walnut</t>
  </si>
  <si>
    <t>R1937</t>
  </si>
  <si>
    <t>walnuts</t>
  </si>
  <si>
    <t>R1938</t>
  </si>
  <si>
    <t>R1939</t>
  </si>
  <si>
    <t>R1940</t>
  </si>
  <si>
    <t>châtaigne</t>
  </si>
  <si>
    <t>R1941</t>
  </si>
  <si>
    <t>châtaignes</t>
  </si>
  <si>
    <t>R1942</t>
  </si>
  <si>
    <t>R1943</t>
  </si>
  <si>
    <t>R1944</t>
  </si>
  <si>
    <t>graine de pin</t>
  </si>
  <si>
    <t>R1945</t>
  </si>
  <si>
    <t>R1946</t>
  </si>
  <si>
    <t>R1947</t>
  </si>
  <si>
    <t>R1948</t>
  </si>
  <si>
    <t>R1949</t>
  </si>
  <si>
    <t>R1950</t>
  </si>
  <si>
    <t>noix de bœuf</t>
  </si>
  <si>
    <t>R1951</t>
  </si>
  <si>
    <t>R1952</t>
  </si>
  <si>
    <t>noix de joue</t>
  </si>
  <si>
    <t>R1953</t>
  </si>
  <si>
    <t>noix de kola</t>
  </si>
  <si>
    <t>R1954</t>
  </si>
  <si>
    <t>R1955</t>
  </si>
  <si>
    <t>R1956</t>
  </si>
  <si>
    <t>R1957</t>
  </si>
  <si>
    <t>R1958</t>
  </si>
  <si>
    <t>pignon</t>
  </si>
  <si>
    <t>R1959</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</si>
  <si>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</si>
  <si>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</si>
  <si>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</si>
  <si>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</si>
  <si>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</si>
  <si>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</si>
  <si>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</si>
  <si>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</si>
  <si>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</si>
  <si>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</si>
  <si>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</si>
  <si>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</si>
  <si>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</si>
  <si>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</si>
  <si>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</si>
  <si>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</si>
  <si>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</si>
  <si>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</si>
  <si>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</si>
  <si>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</si>
  <si>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</si>
  <si>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</si>
  <si>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</si>
  <si>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</si>
  <si>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</si>
  <si>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</si>
  <si>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</si>
  <si>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</si>
  <si>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</si>
  <si>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</si>
  <si>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</si>
  <si>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</si>
  <si>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</si>
  <si>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</si>
  <si>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</si>
  <si>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</si>
  <si>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</si>
  <si>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</si>
  <si>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</si>
  <si>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Céleri ou dérivé.</t>
  </si>
  <si>
    <t>R1979</t>
  </si>
  <si>
    <t>céleri branche</t>
  </si>
  <si>
    <t>R1980</t>
  </si>
  <si>
    <t>céleri rave</t>
  </si>
  <si>
    <t>R1981</t>
  </si>
  <si>
    <t>celeriac</t>
  </si>
  <si>
    <t>R1982</t>
  </si>
  <si>
    <t>R1983</t>
  </si>
  <si>
    <t>extrait de céleri</t>
  </si>
  <si>
    <t>R1984</t>
  </si>
  <si>
    <t>feuille de céleri</t>
  </si>
  <si>
    <t>R1985</t>
  </si>
  <si>
    <t>feuilles de céleri</t>
  </si>
  <si>
    <t>R1986</t>
  </si>
  <si>
    <t>graine de céleri</t>
  </si>
  <si>
    <t>R1987</t>
  </si>
  <si>
    <t>graines de céleri</t>
  </si>
  <si>
    <t>R1988</t>
  </si>
  <si>
    <t>huile essentielle de céleri</t>
  </si>
  <si>
    <t>huile essentielle de celeri</t>
  </si>
  <si>
    <t>R1989</t>
  </si>
  <si>
    <t>jus de céleri</t>
  </si>
  <si>
    <t>R1990</t>
  </si>
  <si>
    <t>poudre de céleri</t>
  </si>
  <si>
    <t>R1991</t>
  </si>
  <si>
    <t>sel de céleri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</si>
  <si>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</si>
  <si>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</si>
  <si>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</si>
  <si>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</si>
  <si>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</si>
  <si>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</si>
  <si>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</si>
  <si>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</si>
  <si>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</si>
  <si>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</si>
  <si>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</si>
  <si>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</si>
  <si>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</si>
  <si>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</si>
  <si>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</si>
  <si>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</si>
  <si>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</si>
  <si>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</si>
  <si>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</si>
  <si>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</si>
  <si>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</si>
  <si>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</si>
  <si>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</si>
  <si>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</si>
  <si>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</si>
  <si>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</si>
  <si>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</si>
  <si>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</si>
  <si>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</si>
  <si>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</si>
  <si>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R2009</t>
  </si>
  <si>
    <t>R2010</t>
  </si>
  <si>
    <t>R2011</t>
  </si>
  <si>
    <t>R2012</t>
  </si>
  <si>
    <t>mayonnaise moutardée</t>
  </si>
  <si>
    <t>mayonnaise moutardee</t>
  </si>
  <si>
    <t>R2013</t>
  </si>
  <si>
    <t>R2014</t>
  </si>
  <si>
    <t>moutarde à l ancienne</t>
  </si>
  <si>
    <t>R2015</t>
  </si>
  <si>
    <t>R2016</t>
  </si>
  <si>
    <t>moutarde en grains</t>
  </si>
  <si>
    <t>R2017</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</si>
  <si>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</si>
  <si>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</si>
  <si>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</si>
  <si>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</si>
  <si>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</si>
  <si>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</si>
  <si>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</si>
  <si>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</si>
  <si>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</si>
  <si>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</si>
  <si>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</si>
  <si>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</si>
  <si>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</si>
  <si>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</si>
  <si>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</si>
  <si>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</si>
  <si>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</si>
  <si>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</si>
  <si>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</si>
  <si>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</si>
  <si>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</si>
  <si>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</si>
  <si>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</si>
  <si>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</si>
  <si>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</si>
  <si>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</si>
  <si>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</si>
  <si>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</si>
  <si>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</si>
  <si>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</si>
  <si>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</si>
  <si>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</si>
  <si>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</si>
  <si>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</si>
  <si>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</si>
  <si>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</si>
  <si>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</si>
  <si>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</si>
  <si>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</si>
  <si>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</si>
  <si>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R2042</t>
  </si>
  <si>
    <t>graine de sésame</t>
  </si>
  <si>
    <t>R2043</t>
  </si>
  <si>
    <t>graines de sésame</t>
  </si>
  <si>
    <t>R2044</t>
  </si>
  <si>
    <t>R2045</t>
  </si>
  <si>
    <t>halvah</t>
  </si>
  <si>
    <t>R2046</t>
  </si>
  <si>
    <t>huile de sésame</t>
  </si>
  <si>
    <t>R2047</t>
  </si>
  <si>
    <t>nougat de sésame</t>
  </si>
  <si>
    <t>nougat de sesame</t>
  </si>
  <si>
    <t>R2048</t>
  </si>
  <si>
    <t>pâte de sésame</t>
  </si>
  <si>
    <t>R2049</t>
  </si>
  <si>
    <t>purée de sésame</t>
  </si>
  <si>
    <t>R2050</t>
  </si>
  <si>
    <t>sésame</t>
  </si>
  <si>
    <t>R2051</t>
  </si>
  <si>
    <t>sésame blanc</t>
  </si>
  <si>
    <t>sesame blanc</t>
  </si>
  <si>
    <t>R2052</t>
  </si>
  <si>
    <t>sésame noir</t>
  </si>
  <si>
    <t>sesame noir</t>
  </si>
  <si>
    <t>R2053</t>
  </si>
  <si>
    <t>sesame oil</t>
  </si>
  <si>
    <t>R2054</t>
  </si>
  <si>
    <t>sesame seed</t>
  </si>
  <si>
    <t>R2055</t>
  </si>
  <si>
    <t>sesame seeds</t>
  </si>
  <si>
    <t>R2056</t>
  </si>
  <si>
    <t>R2057</t>
  </si>
  <si>
    <t>tahina</t>
  </si>
  <si>
    <t>R2058</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</si>
  <si>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</si>
  <si>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</si>
  <si>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</si>
  <si>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</si>
  <si>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</si>
  <si>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</si>
  <si>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</si>
  <si>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</si>
  <si>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</si>
  <si>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</si>
  <si>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</si>
  <si>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</si>
  <si>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</si>
  <si>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</si>
  <si>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</si>
  <si>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</si>
  <si>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</si>
  <si>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</si>
  <si>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</si>
  <si>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</si>
  <si>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</si>
  <si>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</si>
  <si>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</si>
  <si>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</si>
  <si>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</si>
  <si>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</si>
  <si>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</si>
  <si>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</si>
  <si>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</si>
  <si>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</si>
  <si>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</si>
  <si>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R2076</t>
  </si>
  <si>
    <t>R2077</t>
  </si>
  <si>
    <t>R2078</t>
  </si>
  <si>
    <t>E220</t>
  </si>
  <si>
    <t>R2079</t>
  </si>
  <si>
    <t>E221</t>
  </si>
  <si>
    <t>R2080</t>
  </si>
  <si>
    <t>E222</t>
  </si>
  <si>
    <t>R2081</t>
  </si>
  <si>
    <t>E223</t>
  </si>
  <si>
    <t>R2082</t>
  </si>
  <si>
    <t>E224</t>
  </si>
  <si>
    <t>R2083</t>
  </si>
  <si>
    <t>E225</t>
  </si>
  <si>
    <t>e225</t>
  </si>
  <si>
    <t>R2084</t>
  </si>
  <si>
    <t>E226</t>
  </si>
  <si>
    <t>R2085</t>
  </si>
  <si>
    <t>E227</t>
  </si>
  <si>
    <t>R2086</t>
  </si>
  <si>
    <t>E228</t>
  </si>
  <si>
    <t>R2087</t>
  </si>
  <si>
    <t>hydrogénosulfite</t>
  </si>
  <si>
    <t>hydrogenosulfite</t>
  </si>
  <si>
    <t>R2088</t>
  </si>
  <si>
    <t>métabisulfite</t>
  </si>
  <si>
    <t>R2089</t>
  </si>
  <si>
    <t>R2090</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</si>
  <si>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</si>
  <si>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</si>
  <si>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</si>
  <si>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</si>
  <si>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</si>
  <si>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</si>
  <si>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</si>
  <si>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</si>
  <si>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</si>
  <si>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</si>
  <si>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</si>
  <si>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</si>
  <si>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</si>
  <si>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</si>
  <si>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</si>
  <si>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</si>
  <si>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</si>
  <si>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</si>
  <si>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</si>
  <si>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</si>
  <si>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</si>
  <si>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</si>
  <si>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</si>
  <si>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</si>
  <si>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</si>
  <si>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</si>
  <si>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</si>
  <si>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</si>
  <si>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</si>
  <si>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</si>
  <si>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</si>
  <si>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</si>
  <si>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</si>
  <si>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</si>
  <si>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</si>
  <si>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</si>
  <si>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</si>
  <si>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</si>
  <si>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</si>
  <si>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</si>
  <si>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</si>
  <si>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</si>
  <si>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</si>
  <si>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</si>
  <si>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</si>
  <si>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</si>
  <si>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R2113</t>
  </si>
  <si>
    <t>poiré</t>
  </si>
  <si>
    <t>zzzxq_poire_boisson_qxzzz</t>
  </si>
  <si>
    <t>Le mot « poiré » est contrôlé avec son accent dans une formule dédiée afin de ne pas confondre avec « poire ».</t>
  </si>
  <si>
    <t>R2114</t>
  </si>
  <si>
    <t>pommes de terre déshydratées</t>
  </si>
  <si>
    <t>pommes de terre deshydratees</t>
  </si>
  <si>
    <t>R2115</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</si>
  <si>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</si>
  <si>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</si>
  <si>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</si>
  <si>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</si>
  <si>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</si>
  <si>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</si>
  <si>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</si>
  <si>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</si>
  <si>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</si>
  <si>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</si>
  <si>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</si>
  <si>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</si>
  <si>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</si>
  <si>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</si>
  <si>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</si>
  <si>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</si>
  <si>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</si>
  <si>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</si>
  <si>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</si>
  <si>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</si>
  <si>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</si>
  <si>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</si>
  <si>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</si>
  <si>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</si>
  <si>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</si>
  <si>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R2128</t>
  </si>
  <si>
    <t>vin rosé</t>
  </si>
  <si>
    <t>vin rose</t>
  </si>
  <si>
    <t>R2129</t>
  </si>
  <si>
    <t>R2130</t>
  </si>
  <si>
    <t>R2131</t>
  </si>
  <si>
    <t>R2132</t>
  </si>
  <si>
    <t>Classé en allergène certain dans ce moteur pour le vinaigre de vin.</t>
  </si>
  <si>
    <t>R2133</t>
  </si>
  <si>
    <t>wine cocktail</t>
  </si>
  <si>
    <t>R2134</t>
  </si>
  <si>
    <t>xérès</t>
  </si>
  <si>
    <t>xeres</t>
  </si>
  <si>
    <t>R2135</t>
  </si>
  <si>
    <t>Lupin ou dérivé.</t>
  </si>
  <si>
    <t>R2136</t>
  </si>
  <si>
    <t>R2137</t>
  </si>
  <si>
    <t>R2138</t>
  </si>
  <si>
    <t>isolat de lupin</t>
  </si>
  <si>
    <t>R2139</t>
  </si>
  <si>
    <t>R2140</t>
  </si>
  <si>
    <t>lupin doux</t>
  </si>
  <si>
    <t>R2141</t>
  </si>
  <si>
    <t>lupine</t>
  </si>
  <si>
    <t>R2142</t>
  </si>
  <si>
    <t>lupine flour</t>
  </si>
  <si>
    <t>R2143</t>
  </si>
  <si>
    <t>lupins</t>
  </si>
  <si>
    <t>R2144</t>
  </si>
  <si>
    <t>protéine de lupin</t>
  </si>
  <si>
    <t>R2145</t>
  </si>
  <si>
    <t>protéines de lupin</t>
  </si>
  <si>
    <t>R2146</t>
  </si>
  <si>
    <t>R2147</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</si>
  <si>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</si>
  <si>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</si>
  <si>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</si>
  <si>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</si>
  <si>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</si>
  <si>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</si>
  <si>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</si>
  <si>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</si>
  <si>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</si>
  <si>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</si>
  <si>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</si>
  <si>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</si>
  <si>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</si>
  <si>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</si>
  <si>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</si>
  <si>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</si>
  <si>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</si>
  <si>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</si>
  <si>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</si>
  <si>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</si>
  <si>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</si>
  <si>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</si>
  <si>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</si>
  <si>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</si>
  <si>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</si>
  <si>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</si>
  <si>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</si>
  <si>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</si>
  <si>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</si>
  <si>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</si>
  <si>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</si>
  <si>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</si>
  <si>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</si>
  <si>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</si>
  <si>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</si>
  <si>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</si>
  <si>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</si>
  <si>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</si>
  <si>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R2168</t>
  </si>
  <si>
    <t>bigorneaux</t>
  </si>
  <si>
    <t>Mollusque ou dérivé explicite.</t>
  </si>
  <si>
    <t>R2169</t>
  </si>
  <si>
    <t>bucarde</t>
  </si>
  <si>
    <t>R2170</t>
  </si>
  <si>
    <t>R2171</t>
  </si>
  <si>
    <t>R2172</t>
  </si>
  <si>
    <t>bullie</t>
  </si>
  <si>
    <t>R2173</t>
  </si>
  <si>
    <t>R2174</t>
  </si>
  <si>
    <t>R2175</t>
  </si>
  <si>
    <t>busycon</t>
  </si>
  <si>
    <t>R2176</t>
  </si>
  <si>
    <t>R2177</t>
  </si>
  <si>
    <t>R2178</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</si>
  <si>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</si>
  <si>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</si>
  <si>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</si>
  <si>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</si>
  <si>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</si>
  <si>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</si>
  <si>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</si>
  <si>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</si>
  <si>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</si>
  <si>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</si>
  <si>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</si>
  <si>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</si>
  <si>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</si>
  <si>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</si>
  <si>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</si>
  <si>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</si>
  <si>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</si>
  <si>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</si>
  <si>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</si>
  <si>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</si>
  <si>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</si>
  <si>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</si>
  <si>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</si>
  <si>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</si>
  <si>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</si>
  <si>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</si>
  <si>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</si>
  <si>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</si>
  <si>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</si>
  <si>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</si>
  <si>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</si>
  <si>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</si>
  <si>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</si>
  <si>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</si>
  <si>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</si>
  <si>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</si>
  <si>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</si>
  <si>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</si>
  <si>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</si>
  <si>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</si>
  <si>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</si>
  <si>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</si>
  <si>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</si>
  <si>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</si>
  <si>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</si>
  <si>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</si>
  <si>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</si>
  <si>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R2203</t>
  </si>
  <si>
    <t>coque du groenland</t>
  </si>
  <si>
    <t>R2204</t>
  </si>
  <si>
    <t>coque epineuse</t>
  </si>
  <si>
    <t>R2205</t>
  </si>
  <si>
    <t>R2206</t>
  </si>
  <si>
    <t>coquillage</t>
  </si>
  <si>
    <t>R2207</t>
  </si>
  <si>
    <t>coquillages</t>
  </si>
  <si>
    <t>R2208</t>
  </si>
  <si>
    <t>R2209</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</si>
  <si>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</si>
  <si>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</si>
  <si>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</si>
  <si>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</si>
  <si>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</si>
  <si>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</si>
  <si>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</si>
  <si>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</si>
  <si>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</si>
  <si>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</si>
  <si>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</si>
  <si>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</si>
  <si>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</si>
  <si>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</si>
  <si>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</si>
  <si>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</si>
  <si>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</si>
  <si>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</si>
  <si>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</si>
  <si>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</si>
  <si>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</si>
  <si>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</si>
  <si>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</si>
  <si>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</si>
  <si>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</si>
  <si>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</si>
  <si>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</si>
  <si>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</si>
  <si>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</si>
  <si>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</si>
  <si>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</si>
  <si>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</si>
  <si>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</si>
  <si>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</si>
  <si>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</si>
  <si>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</si>
  <si>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</si>
  <si>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</si>
  <si>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</si>
  <si>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</si>
  <si>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</si>
  <si>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</si>
  <si>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</si>
  <si>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</si>
  <si>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</si>
  <si>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</si>
  <si>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</si>
  <si>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</si>
  <si>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</si>
  <si>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</si>
  <si>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R2236</t>
  </si>
  <si>
    <t>encre de seiche</t>
  </si>
  <si>
    <t>R2237</t>
  </si>
  <si>
    <t>R2238</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</si>
  <si>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</si>
  <si>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</si>
  <si>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</si>
  <si>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</si>
  <si>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</si>
  <si>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</si>
  <si>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</si>
  <si>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</si>
  <si>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</si>
  <si>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</si>
  <si>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</si>
  <si>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</si>
  <si>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</si>
  <si>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</si>
  <si>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</si>
  <si>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</si>
  <si>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</si>
  <si>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</si>
  <si>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</si>
  <si>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</si>
  <si>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</si>
  <si>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</si>
  <si>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</si>
  <si>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</si>
  <si>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</si>
  <si>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</si>
  <si>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</si>
  <si>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</si>
  <si>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</si>
  <si>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</si>
  <si>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</si>
  <si>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</si>
  <si>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</si>
  <si>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</si>
  <si>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</si>
  <si>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</si>
  <si>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</si>
  <si>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</si>
  <si>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</si>
  <si>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</si>
  <si>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</si>
  <si>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</si>
  <si>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</si>
  <si>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</si>
  <si>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</si>
  <si>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</si>
  <si>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</si>
  <si>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</si>
  <si>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</si>
  <si>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</si>
  <si>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</si>
  <si>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</si>
  <si>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</si>
  <si>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</si>
  <si>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</si>
  <si>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</si>
  <si>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</si>
  <si>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</si>
  <si>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</si>
  <si>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</si>
  <si>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</si>
  <si>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</si>
  <si>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</si>
  <si>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</si>
  <si>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</si>
  <si>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</si>
  <si>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</si>
  <si>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</si>
  <si>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</si>
  <si>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</si>
  <si>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</si>
  <si>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</si>
  <si>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</si>
  <si>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</si>
  <si>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</si>
  <si>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</si>
  <si>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</si>
  <si>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</si>
  <si>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</si>
  <si>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</si>
  <si>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</si>
  <si>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</si>
  <si>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</si>
  <si>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</si>
  <si>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</si>
  <si>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</si>
  <si>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R2282</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</si>
  <si>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</si>
  <si>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</si>
  <si>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</si>
  <si>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</si>
  <si>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</si>
  <si>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</si>
  <si>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</si>
  <si>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</si>
  <si>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</si>
  <si>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</si>
  <si>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</si>
  <si>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</si>
  <si>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</si>
  <si>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</si>
  <si>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</si>
  <si>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</si>
  <si>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</si>
  <si>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</si>
  <si>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</si>
  <si>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</si>
  <si>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</si>
  <si>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</si>
  <si>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</si>
  <si>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</si>
  <si>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</si>
  <si>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</si>
  <si>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</si>
  <si>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</si>
  <si>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</si>
  <si>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</si>
  <si>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</si>
  <si>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</si>
  <si>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</si>
  <si>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</si>
  <si>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</si>
  <si>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</si>
  <si>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</si>
  <si>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</si>
  <si>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</si>
  <si>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</si>
  <si>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</si>
  <si>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</si>
  <si>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R2306</t>
  </si>
  <si>
    <t>olive de mer</t>
  </si>
  <si>
    <t>R2307</t>
  </si>
  <si>
    <t>R2308</t>
  </si>
  <si>
    <t>ormeau d australie</t>
  </si>
  <si>
    <t>R2309</t>
  </si>
  <si>
    <t>ormeau de l ocean indien</t>
  </si>
  <si>
    <t>R2310</t>
  </si>
  <si>
    <t>ormeau du pacifique</t>
  </si>
  <si>
    <t>R2311</t>
  </si>
  <si>
    <t>R2312</t>
  </si>
  <si>
    <t>ostreola conchaphila huitre plate du pacifique</t>
  </si>
  <si>
    <t>R2313</t>
  </si>
  <si>
    <t>ovarque</t>
  </si>
  <si>
    <t>R2314</t>
  </si>
  <si>
    <t>oyster</t>
  </si>
  <si>
    <t>R2315</t>
  </si>
  <si>
    <t>oysters</t>
  </si>
  <si>
    <t>R2316</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</si>
  <si>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</si>
  <si>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</si>
  <si>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</si>
  <si>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</si>
  <si>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</si>
  <si>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</si>
  <si>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</si>
  <si>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</si>
  <si>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</si>
  <si>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</si>
  <si>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</si>
  <si>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</si>
  <si>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</si>
  <si>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</si>
  <si>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</si>
  <si>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</si>
  <si>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</si>
  <si>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</si>
  <si>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</si>
  <si>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</si>
  <si>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</si>
  <si>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</si>
  <si>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</si>
  <si>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</si>
  <si>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</si>
  <si>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</si>
  <si>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</si>
  <si>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</si>
  <si>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</si>
  <si>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</si>
  <si>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</si>
  <si>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</si>
  <si>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</si>
  <si>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</si>
  <si>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</si>
  <si>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</si>
  <si>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R2335</t>
  </si>
  <si>
    <t>pieuvres</t>
  </si>
  <si>
    <t>R2336</t>
  </si>
  <si>
    <t>pintadine</t>
  </si>
  <si>
    <t>R2337</t>
  </si>
  <si>
    <t>pitar</t>
  </si>
  <si>
    <t>R2338</t>
  </si>
  <si>
    <t>R2339</t>
  </si>
  <si>
    <t>poulpe blanc</t>
  </si>
  <si>
    <t>R2340</t>
  </si>
  <si>
    <t>poulpe geant</t>
  </si>
  <si>
    <t>R2341</t>
  </si>
  <si>
    <t>poulpe mexicain</t>
  </si>
  <si>
    <t>R2342</t>
  </si>
  <si>
    <t>poulpe nain</t>
  </si>
  <si>
    <t>R2343</t>
  </si>
  <si>
    <t>poulpe quatre yeux</t>
  </si>
  <si>
    <t>R2344</t>
  </si>
  <si>
    <t>R2345</t>
  </si>
  <si>
    <t>pourpre</t>
  </si>
  <si>
    <t>R2346</t>
  </si>
  <si>
    <t>R2347</t>
  </si>
  <si>
    <t>R2348</t>
  </si>
  <si>
    <t>psammobie</t>
  </si>
  <si>
    <t>R2349</t>
  </si>
  <si>
    <t>pterocere</t>
  </si>
  <si>
    <t>R2350</t>
  </si>
  <si>
    <t>pycnodonte</t>
  </si>
  <si>
    <t>R2351</t>
  </si>
  <si>
    <t>rangie</t>
  </si>
  <si>
    <t>R2352</t>
  </si>
  <si>
    <t>rapane veine</t>
  </si>
  <si>
    <t>R2353</t>
  </si>
  <si>
    <t>risotto nero</t>
  </si>
  <si>
    <t>R2354</t>
  </si>
  <si>
    <t>rocher</t>
  </si>
  <si>
    <t>R2355</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</si>
  <si>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</si>
  <si>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</si>
  <si>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</si>
  <si>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</si>
  <si>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</si>
  <si>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</si>
  <si>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</si>
  <si>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</si>
  <si>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</si>
  <si>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</si>
  <si>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</si>
  <si>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</si>
  <si>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</si>
  <si>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</si>
  <si>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</si>
  <si>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R2363</t>
  </si>
  <si>
    <t>seiche aiguille</t>
  </si>
  <si>
    <t>R2364</t>
  </si>
  <si>
    <t>seiche hamecon</t>
  </si>
  <si>
    <t>R2365</t>
  </si>
  <si>
    <t>seiche petite main</t>
  </si>
  <si>
    <t>R2366</t>
  </si>
  <si>
    <t>seiche pharaon</t>
  </si>
  <si>
    <t>R2367</t>
  </si>
  <si>
    <t>seiche rosee</t>
  </si>
  <si>
    <t>R2368</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</si>
  <si>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</si>
  <si>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</si>
  <si>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</si>
  <si>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</si>
  <si>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</si>
  <si>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</si>
  <si>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</si>
  <si>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</si>
  <si>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</si>
  <si>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</si>
  <si>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</si>
  <si>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</si>
  <si>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</si>
  <si>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</si>
  <si>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</si>
  <si>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</si>
  <si>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</si>
  <si>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</si>
  <si>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</si>
  <si>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R2379</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</si>
  <si>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</si>
  <si>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</si>
  <si>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</si>
  <si>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</si>
  <si>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</si>
  <si>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</si>
  <si>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</si>
  <si>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</si>
  <si>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</si>
  <si>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</si>
  <si>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</si>
  <si>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</si>
  <si>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</si>
  <si>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</si>
  <si>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</si>
  <si>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</si>
  <si>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</si>
  <si>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</si>
  <si>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</si>
  <si>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</si>
  <si>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</si>
  <si>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</si>
  <si>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</si>
  <si>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</si>
  <si>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</si>
  <si>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</si>
  <si>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</si>
  <si>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</si>
  <si>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</si>
  <si>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</si>
  <si>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</si>
  <si>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</si>
  <si>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</si>
  <si>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</si>
  <si>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</si>
  <si>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</si>
  <si>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</si>
  <si>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</si>
  <si>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</si>
  <si>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</si>
  <si>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</si>
  <si>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</si>
  <si>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</si>
  <si>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</si>
  <si>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</si>
  <si>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</si>
  <si>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</si>
  <si>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</si>
  <si>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</si>
  <si>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</si>
  <si>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</si>
  <si>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</si>
  <si>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</si>
  <si>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</si>
  <si>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</si>
  <si>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R2411</t>
  </si>
  <si>
    <t>moule pâtisserie</t>
  </si>
  <si>
    <t>moule patisserie</t>
  </si>
  <si>
    <t>R2412</t>
  </si>
  <si>
    <t>R2413</t>
  </si>
  <si>
    <t>R2414</t>
  </si>
  <si>
    <t>R2415</t>
  </si>
  <si>
    <t>fruits de mer surgelés</t>
  </si>
  <si>
    <t>fruits de mer surgeles</t>
  </si>
  <si>
    <t>R2416</t>
  </si>
  <si>
    <t>sauce huître végétarienne</t>
  </si>
  <si>
    <t>sauce huitre vegetarienne</t>
  </si>
  <si>
    <t>R2417</t>
  </si>
  <si>
    <t>R2418</t>
  </si>
  <si>
    <t>sucre semoule</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</si>
  <si>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</si>
  <si>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</si>
  <si>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</si>
  <si>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</si>
  <si>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</si>
  <si>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</si>
  <si>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</si>
  <si>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</si>
  <si>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</si>
  <si>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</si>
  <si>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</si>
  <si>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</si>
  <si>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</si>
  <si>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</si>
  <si>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</si>
  <si>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</si>
  <si>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</si>
  <si>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</si>
  <si>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</si>
  <si>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</si>
  <si>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</si>
  <si>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</si>
  <si>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</si>
  <si>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</si>
  <si>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</si>
  <si>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</si>
  <si>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</si>
  <si>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Variante plurielle de l’exception réglementaire.</t>
  </si>
  <si>
    <t>sirop de glucose de blé</t>
  </si>
  <si>
    <t>Variante usuelle de l’exception réglementaire.</t>
  </si>
  <si>
    <t>sirops de glucose de blé</t>
  </si>
  <si>
    <t>sirops de glucose de ble</t>
  </si>
  <si>
    <t>dextrose de blé</t>
  </si>
  <si>
    <t>dextrose de ble</t>
  </si>
  <si>
    <t>Le dextrose est inclus dans l’exception des sirops de glucose à base de blé.</t>
  </si>
  <si>
    <t>maltodextrine de ble</t>
  </si>
  <si>
    <t>maltodextrines de blé</t>
  </si>
  <si>
    <t>maltodextrine à base de blé</t>
  </si>
  <si>
    <t>maltodextrine a base de ble</t>
  </si>
  <si>
    <t>maltodextrines à base de blé</t>
  </si>
  <si>
    <t>sirop de glucose à base d’orge</t>
  </si>
  <si>
    <t>sirop de glucose a base d orge</t>
  </si>
  <si>
    <t>sirops de glucose à base d’orge</t>
  </si>
  <si>
    <t>sirops de glucose a base d orge</t>
  </si>
  <si>
    <t>sirop de glucose d’orge</t>
  </si>
  <si>
    <t>sirops de glucose d’orge</t>
  </si>
  <si>
    <t>Exclusion du contrôle œuf/lait propre au vin.</t>
  </si>
  <si>
    <t>vinaigre au vin</t>
  </si>
  <si>
    <t>Contrôler l’étiquette : œuf, lait et sulfites peuvent être déclarés s’ils sont détectables.</t>
  </si>
  <si>
    <t>Terme générique : la céréale n’est pas précisée. Vérifier la nature de la farine avant de conclure à la présence de gluten.</t>
  </si>
  <si>
    <t>sucre glace</t>
  </si>
  <si>
    <t>Exclusion contextuelle : ici « glace » qualifie le sucre et ne désigne pas une glace alimentaire. Neutraliser avant les recherches Œufs/Lait.</t>
  </si>
  <si>
    <t>2026-08</t>
  </si>
  <si>
    <t>ATELIER CFA — ÉCRIRE DES PROMPTS CLAIRS, CORRECTS ET EFFICACES</t>
  </si>
  <si>
    <t>Objectif : savoir donner une consigne exploitable, contrôler la réponse et améliorer le prompt sans tout recommencer.</t>
  </si>
  <si>
    <t>Un prompt n'a pas besoin d'être très long. Il doit surtout contenir les informations utiles et un résultat que l'on peut vérifier.</t>
  </si>
  <si>
    <t>1 — COMPRENDRE CE QU'EST UN BON PROMPT</t>
  </si>
  <si>
    <t>À éviter</t>
  </si>
  <si>
    <t>Pourquoi cela échoue</t>
  </si>
  <si>
    <t>À faire</t>
  </si>
  <si>
    <t>Pourquoi cela fonctionne</t>
  </si>
  <si>
    <t>« Explique l'HACCP. »</t>
  </si>
  <si>
    <t>Sujet trop vaste : niveau, objectif et format inconnus.</t>
  </si>
  <si>
    <t>Préciser le public, le thème exact et le résultat attendu.</t>
  </si>
  <si>
    <t>La réponse devient adaptée au besoin réel.</t>
  </si>
  <si>
    <t>Empiler vingt demandes différentes.</t>
  </si>
  <si>
    <t>La réponse devient longue, incomplète ou mal organisée.</t>
  </si>
  <si>
    <t>Donner une mission principale, puis découper le travail en étapes.</t>
  </si>
  <si>
    <t>Chaque étape peut être contrôlée avant de poursuivre.</t>
  </si>
  <si>
    <t>Demander à l'IA d'inventer ce qui manque.</t>
  </si>
  <si>
    <t>Elle peut produire une réponse plausible mais fausse.</t>
  </si>
  <si>
    <t>Joindre la source et exiger le signalement des informations manquantes.</t>
  </si>
  <si>
    <t>Les limites de la réponse restent visibles.</t>
  </si>
  <si>
    <t>Croire qu'un prompt sur une seule ligne est meilleur.</t>
  </si>
  <si>
    <t>La forme ne garantit ni la précision ni la fiabilité.</t>
  </si>
  <si>
    <t>Utiliser des phrases courtes, des titres ou des retours à la ligne.</t>
  </si>
  <si>
    <t>La consigne est plus facile à lire et à corriger.</t>
  </si>
  <si>
    <t>2 — LA MÉTHODE C.A.D.R.E. : 5 ÉLÉMENTS À DONNER</t>
  </si>
  <si>
    <t>Lettre</t>
  </si>
  <si>
    <t>Élément</t>
  </si>
  <si>
    <t>Question à se poser</t>
  </si>
  <si>
    <t>Exemple métier</t>
  </si>
  <si>
    <t>C</t>
  </si>
  <si>
    <t>CONTEXTE</t>
  </si>
  <si>
    <t>Dans quelle situation ? Pour quel public et quel niveau ?</t>
  </si>
  <si>
    <t>Tu es formateur. Tu t'adresses à un apprenti CAP cuisine en première année.</t>
  </si>
  <si>
    <t>A</t>
  </si>
  <si>
    <t>ACTION</t>
  </si>
  <si>
    <t>Que doit faire l'IA ? Utiliser un verbe précis.</t>
  </si>
  <si>
    <t>Explique, compare, crée, contrôle, corrige, transforme, classe ou résume.</t>
  </si>
  <si>
    <t>D</t>
  </si>
  <si>
    <t>DONNÉES</t>
  </si>
  <si>
    <t>Sur quelles informations doit-elle travailler ?</t>
  </si>
  <si>
    <t>Utilise uniquement le cours, la fiche technique ou le classeur joint.</t>
  </si>
  <si>
    <t>R</t>
  </si>
  <si>
    <t>Sous quelle forme la réponse doit-elle être rendue ?</t>
  </si>
  <si>
    <t>Un tableau, une procédure numérotée, une fiche, 200 mots ou un fichier Excel.</t>
  </si>
  <si>
    <t>E</t>
  </si>
  <si>
    <t>EXIGENCES DE CONTRÔLE</t>
  </si>
  <si>
    <t>Comment vérifier la réponse et ses limites ?</t>
  </si>
  <si>
    <t>N'invente rien ; indique les données manquantes, les hypothèses et les points non vérifiés.</t>
  </si>
  <si>
    <t>Formule simple : CONTEXTE + ACTION + DONNÉES + RÉSULTAT ATTENDU + EXIGENCES DE CONTRÔLE.</t>
  </si>
  <si>
    <t>3 — ATELIER GUIDÉ : CONSTRUISEZ VOTRE PROMPT</t>
  </si>
  <si>
    <t>Lisez l'exemple, puis remplacez les cellules jaunes de la colonne « Votre saisie ». Le prompt est assemblé automatiquement en E32.</t>
  </si>
  <si>
    <t>Question</t>
  </si>
  <si>
    <t>Exemple</t>
  </si>
  <si>
    <t>Votre saisie</t>
  </si>
  <si>
    <t>Situation, public et niveau ?</t>
  </si>
  <si>
    <t>Tu es formateur en restauration collective. Tu t'adresses à un apprenti CAP cuisine.</t>
  </si>
  <si>
    <t>Quelle mission précise ?</t>
  </si>
  <si>
    <t>Explique comment contrôler le refroidissement rapide en liaison froide.</t>
  </si>
  <si>
    <t>Quelle source utiliser ?</t>
  </si>
  <si>
    <t>Utilise uniquement le cours ou le document joint.</t>
  </si>
  <si>
    <t>CONTRAINTES</t>
  </si>
  <si>
    <t>Quelles limites respecter ?</t>
  </si>
  <si>
    <t>Maximum 250 mots. Vocabulaire simple. N'invente aucune température.</t>
  </si>
  <si>
    <t>Quel format livrer ?</t>
  </si>
  <si>
    <t>Un tableau : étape, contrôle, valeur attendue, action corrective.</t>
  </si>
  <si>
    <t>CONTRÔLE</t>
  </si>
  <si>
    <t>Que faire en cas d'incertitude ?</t>
  </si>
  <si>
    <t>Indique ce qui manque et ce qui doit être vérifié dans le PMS de l'établissement.</t>
  </si>
  <si>
    <t>PROMPT ASSEMBLÉ</t>
  </si>
  <si>
    <t>Copiez ce texte dans l'outil d'IA et joignez la source annoncée.</t>
  </si>
  <si>
    <t>Les champs vides restent visibles : complétez-les avant l'envoi.</t>
  </si>
  <si>
    <t>4 — CONTRÔLE AVANT ENVOI : MARQUEZ X QUAND LE CRITÈRE EST RESPECTÉ</t>
  </si>
  <si>
    <t>Critère</t>
  </si>
  <si>
    <t>Question de contrôle</t>
  </si>
  <si>
    <t>X</t>
  </si>
  <si>
    <t>Le public, le niveau ou la situation sont-ils précisés ?</t>
  </si>
  <si>
    <t>Action</t>
  </si>
  <si>
    <t>La mission principale commence-t-elle par un verbe précis ?</t>
  </si>
  <si>
    <t>Données</t>
  </si>
  <si>
    <t>La source à utiliser est-elle nommée ou jointe ?</t>
  </si>
  <si>
    <t>Contraintes</t>
  </si>
  <si>
    <t>Les limites importantes sont-elles écrites ?</t>
  </si>
  <si>
    <t>Résultat</t>
  </si>
  <si>
    <t>Le format de sortie est-il clairement demandé ?</t>
  </si>
  <si>
    <t>Contrôle</t>
  </si>
  <si>
    <t>Le prompt interdit-il d'inventer et demande-t-il les incertitudes ?</t>
  </si>
  <si>
    <t>Confidentialité</t>
  </si>
  <si>
    <t>Les données personnelles, mots de passe et secrets ont-ils été retirés ?</t>
  </si>
  <si>
    <t>SCORE</t>
  </si>
  <si>
    <t>7/7 ne garantit pas que la réponse sera vraie : il indique seulement que la consigne est complète.</t>
  </si>
  <si>
    <t>STATUT</t>
  </si>
  <si>
    <t>5 — DU PROMPT VAGUE AU PROMPT EFFICACE : 3 EXEMPLES</t>
  </si>
  <si>
    <t>Situation</t>
  </si>
  <si>
    <t>Prompt vague</t>
  </si>
  <si>
    <t>Prompt amélioré</t>
  </si>
  <si>
    <t>Pourquoi il est meilleur</t>
  </si>
  <si>
    <t>Hygiène</t>
  </si>
  <si>
    <t>Explique l'HACCP.</t>
  </si>
  <si>
    <t>À un apprenti CAP cuisine, explique la différence entre un danger et un risque HACCP. Donne 2 exemples en restauration collective dans un tableau. Termine par 3 questions de vérification. Signale toute information dépendant du PMS.</t>
  </si>
  <si>
    <t>Public, notion précise, exemples métier, format et contrôle sont indiqués.</t>
  </si>
  <si>
    <t>Fais une fiche de bourguignon.</t>
  </si>
  <si>
    <t>À partir de la recette jointe, crée une fiche technique de bœuf bourguignon pour 40 couverts. Conserve les quantités sources, liste les étapes dans l'ordre et ajoute une colonne allergènes à vérifier. N'invente aucune donnée absente.</t>
  </si>
  <si>
    <t>La source, le nombre de couverts, le livrable et la limite sont explicites.</t>
  </si>
  <si>
    <t>Classeur Excel</t>
  </si>
  <si>
    <t>Répare mon fichier Excel.</t>
  </si>
  <si>
    <t>Ouvre le classeur joint. Avant toute modification, indique les feuilles, plages utilisées, formules et erreurs repérées. Corrige uniquement les problèmes prouvés. Après modification, teste les cellules concernées et liste les points non contrôlés. Reste compatible Excel 2021 FR.</t>
  </si>
  <si>
    <t>La mission prévoit un audit avant/après, des preuves, des tests et une contrainte technique.</t>
  </si>
  <si>
    <t>6 — AMÉLIORER LA RÉPONSE : UNE RELANCE PRÉCISE VAUT MIEUX QU'UN NOUVEAU PROMPT</t>
  </si>
  <si>
    <t>Étape</t>
  </si>
  <si>
    <t>Exemple de relance</t>
  </si>
  <si>
    <t>Qu'est-ce qui est déjà correct ?</t>
  </si>
  <si>
    <t>Dire ce qu'il faut conserver.</t>
  </si>
  <si>
    <t>Conserve le tableau et les intitulés des colonnes.</t>
  </si>
  <si>
    <t>Qu'est-ce qui ne convient pas ?</t>
  </si>
  <si>
    <t>Nommer l'erreur ou le manque.</t>
  </si>
  <si>
    <t>Les températures ne proviennent pas du document joint.</t>
  </si>
  <si>
    <t>Quelle correction exacte demander ?</t>
  </si>
  <si>
    <t>Formuler une seule correction mesurable.</t>
  </si>
  <si>
    <t>Supprime les valeurs non sourcées et indique « à vérifier dans le PMS ».</t>
  </si>
  <si>
    <t>Comment contrôler la nouvelle réponse ?</t>
  </si>
  <si>
    <t>Demander la trace des changements.</t>
  </si>
  <si>
    <t>Liste les lignes modifiées et les informations restant incertaines.</t>
  </si>
  <si>
    <t>Modèle de relance : « Conserve [élément correct]. Corrige [erreur précise]. Utilise [source]. Rends le résultat sous [format]. Indique [preuve ou point non vérifié]. »</t>
  </si>
  <si>
    <t>7 — ERREURS FRÉQUENTES ET RÈGLES DE SÉCURITÉ</t>
  </si>
  <si>
    <t>Erreur</t>
  </si>
  <si>
    <t>Risque</t>
  </si>
  <si>
    <t>Correction</t>
  </si>
  <si>
    <t>Prompt très long copié pour chaque situation</t>
  </si>
  <si>
    <t>Les consignes inutiles masquent l'objectif.</t>
  </si>
  <si>
    <t>Retirer tout ce qui ne change pas la réponse.</t>
  </si>
  <si>
    <t>La longueur n'est pas un critère de qualité.</t>
  </si>
  <si>
    <t>Source non jointe ou non nommée</t>
  </si>
  <si>
    <t>L'IA répond avec des connaissances générales.</t>
  </si>
  <si>
    <t>Joindre le document et écrire ce qui doit être utilisé.</t>
  </si>
  <si>
    <t>Une source annoncée doit réellement être fournie.</t>
  </si>
  <si>
    <t>Plusieurs missions mélangées</t>
  </si>
  <si>
    <t>Certaines tâches sont oubliées.</t>
  </si>
  <si>
    <t>Découper en étapes et valider chaque résultat.</t>
  </si>
  <si>
    <t>Une mission principale par étape.</t>
  </si>
  <si>
    <t>Demande d'inventer les valeurs manquantes</t>
  </si>
  <si>
    <t>Résultat plausible mais potentiellement faux.</t>
  </si>
  <si>
    <t>Exiger « donnée manquante » ou « non vérifié ».</t>
  </si>
  <si>
    <t>L'incertitude doit rester visible.</t>
  </si>
  <si>
    <t>Données personnelles ou confidentielles</t>
  </si>
  <si>
    <t>Divulgation inutile d'informations.</t>
  </si>
  <si>
    <t>Anonymiser noms, coordonnées, identifiants et secrets.</t>
  </si>
  <si>
    <t>Ne jamais transmettre mot de passe ou donnée sensible.</t>
  </si>
  <si>
    <t>Réponse acceptée sans contrôle métier</t>
  </si>
  <si>
    <t>Une erreur peut être reprise dans un document.</t>
  </si>
  <si>
    <t>Comparer avec la source et faire valider les points critiques.</t>
  </si>
  <si>
    <t>L'IA assiste ; elle ne remplace pas le contrôle professionnel.</t>
  </si>
  <si>
    <t>Demander « sois fiable » sans critère</t>
  </si>
  <si>
    <t>La formule est trop vague pour être testée.</t>
  </si>
  <si>
    <t>Demander des sources, hypothèses, calculs ou cellules précises.</t>
  </si>
  <si>
    <t>Un contrôle doit produire une preuve observable.</t>
  </si>
  <si>
    <t>8 — EXERCICES CFA : ÉCRIVEZ LE PROMPT DANS LA CELLULE JAUNE</t>
  </si>
  <si>
    <t>Objectif</t>
  </si>
  <si>
    <t>Critères attendus</t>
  </si>
  <si>
    <t>Votre prompt</t>
  </si>
  <si>
    <t>Refroidissement rapide</t>
  </si>
  <si>
    <t>Créer une fiche de révision CAP à partir d'un cours joint.</t>
  </si>
  <si>
    <t>Public précisé ; source jointe ; tableau ; valeurs non inventées ; 3 questions finales.</t>
  </si>
  <si>
    <t>Comparer deux recettes</t>
  </si>
  <si>
    <t>Repérer les différences entre deux fiches de bourguignon.</t>
  </si>
  <si>
    <t>Même base de comparaison ; ingrédients ; techniques ; rendement ; différences non interprétées sans preuve.</t>
  </si>
  <si>
    <t>Formule Excel incorrecte</t>
  </si>
  <si>
    <t>Faire diagnostiquer et corriger une cellule qui affiche un mauvais résultat.</t>
  </si>
  <si>
    <t>Fichier joint ; cellule nommée ; résultat actuel ; résultat attendu ; dépendances ; test après correction ; Excel 2021 FR.</t>
  </si>
  <si>
    <t>9 — EXEMPLE PROFESSIONNEL CONDENSÉ : AUDITER UN CLASSEUR EXCEL</t>
  </si>
  <si>
    <t>Ouvre le classeur Excel joint. 1) Avant toute modification, indique les feuilles, plages utilisées, formules, erreurs visibles, liens externes et marqueurs XML à risque. 2) Corrige uniquement les problèmes prouvés et liste les cellules ou plages modifiées. 3) Conserve la compatibilité Excel 2021 FR : sans VBA, sans fonction dynamique, sans liaison externe et sans formule partagée héritée. 4) Après modification, refais les mêmes contrôles, teste des cas représentatifs et fournis un tableau AVANT / APRÈS. 5) Si un point n'a pas été contrôlé, écris « NON CONTRÔLÉ » avec la raison exacte. Livre le fichier corrigé et un avis critique fondé sur les preuves.</t>
  </si>
  <si>
    <t>Pourquoi ce prompt est efficace : mission unique, phases numérotées, contraintes adaptées, preuves attendues, tests finaux et possibilité d'écrire « NON CONTRÔLÉ ». Il reste beaucoup plus court que le prompt initial.</t>
  </si>
  <si>
    <t>10 — MÉMO FINAL À RETENIR</t>
  </si>
  <si>
    <t>Commencez par le besoin réel.</t>
  </si>
  <si>
    <t>Que voulez-vous obtenir ?</t>
  </si>
  <si>
    <t>Une mission clairement nommée.</t>
  </si>
  <si>
    <t>Donnez le contexte utile.</t>
  </si>
  <si>
    <t>Pour qui, à quel niveau, dans quelle situation ?</t>
  </si>
  <si>
    <t>Une réponse adaptée au destinataire.</t>
  </si>
  <si>
    <t>3</t>
  </si>
  <si>
    <t>Nommez les données.</t>
  </si>
  <si>
    <t>Quel document, quelle recette, quelle cellule ?</t>
  </si>
  <si>
    <t>Une base de travail identifiable.</t>
  </si>
  <si>
    <t>4</t>
  </si>
  <si>
    <t>Fixez les contraintes.</t>
  </si>
  <si>
    <t>Longueur, règles métier, version de logiciel, interdictions ?</t>
  </si>
  <si>
    <t>Des limites explicites.</t>
  </si>
  <si>
    <t>5</t>
  </si>
  <si>
    <t>Décrivez le résultat.</t>
  </si>
  <si>
    <t>Tableau, fiche, procédure, fichier ou nombre d'étapes ?</t>
  </si>
  <si>
    <t>Un livrable directement utilisable.</t>
  </si>
  <si>
    <t>6</t>
  </si>
  <si>
    <t>Demandez un contrôle.</t>
  </si>
  <si>
    <t>Sources, calculs, cellules, tests, hypothèses ou points non vérifiés ?</t>
  </si>
  <si>
    <t>Une réponse que l'on peut examiner.</t>
  </si>
  <si>
    <t>7</t>
  </si>
  <si>
    <t>Relisez et améliorez.</t>
  </si>
  <si>
    <t>Qu'est-ce qui manque ou doit être corrigé ?</t>
  </si>
  <si>
    <t>Une relance précise, sans recommencer inutilement.</t>
  </si>
  <si>
    <t>8</t>
  </si>
  <si>
    <t>Validez avec le métier.</t>
  </si>
  <si>
    <t>La réponse respecte-t-elle la source et les règles professionnelles ?</t>
  </si>
  <si>
    <t>Une décision humaine avant utilisation.</t>
  </si>
  <si>
    <t>UN BON PROMPT NE GARANTIT PAS UNE RÉPONSE JUSTE : IL REND LA DEMANDE PLUS CLAIRE ET LE CONTRÔLE PLUS FACILE.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</si>
</sst>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car.&quot;"/>
  </numFmts>
  <fonts count="11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8"/>
      <color theme="0"/>
      <name val="Calibri"/>
      <family val="2"/>
      <scheme val="minor"/>
    </font>
    <font>
      <b/>
      <sz val="11"/>
      <color indexed="9"/>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b/>
      <sz val="13.5"/>
      <color theme="1"/>
      <name val="Calibri"/>
      <family val="2"/>
      <scheme val="minor"/>
    </font>
    <font>
      <b/>
      <sz val="10"/>
      <name val="Calibri"/>
      <family val="2"/>
      <scheme val="minor"/>
    </font>
    <font>
      <b/>
      <sz val="12"/>
      <color theme="0"/>
      <name val="Calibri"/>
      <family val="2"/>
      <scheme val="minor"/>
    </font>
    <font>
      <b/>
      <sz val="12"/>
      <name val="Calibri"/>
      <family val="2"/>
      <scheme val="minor"/>
    </font>
    <font>
      <b/>
      <sz val="14"/>
      <name val="Calibri"/>
      <family val="2"/>
      <scheme val="minor"/>
    </font>
    <font>
      <b/>
      <sz val="12"/>
      <color rgb="FFC00000"/>
      <name val="Calibri"/>
      <family val="2"/>
      <scheme val="minor"/>
    </font>
    <font>
      <b/>
      <sz val="12"/>
      <color theme="1"/>
      <name val="Calibri"/>
      <family val="2"/>
      <scheme val="minor"/>
    </font>
    <font>
      <sz val="11"/>
      <name val="Calibri"/>
      <family val="2"/>
    </font>
    <font>
      <b/>
      <sz val="16"/>
      <name val="Calibri"/>
      <family val="2"/>
      <scheme val="minor"/>
    </font>
    <font>
      <b/>
      <sz val="12"/>
      <color rgb="FF0033CC"/>
      <name val="Calibri"/>
      <family val="2"/>
      <scheme val="minor"/>
    </font>
    <font>
      <sz val="12"/>
      <color theme="1"/>
      <name val="Calibri"/>
      <family val="2"/>
      <scheme val="minor"/>
    </font>
    <font>
      <sz val="12"/>
      <color rgb="FF800000"/>
      <name val="Calibri"/>
      <family val="2"/>
    </font>
    <font>
      <sz val="11"/>
      <color theme="1"/>
      <name val="Calibri"/>
      <family val="2"/>
    </font>
    <font>
      <sz val="12"/>
      <color rgb="FF0033CC"/>
      <name val="Calibri"/>
      <family val="2"/>
      <scheme val="minor"/>
    </font>
    <font>
      <sz val="12"/>
      <name val="Calibri"/>
      <family val="2"/>
      <scheme val="minor"/>
    </font>
    <font>
      <b/>
      <sz val="14"/>
      <color rgb="FF0033CC"/>
      <name val="Calibri"/>
      <family val="2"/>
      <scheme val="minor"/>
    </font>
    <font>
      <sz val="10"/>
      <name val="Calibri"/>
      <family val="2"/>
      <scheme val="minor"/>
    </font>
    <font>
      <b/>
      <sz val="16"/>
      <name val="Calibri"/>
      <family val="2"/>
    </font>
    <font>
      <b/>
      <sz val="11"/>
      <color rgb="FF0000FF"/>
      <name val="Calibri"/>
      <family val="2"/>
      <scheme val="minor"/>
    </font>
    <font>
      <sz val="11"/>
      <color rgb="FF0000FF"/>
      <name val="Calibri"/>
      <family val="2"/>
      <scheme val="minor"/>
    </font>
    <font>
      <b/>
      <sz val="12"/>
      <color theme="0" tint="-4.9989318521683403E-2"/>
      <name val="Calibri"/>
      <family val="2"/>
      <scheme val="minor"/>
    </font>
    <font>
      <b/>
      <sz val="12"/>
      <color rgb="FF0000FF"/>
      <name val="Calibri"/>
      <family val="2"/>
    </font>
    <font>
      <sz val="9"/>
      <color theme="1"/>
      <name val="Calibri"/>
      <family val="2"/>
      <scheme val="minor"/>
    </font>
    <font>
      <sz val="10"/>
      <color theme="1"/>
      <name val="Calibri"/>
      <family val="2"/>
      <scheme val="minor"/>
    </font>
    <font>
      <sz val="10"/>
      <color theme="1"/>
      <name val="Arial Unicode MS"/>
    </font>
    <font>
      <sz val="14"/>
      <color rgb="FF0033CC"/>
      <name val="Calibri"/>
      <family val="2"/>
      <scheme val="minor"/>
    </font>
    <font>
      <sz val="11"/>
      <color rgb="FFC00000"/>
      <name val="Calibri"/>
      <family val="2"/>
      <scheme val="minor"/>
    </font>
    <font>
      <b/>
      <sz val="14"/>
      <color theme="0"/>
      <name val="Calibri"/>
      <family val="2"/>
      <scheme val="minor"/>
    </font>
    <font>
      <sz val="12"/>
      <name val="Calibri"/>
      <family val="2"/>
    </font>
    <font>
      <b/>
      <sz val="8"/>
      <color theme="0"/>
      <name val="Calibri"/>
      <family val="2"/>
      <scheme val="minor"/>
    </font>
    <font>
      <b/>
      <sz val="12"/>
      <name val="Calibri"/>
      <family val="2"/>
    </font>
    <font>
      <sz val="10"/>
      <color theme="0"/>
      <name val="Calibri"/>
      <family val="2"/>
      <scheme val="minor"/>
    </font>
    <font>
      <b/>
      <sz val="10"/>
      <name val="Calibri"/>
      <family val="2"/>
    </font>
    <font>
      <b/>
      <sz val="12"/>
      <color rgb="FF284780"/>
      <name val="Calibri"/>
      <family val="2"/>
      <scheme val="minor"/>
    </font>
    <font>
      <b/>
      <sz val="20"/>
      <color rgb="FF0000FF"/>
      <name val="Calibri"/>
      <family val="2"/>
      <scheme val="minor"/>
    </font>
    <font>
      <sz val="8"/>
      <color theme="8" tint="0.59999389629810485"/>
      <name val="Calibri"/>
      <family val="2"/>
      <scheme val="minor"/>
    </font>
    <font>
      <b/>
      <sz val="10"/>
      <color theme="1"/>
      <name val="Arial Unicode MS"/>
    </font>
    <font>
      <b/>
      <sz val="12"/>
      <color theme="1"/>
      <name val="Calibri"/>
      <family val="2"/>
    </font>
    <font>
      <b/>
      <sz val="14"/>
      <color theme="1" tint="0.34998626667073579"/>
      <name val="Calibri"/>
      <family val="2"/>
    </font>
    <font>
      <sz val="12"/>
      <color rgb="FFEEE9E1"/>
      <name val="Calibri"/>
      <family val="2"/>
      <scheme val="minor"/>
    </font>
    <font>
      <sz val="9"/>
      <color rgb="FFEEE9E1"/>
      <name val="Calibri"/>
      <family val="2"/>
      <scheme val="minor"/>
    </font>
    <font>
      <sz val="8"/>
      <color rgb="FFEEE9E1"/>
      <name val="Calibri"/>
      <family val="2"/>
      <scheme val="minor"/>
    </font>
    <font>
      <b/>
      <sz val="16"/>
      <color rgb="FFFFFFFF"/>
      <name val="Calibri"/>
      <family val="2"/>
    </font>
    <font>
      <sz val="12"/>
      <color theme="1"/>
      <name val="Calibri"/>
      <family val="2"/>
    </font>
    <font>
      <b/>
      <sz val="11"/>
      <color theme="0"/>
      <name val="Calibri"/>
      <family val="2"/>
    </font>
    <font>
      <b/>
      <sz val="11"/>
      <color rgb="FFFFFFFF"/>
      <name val="Calibri"/>
      <family val="2"/>
    </font>
    <font>
      <b/>
      <sz val="12"/>
      <color rgb="FF0033CC"/>
      <name val="Calibri"/>
      <family val="2"/>
    </font>
    <font>
      <i/>
      <sz val="12"/>
      <name val="Calibri"/>
      <family val="2"/>
    </font>
    <font>
      <b/>
      <sz val="12"/>
      <color rgb="FFC00000"/>
      <name val="Calibri"/>
      <family val="2"/>
    </font>
    <font>
      <b/>
      <sz val="11"/>
      <color theme="0"/>
      <name val="Calibri"/>
      <family val="2"/>
      <charset val="1"/>
    </font>
    <font>
      <b/>
      <sz val="14"/>
      <color theme="0"/>
      <name val="Calibri"/>
      <family val="2"/>
      <charset val="1"/>
    </font>
    <font>
      <b/>
      <sz val="22"/>
      <color theme="0"/>
      <name val="Calibri"/>
      <family val="2"/>
      <charset val="1"/>
    </font>
    <font>
      <b/>
      <sz val="11"/>
      <name val="Calibri"/>
      <family val="2"/>
      <charset val="1"/>
    </font>
    <font>
      <b/>
      <sz val="14"/>
      <name val="Calibri"/>
      <family val="2"/>
      <charset val="1"/>
    </font>
    <font>
      <b/>
      <sz val="14"/>
      <color rgb="FF1F1F1F"/>
      <name val="Calibri"/>
      <family val="2"/>
      <charset val="1"/>
    </font>
    <font>
      <b/>
      <sz val="10"/>
      <name val="Calibri"/>
      <family val="2"/>
      <charset val="1"/>
    </font>
    <font>
      <b/>
      <sz val="16"/>
      <color theme="0"/>
      <name val="Calibri"/>
      <family val="2"/>
      <charset val="1"/>
    </font>
    <font>
      <b/>
      <sz val="11"/>
      <color rgb="FF1F1F1F"/>
      <name val="Calibri"/>
      <family val="2"/>
      <charset val="1"/>
    </font>
    <font>
      <b/>
      <sz val="11"/>
      <color theme="1"/>
      <name val="Calibri"/>
      <family val="2"/>
      <charset val="1"/>
    </font>
    <font>
      <b/>
      <sz val="12"/>
      <color theme="1"/>
      <name val="Calibri"/>
      <family val="2"/>
      <charset val="1"/>
    </font>
    <font>
      <b/>
      <sz val="12"/>
      <color rgb="FF1F4E79"/>
      <name val="Calibri"/>
      <family val="2"/>
      <charset val="1"/>
    </font>
    <font>
      <b/>
      <sz val="12"/>
      <color rgb="FF0033CC"/>
      <name val="Calibri"/>
      <family val="2"/>
      <charset val="1"/>
    </font>
    <font>
      <b/>
      <sz val="12"/>
      <color rgb="FF0000FF"/>
      <name val="Calibri"/>
      <family val="2"/>
      <charset val="1"/>
    </font>
    <font>
      <b/>
      <sz val="12"/>
      <color rgb="FFC00000"/>
      <name val="Calibri"/>
      <family val="2"/>
      <charset val="1"/>
    </font>
    <font>
      <b/>
      <sz val="12"/>
      <color rgb="FF1F1F1F"/>
      <name val="Calibri"/>
      <family val="2"/>
      <charset val="1"/>
    </font>
    <font>
      <sz val="12"/>
      <color theme="1"/>
      <name val="Calibri"/>
      <family val="2"/>
      <charset val="1"/>
    </font>
    <font>
      <b/>
      <sz val="12"/>
      <color theme="1" tint="0.3498947111423078"/>
      <name val="Calibri"/>
      <family val="2"/>
      <charset val="1"/>
    </font>
    <font>
      <sz val="11"/>
      <color theme="0"/>
      <name val="Calibri"/>
      <family val="2"/>
      <charset val="1"/>
    </font>
    <font>
      <b/>
      <sz val="12"/>
      <color theme="0"/>
      <name val="Calibri"/>
      <family val="2"/>
      <charset val="1"/>
    </font>
    <font>
      <b/>
      <sz val="10"/>
      <color rgb="FF1F1F1F"/>
      <name val="Calibri"/>
      <family val="2"/>
      <charset val="1"/>
    </font>
    <font>
      <b/>
      <sz val="11"/>
      <color rgb="FFFFFFFF"/>
      <name val="Calibri"/>
      <family val="2"/>
      <charset val="1"/>
    </font>
    <font>
      <b/>
      <sz val="16"/>
      <color theme="1" tint="0.3498947111423078"/>
      <name val="Calibri"/>
      <family val="2"/>
      <charset val="1"/>
    </font>
    <font>
      <b/>
      <sz val="12"/>
      <color theme="0" tint="-4.9989318521683403E-2"/>
      <name val="Calibri"/>
      <family val="2"/>
      <charset val="1"/>
    </font>
    <font>
      <b/>
      <sz val="14"/>
      <color rgb="FFFFFFFF"/>
      <name val="Calibri"/>
      <family val="2"/>
    </font>
    <font>
      <b/>
      <sz val="16"/>
      <color theme="1"/>
      <name val="Calibri"/>
      <family val="2"/>
    </font>
    <font>
      <sz val="11"/>
      <name val="Carlito"/>
      <family val="2"/>
    </font>
    <font>
      <sz val="11"/>
      <color theme="1"/>
      <name val="Calibri"/>
      <family val="2"/>
      <charset val="1"/>
    </font>
    <font>
      <b/>
      <sz val="18"/>
      <color rgb="FFFFFFFF"/>
      <name val="Calibri"/>
      <family val="2"/>
    </font>
    <font>
      <b/>
      <sz val="18"/>
      <color theme="1" tint="0.3498947111423078"/>
      <name val="Calibri"/>
      <family val="2"/>
      <charset val="1"/>
    </font>
    <font>
      <b/>
      <sz val="14"/>
      <color theme="0" tint="-4.9989318521683403E-2"/>
      <name val="Calibri"/>
      <family val="2"/>
      <charset val="1"/>
    </font>
    <font>
      <sz val="8"/>
      <color theme="0"/>
      <name val="Calibri"/>
      <family val="2"/>
    </font>
    <font>
      <b/>
      <sz val="14"/>
      <color theme="0"/>
      <name val="Carlito"/>
      <family val="2"/>
    </font>
    <font>
      <b/>
      <sz val="20"/>
      <color rgb="FFFFFFFF"/>
      <name val="Calibri"/>
      <family val="2"/>
    </font>
    <font>
      <b/>
      <sz val="12"/>
      <color rgb="FFFFFFFF"/>
      <name val="Calibri"/>
      <family val="2"/>
    </font>
    <font>
      <i/>
      <sz val="10"/>
      <name val="Calibri"/>
      <family val="2"/>
    </font>
    <font>
      <sz val="10"/>
      <name val="Calibri"/>
      <family val="2"/>
    </font>
    <font>
      <b/>
      <sz val="14"/>
      <color theme="6" tint="-0.49986266670735802"/>
      <name val="Calibri"/>
      <family val="2"/>
    </font>
    <font>
      <b/>
      <sz val="14"/>
      <color theme="0"/>
      <name val="Calibri"/>
      <family val="2"/>
    </font>
    <font>
      <b/>
      <sz val="10"/>
      <color rgb="FFFFFFFF"/>
      <name val="Calibri"/>
      <family val="2"/>
    </font>
    <font>
      <b/>
      <sz val="9"/>
      <color rgb="FFFFFFFF"/>
      <name val="Calibri"/>
      <family val="2"/>
    </font>
    <font>
      <sz val="14"/>
      <name val="Calibri"/>
      <family val="2"/>
    </font>
    <font>
      <b/>
      <sz val="14"/>
      <color rgb="FFC00000"/>
      <name val="Calibri"/>
      <family val="2"/>
    </font>
    <font>
      <b/>
      <sz val="14"/>
      <color rgb="FF17365D"/>
      <name val="Calibri"/>
      <family val="2"/>
    </font>
    <font>
      <i/>
      <sz val="14"/>
      <color rgb="FF1F2937"/>
      <name val="Calibri"/>
      <family val="2"/>
    </font>
    <font>
      <sz val="12"/>
      <color rgb="FF1F2937"/>
      <name val="Calibri"/>
      <family val="2"/>
    </font>
    <font>
      <b/>
      <sz val="16"/>
      <color rgb="FF17365D"/>
      <name val="Calibri"/>
      <family val="2"/>
    </font>
    <font>
      <sz val="12"/>
      <color rgb="FF17365D"/>
      <name val="Calibri"/>
      <family val="2"/>
    </font>
    <font>
      <b/>
      <sz val="12"/>
      <color rgb="FF0F6B78"/>
      <name val="Calibri"/>
      <family val="2"/>
    </font>
    <font>
      <b/>
      <sz val="12"/>
      <color rgb="FF1F2937"/>
      <name val="Calibri"/>
      <family val="2"/>
    </font>
    <font>
      <b/>
      <sz val="12"/>
      <color rgb="FF17365D"/>
      <name val="Calibri"/>
      <family val="2"/>
    </font>
    <font>
      <sz val="14"/>
      <color rgb="FF1F2937"/>
      <name val="Calibri"/>
      <family val="2"/>
    </font>
    <font>
      <b/>
      <sz val="14"/>
      <color rgb="FF1F2937"/>
      <name val="Calibri"/>
      <family val="2"/>
    </font>
  </fonts>
  <fills count="56">
    <fill>
      <patternFill patternType="none"/>
    </fill>
    <fill>
      <patternFill patternType="gray125"/>
    </fill>
    <fill>
      <patternFill patternType="solid">
        <fgColor rgb="FFCC00FF"/>
        <bgColor indexed="64"/>
      </patternFill>
    </fill>
    <fill>
      <patternFill patternType="solid">
        <fgColor theme="0"/>
        <bgColor indexed="64"/>
      </patternFill>
    </fill>
    <fill>
      <patternFill patternType="solid">
        <fgColor rgb="FF92D050"/>
        <bgColor indexed="64"/>
      </patternFill>
    </fill>
    <fill>
      <patternFill patternType="solid">
        <fgColor indexed="23"/>
        <bgColor indexed="64"/>
      </patternFill>
    </fill>
    <fill>
      <patternFill patternType="solid">
        <fgColor rgb="FF80808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C00000"/>
        <bgColor indexed="64"/>
      </patternFill>
    </fill>
    <fill>
      <patternFill patternType="solid">
        <fgColor theme="9" tint="-0.249977111117893"/>
        <bgColor indexed="64"/>
      </patternFill>
    </fill>
    <fill>
      <patternFill patternType="solid">
        <fgColor rgb="FFD9E1F2"/>
        <bgColor indexed="64"/>
      </patternFill>
    </fill>
    <fill>
      <patternFill patternType="solid">
        <fgColor rgb="FFBDB3A3"/>
        <bgColor indexed="64"/>
      </patternFill>
    </fill>
    <fill>
      <patternFill patternType="solid">
        <fgColor theme="0" tint="-0.14999847407452621"/>
        <bgColor indexed="65"/>
      </patternFill>
    </fill>
    <fill>
      <patternFill patternType="solid">
        <fgColor rgb="FFEEE9E1"/>
        <bgColor indexed="64"/>
      </patternFill>
    </fill>
    <fill>
      <patternFill patternType="solid">
        <fgColor rgb="FFA49680"/>
        <bgColor indexed="64"/>
      </patternFill>
    </fill>
    <fill>
      <patternFill patternType="solid">
        <fgColor rgb="FFFFFFFF"/>
      </patternFill>
    </fill>
    <fill>
      <patternFill patternType="solid">
        <fgColor theme="0"/>
      </patternFill>
    </fill>
    <fill>
      <patternFill patternType="solid">
        <fgColor rgb="FFFFF7D6"/>
        <bgColor indexed="64"/>
      </patternFill>
    </fill>
    <fill>
      <patternFill patternType="solid">
        <fgColor rgb="FFC00000"/>
      </patternFill>
    </fill>
    <fill>
      <patternFill patternType="solid">
        <fgColor rgb="FFCC00FF"/>
      </patternFill>
    </fill>
    <fill>
      <patternFill patternType="solid">
        <fgColor rgb="FFFFF2CC"/>
      </patternFill>
    </fill>
    <fill>
      <patternFill patternType="solid">
        <fgColor theme="0" tint="-0.249977111117893"/>
        <bgColor indexed="65"/>
      </patternFill>
    </fill>
    <fill>
      <patternFill patternType="solid">
        <fgColor rgb="FFCC00FF"/>
        <bgColor rgb="FFFF00FF"/>
      </patternFill>
    </fill>
    <fill>
      <patternFill patternType="solid">
        <fgColor rgb="FF00B050"/>
        <bgColor rgb="FF14A096"/>
      </patternFill>
    </fill>
    <fill>
      <patternFill patternType="solid">
        <fgColor rgb="FF1F3A5F"/>
        <bgColor rgb="FF1F4E78"/>
      </patternFill>
    </fill>
    <fill>
      <patternFill patternType="solid">
        <fgColor theme="0"/>
        <bgColor rgb="FFFFF3F0"/>
      </patternFill>
    </fill>
    <fill>
      <patternFill patternType="solid">
        <fgColor rgb="FFEAF0F8"/>
        <bgColor rgb="FFF2F2F2"/>
      </patternFill>
    </fill>
    <fill>
      <patternFill patternType="solid">
        <fgColor rgb="FFEEE9E1"/>
        <bgColor rgb="FFFBE5D6"/>
      </patternFill>
    </fill>
    <fill>
      <patternFill patternType="solid">
        <fgColor rgb="FFA49680"/>
        <bgColor rgb="FFA0A0A0"/>
      </patternFill>
    </fill>
    <fill>
      <patternFill patternType="solid">
        <fgColor rgb="FFD9E2F3"/>
        <bgColor rgb="FFD9EAF7"/>
      </patternFill>
    </fill>
    <fill>
      <patternFill patternType="solid">
        <fgColor rgb="FFFFF2CC"/>
        <bgColor rgb="FFFFF7D6"/>
      </patternFill>
    </fill>
    <fill>
      <patternFill patternType="solid">
        <fgColor rgb="FFD9D9D9"/>
        <bgColor rgb="FFD9E2F3"/>
      </patternFill>
    </fill>
    <fill>
      <patternFill patternType="solid">
        <fgColor rgb="FFBDB3A3"/>
        <bgColor rgb="FFBFBFBF"/>
      </patternFill>
    </fill>
    <fill>
      <patternFill patternType="solid">
        <fgColor rgb="FFC00000"/>
        <bgColor rgb="FF9C0006"/>
      </patternFill>
    </fill>
    <fill>
      <patternFill patternType="solid">
        <fgColor rgb="FFF7F3E8"/>
        <bgColor rgb="FFF3F3F3"/>
      </patternFill>
    </fill>
    <fill>
      <patternFill patternType="solid">
        <fgColor rgb="FFFFF7D6"/>
        <bgColor rgb="FFFFF2CC"/>
      </patternFill>
    </fill>
    <fill>
      <patternFill patternType="solid">
        <fgColor rgb="FFFFF3F0"/>
        <bgColor rgb="FFF7F3E8"/>
      </patternFill>
    </fill>
    <fill>
      <patternFill patternType="solid">
        <fgColor rgb="FFF2F2F2"/>
        <bgColor rgb="FFF3F3F3"/>
      </patternFill>
    </fill>
    <fill>
      <patternFill patternType="solid">
        <fgColor rgb="FF1F4E78"/>
      </patternFill>
    </fill>
    <fill>
      <patternFill patternType="solid">
        <fgColor rgb="FF2F75B5"/>
      </patternFill>
    </fill>
    <fill>
      <patternFill patternType="solid">
        <fgColor rgb="FF548235"/>
      </patternFill>
    </fill>
    <fill>
      <patternFill patternType="solid">
        <fgColor theme="1" tint="0.499984740745262"/>
        <bgColor indexed="64"/>
      </patternFill>
    </fill>
    <fill>
      <patternFill patternType="solid">
        <fgColor rgb="FFF2F2F2"/>
      </patternFill>
    </fill>
    <fill>
      <patternFill patternType="solid">
        <fgColor rgb="FF92D050"/>
      </patternFill>
    </fill>
    <fill>
      <patternFill patternType="solid">
        <fgColor rgb="FF17365D"/>
      </patternFill>
    </fill>
    <fill>
      <patternFill patternType="solid">
        <fgColor rgb="FF1AA39A"/>
      </patternFill>
    </fill>
    <fill>
      <patternFill patternType="solid">
        <fgColor rgb="FFE2F0D9"/>
      </patternFill>
    </fill>
    <fill>
      <patternFill patternType="solid">
        <fgColor rgb="FF609ED6"/>
      </patternFill>
    </fill>
    <fill>
      <patternFill patternType="solid">
        <fgColor rgb="FF666666"/>
      </patternFill>
    </fill>
    <fill>
      <patternFill patternType="solid">
        <fgColor rgb="FFFCE4D6"/>
      </patternFill>
    </fill>
    <fill>
      <patternFill patternType="solid">
        <fgColor rgb="FF5B9BD5"/>
      </patternFill>
    </fill>
    <fill>
      <patternFill patternType="solid">
        <fgColor rgb="FFDDEBF7"/>
      </patternFill>
    </fill>
    <fill>
      <patternFill patternType="solid">
        <fgColor rgb="FF0F6B78"/>
      </patternFill>
    </fill>
    <fill>
      <patternFill patternType="solid">
        <fgColor rgb="FFEEF5FB"/>
      </patternFill>
    </fill>
  </fills>
  <borders count="54">
    <border>
      <left/>
      <right/>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auto="1"/>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style="hair">
        <color indexed="64"/>
      </left>
      <right style="hair">
        <color indexed="64"/>
      </right>
      <top style="hair">
        <color auto="1"/>
      </top>
      <bottom/>
      <diagonal/>
    </border>
    <border>
      <left style="hair">
        <color indexed="64"/>
      </left>
      <right style="hair">
        <color indexed="64"/>
      </right>
      <top/>
      <bottom/>
      <diagonal/>
    </border>
    <border>
      <left/>
      <right style="medium">
        <color auto="1"/>
      </right>
      <top style="hair">
        <color auto="1"/>
      </top>
      <bottom/>
      <diagonal/>
    </border>
    <border>
      <left/>
      <right/>
      <top style="hair">
        <color auto="1"/>
      </top>
      <bottom/>
      <diagonal/>
    </border>
    <border>
      <left style="hair">
        <color auto="1"/>
      </left>
      <right style="hair">
        <color indexed="64"/>
      </right>
      <top/>
      <bottom style="hair">
        <color auto="1"/>
      </bottom>
      <diagonal/>
    </border>
    <border>
      <left style="thin">
        <color rgb="FFA0A0A0"/>
      </left>
      <right style="thin">
        <color rgb="FFA0A0A0"/>
      </right>
      <top style="thin">
        <color rgb="FFA0A0A0"/>
      </top>
      <bottom style="thin">
        <color rgb="FFA0A0A0"/>
      </bottom>
      <diagonal/>
    </border>
    <border>
      <left/>
      <right style="thin">
        <color auto="1"/>
      </right>
      <top/>
      <bottom/>
      <diagonal/>
    </border>
    <border>
      <left/>
      <right style="thin">
        <color auto="1"/>
      </right>
      <top/>
      <bottom style="thin">
        <color auto="1"/>
      </bottom>
      <diagonal/>
    </border>
    <border>
      <left style="thin">
        <color rgb="FFD9D9D9"/>
      </left>
      <right style="thin">
        <color rgb="FFD9D9D9"/>
      </right>
      <top style="thin">
        <color rgb="FFD9D9D9"/>
      </top>
      <bottom style="thin">
        <color rgb="FFD9D9D9"/>
      </bottom>
      <diagonal/>
    </border>
    <border>
      <left/>
      <right style="thin">
        <color rgb="FFA0A0A0"/>
      </right>
      <top/>
      <bottom/>
      <diagonal/>
    </border>
    <border>
      <left/>
      <right style="hair">
        <color rgb="FFD9D9D9"/>
      </right>
      <top/>
      <bottom/>
      <diagonal/>
    </border>
    <border>
      <left/>
      <right/>
      <top/>
      <bottom style="thin">
        <color rgb="FFE7E6E6"/>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
      <left style="medium">
        <color rgb="FF17365D"/>
      </left>
      <right/>
      <top style="medium">
        <color rgb="FF17365D"/>
      </top>
      <bottom/>
      <diagonal/>
    </border>
    <border>
      <left/>
      <right/>
      <top style="medium">
        <color rgb="FF17365D"/>
      </top>
      <bottom/>
      <diagonal/>
    </border>
    <border>
      <left/>
      <right style="medium">
        <color rgb="FF17365D"/>
      </right>
      <top style="medium">
        <color rgb="FF17365D"/>
      </top>
      <bottom/>
      <diagonal/>
    </border>
    <border>
      <left style="medium">
        <color rgb="FF17365D"/>
      </left>
      <right/>
      <top/>
      <bottom style="medium">
        <color rgb="FF17365D"/>
      </bottom>
      <diagonal/>
    </border>
    <border>
      <left/>
      <right/>
      <top/>
      <bottom style="medium">
        <color rgb="FF17365D"/>
      </bottom>
      <diagonal/>
    </border>
    <border>
      <left/>
      <right style="medium">
        <color rgb="FF17365D"/>
      </right>
      <top/>
      <bottom style="medium">
        <color rgb="FF17365D"/>
      </bottom>
      <diagonal/>
    </border>
    <border>
      <left style="thin">
        <color rgb="FFAAB7C4"/>
      </left>
      <right/>
      <top style="thin">
        <color rgb="FFAAB7C4"/>
      </top>
      <bottom style="thin">
        <color rgb="FFAAB7C4"/>
      </bottom>
      <diagonal/>
    </border>
    <border>
      <left/>
      <right/>
      <top style="thin">
        <color rgb="FFAAB7C4"/>
      </top>
      <bottom style="thin">
        <color rgb="FFAAB7C4"/>
      </bottom>
      <diagonal/>
    </border>
    <border>
      <left/>
      <right style="thin">
        <color rgb="FFAAB7C4"/>
      </right>
      <top style="thin">
        <color rgb="FFAAB7C4"/>
      </top>
      <bottom style="thin">
        <color rgb="FFAAB7C4"/>
      </bottom>
      <diagonal/>
    </border>
    <border>
      <left style="medium">
        <color rgb="FF0F6B78"/>
      </left>
      <right/>
      <top style="medium">
        <color rgb="FF0F6B78"/>
      </top>
      <bottom style="medium">
        <color rgb="FF0F6B78"/>
      </bottom>
      <diagonal/>
    </border>
    <border>
      <left/>
      <right/>
      <top style="medium">
        <color rgb="FF0F6B78"/>
      </top>
      <bottom style="medium">
        <color rgb="FF0F6B78"/>
      </bottom>
      <diagonal/>
    </border>
    <border>
      <left/>
      <right style="medium">
        <color rgb="FF0F6B78"/>
      </right>
      <top style="medium">
        <color rgb="FF0F6B78"/>
      </top>
      <bottom style="medium">
        <color rgb="FF0F6B78"/>
      </bottom>
      <diagonal/>
    </border>
    <border>
      <left style="thin">
        <color rgb="FFAAB7C4"/>
      </left>
      <right style="thin">
        <color rgb="FFAAB7C4"/>
      </right>
      <top style="thin">
        <color rgb="FFAAB7C4"/>
      </top>
      <bottom style="thin">
        <color rgb="FFAAB7C4"/>
      </bottom>
      <diagonal/>
    </border>
    <border>
      <left style="medium">
        <color rgb="FF0F6B78"/>
      </left>
      <right style="medium">
        <color rgb="FF0F6B78"/>
      </right>
      <top style="medium">
        <color rgb="FF0F6B78"/>
      </top>
      <bottom style="medium">
        <color rgb="FF0F6B78"/>
      </bottom>
      <diagonal/>
    </border>
    <border>
      <left style="medium">
        <color rgb="FF17365D"/>
      </left>
      <right/>
      <top style="medium">
        <color rgb="FF17365D"/>
      </top>
      <bottom style="medium">
        <color rgb="FF17365D"/>
      </bottom>
      <diagonal/>
    </border>
    <border>
      <left/>
      <right/>
      <top style="medium">
        <color rgb="FF17365D"/>
      </top>
      <bottom style="medium">
        <color rgb="FF17365D"/>
      </bottom>
      <diagonal/>
    </border>
    <border>
      <left/>
      <right style="medium">
        <color rgb="FF17365D"/>
      </right>
      <top style="medium">
        <color rgb="FF17365D"/>
      </top>
      <bottom style="medium">
        <color rgb="FF17365D"/>
      </bottom>
      <diagonal/>
    </border>
  </borders>
  <cellStyleXfs count="28">
    <xf numFmtId="0" fontId="0" fillId="0" borderId="0"/>
    <xf numFmtId="0" fontId="5" fillId="0" borderId="0"/>
    <xf numFmtId="0" fontId="1" fillId="0" borderId="0"/>
    <xf numFmtId="0" fontId="1" fillId="0" borderId="0"/>
    <xf numFmtId="0" fontId="1" fillId="0" borderId="0"/>
    <xf numFmtId="0" fontId="22" fillId="0" borderId="0"/>
    <xf numFmtId="0" fontId="24"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2" fillId="0" borderId="0"/>
    <xf numFmtId="0" fontId="1" fillId="0" borderId="0"/>
    <xf numFmtId="0" fontId="24" fillId="0" borderId="0"/>
    <xf numFmtId="0" fontId="55" fillId="0" borderId="0"/>
    <xf numFmtId="0" fontId="24" fillId="0" borderId="0"/>
    <xf numFmtId="0" fontId="1" fillId="0" borderId="0"/>
    <xf numFmtId="0" fontId="1" fillId="0" borderId="0"/>
    <xf numFmtId="0" fontId="88" fillId="0" borderId="0"/>
    <xf numFmtId="0" fontId="5" fillId="0" borderId="0"/>
    <xf numFmtId="0" fontId="24" fillId="0" borderId="0"/>
    <xf numFmtId="0" fontId="87" fillId="0" borderId="0"/>
    <xf numFmtId="0" fontId="24" fillId="0" borderId="0"/>
    <xf numFmtId="0" fontId="55" fillId="0" borderId="0"/>
  </cellStyleXfs>
  <cellXfs count="344">
    <xf numFmtId="0" fontId="0" fillId="0" borderId="0" xfId="0"/>
    <xf numFmtId="0" fontId="2" fillId="2" borderId="0" xfId="1" applyFont="1" applyFill="1" applyAlignment="1">
      <alignment horizontal="center" vertical="center"/>
    </xf>
    <xf numFmtId="0" fontId="0" fillId="3" borderId="0" xfId="0" applyFill="1" applyAlignment="1">
      <alignment vertical="center"/>
    </xf>
    <xf numFmtId="0" fontId="6" fillId="4" borderId="0" xfId="2" applyFont="1" applyFill="1" applyAlignment="1">
      <alignment horizontal="center" vertical="center"/>
    </xf>
    <xf numFmtId="0" fontId="7" fillId="5" borderId="1" xfId="3" applyFont="1" applyFill="1" applyBorder="1" applyAlignment="1">
      <alignment horizontal="center" vertical="center"/>
    </xf>
    <xf numFmtId="0" fontId="7" fillId="6" borderId="1" xfId="3" applyFont="1" applyFill="1" applyBorder="1" applyAlignment="1">
      <alignment horizontal="center" vertical="center"/>
    </xf>
    <xf numFmtId="0" fontId="0" fillId="0" borderId="0" xfId="0" applyAlignment="1">
      <alignment vertical="center"/>
    </xf>
    <xf numFmtId="0" fontId="8" fillId="6" borderId="0" xfId="1" applyFont="1" applyFill="1" applyAlignment="1">
      <alignment horizontal="left" vertical="center"/>
    </xf>
    <xf numFmtId="0" fontId="9" fillId="6" borderId="0" xfId="1" applyFont="1" applyFill="1" applyAlignment="1">
      <alignment horizontal="left" vertical="center"/>
    </xf>
    <xf numFmtId="0" fontId="10" fillId="6" borderId="0" xfId="1" applyFont="1" applyFill="1" applyAlignment="1">
      <alignment horizontal="right" vertical="center"/>
    </xf>
    <xf numFmtId="0" fontId="11" fillId="6" borderId="0" xfId="1" applyFont="1" applyFill="1" applyAlignment="1">
      <alignment horizontal="left" vertical="center"/>
    </xf>
    <xf numFmtId="0" fontId="12" fillId="3" borderId="0" xfId="0" applyFont="1" applyFill="1" applyAlignment="1">
      <alignment vertical="center"/>
    </xf>
    <xf numFmtId="0" fontId="0" fillId="3" borderId="0" xfId="0" applyFill="1" applyAlignment="1">
      <alignment horizontal="left" vertical="center"/>
    </xf>
    <xf numFmtId="0" fontId="0" fillId="6" borderId="0" xfId="0" applyFill="1" applyAlignment="1">
      <alignment vertical="center"/>
    </xf>
    <xf numFmtId="0" fontId="4" fillId="6" borderId="0" xfId="2" applyFont="1" applyFill="1" applyAlignment="1">
      <alignment horizontal="center" vertical="center"/>
    </xf>
    <xf numFmtId="0" fontId="13" fillId="7" borderId="0" xfId="1" applyFont="1" applyFill="1" applyAlignment="1">
      <alignment horizontal="center" vertical="center"/>
    </xf>
    <xf numFmtId="0" fontId="13" fillId="4" borderId="0" xfId="1" applyFont="1" applyFill="1" applyAlignment="1">
      <alignment horizontal="center" vertical="center"/>
    </xf>
    <xf numFmtId="0" fontId="13" fillId="4" borderId="5" xfId="1" applyFont="1" applyFill="1" applyBorder="1" applyAlignment="1">
      <alignment horizontal="center" vertical="center"/>
    </xf>
    <xf numFmtId="0" fontId="23" fillId="0" borderId="0" xfId="1" applyFont="1" applyAlignment="1" applyProtection="1">
      <alignment horizontal="left" vertical="center"/>
      <protection locked="0"/>
    </xf>
    <xf numFmtId="0" fontId="0" fillId="3" borderId="0" xfId="0" applyFill="1" applyAlignment="1">
      <alignment horizontal="center" vertical="center"/>
    </xf>
    <xf numFmtId="0" fontId="13" fillId="8" borderId="0" xfId="1" applyFont="1" applyFill="1" applyAlignment="1">
      <alignment horizontal="center" vertical="center"/>
    </xf>
    <xf numFmtId="0" fontId="0" fillId="3" borderId="0" xfId="0" applyFill="1"/>
    <xf numFmtId="0" fontId="29" fillId="3" borderId="0" xfId="1" applyFont="1" applyFill="1" applyAlignment="1" applyProtection="1">
      <alignment horizontal="center" vertical="center"/>
      <protection locked="0"/>
    </xf>
    <xf numFmtId="0" fontId="16" fillId="3" borderId="0" xfId="1" applyFont="1" applyFill="1" applyAlignment="1">
      <alignment horizontal="right" vertical="center"/>
    </xf>
    <xf numFmtId="0" fontId="0" fillId="0" borderId="0" xfId="0" applyAlignment="1">
      <alignment horizontal="left" vertical="center" indent="1"/>
    </xf>
    <xf numFmtId="0" fontId="27" fillId="3" borderId="0" xfId="0" applyFont="1" applyFill="1" applyAlignment="1">
      <alignment vertical="center"/>
    </xf>
    <xf numFmtId="0" fontId="36" fillId="0" borderId="0" xfId="0" applyFont="1" applyAlignment="1">
      <alignment horizontal="left" vertical="center" indent="1"/>
    </xf>
    <xf numFmtId="0" fontId="18" fillId="0" borderId="0" xfId="0" applyFont="1" applyAlignment="1">
      <alignment vertical="center"/>
    </xf>
    <xf numFmtId="0" fontId="3" fillId="3" borderId="0" xfId="0" applyFont="1" applyFill="1" applyAlignment="1">
      <alignment horizontal="left" vertical="center" indent="1"/>
    </xf>
    <xf numFmtId="0" fontId="36" fillId="3" borderId="0" xfId="0" applyFont="1" applyFill="1" applyAlignment="1">
      <alignment vertical="center"/>
    </xf>
    <xf numFmtId="0" fontId="0" fillId="3" borderId="0" xfId="0" applyFill="1" applyAlignment="1">
      <alignment horizontal="left" vertical="center" indent="1"/>
    </xf>
    <xf numFmtId="0" fontId="36" fillId="3" borderId="0" xfId="0" applyFont="1" applyFill="1" applyAlignment="1">
      <alignment horizontal="left" vertical="center" indent="1"/>
    </xf>
    <xf numFmtId="0" fontId="0" fillId="3" borderId="0" xfId="0" applyFill="1" applyAlignment="1">
      <alignment horizontal="left" vertical="center" indent="2"/>
    </xf>
    <xf numFmtId="0" fontId="14" fillId="9" borderId="2" xfId="3" applyFont="1" applyFill="1" applyBorder="1" applyAlignment="1">
      <alignment horizontal="center" vertical="center"/>
    </xf>
    <xf numFmtId="0" fontId="14" fillId="11" borderId="8" xfId="3" applyFont="1" applyFill="1" applyBorder="1" applyAlignment="1">
      <alignment horizontal="center" vertical="center"/>
    </xf>
    <xf numFmtId="0" fontId="26" fillId="3" borderId="0" xfId="1" applyFont="1" applyFill="1" applyAlignment="1" applyProtection="1">
      <alignment horizontal="left" vertical="center"/>
      <protection locked="0"/>
    </xf>
    <xf numFmtId="0" fontId="13" fillId="12" borderId="0" xfId="1" applyFont="1" applyFill="1" applyAlignment="1">
      <alignment horizontal="center" vertical="center"/>
    </xf>
    <xf numFmtId="0" fontId="35" fillId="3" borderId="0" xfId="0" applyFont="1" applyFill="1" applyAlignment="1">
      <alignment vertical="top"/>
    </xf>
    <xf numFmtId="0" fontId="35" fillId="3" borderId="0" xfId="0" applyFont="1" applyFill="1"/>
    <xf numFmtId="0" fontId="13" fillId="7" borderId="12" xfId="1" applyFont="1" applyFill="1" applyBorder="1" applyAlignment="1">
      <alignment horizontal="center" vertical="center"/>
    </xf>
    <xf numFmtId="0" fontId="13" fillId="7" borderId="11" xfId="1" applyFont="1" applyFill="1" applyBorder="1" applyAlignment="1">
      <alignment horizontal="center" vertical="center"/>
    </xf>
    <xf numFmtId="0" fontId="37" fillId="3" borderId="0" xfId="0" applyFont="1" applyFill="1" applyAlignment="1">
      <alignment horizontal="center" vertical="center" wrapText="1"/>
    </xf>
    <xf numFmtId="0" fontId="0" fillId="0" borderId="0" xfId="0" applyAlignment="1">
      <alignment horizontal="left" vertical="center"/>
    </xf>
    <xf numFmtId="0" fontId="18" fillId="0" borderId="0" xfId="0" applyFont="1" applyAlignment="1">
      <alignment horizontal="left"/>
    </xf>
    <xf numFmtId="0" fontId="0" fillId="0" borderId="0" xfId="0" applyAlignment="1">
      <alignment horizontal="left"/>
    </xf>
    <xf numFmtId="0" fontId="3" fillId="0" borderId="0" xfId="0" applyFont="1" applyAlignment="1">
      <alignment vertical="center"/>
    </xf>
    <xf numFmtId="0" fontId="46" fillId="3" borderId="0" xfId="0" applyFont="1" applyFill="1" applyAlignment="1">
      <alignment vertical="center"/>
    </xf>
    <xf numFmtId="0" fontId="20" fillId="4" borderId="0" xfId="0" applyFont="1" applyFill="1" applyAlignment="1">
      <alignment vertical="center"/>
    </xf>
    <xf numFmtId="0" fontId="45" fillId="3" borderId="0" xfId="0" applyFont="1" applyFill="1" applyAlignment="1">
      <alignment vertical="center"/>
    </xf>
    <xf numFmtId="0" fontId="17" fillId="3" borderId="0" xfId="0" applyFont="1" applyFill="1" applyAlignment="1">
      <alignment vertical="top"/>
    </xf>
    <xf numFmtId="0" fontId="38" fillId="3" borderId="0" xfId="0" applyFont="1" applyFill="1"/>
    <xf numFmtId="0" fontId="44" fillId="14" borderId="0" xfId="1" applyFont="1" applyFill="1" applyAlignment="1">
      <alignment horizontal="center" vertical="center"/>
    </xf>
    <xf numFmtId="0" fontId="28" fillId="16" borderId="7" xfId="1" applyFont="1" applyFill="1" applyBorder="1" applyAlignment="1">
      <alignment vertical="center"/>
    </xf>
    <xf numFmtId="0" fontId="26" fillId="15" borderId="0" xfId="0" applyFont="1" applyFill="1" applyAlignment="1">
      <alignment horizontal="center" vertical="center"/>
    </xf>
    <xf numFmtId="0" fontId="15" fillId="15" borderId="0" xfId="0" applyFont="1" applyFill="1" applyAlignment="1">
      <alignment horizontal="left" vertical="center"/>
    </xf>
    <xf numFmtId="0" fontId="41" fillId="16" borderId="1" xfId="3" applyFont="1" applyFill="1" applyBorder="1" applyAlignment="1">
      <alignment horizontal="center" vertical="center"/>
    </xf>
    <xf numFmtId="0" fontId="50" fillId="13" borderId="0" xfId="2" applyFont="1" applyFill="1" applyAlignment="1">
      <alignment horizontal="center" vertical="center"/>
    </xf>
    <xf numFmtId="0" fontId="39" fillId="10" borderId="0" xfId="0" applyFont="1" applyFill="1" applyAlignment="1">
      <alignment horizontal="center" vertical="center"/>
    </xf>
    <xf numFmtId="0" fontId="16" fillId="15" borderId="0" xfId="0" applyFont="1" applyFill="1" applyAlignment="1">
      <alignment horizontal="center" vertical="center"/>
    </xf>
    <xf numFmtId="0" fontId="47" fillId="15" borderId="0" xfId="0" applyFont="1" applyFill="1" applyAlignment="1">
      <alignment vertical="center"/>
    </xf>
    <xf numFmtId="0" fontId="47" fillId="15" borderId="0" xfId="0" applyFont="1" applyFill="1" applyAlignment="1">
      <alignment horizontal="right" vertical="center"/>
    </xf>
    <xf numFmtId="0" fontId="47" fillId="15" borderId="7" xfId="0" applyFont="1" applyFill="1" applyBorder="1" applyAlignment="1">
      <alignment vertical="center"/>
    </xf>
    <xf numFmtId="0" fontId="47" fillId="15" borderId="7" xfId="0" applyFont="1" applyFill="1" applyBorder="1" applyAlignment="1">
      <alignment horizontal="right" vertical="center"/>
    </xf>
    <xf numFmtId="0" fontId="39" fillId="13" borderId="0" xfId="0" applyFont="1" applyFill="1" applyAlignment="1">
      <alignment horizontal="center" vertical="center"/>
    </xf>
    <xf numFmtId="0" fontId="51" fillId="15" borderId="0" xfId="0" applyFont="1" applyFill="1" applyAlignment="1">
      <alignment horizontal="center" vertical="center"/>
    </xf>
    <xf numFmtId="0" fontId="52" fillId="15" borderId="0" xfId="0" applyFont="1" applyFill="1" applyAlignment="1">
      <alignment vertical="center"/>
    </xf>
    <xf numFmtId="0" fontId="53" fillId="15" borderId="0" xfId="0" applyFont="1" applyFill="1" applyAlignment="1">
      <alignment vertical="center"/>
    </xf>
    <xf numFmtId="0" fontId="53" fillId="15" borderId="0" xfId="0" applyFont="1" applyFill="1" applyAlignment="1">
      <alignment horizontal="right" vertical="center"/>
    </xf>
    <xf numFmtId="0" fontId="24" fillId="0" borderId="0" xfId="6" applyAlignment="1">
      <alignment vertical="center"/>
    </xf>
    <xf numFmtId="0" fontId="58" fillId="19" borderId="10" xfId="1" applyFont="1" applyFill="1" applyBorder="1" applyAlignment="1">
      <alignment horizontal="left" vertical="center"/>
    </xf>
    <xf numFmtId="0" fontId="24" fillId="0" borderId="0" xfId="19" applyAlignment="1">
      <alignment vertical="center"/>
    </xf>
    <xf numFmtId="0" fontId="0" fillId="0" borderId="0" xfId="0" applyAlignment="1">
      <alignment horizontal="left" vertical="center" wrapText="1"/>
    </xf>
    <xf numFmtId="0" fontId="0" fillId="0" borderId="7" xfId="0" applyBorder="1" applyAlignment="1">
      <alignment horizontal="left" vertical="center" wrapText="1"/>
    </xf>
    <xf numFmtId="0" fontId="61" fillId="24" borderId="0" xfId="1" applyFont="1" applyFill="1" applyAlignment="1">
      <alignment horizontal="center" vertical="center"/>
    </xf>
    <xf numFmtId="0" fontId="62" fillId="25" borderId="0" xfId="19" applyFont="1" applyFill="1" applyAlignment="1">
      <alignment horizontal="left" vertical="center"/>
    </xf>
    <xf numFmtId="0" fontId="62" fillId="25" borderId="0" xfId="19" applyFont="1" applyFill="1" applyAlignment="1">
      <alignment vertical="center" wrapText="1"/>
    </xf>
    <xf numFmtId="0" fontId="62" fillId="25" borderId="0" xfId="19" applyFont="1" applyFill="1" applyAlignment="1">
      <alignment horizontal="center" vertical="center" wrapText="1"/>
    </xf>
    <xf numFmtId="0" fontId="64" fillId="27" borderId="4" xfId="19" applyFont="1" applyFill="1" applyBorder="1" applyAlignment="1">
      <alignment horizontal="left" vertical="center"/>
    </xf>
    <xf numFmtId="0" fontId="65" fillId="27" borderId="0" xfId="19" applyFont="1" applyFill="1" applyAlignment="1">
      <alignment horizontal="left" vertical="center"/>
    </xf>
    <xf numFmtId="0" fontId="65" fillId="27" borderId="0" xfId="19" applyFont="1" applyFill="1" applyAlignment="1">
      <alignment horizontal="center" vertical="center" wrapText="1"/>
    </xf>
    <xf numFmtId="0" fontId="24" fillId="27" borderId="0" xfId="19" applyFill="1" applyAlignment="1">
      <alignment vertical="center"/>
    </xf>
    <xf numFmtId="0" fontId="24" fillId="27" borderId="0" xfId="19" applyFill="1" applyAlignment="1">
      <alignment horizontal="right" vertical="center"/>
    </xf>
    <xf numFmtId="0" fontId="67" fillId="29" borderId="0" xfId="1" applyFont="1" applyFill="1" applyAlignment="1">
      <alignment horizontal="center" vertical="center"/>
    </xf>
    <xf numFmtId="0" fontId="24" fillId="30" borderId="0" xfId="19" applyFill="1" applyAlignment="1">
      <alignment vertical="center"/>
    </xf>
    <xf numFmtId="0" fontId="68" fillId="30" borderId="0" xfId="19" applyFont="1" applyFill="1" applyAlignment="1">
      <alignment horizontal="center" vertical="center"/>
    </xf>
    <xf numFmtId="0" fontId="62" fillId="30" borderId="0" xfId="19" applyFont="1" applyFill="1" applyAlignment="1">
      <alignment horizontal="center" vertical="center"/>
    </xf>
    <xf numFmtId="0" fontId="69" fillId="31" borderId="0" xfId="19" applyFont="1" applyFill="1" applyAlignment="1">
      <alignment horizontal="right" vertical="center"/>
    </xf>
    <xf numFmtId="0" fontId="69" fillId="31" borderId="0" xfId="19" applyFont="1" applyFill="1" applyAlignment="1">
      <alignment vertical="center"/>
    </xf>
    <xf numFmtId="0" fontId="24" fillId="27" borderId="0" xfId="19" applyFill="1" applyAlignment="1">
      <alignment horizontal="center" vertical="center"/>
    </xf>
    <xf numFmtId="0" fontId="70" fillId="27" borderId="0" xfId="19" applyFont="1" applyFill="1" applyAlignment="1">
      <alignment horizontal="left" vertical="center"/>
    </xf>
    <xf numFmtId="0" fontId="71" fillId="0" borderId="0" xfId="19" applyFont="1" applyAlignment="1">
      <alignment vertical="center"/>
    </xf>
    <xf numFmtId="0" fontId="71" fillId="27" borderId="0" xfId="19" applyFont="1" applyFill="1" applyAlignment="1">
      <alignment vertical="center"/>
    </xf>
    <xf numFmtId="0" fontId="67" fillId="29" borderId="18" xfId="17" applyFont="1" applyFill="1" applyBorder="1" applyAlignment="1">
      <alignment horizontal="right" vertical="center"/>
    </xf>
    <xf numFmtId="0" fontId="72" fillId="32" borderId="14" xfId="19" applyFont="1" applyFill="1" applyBorder="1" applyAlignment="1">
      <alignment horizontal="center" vertical="center"/>
    </xf>
    <xf numFmtId="0" fontId="73" fillId="27" borderId="0" xfId="19" applyFont="1" applyFill="1" applyAlignment="1">
      <alignment horizontal="left" vertical="center"/>
    </xf>
    <xf numFmtId="164" fontId="72" fillId="32" borderId="14" xfId="18" applyNumberFormat="1" applyFont="1" applyFill="1" applyBorder="1" applyAlignment="1">
      <alignment horizontal="center" vertical="center"/>
    </xf>
    <xf numFmtId="0" fontId="74" fillId="32" borderId="14" xfId="6" applyFont="1" applyFill="1" applyBorder="1" applyAlignment="1">
      <alignment horizontal="center" vertical="center"/>
    </xf>
    <xf numFmtId="0" fontId="75" fillId="27" borderId="0" xfId="19" applyFont="1" applyFill="1" applyAlignment="1">
      <alignment horizontal="left" vertical="center"/>
    </xf>
    <xf numFmtId="0" fontId="77" fillId="27" borderId="0" xfId="19" applyFont="1" applyFill="1" applyAlignment="1">
      <alignment vertical="center"/>
    </xf>
    <xf numFmtId="0" fontId="24" fillId="33" borderId="0" xfId="19" applyFill="1" applyAlignment="1">
      <alignment vertical="center"/>
    </xf>
    <xf numFmtId="0" fontId="24" fillId="34" borderId="0" xfId="19" applyFill="1" applyAlignment="1">
      <alignment vertical="center"/>
    </xf>
    <xf numFmtId="0" fontId="78" fillId="34" borderId="0" xfId="20" applyFont="1" applyFill="1" applyAlignment="1">
      <alignment horizontal="center" vertical="center"/>
    </xf>
    <xf numFmtId="0" fontId="79" fillId="35" borderId="0" xfId="19" applyFont="1" applyFill="1" applyAlignment="1">
      <alignment vertical="center"/>
    </xf>
    <xf numFmtId="0" fontId="80" fillId="35" borderId="0" xfId="20" applyFont="1" applyFill="1" applyAlignment="1">
      <alignment horizontal="center" vertical="center"/>
    </xf>
    <xf numFmtId="0" fontId="81" fillId="33" borderId="0" xfId="19" applyFont="1" applyFill="1" applyAlignment="1">
      <alignment horizontal="left" vertical="center"/>
    </xf>
    <xf numFmtId="0" fontId="81" fillId="33" borderId="0" xfId="19" applyFont="1" applyFill="1" applyAlignment="1">
      <alignment horizontal="center" vertical="center"/>
    </xf>
    <xf numFmtId="0" fontId="82" fillId="34" borderId="0" xfId="19" applyFont="1" applyFill="1" applyAlignment="1">
      <alignment horizontal="center" vertical="center"/>
    </xf>
    <xf numFmtId="0" fontId="82" fillId="35" borderId="0" xfId="19" applyFont="1" applyFill="1" applyAlignment="1">
      <alignment horizontal="center" vertical="center"/>
    </xf>
    <xf numFmtId="0" fontId="24" fillId="35" borderId="0" xfId="19" applyFill="1" applyAlignment="1">
      <alignment vertical="center"/>
    </xf>
    <xf numFmtId="0" fontId="24" fillId="33" borderId="0" xfId="19" applyFill="1" applyAlignment="1">
      <alignment horizontal="right" vertical="center"/>
    </xf>
    <xf numFmtId="0" fontId="24" fillId="36" borderId="0" xfId="19" applyFill="1" applyAlignment="1">
      <alignment horizontal="center" vertical="center"/>
    </xf>
    <xf numFmtId="0" fontId="73" fillId="37" borderId="10" xfId="1" applyFont="1" applyFill="1" applyBorder="1" applyAlignment="1">
      <alignment horizontal="left" vertical="center"/>
    </xf>
    <xf numFmtId="0" fontId="24" fillId="38" borderId="0" xfId="19" applyFill="1" applyAlignment="1">
      <alignment horizontal="center" vertical="center"/>
    </xf>
    <xf numFmtId="0" fontId="24" fillId="38" borderId="0" xfId="19" applyFill="1" applyAlignment="1">
      <alignment vertical="center"/>
    </xf>
    <xf numFmtId="0" fontId="24" fillId="39" borderId="0" xfId="19" applyFill="1" applyAlignment="1">
      <alignment vertical="center"/>
    </xf>
    <xf numFmtId="0" fontId="24" fillId="38" borderId="0" xfId="19" applyFill="1" applyAlignment="1">
      <alignment horizontal="left" vertical="center"/>
    </xf>
    <xf numFmtId="0" fontId="24" fillId="39" borderId="0" xfId="19" applyFill="1" applyAlignment="1">
      <alignment vertical="center" wrapText="1"/>
    </xf>
    <xf numFmtId="0" fontId="24" fillId="33" borderId="0" xfId="19" applyFill="1" applyAlignment="1">
      <alignment vertical="center" wrapText="1"/>
    </xf>
    <xf numFmtId="0" fontId="24" fillId="33" borderId="0" xfId="19" applyFill="1" applyAlignment="1">
      <alignment horizontal="right" vertical="center" wrapText="1"/>
    </xf>
    <xf numFmtId="0" fontId="24" fillId="33" borderId="0" xfId="19" applyFill="1" applyAlignment="1">
      <alignment horizontal="center" vertical="center"/>
    </xf>
    <xf numFmtId="0" fontId="86" fillId="3" borderId="0" xfId="13" applyFont="1" applyFill="1" applyAlignment="1">
      <alignment vertical="center"/>
    </xf>
    <xf numFmtId="0" fontId="14" fillId="2" borderId="0" xfId="1" applyFont="1" applyFill="1" applyAlignment="1">
      <alignment horizontal="center" vertical="center"/>
    </xf>
    <xf numFmtId="0" fontId="24" fillId="43" borderId="0" xfId="19" applyFill="1" applyAlignment="1">
      <alignment vertical="center"/>
    </xf>
    <xf numFmtId="0" fontId="40" fillId="18" borderId="0" xfId="23" applyFont="1" applyFill="1" applyAlignment="1">
      <alignment horizontal="left" vertical="center"/>
    </xf>
    <xf numFmtId="0" fontId="62" fillId="25" borderId="0" xfId="24" applyFont="1" applyFill="1" applyAlignment="1">
      <alignment horizontal="left" vertical="center"/>
    </xf>
    <xf numFmtId="0" fontId="62" fillId="25" borderId="0" xfId="24" applyFont="1" applyFill="1" applyAlignment="1">
      <alignment vertical="center" wrapText="1"/>
    </xf>
    <xf numFmtId="0" fontId="24" fillId="0" borderId="0" xfId="24" applyAlignment="1">
      <alignment vertical="center"/>
    </xf>
    <xf numFmtId="0" fontId="87" fillId="0" borderId="0" xfId="25" applyAlignment="1">
      <alignment vertical="center"/>
    </xf>
    <xf numFmtId="0" fontId="87" fillId="0" borderId="0" xfId="25" applyAlignment="1">
      <alignment horizontal="left" vertical="center"/>
    </xf>
    <xf numFmtId="0" fontId="19" fillId="0" borderId="0" xfId="25" applyFont="1" applyAlignment="1">
      <alignment vertical="center"/>
    </xf>
    <xf numFmtId="0" fontId="92" fillId="45" borderId="0" xfId="19" applyFont="1" applyFill="1" applyAlignment="1">
      <alignment horizontal="center" vertical="center"/>
    </xf>
    <xf numFmtId="0" fontId="62" fillId="25" borderId="0" xfId="24" applyFont="1" applyFill="1" applyAlignment="1">
      <alignment horizontal="center" vertical="center" wrapText="1"/>
    </xf>
    <xf numFmtId="0" fontId="64" fillId="27" borderId="4" xfId="24" applyFont="1" applyFill="1" applyBorder="1" applyAlignment="1">
      <alignment horizontal="left" vertical="center"/>
    </xf>
    <xf numFmtId="0" fontId="65" fillId="27" borderId="0" xfId="24" applyFont="1" applyFill="1" applyAlignment="1">
      <alignment horizontal="left" vertical="center"/>
    </xf>
    <xf numFmtId="0" fontId="65" fillId="27" borderId="0" xfId="24" applyFont="1" applyFill="1" applyAlignment="1">
      <alignment horizontal="center" vertical="center" wrapText="1"/>
    </xf>
    <xf numFmtId="0" fontId="24" fillId="27" borderId="0" xfId="24" applyFill="1" applyAlignment="1">
      <alignment vertical="center"/>
    </xf>
    <xf numFmtId="0" fontId="24" fillId="27" borderId="0" xfId="24" applyFill="1" applyAlignment="1">
      <alignment horizontal="right" vertical="center"/>
    </xf>
    <xf numFmtId="0" fontId="24" fillId="30" borderId="0" xfId="24" applyFill="1" applyAlignment="1">
      <alignment vertical="center"/>
    </xf>
    <xf numFmtId="0" fontId="68" fillId="30" borderId="0" xfId="24" applyFont="1" applyFill="1" applyAlignment="1">
      <alignment horizontal="center" vertical="center"/>
    </xf>
    <xf numFmtId="0" fontId="62" fillId="30" borderId="0" xfId="24" applyFont="1" applyFill="1" applyAlignment="1">
      <alignment horizontal="center" vertical="center"/>
    </xf>
    <xf numFmtId="0" fontId="40" fillId="0" borderId="0" xfId="25" applyFont="1" applyAlignment="1">
      <alignment horizontal="center" vertical="center" wrapText="1"/>
    </xf>
    <xf numFmtId="0" fontId="69" fillId="31" borderId="0" xfId="24" applyFont="1" applyFill="1" applyAlignment="1">
      <alignment horizontal="right" vertical="center"/>
    </xf>
    <xf numFmtId="0" fontId="69" fillId="31" borderId="0" xfId="24" applyFont="1" applyFill="1" applyAlignment="1">
      <alignment vertical="center"/>
    </xf>
    <xf numFmtId="0" fontId="93" fillId="10" borderId="0" xfId="25" applyFont="1" applyFill="1" applyAlignment="1">
      <alignment horizontal="center" vertical="center"/>
    </xf>
    <xf numFmtId="0" fontId="24" fillId="27" borderId="0" xfId="24" applyFill="1" applyAlignment="1">
      <alignment horizontal="center" vertical="center"/>
    </xf>
    <xf numFmtId="0" fontId="70" fillId="27" borderId="0" xfId="24" applyFont="1" applyFill="1" applyAlignment="1">
      <alignment horizontal="left" vertical="center"/>
    </xf>
    <xf numFmtId="0" fontId="71" fillId="0" borderId="0" xfId="24" applyFont="1" applyAlignment="1">
      <alignment vertical="center"/>
    </xf>
    <xf numFmtId="0" fontId="71" fillId="27" borderId="0" xfId="24" applyFont="1" applyFill="1" applyAlignment="1">
      <alignment vertical="center"/>
    </xf>
    <xf numFmtId="0" fontId="67" fillId="29" borderId="18" xfId="26" applyFont="1" applyFill="1" applyBorder="1" applyAlignment="1">
      <alignment horizontal="right" vertical="center"/>
    </xf>
    <xf numFmtId="0" fontId="72" fillId="32" borderId="14" xfId="24" applyFont="1" applyFill="1" applyBorder="1" applyAlignment="1">
      <alignment horizontal="center" vertical="center"/>
    </xf>
    <xf numFmtId="0" fontId="73" fillId="27" borderId="0" xfId="24" applyFont="1" applyFill="1" applyAlignment="1">
      <alignment horizontal="left" vertical="center"/>
    </xf>
    <xf numFmtId="0" fontId="75" fillId="27" borderId="0" xfId="24" applyFont="1" applyFill="1" applyAlignment="1">
      <alignment horizontal="left" vertical="center"/>
    </xf>
    <xf numFmtId="0" fontId="19" fillId="42" borderId="0" xfId="25" applyFont="1" applyFill="1" applyAlignment="1">
      <alignment vertical="center"/>
    </xf>
    <xf numFmtId="0" fontId="57" fillId="42" borderId="0" xfId="25" applyFont="1" applyFill="1" applyAlignment="1">
      <alignment horizontal="center" vertical="center" wrapText="1"/>
    </xf>
    <xf numFmtId="0" fontId="59" fillId="0" borderId="0" xfId="25" applyFont="1" applyAlignment="1">
      <alignment vertical="center" wrapText="1"/>
    </xf>
    <xf numFmtId="0" fontId="59" fillId="0" borderId="0" xfId="25" applyFont="1" applyAlignment="1">
      <alignment horizontal="left" vertical="center" wrapText="1"/>
    </xf>
    <xf numFmtId="0" fontId="59" fillId="0" borderId="0" xfId="25" applyFont="1" applyAlignment="1">
      <alignment horizontal="left" vertical="center"/>
    </xf>
    <xf numFmtId="0" fontId="96" fillId="0" borderId="0" xfId="25" applyFont="1" applyAlignment="1">
      <alignment horizontal="left" vertical="center" wrapText="1"/>
    </xf>
    <xf numFmtId="0" fontId="19" fillId="18" borderId="0" xfId="19" applyFont="1" applyFill="1" applyAlignment="1">
      <alignment horizontal="right" vertical="center"/>
    </xf>
    <xf numFmtId="0" fontId="56" fillId="21" borderId="16" xfId="1" applyFont="1" applyFill="1" applyBorder="1" applyAlignment="1">
      <alignment horizontal="center" vertical="center"/>
    </xf>
    <xf numFmtId="0" fontId="97" fillId="0" borderId="0" xfId="25" applyFont="1" applyAlignment="1">
      <alignment vertical="center" wrapText="1"/>
    </xf>
    <xf numFmtId="0" fontId="97" fillId="0" borderId="19" xfId="25" applyFont="1" applyBorder="1" applyAlignment="1">
      <alignment vertical="center" wrapText="1"/>
    </xf>
    <xf numFmtId="0" fontId="77" fillId="27" borderId="0" xfId="24" applyFont="1" applyFill="1" applyAlignment="1">
      <alignment vertical="center"/>
    </xf>
    <xf numFmtId="0" fontId="42" fillId="0" borderId="0" xfId="25" applyFont="1" applyAlignment="1">
      <alignment horizontal="left" vertical="center"/>
    </xf>
    <xf numFmtId="0" fontId="40" fillId="0" borderId="0" xfId="25" applyFont="1" applyAlignment="1">
      <alignment horizontal="left" vertical="center"/>
    </xf>
    <xf numFmtId="0" fontId="24" fillId="33" borderId="0" xfId="24" applyFill="1" applyAlignment="1">
      <alignment vertical="center"/>
    </xf>
    <xf numFmtId="0" fontId="24" fillId="34" borderId="0" xfId="24" applyFill="1" applyAlignment="1">
      <alignment vertical="center"/>
    </xf>
    <xf numFmtId="0" fontId="79" fillId="35" borderId="0" xfId="24" applyFont="1" applyFill="1" applyAlignment="1">
      <alignment vertical="center"/>
    </xf>
    <xf numFmtId="0" fontId="81" fillId="33" borderId="0" xfId="24" applyFont="1" applyFill="1" applyAlignment="1">
      <alignment horizontal="left" vertical="center"/>
    </xf>
    <xf numFmtId="0" fontId="81" fillId="33" borderId="0" xfId="24" applyFont="1" applyFill="1" applyAlignment="1">
      <alignment horizontal="center" vertical="center"/>
    </xf>
    <xf numFmtId="0" fontId="82" fillId="34" borderId="0" xfId="24" applyFont="1" applyFill="1" applyAlignment="1">
      <alignment horizontal="center" vertical="center"/>
    </xf>
    <xf numFmtId="0" fontId="82" fillId="35" borderId="0" xfId="24" applyFont="1" applyFill="1" applyAlignment="1">
      <alignment horizontal="center" vertical="center"/>
    </xf>
    <xf numFmtId="0" fontId="24" fillId="35" borderId="0" xfId="24" applyFill="1" applyAlignment="1">
      <alignment vertical="center"/>
    </xf>
    <xf numFmtId="0" fontId="101" fillId="50" borderId="0" xfId="25" applyFont="1" applyFill="1" applyAlignment="1">
      <alignment horizontal="center" vertical="center" wrapText="1"/>
    </xf>
    <xf numFmtId="0" fontId="24" fillId="33" borderId="0" xfId="24" applyFill="1" applyAlignment="1">
      <alignment horizontal="right" vertical="center"/>
    </xf>
    <xf numFmtId="0" fontId="24" fillId="36" borderId="0" xfId="24" applyFill="1" applyAlignment="1">
      <alignment horizontal="center" vertical="center"/>
    </xf>
    <xf numFmtId="0" fontId="24" fillId="38" borderId="0" xfId="24" applyFill="1" applyAlignment="1">
      <alignment horizontal="center" vertical="center"/>
    </xf>
    <xf numFmtId="0" fontId="24" fillId="38" borderId="0" xfId="24" applyFill="1" applyAlignment="1">
      <alignment vertical="center"/>
    </xf>
    <xf numFmtId="0" fontId="40" fillId="44" borderId="21" xfId="25" applyFont="1" applyFill="1" applyBorder="1" applyAlignment="1">
      <alignment horizontal="center" vertical="center" wrapText="1"/>
    </xf>
    <xf numFmtId="0" fontId="40" fillId="17" borderId="22" xfId="25" applyFont="1" applyFill="1" applyBorder="1" applyAlignment="1">
      <alignment horizontal="left" vertical="center"/>
    </xf>
    <xf numFmtId="0" fontId="40" fillId="22" borderId="22" xfId="25" applyFont="1" applyFill="1" applyBorder="1" applyAlignment="1">
      <alignment vertical="center"/>
    </xf>
    <xf numFmtId="0" fontId="40" fillId="51" borderId="22" xfId="25" applyFont="1" applyFill="1" applyBorder="1" applyAlignment="1">
      <alignment vertical="center" wrapText="1"/>
    </xf>
    <xf numFmtId="0" fontId="40" fillId="17" borderId="22" xfId="25" applyFont="1" applyFill="1" applyBorder="1" applyAlignment="1">
      <alignment horizontal="center" vertical="center" wrapText="1"/>
    </xf>
    <xf numFmtId="0" fontId="40" fillId="51" borderId="23" xfId="25" applyFont="1" applyFill="1" applyBorder="1" applyAlignment="1">
      <alignment horizontal="center" vertical="center" wrapText="1"/>
    </xf>
    <xf numFmtId="0" fontId="24" fillId="39" borderId="0" xfId="24" applyFill="1" applyAlignment="1">
      <alignment vertical="center"/>
    </xf>
    <xf numFmtId="0" fontId="24" fillId="38" borderId="0" xfId="24" applyFill="1" applyAlignment="1">
      <alignment horizontal="left" vertical="center"/>
    </xf>
    <xf numFmtId="0" fontId="40" fillId="44" borderId="24" xfId="25" applyFont="1" applyFill="1" applyBorder="1" applyAlignment="1">
      <alignment horizontal="center" vertical="center" wrapText="1"/>
    </xf>
    <xf numFmtId="0" fontId="40" fillId="22" borderId="25" xfId="25" applyFont="1" applyFill="1" applyBorder="1" applyAlignment="1">
      <alignment vertical="center"/>
    </xf>
    <xf numFmtId="0" fontId="40" fillId="51" borderId="25" xfId="25" applyFont="1" applyFill="1" applyBorder="1" applyAlignment="1">
      <alignment vertical="center" wrapText="1"/>
    </xf>
    <xf numFmtId="0" fontId="40" fillId="17" borderId="25" xfId="25" applyFont="1" applyFill="1" applyBorder="1" applyAlignment="1">
      <alignment horizontal="center" vertical="center" wrapText="1"/>
    </xf>
    <xf numFmtId="0" fontId="40" fillId="51" borderId="26" xfId="25" applyFont="1" applyFill="1" applyBorder="1" applyAlignment="1">
      <alignment horizontal="center" vertical="center" wrapText="1"/>
    </xf>
    <xf numFmtId="0" fontId="40" fillId="0" borderId="0" xfId="25" applyFont="1" applyAlignment="1">
      <alignment horizontal="left" vertical="center" wrapText="1"/>
    </xf>
    <xf numFmtId="0" fontId="40" fillId="0" borderId="0" xfId="25" applyFont="1" applyAlignment="1">
      <alignment vertical="center" wrapText="1"/>
    </xf>
    <xf numFmtId="0" fontId="102" fillId="0" borderId="0" xfId="25" applyFont="1" applyAlignment="1">
      <alignment vertical="center"/>
    </xf>
    <xf numFmtId="0" fontId="95" fillId="52" borderId="27" xfId="25" applyFont="1" applyFill="1" applyBorder="1" applyAlignment="1">
      <alignment horizontal="center" vertical="center" wrapText="1"/>
    </xf>
    <xf numFmtId="0" fontId="95" fillId="52" borderId="28" xfId="25" applyFont="1" applyFill="1" applyBorder="1" applyAlignment="1">
      <alignment horizontal="left" vertical="center" wrapText="1"/>
    </xf>
    <xf numFmtId="0" fontId="95" fillId="52" borderId="28" xfId="25" applyFont="1" applyFill="1" applyBorder="1" applyAlignment="1">
      <alignment vertical="center" wrapText="1"/>
    </xf>
    <xf numFmtId="0" fontId="95" fillId="52" borderId="29" xfId="25" applyFont="1" applyFill="1" applyBorder="1" applyAlignment="1">
      <alignment vertical="center" wrapText="1"/>
    </xf>
    <xf numFmtId="0" fontId="40" fillId="0" borderId="30" xfId="25" applyFont="1" applyBorder="1" applyAlignment="1">
      <alignment horizontal="center" vertical="center" wrapText="1"/>
    </xf>
    <xf numFmtId="0" fontId="40" fillId="0" borderId="17" xfId="25" applyFont="1" applyBorder="1" applyAlignment="1">
      <alignment horizontal="left" vertical="center" wrapText="1"/>
    </xf>
    <xf numFmtId="0" fontId="40" fillId="0" borderId="17" xfId="25" applyFont="1" applyBorder="1" applyAlignment="1">
      <alignment vertical="center" wrapText="1"/>
    </xf>
    <xf numFmtId="0" fontId="40" fillId="0" borderId="31" xfId="25" applyFont="1" applyBorder="1" applyAlignment="1">
      <alignment vertical="center" wrapText="1"/>
    </xf>
    <xf numFmtId="0" fontId="40" fillId="0" borderId="32" xfId="25" applyFont="1" applyBorder="1" applyAlignment="1">
      <alignment horizontal="center" vertical="center" wrapText="1"/>
    </xf>
    <xf numFmtId="0" fontId="40" fillId="0" borderId="33" xfId="25" applyFont="1" applyBorder="1" applyAlignment="1">
      <alignment horizontal="left" vertical="center" wrapText="1"/>
    </xf>
    <xf numFmtId="0" fontId="40" fillId="0" borderId="33" xfId="25" applyFont="1" applyBorder="1" applyAlignment="1">
      <alignment vertical="center" wrapText="1"/>
    </xf>
    <xf numFmtId="0" fontId="40" fillId="0" borderId="34" xfId="25" applyFont="1" applyBorder="1" applyAlignment="1">
      <alignment vertical="center" wrapText="1"/>
    </xf>
    <xf numFmtId="0" fontId="103" fillId="0" borderId="0" xfId="6" applyFont="1" applyAlignment="1">
      <alignment horizontal="right" vertical="center" wrapText="1"/>
    </xf>
    <xf numFmtId="0" fontId="42" fillId="0" borderId="0" xfId="6" applyFont="1" applyAlignment="1">
      <alignment vertical="center" wrapText="1"/>
    </xf>
    <xf numFmtId="0" fontId="42" fillId="0" borderId="0" xfId="6" applyFont="1" applyAlignment="1">
      <alignment horizontal="right" vertical="center" wrapText="1"/>
    </xf>
    <xf numFmtId="0" fontId="40" fillId="0" borderId="0" xfId="6" applyFont="1" applyAlignment="1">
      <alignment vertical="center"/>
    </xf>
    <xf numFmtId="0" fontId="40" fillId="0" borderId="0" xfId="6" applyFont="1" applyAlignment="1">
      <alignment horizontal="right" vertical="center" wrapText="1"/>
    </xf>
    <xf numFmtId="0" fontId="40" fillId="0" borderId="0" xfId="6" applyFont="1" applyAlignment="1">
      <alignment vertical="center" wrapText="1"/>
    </xf>
    <xf numFmtId="0" fontId="58" fillId="0" borderId="0" xfId="6" applyFont="1" applyAlignment="1">
      <alignment horizontal="left" vertical="center"/>
    </xf>
    <xf numFmtId="0" fontId="40" fillId="0" borderId="0" xfId="25" applyFont="1" applyAlignment="1">
      <alignment vertical="center"/>
    </xf>
    <xf numFmtId="0" fontId="55" fillId="0" borderId="0" xfId="6" applyFont="1" applyAlignment="1">
      <alignment vertical="center"/>
    </xf>
    <xf numFmtId="0" fontId="49" fillId="0" borderId="0" xfId="6" applyFont="1" applyAlignment="1">
      <alignment vertical="center"/>
    </xf>
    <xf numFmtId="0" fontId="49" fillId="0" borderId="0" xfId="6" applyFont="1" applyAlignment="1">
      <alignment horizontal="right" vertical="center" wrapText="1"/>
    </xf>
    <xf numFmtId="0" fontId="40" fillId="0" borderId="0" xfId="6" applyFont="1" applyAlignment="1">
      <alignment horizontal="left" vertical="center" wrapText="1"/>
    </xf>
    <xf numFmtId="0" fontId="60" fillId="0" borderId="0" xfId="6" applyFont="1" applyAlignment="1">
      <alignment horizontal="right" vertical="center"/>
    </xf>
    <xf numFmtId="0" fontId="60" fillId="0" borderId="0" xfId="19" applyFont="1" applyAlignment="1">
      <alignment horizontal="right" vertical="center" wrapText="1"/>
    </xf>
    <xf numFmtId="0" fontId="60" fillId="0" borderId="0" xfId="19" applyFont="1" applyAlignment="1">
      <alignment vertical="center" wrapText="1"/>
    </xf>
    <xf numFmtId="0" fontId="49" fillId="0" borderId="0" xfId="19" applyFont="1" applyAlignment="1">
      <alignment horizontal="right" vertical="center" wrapText="1"/>
    </xf>
    <xf numFmtId="0" fontId="55" fillId="0" borderId="0" xfId="19" applyFont="1" applyAlignment="1">
      <alignment vertical="center"/>
    </xf>
    <xf numFmtId="0" fontId="55" fillId="0" borderId="0" xfId="19" applyFont="1" applyAlignment="1">
      <alignment vertical="center" wrapText="1"/>
    </xf>
    <xf numFmtId="0" fontId="33" fillId="0" borderId="0" xfId="19" applyFont="1" applyAlignment="1">
      <alignment horizontal="center" vertical="center" wrapText="1"/>
    </xf>
    <xf numFmtId="0" fontId="49" fillId="0" borderId="0" xfId="19" applyFont="1" applyAlignment="1">
      <alignment horizontal="right" vertical="center"/>
    </xf>
    <xf numFmtId="0" fontId="33" fillId="0" borderId="0" xfId="19" applyFont="1" applyAlignment="1">
      <alignment vertical="center" wrapText="1"/>
    </xf>
    <xf numFmtId="0" fontId="55" fillId="0" borderId="0" xfId="19" applyFont="1" applyAlignment="1">
      <alignment horizontal="right" vertical="center"/>
    </xf>
    <xf numFmtId="0" fontId="60" fillId="0" borderId="0" xfId="19" applyFont="1" applyAlignment="1">
      <alignment vertical="center"/>
    </xf>
    <xf numFmtId="0" fontId="58" fillId="0" borderId="0" xfId="19" applyFont="1" applyAlignment="1">
      <alignment horizontal="right" vertical="center"/>
    </xf>
    <xf numFmtId="0" fontId="60" fillId="0" borderId="0" xfId="19" applyFont="1" applyAlignment="1">
      <alignment horizontal="right" vertical="center"/>
    </xf>
    <xf numFmtId="0" fontId="24" fillId="39" borderId="0" xfId="24" applyFill="1" applyAlignment="1">
      <alignment vertical="center" wrapText="1"/>
    </xf>
    <xf numFmtId="0" fontId="24" fillId="33" borderId="0" xfId="24" applyFill="1" applyAlignment="1">
      <alignment vertical="center" wrapText="1"/>
    </xf>
    <xf numFmtId="0" fontId="24" fillId="33" borderId="0" xfId="24" applyFill="1" applyAlignment="1">
      <alignment horizontal="right" vertical="center" wrapText="1"/>
    </xf>
    <xf numFmtId="0" fontId="24" fillId="33" borderId="0" xfId="24" applyFill="1" applyAlignment="1">
      <alignment horizontal="center" vertical="center"/>
    </xf>
    <xf numFmtId="0" fontId="33" fillId="0" borderId="0" xfId="19" applyFont="1" applyAlignment="1">
      <alignment vertical="center"/>
    </xf>
    <xf numFmtId="0" fontId="33" fillId="0" borderId="0" xfId="19" applyFont="1" applyAlignment="1">
      <alignment horizontal="right" vertical="center"/>
    </xf>
    <xf numFmtId="0" fontId="49" fillId="0" borderId="0" xfId="19" applyFont="1" applyAlignment="1">
      <alignment vertical="center"/>
    </xf>
    <xf numFmtId="0" fontId="42" fillId="0" borderId="0" xfId="19" applyFont="1" applyAlignment="1">
      <alignment horizontal="right" vertical="center"/>
    </xf>
    <xf numFmtId="0" fontId="40" fillId="0" borderId="0" xfId="19" applyFont="1" applyAlignment="1">
      <alignment vertical="center"/>
    </xf>
    <xf numFmtId="0" fontId="42" fillId="0" borderId="0" xfId="19" applyFont="1" applyAlignment="1">
      <alignment vertical="center"/>
    </xf>
    <xf numFmtId="0" fontId="40" fillId="0" borderId="0" xfId="19" applyFont="1" applyAlignment="1">
      <alignment horizontal="left" vertical="center"/>
    </xf>
    <xf numFmtId="0" fontId="60" fillId="0" borderId="0" xfId="25" applyFont="1" applyAlignment="1">
      <alignment horizontal="left" vertical="center"/>
    </xf>
    <xf numFmtId="0" fontId="97" fillId="0" borderId="35" xfId="25" applyFont="1" applyBorder="1" applyAlignment="1">
      <alignment vertical="center" wrapText="1"/>
    </xf>
    <xf numFmtId="0" fontId="97" fillId="0" borderId="36" xfId="25" applyFont="1" applyBorder="1" applyAlignment="1">
      <alignment vertical="center" wrapText="1"/>
    </xf>
    <xf numFmtId="0" fontId="42" fillId="23" borderId="15" xfId="1" applyFont="1" applyFill="1" applyBorder="1" applyAlignment="1">
      <alignment horizontal="center" vertical="center"/>
    </xf>
    <xf numFmtId="0" fontId="55" fillId="0" borderId="0" xfId="27"/>
    <xf numFmtId="0" fontId="87" fillId="0" borderId="0" xfId="25"/>
    <xf numFmtId="0" fontId="19" fillId="0" borderId="0" xfId="25" applyFont="1" applyAlignment="1">
      <alignment vertical="center" wrapText="1"/>
    </xf>
    <xf numFmtId="0" fontId="85" fillId="40" borderId="49" xfId="25" applyFont="1" applyFill="1" applyBorder="1" applyAlignment="1">
      <alignment horizontal="center" vertical="center" wrapText="1"/>
    </xf>
    <xf numFmtId="0" fontId="106" fillId="51" borderId="49" xfId="25" applyFont="1" applyFill="1" applyBorder="1" applyAlignment="1">
      <alignment horizontal="right" vertical="center" wrapText="1"/>
    </xf>
    <xf numFmtId="0" fontId="106" fillId="0" borderId="49" xfId="25" applyFont="1" applyBorder="1" applyAlignment="1">
      <alignment horizontal="center" vertical="center" wrapText="1"/>
    </xf>
    <xf numFmtId="0" fontId="106" fillId="48" borderId="49" xfId="25" applyFont="1" applyFill="1" applyBorder="1" applyAlignment="1">
      <alignment vertical="center" wrapText="1"/>
    </xf>
    <xf numFmtId="0" fontId="106" fillId="0" borderId="49" xfId="25" applyFont="1" applyBorder="1" applyAlignment="1">
      <alignment vertical="center" wrapText="1"/>
    </xf>
    <xf numFmtId="0" fontId="107" fillId="22" borderId="49" xfId="25" applyFont="1" applyFill="1" applyBorder="1" applyAlignment="1">
      <alignment horizontal="center" vertical="center" wrapText="1"/>
    </xf>
    <xf numFmtId="0" fontId="106" fillId="55" borderId="49" xfId="25" applyFont="1" applyFill="1" applyBorder="1" applyAlignment="1">
      <alignment vertical="center" wrapText="1"/>
    </xf>
    <xf numFmtId="0" fontId="108" fillId="22" borderId="49" xfId="25" applyFont="1" applyFill="1" applyBorder="1" applyAlignment="1">
      <alignment horizontal="left" vertical="center" wrapText="1"/>
    </xf>
    <xf numFmtId="0" fontId="109" fillId="48" borderId="50" xfId="25" applyFont="1" applyFill="1" applyBorder="1" applyAlignment="1">
      <alignment horizontal="center" vertical="center" wrapText="1"/>
    </xf>
    <xf numFmtId="0" fontId="106" fillId="48" borderId="50" xfId="25" applyFont="1" applyFill="1" applyBorder="1" applyAlignment="1">
      <alignment horizontal="center" vertical="center" wrapText="1"/>
    </xf>
    <xf numFmtId="0" fontId="110" fillId="48" borderId="50" xfId="25" applyFont="1" applyFill="1" applyBorder="1" applyAlignment="1">
      <alignment horizontal="center" vertical="center" wrapText="1"/>
    </xf>
    <xf numFmtId="0" fontId="110" fillId="0" borderId="49" xfId="25" applyFont="1" applyBorder="1" applyAlignment="1">
      <alignment horizontal="center" vertical="center" wrapText="1"/>
    </xf>
    <xf numFmtId="0" fontId="104" fillId="22" borderId="49" xfId="25" applyFont="1" applyFill="1" applyBorder="1" applyAlignment="1">
      <alignment horizontal="center" vertical="center" wrapText="1"/>
    </xf>
    <xf numFmtId="0" fontId="111" fillId="53" borderId="50" xfId="25" applyFont="1" applyFill="1" applyBorder="1" applyAlignment="1">
      <alignment horizontal="center" vertical="center" wrapText="1"/>
    </xf>
    <xf numFmtId="0" fontId="106" fillId="51" borderId="49" xfId="25" applyFont="1" applyFill="1" applyBorder="1" applyAlignment="1">
      <alignment vertical="center" wrapText="1"/>
    </xf>
    <xf numFmtId="0" fontId="110" fillId="0" borderId="49" xfId="25" applyFont="1" applyBorder="1" applyAlignment="1">
      <alignment vertical="center" wrapText="1"/>
    </xf>
    <xf numFmtId="0" fontId="106" fillId="51" borderId="49" xfId="25" applyFont="1" applyFill="1" applyBorder="1" applyAlignment="1">
      <alignment horizontal="center" vertical="center" wrapText="1"/>
    </xf>
    <xf numFmtId="0" fontId="110" fillId="48" borderId="49" xfId="25" applyFont="1" applyFill="1" applyBorder="1" applyAlignment="1">
      <alignment vertical="center" wrapText="1"/>
    </xf>
    <xf numFmtId="0" fontId="54" fillId="40" borderId="49" xfId="25" applyFont="1" applyFill="1" applyBorder="1" applyAlignment="1">
      <alignment horizontal="center" vertical="center" wrapText="1"/>
    </xf>
    <xf numFmtId="0" fontId="85" fillId="46" borderId="49" xfId="25" applyFont="1" applyFill="1" applyBorder="1" applyAlignment="1">
      <alignment horizontal="center" vertical="center" wrapText="1"/>
    </xf>
    <xf numFmtId="0" fontId="76" fillId="31" borderId="0" xfId="19" applyFont="1" applyFill="1" applyAlignment="1">
      <alignment horizontal="center" vertical="center"/>
    </xf>
    <xf numFmtId="0" fontId="90" fillId="34" borderId="0" xfId="21" applyFont="1" applyFill="1" applyAlignment="1">
      <alignment horizontal="center" vertical="center" wrapText="1"/>
    </xf>
    <xf numFmtId="0" fontId="91" fillId="35" borderId="0" xfId="1" applyFont="1" applyFill="1" applyAlignment="1" applyProtection="1">
      <alignment horizontal="center" vertical="center" wrapText="1"/>
      <protection hidden="1"/>
    </xf>
    <xf numFmtId="0" fontId="63" fillId="26" borderId="0" xfId="19" applyFont="1" applyFill="1" applyAlignment="1">
      <alignment horizontal="center" vertical="center"/>
    </xf>
    <xf numFmtId="0" fontId="24" fillId="0" borderId="5" xfId="19" applyBorder="1" applyAlignment="1">
      <alignment horizontal="right" vertical="center" wrapText="1"/>
    </xf>
    <xf numFmtId="0" fontId="66" fillId="28" borderId="0" xfId="19" applyFont="1" applyFill="1" applyAlignment="1">
      <alignment horizontal="center" vertical="center" wrapText="1"/>
    </xf>
    <xf numFmtId="0" fontId="69" fillId="31" borderId="0" xfId="19" applyFont="1" applyFill="1" applyAlignment="1">
      <alignment horizontal="center" vertical="center"/>
    </xf>
    <xf numFmtId="0" fontId="24" fillId="27" borderId="0" xfId="19" applyFill="1" applyAlignment="1">
      <alignment horizontal="center" vertical="center" wrapText="1"/>
    </xf>
    <xf numFmtId="0" fontId="89" fillId="41" borderId="0" xfId="25" applyFont="1" applyFill="1" applyAlignment="1">
      <alignment horizontal="center" vertical="center" wrapText="1"/>
    </xf>
    <xf numFmtId="0" fontId="63" fillId="26" borderId="0" xfId="24" applyFont="1" applyFill="1" applyAlignment="1">
      <alignment horizontal="center" vertical="center"/>
    </xf>
    <xf numFmtId="0" fontId="24" fillId="0" borderId="5" xfId="24" applyBorder="1" applyAlignment="1">
      <alignment horizontal="right" vertical="center" wrapText="1"/>
    </xf>
    <xf numFmtId="0" fontId="66" fillId="28" borderId="0" xfId="24" applyFont="1" applyFill="1" applyAlignment="1">
      <alignment horizontal="center" vertical="center" wrapText="1"/>
    </xf>
    <xf numFmtId="0" fontId="69" fillId="31" borderId="0" xfId="24" applyFont="1" applyFill="1" applyAlignment="1">
      <alignment horizontal="center" vertical="center"/>
    </xf>
    <xf numFmtId="0" fontId="94" fillId="46" borderId="0" xfId="25" applyFont="1" applyFill="1" applyAlignment="1">
      <alignment horizontal="center" vertical="center" wrapText="1"/>
    </xf>
    <xf numFmtId="0" fontId="24" fillId="27" borderId="0" xfId="24" applyFill="1" applyAlignment="1">
      <alignment horizontal="center" vertical="center" wrapText="1"/>
    </xf>
    <xf numFmtId="0" fontId="95" fillId="47" borderId="0" xfId="25" applyFont="1" applyFill="1" applyAlignment="1">
      <alignment horizontal="center" vertical="center" wrapText="1"/>
    </xf>
    <xf numFmtId="0" fontId="76" fillId="31" borderId="0" xfId="24" applyFont="1" applyFill="1" applyAlignment="1">
      <alignment horizontal="center" vertical="center"/>
    </xf>
    <xf numFmtId="0" fontId="98" fillId="48" borderId="0" xfId="25" applyFont="1" applyFill="1" applyAlignment="1">
      <alignment horizontal="center" vertical="center"/>
    </xf>
    <xf numFmtId="0" fontId="83" fillId="34" borderId="0" xfId="21" applyFont="1" applyFill="1" applyAlignment="1">
      <alignment horizontal="center" vertical="center" wrapText="1"/>
    </xf>
    <xf numFmtId="0" fontId="57" fillId="40" borderId="0" xfId="25" applyFont="1" applyFill="1" applyAlignment="1">
      <alignment horizontal="center" vertical="center" wrapText="1"/>
    </xf>
    <xf numFmtId="0" fontId="57" fillId="40" borderId="20" xfId="25" applyFont="1" applyFill="1" applyBorder="1" applyAlignment="1">
      <alignment horizontal="center" vertical="center" wrapText="1"/>
    </xf>
    <xf numFmtId="0" fontId="99" fillId="49" borderId="0" xfId="25" applyFont="1" applyFill="1" applyAlignment="1">
      <alignment horizontal="center" vertical="center" wrapText="1"/>
    </xf>
    <xf numFmtId="0" fontId="99" fillId="49" borderId="20" xfId="25" applyFont="1" applyFill="1" applyBorder="1" applyAlignment="1">
      <alignment horizontal="center" vertical="center" wrapText="1"/>
    </xf>
    <xf numFmtId="0" fontId="95" fillId="20" borderId="0" xfId="25" applyFont="1" applyFill="1" applyAlignment="1">
      <alignment horizontal="center" vertical="center" wrapText="1"/>
    </xf>
    <xf numFmtId="0" fontId="95" fillId="20" borderId="20" xfId="25" applyFont="1" applyFill="1" applyBorder="1" applyAlignment="1">
      <alignment horizontal="center" vertical="center" wrapText="1"/>
    </xf>
    <xf numFmtId="0" fontId="85" fillId="46" borderId="0" xfId="25" applyFont="1" applyFill="1" applyAlignment="1">
      <alignment horizontal="center" vertical="center" wrapText="1"/>
    </xf>
    <xf numFmtId="0" fontId="100" fillId="40" borderId="0" xfId="25" applyFont="1" applyFill="1" applyAlignment="1">
      <alignment horizontal="center" vertical="center" wrapText="1"/>
    </xf>
    <xf numFmtId="0" fontId="100" fillId="40" borderId="20" xfId="25" applyFont="1" applyFill="1" applyBorder="1" applyAlignment="1">
      <alignment horizontal="center" vertical="center" wrapText="1"/>
    </xf>
    <xf numFmtId="0" fontId="43" fillId="16" borderId="4" xfId="1" applyFont="1" applyFill="1" applyBorder="1" applyAlignment="1">
      <alignment horizontal="center" vertical="center"/>
    </xf>
    <xf numFmtId="0" fontId="43" fillId="16" borderId="6" xfId="1" applyFont="1" applyFill="1" applyBorder="1" applyAlignment="1">
      <alignment horizontal="center" vertical="center"/>
    </xf>
    <xf numFmtId="0" fontId="29" fillId="3" borderId="0" xfId="1" applyFont="1" applyFill="1" applyAlignment="1" applyProtection="1">
      <alignment horizontal="center" vertical="center"/>
      <protection locked="0"/>
    </xf>
    <xf numFmtId="0" fontId="28" fillId="16" borderId="3" xfId="1" applyFont="1" applyFill="1" applyBorder="1" applyAlignment="1">
      <alignment horizontal="center" vertical="center"/>
    </xf>
    <xf numFmtId="0" fontId="28" fillId="16" borderId="5" xfId="1" applyFont="1" applyFill="1" applyBorder="1" applyAlignment="1">
      <alignment horizontal="center" vertical="center"/>
    </xf>
    <xf numFmtId="0" fontId="0" fillId="12" borderId="0" xfId="0" applyFill="1" applyAlignment="1">
      <alignment horizontal="left" vertical="top" wrapText="1"/>
    </xf>
    <xf numFmtId="0" fontId="25" fillId="3" borderId="0" xfId="0" applyFont="1" applyFill="1" applyAlignment="1">
      <alignment horizontal="center" vertical="center" wrapText="1"/>
    </xf>
    <xf numFmtId="0" fontId="0" fillId="12" borderId="0" xfId="0" applyFill="1" applyAlignment="1">
      <alignment horizontal="center" vertical="top" wrapText="1"/>
    </xf>
    <xf numFmtId="0" fontId="34" fillId="15" borderId="5" xfId="0" applyFont="1" applyFill="1" applyBorder="1" applyAlignment="1">
      <alignment horizontal="center" vertical="center"/>
    </xf>
    <xf numFmtId="0" fontId="32" fillId="16" borderId="1" xfId="0" applyFont="1" applyFill="1" applyBorder="1" applyAlignment="1">
      <alignment horizontal="center" vertical="center"/>
    </xf>
    <xf numFmtId="0" fontId="32" fillId="16" borderId="3" xfId="0" applyFont="1" applyFill="1" applyBorder="1" applyAlignment="1">
      <alignment horizontal="center" vertical="center"/>
    </xf>
    <xf numFmtId="0" fontId="0" fillId="12" borderId="9" xfId="0" applyFill="1" applyBorder="1" applyAlignment="1">
      <alignment horizontal="center" vertical="top" wrapText="1"/>
    </xf>
    <xf numFmtId="0" fontId="0" fillId="12" borderId="10" xfId="0" applyFill="1" applyBorder="1" applyAlignment="1">
      <alignment horizontal="center" vertical="top" wrapText="1"/>
    </xf>
    <xf numFmtId="0" fontId="0" fillId="12" borderId="13" xfId="0" applyFill="1" applyBorder="1" applyAlignment="1">
      <alignment horizontal="center" vertical="top" wrapText="1"/>
    </xf>
    <xf numFmtId="0" fontId="28" fillId="16" borderId="4" xfId="1" applyFont="1" applyFill="1" applyBorder="1" applyAlignment="1">
      <alignment horizontal="center" vertical="center"/>
    </xf>
    <xf numFmtId="0" fontId="28" fillId="16" borderId="6" xfId="1" applyFont="1" applyFill="1" applyBorder="1" applyAlignment="1">
      <alignment horizontal="center" vertical="center"/>
    </xf>
    <xf numFmtId="0" fontId="84" fillId="35" borderId="0" xfId="1" applyFont="1" applyFill="1" applyAlignment="1" applyProtection="1">
      <alignment horizontal="center" vertical="center" wrapText="1"/>
      <protection hidden="1"/>
    </xf>
    <xf numFmtId="0" fontId="104" fillId="53" borderId="43" xfId="25" applyFont="1" applyFill="1" applyBorder="1" applyAlignment="1">
      <alignment horizontal="left" vertical="center" wrapText="1"/>
    </xf>
    <xf numFmtId="0" fontId="104" fillId="53" borderId="44" xfId="25" applyFont="1" applyFill="1" applyBorder="1" applyAlignment="1">
      <alignment horizontal="left" vertical="center" wrapText="1"/>
    </xf>
    <xf numFmtId="0" fontId="104" fillId="53" borderId="45" xfId="25" applyFont="1" applyFill="1" applyBorder="1" applyAlignment="1">
      <alignment horizontal="left" vertical="center" wrapText="1"/>
    </xf>
    <xf numFmtId="0" fontId="94" fillId="46" borderId="37" xfId="25" applyFont="1" applyFill="1" applyBorder="1" applyAlignment="1">
      <alignment horizontal="center" vertical="center" wrapText="1"/>
    </xf>
    <xf numFmtId="0" fontId="94" fillId="46" borderId="38" xfId="25" applyFont="1" applyFill="1" applyBorder="1" applyAlignment="1">
      <alignment horizontal="center" vertical="center" wrapText="1"/>
    </xf>
    <xf numFmtId="0" fontId="94" fillId="46" borderId="39" xfId="25" applyFont="1" applyFill="1" applyBorder="1" applyAlignment="1">
      <alignment horizontal="center" vertical="center" wrapText="1"/>
    </xf>
    <xf numFmtId="0" fontId="94" fillId="46" borderId="40" xfId="25" applyFont="1" applyFill="1" applyBorder="1" applyAlignment="1">
      <alignment horizontal="center" vertical="center" wrapText="1"/>
    </xf>
    <xf numFmtId="0" fontId="94" fillId="46" borderId="41" xfId="25" applyFont="1" applyFill="1" applyBorder="1" applyAlignment="1">
      <alignment horizontal="center" vertical="center" wrapText="1"/>
    </xf>
    <xf numFmtId="0" fontId="94" fillId="46" borderId="42" xfId="25" applyFont="1" applyFill="1" applyBorder="1" applyAlignment="1">
      <alignment horizontal="center" vertical="center" wrapText="1"/>
    </xf>
    <xf numFmtId="0" fontId="104" fillId="53" borderId="43" xfId="25" applyFont="1" applyFill="1" applyBorder="1" applyAlignment="1">
      <alignment horizontal="center" vertical="center" wrapText="1"/>
    </xf>
    <xf numFmtId="0" fontId="104" fillId="53" borderId="44" xfId="25" applyFont="1" applyFill="1" applyBorder="1" applyAlignment="1">
      <alignment horizontal="center" vertical="center" wrapText="1"/>
    </xf>
    <xf numFmtId="0" fontId="104" fillId="53" borderId="45" xfId="25" applyFont="1" applyFill="1" applyBorder="1" applyAlignment="1">
      <alignment horizontal="center" vertical="center" wrapText="1"/>
    </xf>
    <xf numFmtId="0" fontId="105" fillId="48" borderId="43" xfId="25" applyFont="1" applyFill="1" applyBorder="1" applyAlignment="1">
      <alignment horizontal="center" vertical="center" wrapText="1"/>
    </xf>
    <xf numFmtId="0" fontId="105" fillId="48" borderId="44" xfId="25" applyFont="1" applyFill="1" applyBorder="1" applyAlignment="1">
      <alignment horizontal="center" vertical="center" wrapText="1"/>
    </xf>
    <xf numFmtId="0" fontId="105" fillId="48" borderId="45" xfId="25" applyFont="1" applyFill="1" applyBorder="1" applyAlignment="1">
      <alignment horizontal="center" vertical="center" wrapText="1"/>
    </xf>
    <xf numFmtId="0" fontId="54" fillId="54" borderId="46" xfId="25" applyFont="1" applyFill="1" applyBorder="1" applyAlignment="1">
      <alignment horizontal="left" vertical="center" wrapText="1"/>
    </xf>
    <xf numFmtId="0" fontId="54" fillId="54" borderId="47" xfId="25" applyFont="1" applyFill="1" applyBorder="1" applyAlignment="1">
      <alignment horizontal="left" vertical="center" wrapText="1"/>
    </xf>
    <xf numFmtId="0" fontId="54" fillId="54" borderId="48" xfId="25" applyFont="1" applyFill="1" applyBorder="1" applyAlignment="1">
      <alignment horizontal="left" vertical="center" wrapText="1"/>
    </xf>
    <xf numFmtId="0" fontId="105" fillId="55" borderId="43" xfId="25" applyFont="1" applyFill="1" applyBorder="1" applyAlignment="1">
      <alignment horizontal="left" vertical="center" wrapText="1"/>
    </xf>
    <xf numFmtId="0" fontId="105" fillId="55" borderId="44" xfId="25" applyFont="1" applyFill="1" applyBorder="1" applyAlignment="1">
      <alignment horizontal="left" vertical="center" wrapText="1"/>
    </xf>
    <xf numFmtId="0" fontId="105" fillId="55" borderId="45" xfId="25" applyFont="1" applyFill="1" applyBorder="1" applyAlignment="1">
      <alignment horizontal="left" vertical="center" wrapText="1"/>
    </xf>
    <xf numFmtId="0" fontId="54" fillId="46" borderId="51" xfId="25" applyFont="1" applyFill="1" applyBorder="1" applyAlignment="1">
      <alignment horizontal="center" vertical="center" wrapText="1"/>
    </xf>
    <xf numFmtId="0" fontId="54" fillId="46" borderId="52" xfId="25" applyFont="1" applyFill="1" applyBorder="1" applyAlignment="1">
      <alignment horizontal="center" vertical="center" wrapText="1"/>
    </xf>
    <xf numFmtId="0" fontId="54" fillId="46" borderId="53" xfId="25" applyFont="1" applyFill="1" applyBorder="1" applyAlignment="1">
      <alignment horizontal="center" vertical="center" wrapText="1"/>
    </xf>
    <xf numFmtId="0" fontId="112" fillId="55" borderId="46" xfId="25" applyFont="1" applyFill="1" applyBorder="1" applyAlignment="1">
      <alignment horizontal="left" vertical="center" wrapText="1"/>
    </xf>
    <xf numFmtId="0" fontId="112" fillId="55" borderId="47" xfId="25" applyFont="1" applyFill="1" applyBorder="1" applyAlignment="1">
      <alignment horizontal="left" vertical="center" wrapText="1"/>
    </xf>
    <xf numFmtId="0" fontId="112" fillId="55" borderId="48" xfId="25" applyFont="1" applyFill="1" applyBorder="1" applyAlignment="1">
      <alignment horizontal="left" vertical="center" wrapText="1"/>
    </xf>
    <xf numFmtId="0" fontId="113" fillId="48" borderId="43" xfId="25" applyFont="1" applyFill="1" applyBorder="1" applyAlignment="1">
      <alignment horizontal="left" vertical="center" wrapText="1"/>
    </xf>
    <xf numFmtId="0" fontId="113" fillId="48" borderId="44" xfId="25" applyFont="1" applyFill="1" applyBorder="1" applyAlignment="1">
      <alignment horizontal="left" vertical="center" wrapText="1"/>
    </xf>
    <xf numFmtId="0" fontId="113" fillId="48" borderId="45" xfId="25" applyFont="1" applyFill="1" applyBorder="1" applyAlignment="1">
      <alignment horizontal="left" vertical="center" wrapText="1"/>
    </xf>
  </cellXfs>
  <cellStyles count="28">
    <cellStyle name="Normal" xfId="0" builtinId="0"/>
    <cellStyle name="Normal 10 2 2 2 2 3 2 3 2 2 4 2" xfId="2" xr:uid="{0B5D675A-3399-4A32-974D-CC3707DAF4B0}"/>
    <cellStyle name="Normal 10 2 2 2 2 3 2 3 2 2 4 2 2" xfId="19" xr:uid="{5607F459-1D28-49D2-898D-096A1975D369}"/>
    <cellStyle name="Normal 10 2 2 2 2 3 2 3 2 2 4 2 2 2" xfId="21" xr:uid="{40C8B5C9-DE3E-422E-9FE1-6B050A1A4F9C}"/>
    <cellStyle name="Normal 10 2 2 2 2 3 2 3 2 2 4 2 2 3" xfId="24" xr:uid="{8CD7A9D1-D4F2-49E6-8286-D538F286D382}"/>
    <cellStyle name="Normal 11 2 3 2 3 2 2 4 2" xfId="9" xr:uid="{2E6E3465-445A-43F4-938D-6C374C6239C5}"/>
    <cellStyle name="Normal 12 2" xfId="14" xr:uid="{8E9B35AF-9C9F-4C49-A0B1-3CCD5644C84E}"/>
    <cellStyle name="Normal 2" xfId="22" xr:uid="{E7711301-EFF7-473A-A559-CC7725FAAE56}"/>
    <cellStyle name="Normal 2 2 2 2 2" xfId="1" xr:uid="{23FA4BDA-DC3F-478D-BA91-D6E338289EAF}"/>
    <cellStyle name="Normal 2 2 2 2 2 3 2" xfId="25" xr:uid="{5BCD0D98-81B1-4914-BE49-0908FBC359E8}"/>
    <cellStyle name="Normal 2 2 2 2 3" xfId="7" xr:uid="{8596436A-492A-42C9-A350-9BB09ADBA5D7}"/>
    <cellStyle name="Normal 2 2 4" xfId="6" xr:uid="{79A5E901-DD4E-42DB-A1BD-467701B70713}"/>
    <cellStyle name="Normal 2 2 5" xfId="15" xr:uid="{F5F1E9E8-A762-431D-9519-C6C95516ED2E}"/>
    <cellStyle name="Normal 2 2 5 2" xfId="27" xr:uid="{9C5C6E9E-24EB-44C2-AFE3-4894DF574C29}"/>
    <cellStyle name="Normal 2 3" xfId="13" xr:uid="{BFD23A1B-72F6-4FD3-A972-1145F59B7121}"/>
    <cellStyle name="Normal 3 3 2" xfId="5" xr:uid="{A4E0213E-82F9-4556-B77F-61AAC94F49FF}"/>
    <cellStyle name="Normal 3 3 2 2" xfId="18" xr:uid="{F0D1B859-D22E-4735-9B83-2C1CDB9F390B}"/>
    <cellStyle name="Normal 4 2 2 2 2 2 2 2 3 3 2" xfId="12" xr:uid="{9C8DD0AC-4125-4866-8E13-990B2175E1D9}"/>
    <cellStyle name="Normal 4 2 2 2 2 2 2 2 4 3 6 2" xfId="16" xr:uid="{8CAF2A41-2EC9-47CB-A087-4D0A661198D9}"/>
    <cellStyle name="Normal 4 2 2 2 2 2 2 5 4 2 3 2 2 3 2 2 4 2" xfId="10" xr:uid="{973FDB6D-D242-47B9-A4ED-AB465FE954FF}"/>
    <cellStyle name="Normal 4 2 2 2 2 2 2 6 2 2 3 2 3 3 2 2 4 2" xfId="4" xr:uid="{F19328BE-88ED-4720-9413-8B38C61AC599}"/>
    <cellStyle name="Normal 4 2 4 2 2 4 2 2 2 2 3 2" xfId="11" xr:uid="{E80CB91E-02B5-4EF6-B200-3307FC6E3285}"/>
    <cellStyle name="Normal 4 3 4 2 2 2" xfId="3" xr:uid="{4BBDD29D-015B-406F-B6E3-E3EBCCCE4AC0}"/>
    <cellStyle name="Normal 4 3 4 2 2 2 2" xfId="17" xr:uid="{340F4C21-C8C8-4898-8C35-34551D825901}"/>
    <cellStyle name="Normal 4 3 4 2 2 2 2 2" xfId="20" xr:uid="{E79AF033-45FD-41E3-866F-3DCD787914CD}"/>
    <cellStyle name="Normal 4 3 4 2 2 2 2 3" xfId="26" xr:uid="{4A390341-9E07-47C1-9BB8-4D15D2E7DC3E}"/>
    <cellStyle name="Normal 4 7" xfId="8" xr:uid="{89489393-ADC0-4583-B3D5-EDD9674F05CA}"/>
    <cellStyle name="Normal_Comparer recettes 2009 OK 2 2 2 2" xfId="23" xr:uid="{8D272C3D-BD01-4657-92F5-4FA988E2377F}"/>
  </cellStyles>
  <dxfs count="2">
    <dxf>
      <font>
        <b/>
        <color rgb="FF7F6000"/>
      </font>
      <fill>
        <patternFill>
          <bgColor rgb="FFF4B183"/>
        </patternFill>
      </fill>
    </dxf>
    <dxf>
      <font>
        <b/>
        <color rgb="FFFFFFFF"/>
      </font>
      <fill>
        <patternFill>
          <bgColor rgb="FFC00000"/>
        </patternFill>
      </fill>
    </dxf>
  </dxfs>
  <tableStyles count="0" defaultTableStyle="TableStyleMedium2" defaultPivotStyle="PivotStyleLight16"/>
  <colors>
    <mruColors>
      <color rgb="FF18BEB2"/>
      <color rgb="FF1BD3C6"/>
      <color rgb="FFBDB3A3"/>
      <color rgb="FFEEE9E1"/>
      <color rgb="FFD9CEBD"/>
      <color rgb="FFD4C8B4"/>
      <color rgb="FFA49680"/>
      <color rgb="FFFFFFCC"/>
      <color rgb="FF0000FF"/>
      <color rgb="FF2847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D378-B8D9-4675-80C2-505EB0E8F3B8}">
  <dimension ref="A1:U1019"/>
  <sheetViews>
    <sheetView tabSelected="1" workbookViewId="0">
      <selection activeCell="A10" sqref="A10"/>
    </sheetView>
  </sheetViews>
  <sheetFormatPr baseColWidth="10" defaultColWidth="9.140625" defaultRowHeight="15"/>
  <cols>
    <col min="1" max="1" width="11.7109375" style="70" customWidth="1"/>
    <col min="2" max="8" width="5.7109375" style="70" hidden="1" customWidth="1"/>
    <col min="9" max="9" width="12.28515625" style="70" hidden="1" customWidth="1"/>
    <col min="10" max="10" width="14" style="70" customWidth="1"/>
    <col min="11" max="11" width="122.7109375" style="70" customWidth="1"/>
    <col min="12" max="12" width="9" style="70" customWidth="1"/>
    <col min="13" max="13" width="7.85546875" style="70" customWidth="1"/>
    <col min="14" max="14" width="8.5703125" style="70" customWidth="1"/>
    <col min="15" max="15" width="122.7109375" style="70" customWidth="1"/>
    <col min="16" max="17" width="9" style="70" customWidth="1"/>
    <col min="18" max="18" width="3" style="70" customWidth="1"/>
    <col min="19" max="19" width="11.42578125" style="6"/>
    <col min="20" max="20" width="9.140625" style="6"/>
    <col min="21" max="16384" width="9.140625" style="70"/>
  </cols>
  <sheetData>
    <row r="1" spans="1:21" ht="24" customHeight="1">
      <c r="A1" s="73" t="str">
        <f>ADDRESS(ROW(),COLUMN(),4)</f>
        <v>A1</v>
      </c>
      <c r="B1" s="74"/>
      <c r="C1" s="75"/>
      <c r="D1" s="75"/>
      <c r="E1" s="75"/>
      <c r="F1" s="75"/>
      <c r="G1" s="75"/>
      <c r="H1" s="75"/>
      <c r="I1" s="75"/>
      <c r="J1" s="272" t="s">
        <v>568</v>
      </c>
      <c r="K1" s="272"/>
      <c r="L1" s="272"/>
      <c r="M1" s="272"/>
      <c r="N1" s="272"/>
      <c r="O1" s="272"/>
      <c r="P1" s="272"/>
      <c r="Q1" s="272"/>
      <c r="S1" s="3">
        <v>1</v>
      </c>
    </row>
    <row r="2" spans="1:21" ht="24" customHeight="1">
      <c r="A2" s="273" t="s">
        <v>390</v>
      </c>
      <c r="B2" s="74"/>
      <c r="C2" s="76"/>
      <c r="D2" s="76"/>
      <c r="E2" s="76"/>
      <c r="F2" s="76"/>
      <c r="G2" s="76"/>
      <c r="H2" s="76"/>
      <c r="I2" s="76"/>
      <c r="J2" s="272"/>
      <c r="K2" s="272"/>
      <c r="L2" s="272"/>
      <c r="M2" s="272"/>
      <c r="N2" s="272"/>
      <c r="O2" s="272"/>
      <c r="P2" s="272"/>
      <c r="Q2" s="272"/>
      <c r="S2" s="3">
        <v>1</v>
      </c>
      <c r="U2" s="120" t="s">
        <v>566</v>
      </c>
    </row>
    <row r="3" spans="1:21" ht="24" customHeight="1">
      <c r="A3" s="273"/>
      <c r="B3" s="74" t="s">
        <v>391</v>
      </c>
      <c r="C3" s="76"/>
      <c r="D3" s="76"/>
      <c r="E3" s="76"/>
      <c r="F3" s="76"/>
      <c r="G3" s="76"/>
      <c r="H3" s="76"/>
      <c r="I3" s="76" t="s">
        <v>21</v>
      </c>
      <c r="J3" s="77" t="s">
        <v>21</v>
      </c>
      <c r="K3" s="78" t="s">
        <v>389</v>
      </c>
      <c r="L3" s="79"/>
      <c r="M3" s="79"/>
      <c r="N3" s="79"/>
      <c r="O3" s="79"/>
      <c r="P3" s="23" t="s">
        <v>16</v>
      </c>
      <c r="Q3" s="121" t="str">
        <f>$S$1019</f>
        <v>S1019</v>
      </c>
      <c r="S3" s="3">
        <v>1</v>
      </c>
    </row>
    <row r="4" spans="1:21" ht="30" customHeight="1">
      <c r="B4" s="80"/>
      <c r="C4" s="80"/>
      <c r="D4" s="80"/>
      <c r="E4" s="80"/>
      <c r="F4" s="80"/>
      <c r="G4" s="80"/>
      <c r="H4" s="80"/>
      <c r="I4" s="80"/>
      <c r="J4" s="274" t="str">
        <f>"Saisir le texte en "&amp;K15&amp;"  Régler la longueur en "&amp;ADDRESS(ROW(N10),COLUMN(N10),4)&amp;"    en option  Mettre un  X en  "&amp;ADDRESS(ROW(N11),COLUMN(N11),4)&amp;"  pour alléger une partie de la ponctuation."</f>
        <v>Saisir le texte en COLONNE K  Régler la longueur en N10    en option  Mettre un  X en  N11  pour alléger une partie de la ponctuation.</v>
      </c>
      <c r="K4" s="274"/>
      <c r="L4" s="274"/>
      <c r="M4" s="274"/>
      <c r="N4" s="274"/>
      <c r="O4" s="274"/>
      <c r="P4" s="274"/>
      <c r="Q4" s="274"/>
      <c r="S4" s="3">
        <v>1</v>
      </c>
      <c r="U4" s="35" t="s">
        <v>56</v>
      </c>
    </row>
    <row r="5" spans="1:21" ht="21" customHeight="1">
      <c r="B5" s="80"/>
      <c r="C5" s="80"/>
      <c r="D5" s="80"/>
      <c r="E5" s="80"/>
      <c r="F5" s="80"/>
      <c r="G5" s="80"/>
      <c r="H5" s="80"/>
      <c r="I5" s="81" t="s">
        <v>380</v>
      </c>
      <c r="J5" s="82">
        <f ca="1">INDEX(CELL("largeur",J5),1,1)</f>
        <v>13</v>
      </c>
      <c r="K5" s="82">
        <f ca="1">INDEX(CELL("largeur",K5),1,1)</f>
        <v>122</v>
      </c>
      <c r="L5" s="82">
        <f ca="1">INDEX(CELL("largeur",L5),1,1)</f>
        <v>8</v>
      </c>
      <c r="M5" s="80"/>
      <c r="N5" s="82">
        <f ca="1">INDEX(CELL("largeur",N5),1,1)</f>
        <v>8</v>
      </c>
      <c r="O5" s="82">
        <f ca="1">INDEX(CELL("largeur",O5),1,1)</f>
        <v>122</v>
      </c>
      <c r="P5" s="82">
        <f ca="1">INDEX(CELL("largeur",P5),1,1)</f>
        <v>8</v>
      </c>
      <c r="Q5" s="82">
        <f ca="1">INDEX(CELL("largeur",Q5),1,1)</f>
        <v>8</v>
      </c>
      <c r="S5" s="3">
        <v>1</v>
      </c>
      <c r="U5" s="35" t="s">
        <v>57</v>
      </c>
    </row>
    <row r="6" spans="1:21" ht="21" customHeight="1">
      <c r="B6" s="80"/>
      <c r="C6" s="80"/>
      <c r="D6" s="80"/>
      <c r="E6" s="80"/>
      <c r="F6" s="80"/>
      <c r="G6" s="80"/>
      <c r="H6" s="80"/>
      <c r="I6" s="80"/>
      <c r="J6" s="83"/>
      <c r="K6" s="84" t="str">
        <f ca="1">" Largeur de cette colonne : "&amp;INDEX(CELL("largeur",K6),1,1)</f>
        <v xml:space="preserve"> Largeur de cette colonne : 122</v>
      </c>
      <c r="L6" s="83"/>
      <c r="M6" s="80"/>
      <c r="N6" s="83"/>
      <c r="O6" s="85" t="str">
        <f ca="1">" Largeur de cette colonne : " &amp; O5 &amp; IF(O5 &gt; N9, " - Colonne trop large de " &amp; (O5 - N9), IF(O5 &lt; N9, " - Élargissez la colonne à " &amp; N9, " Largeur correcte"))</f>
        <v xml:space="preserve"> Largeur de cette colonne : 122 Largeur correcte</v>
      </c>
      <c r="P6" s="83"/>
      <c r="Q6" s="83"/>
      <c r="S6" s="3">
        <v>1</v>
      </c>
      <c r="U6" s="35"/>
    </row>
    <row r="7" spans="1:21" ht="21" customHeight="1">
      <c r="B7" s="80"/>
      <c r="C7" s="80"/>
      <c r="D7" s="80"/>
      <c r="E7" s="80"/>
      <c r="F7" s="80"/>
      <c r="G7" s="80"/>
      <c r="H7" s="80"/>
      <c r="I7" s="80"/>
      <c r="J7" s="86" t="s">
        <v>381</v>
      </c>
      <c r="K7" s="87"/>
      <c r="L7" s="87"/>
      <c r="M7" s="80"/>
      <c r="N7" s="275" t="s">
        <v>382</v>
      </c>
      <c r="O7" s="275"/>
      <c r="P7" s="275"/>
      <c r="Q7" s="275"/>
      <c r="S7" s="3">
        <v>1</v>
      </c>
      <c r="U7" s="35" t="s">
        <v>58</v>
      </c>
    </row>
    <row r="8" spans="1:21" ht="21" customHeight="1">
      <c r="B8" s="80"/>
      <c r="C8" s="80"/>
      <c r="D8" s="80"/>
      <c r="E8" s="80"/>
      <c r="F8" s="80"/>
      <c r="G8" s="80"/>
      <c r="H8" s="80"/>
      <c r="I8" s="80"/>
      <c r="J8" s="88">
        <f>COUNTIF(K18:K203,"&lt;&gt;")</f>
        <v>29</v>
      </c>
      <c r="K8" s="89" t="s">
        <v>101</v>
      </c>
      <c r="L8" s="80"/>
      <c r="N8" s="90"/>
      <c r="O8" s="91" t="str">
        <f>"1️⃣ saisissez ou collez votre texte "&amp;K15</f>
        <v>1️⃣ saisissez ou collez votre texte COLONNE K</v>
      </c>
      <c r="P8" s="80"/>
      <c r="Q8" s="80"/>
      <c r="S8" s="3">
        <v>1</v>
      </c>
      <c r="U8" s="35" t="s">
        <v>59</v>
      </c>
    </row>
    <row r="9" spans="1:21" ht="21" customHeight="1">
      <c r="B9" s="80"/>
      <c r="C9" s="80"/>
      <c r="D9" s="80"/>
      <c r="E9" s="80"/>
      <c r="F9" s="80"/>
      <c r="G9" s="80"/>
      <c r="H9" s="80"/>
      <c r="I9" s="80"/>
      <c r="J9" s="88">
        <f>SUM(L18:L203)</f>
        <v>1934</v>
      </c>
      <c r="K9" s="89" t="s">
        <v>111</v>
      </c>
      <c r="L9" s="80"/>
      <c r="M9" s="92" t="str">
        <f>ADDRESS(ROW(N10),COLUMN(N10),4)&amp;" ►"</f>
        <v>N10 ►</v>
      </c>
      <c r="N9" s="93">
        <v>122</v>
      </c>
      <c r="O9" s="94" t="s">
        <v>17</v>
      </c>
      <c r="P9" s="80"/>
      <c r="Q9" s="80"/>
      <c r="S9" s="3">
        <v>1</v>
      </c>
      <c r="U9"/>
    </row>
    <row r="10" spans="1:21" ht="21" customHeight="1">
      <c r="B10" s="80"/>
      <c r="C10" s="80"/>
      <c r="D10" s="80"/>
      <c r="E10" s="80"/>
      <c r="F10" s="80"/>
      <c r="G10" s="80"/>
      <c r="H10" s="80"/>
      <c r="I10" s="80"/>
      <c r="J10" s="88" cm="1">
        <f t="array" ref="J10">SUMPRODUCT((K18:K203&lt;&gt;"")*(LEN(TRIM(K18:K203))-LEN(SUBSTITUTE(TRIM(K18:K203)," ",""))+1))</f>
        <v>350</v>
      </c>
      <c r="K10" s="89" t="s">
        <v>112</v>
      </c>
      <c r="L10" s="80"/>
      <c r="M10" s="92" t="str">
        <f>ADDRESS(ROW(N11),COLUMN(N11),4)&amp;" ►"</f>
        <v>N11 ►</v>
      </c>
      <c r="N10" s="95">
        <v>80</v>
      </c>
      <c r="O10" s="94" t="s">
        <v>49</v>
      </c>
      <c r="P10" s="80"/>
      <c r="Q10" s="80"/>
      <c r="S10" s="3">
        <v>1</v>
      </c>
      <c r="U10"/>
    </row>
    <row r="11" spans="1:21" ht="21" customHeight="1">
      <c r="B11" s="80"/>
      <c r="C11" s="80"/>
      <c r="D11" s="80"/>
      <c r="E11" s="80"/>
      <c r="F11" s="80"/>
      <c r="G11" s="80"/>
      <c r="H11" s="80"/>
      <c r="I11" s="80"/>
      <c r="J11" s="88">
        <f>COUNTIF(O18:O1017,"&lt;&gt;")</f>
        <v>1000</v>
      </c>
      <c r="K11" s="89" t="s">
        <v>113</v>
      </c>
      <c r="L11" s="80"/>
      <c r="M11" s="92" t="str">
        <f>ADDRESS(ROW(N12),COLUMN(N12),4)&amp;" ►"</f>
        <v>N12 ►</v>
      </c>
      <c r="N11" s="96"/>
      <c r="O11" s="97" t="s">
        <v>18</v>
      </c>
      <c r="P11" s="80"/>
      <c r="Q11" s="80"/>
      <c r="S11" s="3">
        <v>1</v>
      </c>
      <c r="U11" s="35" t="s">
        <v>60</v>
      </c>
    </row>
    <row r="12" spans="1:21" ht="21" customHeight="1">
      <c r="B12" s="80"/>
      <c r="C12" s="80"/>
      <c r="D12" s="80"/>
      <c r="E12" s="80"/>
      <c r="F12" s="80"/>
      <c r="G12" s="80"/>
      <c r="H12" s="80"/>
      <c r="I12" s="80"/>
      <c r="J12" s="88" t="str">
        <f>IF(H1017&lt;&gt;"","Texte plus long que la zone de sortie","Prêt")</f>
        <v>Prêt</v>
      </c>
      <c r="K12" s="89" t="s">
        <v>114</v>
      </c>
      <c r="L12" s="80"/>
      <c r="M12" s="80"/>
      <c r="N12" s="276" t="s">
        <v>383</v>
      </c>
      <c r="O12" s="276"/>
      <c r="P12" s="276"/>
      <c r="Q12" s="276"/>
      <c r="S12" s="3">
        <v>1</v>
      </c>
      <c r="U12" s="35" t="s">
        <v>61</v>
      </c>
    </row>
    <row r="13" spans="1:21" ht="21" customHeight="1">
      <c r="B13" s="80"/>
      <c r="C13" s="80"/>
      <c r="D13" s="80"/>
      <c r="E13" s="80"/>
      <c r="F13" s="80"/>
      <c r="G13" s="80"/>
      <c r="H13" s="80"/>
      <c r="I13" s="80"/>
      <c r="J13" s="123" t="s">
        <v>569</v>
      </c>
      <c r="K13" s="88"/>
      <c r="L13" s="80"/>
      <c r="M13" s="80"/>
      <c r="N13" s="276"/>
      <c r="O13" s="276"/>
      <c r="P13" s="276"/>
      <c r="Q13" s="276"/>
      <c r="S13" s="3">
        <v>1</v>
      </c>
      <c r="U13" s="35"/>
    </row>
    <row r="14" spans="1:21" ht="21" customHeight="1">
      <c r="B14" s="269" t="s">
        <v>384</v>
      </c>
      <c r="C14" s="269"/>
      <c r="D14" s="269"/>
      <c r="E14" s="269"/>
      <c r="F14" s="269"/>
      <c r="G14" s="269"/>
      <c r="H14" s="269"/>
      <c r="I14" s="269"/>
      <c r="J14" s="269" t="s">
        <v>385</v>
      </c>
      <c r="K14" s="269"/>
      <c r="L14" s="269"/>
      <c r="M14" s="98"/>
      <c r="N14" s="269" t="s">
        <v>386</v>
      </c>
      <c r="O14" s="269"/>
      <c r="P14" s="269"/>
      <c r="Q14" s="269"/>
      <c r="S14" s="3">
        <v>1</v>
      </c>
      <c r="U14" s="35" t="s">
        <v>62</v>
      </c>
    </row>
    <row r="15" spans="1:21" ht="21" customHeight="1">
      <c r="B15" s="99"/>
      <c r="C15" s="99"/>
      <c r="D15" s="99"/>
      <c r="E15" s="99"/>
      <c r="F15" s="99"/>
      <c r="G15" s="99"/>
      <c r="H15" s="99"/>
      <c r="I15" s="99"/>
      <c r="J15" s="100"/>
      <c r="K15" s="101" t="str">
        <f>"COLONNE "&amp;SUBSTITUTE(ADDRESS(1,COLUMN(),4),"1","")</f>
        <v>COLONNE K</v>
      </c>
      <c r="L15" s="100"/>
      <c r="M15" s="80"/>
      <c r="N15" s="102"/>
      <c r="O15" s="103" t="str">
        <f>"COLONNE "&amp;SUBSTITUTE(ADDRESS(1,COLUMN(),4),"1","")</f>
        <v>COLONNE O</v>
      </c>
      <c r="P15" s="102"/>
      <c r="Q15" s="102"/>
      <c r="S15" s="3">
        <v>1</v>
      </c>
      <c r="U15" s="35" t="s">
        <v>63</v>
      </c>
    </row>
    <row r="16" spans="1:21" ht="21" customHeight="1">
      <c r="B16" s="104" t="s">
        <v>102</v>
      </c>
      <c r="C16" s="105" t="s">
        <v>387</v>
      </c>
      <c r="D16" s="105" t="s">
        <v>103</v>
      </c>
      <c r="E16" s="105" t="s">
        <v>104</v>
      </c>
      <c r="F16" s="105" t="s">
        <v>105</v>
      </c>
      <c r="G16" s="105" t="s">
        <v>106</v>
      </c>
      <c r="H16" s="105" t="s">
        <v>107</v>
      </c>
      <c r="I16" s="105" t="s">
        <v>108</v>
      </c>
      <c r="J16" s="106" t="s">
        <v>109</v>
      </c>
      <c r="K16" s="270" t="s">
        <v>19</v>
      </c>
      <c r="L16" s="106" t="s">
        <v>388</v>
      </c>
      <c r="M16" s="80"/>
      <c r="N16" s="107" t="s">
        <v>109</v>
      </c>
      <c r="O16" s="271" t="s">
        <v>567</v>
      </c>
      <c r="P16" s="107" t="s">
        <v>110</v>
      </c>
      <c r="Q16" s="107" t="s">
        <v>388</v>
      </c>
      <c r="S16" s="3">
        <v>1</v>
      </c>
      <c r="U16"/>
    </row>
    <row r="17" spans="2:21" ht="20.100000000000001" customHeight="1">
      <c r="B17" s="99"/>
      <c r="C17" s="99"/>
      <c r="D17" s="99"/>
      <c r="E17" s="99"/>
      <c r="F17" s="99"/>
      <c r="G17" s="99"/>
      <c r="H17" s="99"/>
      <c r="I17" s="99"/>
      <c r="J17" s="106"/>
      <c r="K17" s="270"/>
      <c r="L17" s="106"/>
      <c r="M17" s="80"/>
      <c r="N17" s="108"/>
      <c r="O17" s="271"/>
      <c r="P17" s="108"/>
      <c r="Q17" s="108"/>
      <c r="S17" s="3">
        <v>1</v>
      </c>
      <c r="T17"/>
      <c r="U17"/>
    </row>
    <row r="18" spans="2:21" ht="30" customHeight="1">
      <c r="B18" s="99" t="str">
        <f t="shared" ref="B18:B81" si="0">IF(TRIM(SUBSTITUTE(K18,CHAR(160),""))="","",TRIM(SUBSTITUTE(SUBSTITUTE(SUBSTITUTE(SUBSTITUTE(CLEAN(K18),CHAR(160)," "),CHAR(9)," "),CHAR(10)," "),CHAR(13)," ")))</f>
        <v>Tarte normande aux pommes et aux amandes 🍎🥧</v>
      </c>
      <c r="C18" s="99" t="str">
        <f t="shared" ref="C18:C81" si="1">IF(B18="","",TRIM(SUBSTITUTE(SUBSTITUTE(SUBSTITUTE(SUBSTITUTE(SUBSTITUTE(SUBSTITUTE(SUBSTITUTE(SUBSTITUTE(SUBSTITUTE(SUBSTITUTE(B18,","," "),";"," "),":"," "),"."," "),"?"," "), "!"," "),"/"," "), "("," "), ")"," "), "-"," ")))</f>
        <v>Tarte normande aux pommes et aux amandes 🍎🥧</v>
      </c>
      <c r="D18" s="99" t="str">
        <f>IF(UPPER(TRIM(N11))="X",C18,B18)</f>
        <v>Tarte normande aux pommes et aux amandes 🍎🥧</v>
      </c>
      <c r="E18" s="99" cm="1">
        <f t="array" ref="E18">IFERROR(MATCH(TRUE(),INDEX(K18:K203&lt;&gt;"",0),0)+17,"")</f>
        <v>18</v>
      </c>
      <c r="F18" s="99" t="str" cm="1">
        <f t="array" ref="F18">IF(E18="","",INDEX(D:D,E18))</f>
        <v>Tarte normande aux pommes et aux amandes 🍎🥧</v>
      </c>
      <c r="G18" s="99" t="str">
        <f t="shared" ref="G18:G81" si="2">IF(OR(F18="",M18=""),"",LEFT(F18,M18))</f>
        <v>Tarte normande aux pommes et aux amandes 🍎🥧</v>
      </c>
      <c r="H18" s="109" t="str">
        <f t="shared" ref="H18:H81" si="3">IF(OR(F18="",M18=""),"",TRIM(MID(F18,M18+1,99999)))</f>
        <v/>
      </c>
      <c r="I18" s="99" t="str">
        <f>IF(AND(F18&lt;&gt;"",N10&gt;0,M18&gt;N10),"Mot &gt; limite","")</f>
        <v/>
      </c>
      <c r="J18" s="110">
        <f>IF(K18="","",COUNTIF(K18:K18,"&lt;&gt;"))</f>
        <v>1</v>
      </c>
      <c r="K18" s="111" t="s">
        <v>393</v>
      </c>
      <c r="L18" s="110">
        <f t="shared" ref="L18:L81" si="4">IF(TRIM(SUBSTITUTE(K18,CHAR(160),""))="","",LEN(K18))</f>
        <v>45</v>
      </c>
      <c r="M18" s="80">
        <f>IF(OR(F18="",N10="",N10&lt;=0),"",IF(LEN(F18)&lt;=N10,LEN(F18),IFERROR(FIND("♦",SUBSTITUTE(LEFT(F18,N10)," ","♦",LEN(LEFT(F18,N10))-LEN(SUBSTITUTE(LEFT(F18,N10)," ","")))),FIND(" ",F18&amp;" ",N10+1)-1)))</f>
        <v>45</v>
      </c>
      <c r="N18" s="112">
        <f t="shared" ref="N18:N81" si="5">IF(O18="","",ROW()-17)</f>
        <v>1</v>
      </c>
      <c r="O18" s="113" t="str">
        <f t="shared" ref="O18:O81" si="6">G18</f>
        <v>Tarte normande aux pommes et aux amandes 🍎🥧</v>
      </c>
      <c r="P18" s="112">
        <f t="shared" ref="P18:P81" si="7">IF(O18="","",LEN(TRIM(O18))-LEN(SUBSTITUTE(TRIM(O18)," ",""))+1)</f>
        <v>8</v>
      </c>
      <c r="Q18" s="112">
        <f t="shared" ref="Q18:Q81" si="8">IF(O18="","",LEN(O18))</f>
        <v>45</v>
      </c>
      <c r="S18" s="3">
        <v>1</v>
      </c>
      <c r="T18"/>
      <c r="U18" s="35" t="s">
        <v>64</v>
      </c>
    </row>
    <row r="19" spans="2:21" ht="30" customHeight="1">
      <c r="B19" s="99" t="str">
        <f t="shared" si="0"/>
        <v>Un grand classique de la pâtisserie française ! Cette tarte normande fondante aux pommes et aux amandes est à la fois simple, économique et délicieusement parfumée. À servir tiède avec une cuillerée de crème fraîche pour un pur moment de douceur.</v>
      </c>
      <c r="C19" s="99" t="str">
        <f t="shared" si="1"/>
        <v>Un grand classique de la pâtisserie française Cette tarte normande fondante aux pommes et aux amandes est à la fois simple économique et délicieusement parfumée À servir tiède avec une cuillerée de crème fraîche pour un pur moment de douceur</v>
      </c>
      <c r="D19" s="99" t="str">
        <f>IF(UPPER(TRIM(N11))="X",C19,B19)</f>
        <v>Un grand classique de la pâtisserie française ! Cette tarte normande fondante aux pommes et aux amandes est à la fois simple, économique et délicieusement parfumée. À servir tiède avec une cuillerée de crème fraîche pour un pur moment de douceur.</v>
      </c>
      <c r="E19" s="99" cm="1">
        <f t="array" ref="E19">IF(H18&lt;&gt;"",E18,IF(E18="","",IFERROR(MATCH(TRUE(),INDEX(INDEX(K:K,E18+1):K203&lt;&gt;"",0),0)+E18,"")))</f>
        <v>19</v>
      </c>
      <c r="F19" s="99" t="str" cm="1">
        <f t="array" ref="F19">IF(E19="","",IF(H18&lt;&gt;"",H18,INDEX(D:D,E19)))</f>
        <v>Un grand classique de la pâtisserie française ! Cette tarte normande fondante aux pommes et aux amandes est à la fois simple, économique et délicieusement parfumée. À servir tiède avec une cuillerée de crème fraîche pour un pur moment de douceur.</v>
      </c>
      <c r="G19" s="99" t="str">
        <f t="shared" si="2"/>
        <v xml:space="preserve">Un grand classique de la pâtisserie française ! Cette tarte normande fondante </v>
      </c>
      <c r="H19" s="109" t="str">
        <f t="shared" si="3"/>
        <v>aux pommes et aux amandes est à la fois simple, économique et délicieusement parfumée. À servir tiède avec une cuillerée de crème fraîche pour un pur moment de douceur.</v>
      </c>
      <c r="I19" s="114" t="str">
        <f>IF(AND(F19&lt;&gt;"",N10&gt;0,M19&gt;N10),"Mot &gt; limite","")</f>
        <v/>
      </c>
      <c r="J19" s="110">
        <f>IF(K19="","",COUNTIF(K18:K19,"&lt;&gt;"))</f>
        <v>2</v>
      </c>
      <c r="K19" s="111" t="s">
        <v>394</v>
      </c>
      <c r="L19" s="110">
        <f t="shared" si="4"/>
        <v>246</v>
      </c>
      <c r="M19" s="80">
        <f>IF(OR(F19="",N10="",N10&lt;=0),"",IF(LEN(F19)&lt;=N10,LEN(F19),IFERROR(FIND("♦",SUBSTITUTE(LEFT(F19,N10)," ","♦",LEN(LEFT(F19,N10))-LEN(SUBSTITUTE(LEFT(F19,N10)," ","")))),FIND(" ",F19&amp;" ",N10+1)-1)))</f>
        <v>78</v>
      </c>
      <c r="N19" s="112">
        <f t="shared" si="5"/>
        <v>2</v>
      </c>
      <c r="O19" s="115" t="str">
        <f t="shared" si="6"/>
        <v xml:space="preserve">Un grand classique de la pâtisserie française ! Cette tarte normande fondante </v>
      </c>
      <c r="P19" s="112">
        <f t="shared" si="7"/>
        <v>12</v>
      </c>
      <c r="Q19" s="112">
        <f t="shared" si="8"/>
        <v>78</v>
      </c>
      <c r="S19" s="3">
        <v>1</v>
      </c>
      <c r="T19"/>
      <c r="U19" s="35" t="s">
        <v>65</v>
      </c>
    </row>
    <row r="20" spans="2:21" ht="30" customHeight="1">
      <c r="B20" s="99" t="str">
        <f t="shared" si="0"/>
        <v>Ingrédients :</v>
      </c>
      <c r="C20" s="99" t="str">
        <f t="shared" si="1"/>
        <v>Ingrédients</v>
      </c>
      <c r="D20" s="99" t="str">
        <f>IF(UPPER(TRIM(N11))="X",C20,B20)</f>
        <v>Ingrédients :</v>
      </c>
      <c r="E20" s="99" cm="1">
        <f t="array" ref="E20">IF(H19&lt;&gt;"",E19,IF(E19="","",IFERROR(MATCH(TRUE(),INDEX(INDEX(K:K,E19+1):K203&lt;&gt;"",0),0)+E19,"")))</f>
        <v>19</v>
      </c>
      <c r="F20" s="99" t="str" cm="1">
        <f t="array" ref="F20">IF(E20="","",IF(H19&lt;&gt;"",H19,INDEX(D:D,E20)))</f>
        <v>aux pommes et aux amandes est à la fois simple, économique et délicieusement parfumée. À servir tiède avec une cuillerée de crème fraîche pour un pur moment de douceur.</v>
      </c>
      <c r="G20" s="99" t="str">
        <f t="shared" si="2"/>
        <v xml:space="preserve">aux pommes et aux amandes est à la fois simple, économique et délicieusement </v>
      </c>
      <c r="H20" s="109" t="str">
        <f t="shared" si="3"/>
        <v>parfumée. À servir tiède avec une cuillerée de crème fraîche pour un pur moment de douceur.</v>
      </c>
      <c r="I20" s="114" t="str">
        <f>IF(AND(F20&lt;&gt;"",N10&gt;0,M20&gt;N10),"Mot &gt; limite","")</f>
        <v/>
      </c>
      <c r="J20" s="110">
        <f>IF(K20="","",COUNTIF(K18:K20,"&lt;&gt;"))</f>
        <v>3</v>
      </c>
      <c r="K20" s="111" t="s">
        <v>395</v>
      </c>
      <c r="L20" s="110">
        <f t="shared" si="4"/>
        <v>13</v>
      </c>
      <c r="M20" s="80">
        <f>IF(OR(F20="",N10="",N10&lt;=0),"",IF(LEN(F20)&lt;=N10,LEN(F20),IFERROR(FIND("♦",SUBSTITUTE(LEFT(F20,N10)," ","♦",LEN(LEFT(F20,N10))-LEN(SUBSTITUTE(LEFT(F20,N10)," ","")))),FIND(" ",F20&amp;" ",N10+1)-1)))</f>
        <v>77</v>
      </c>
      <c r="N20" s="112">
        <f t="shared" si="5"/>
        <v>3</v>
      </c>
      <c r="O20" s="113" t="str">
        <f t="shared" si="6"/>
        <v xml:space="preserve">aux pommes et aux amandes est à la fois simple, économique et délicieusement </v>
      </c>
      <c r="P20" s="112">
        <f t="shared" si="7"/>
        <v>13</v>
      </c>
      <c r="Q20" s="112">
        <f t="shared" si="8"/>
        <v>77</v>
      </c>
      <c r="S20" s="3">
        <v>1</v>
      </c>
      <c r="T20"/>
      <c r="U20" s="35"/>
    </row>
    <row r="21" spans="2:21" ht="30" customHeight="1">
      <c r="B21" s="99" t="str">
        <f t="shared" si="0"/>
        <v>• 1 pâte sablée</v>
      </c>
      <c r="C21" s="99" t="str">
        <f t="shared" si="1"/>
        <v>• 1 pâte sablée</v>
      </c>
      <c r="D21" s="99" t="str">
        <f>IF(UPPER(TRIM(N11))="X",C21,B21)</f>
        <v>• 1 pâte sablée</v>
      </c>
      <c r="E21" s="99" cm="1">
        <f t="array" ref="E21">IF(H20&lt;&gt;"",E20,IF(E20="","",IFERROR(MATCH(TRUE(),INDEX(INDEX(K:K,E20+1):K203&lt;&gt;"",0),0)+E20,"")))</f>
        <v>19</v>
      </c>
      <c r="F21" s="99" t="str" cm="1">
        <f t="array" ref="F21">IF(E21="","",IF(H20&lt;&gt;"",H20,INDEX(D:D,E21)))</f>
        <v>parfumée. À servir tiède avec une cuillerée de crème fraîche pour un pur moment de douceur.</v>
      </c>
      <c r="G21" s="99" t="str">
        <f t="shared" si="2"/>
        <v xml:space="preserve">parfumée. À servir tiède avec une cuillerée de crème fraîche pour un pur moment </v>
      </c>
      <c r="H21" s="109" t="str">
        <f t="shared" si="3"/>
        <v>de douceur.</v>
      </c>
      <c r="I21" s="114" t="str">
        <f>IF(AND(F21&lt;&gt;"",N10&gt;0,M21&gt;N10),"Mot &gt; limite","")</f>
        <v/>
      </c>
      <c r="J21" s="110">
        <f>IF(K21="","",COUNTIF(K18:K21,"&lt;&gt;"))</f>
        <v>4</v>
      </c>
      <c r="K21" s="111" t="s">
        <v>396</v>
      </c>
      <c r="L21" s="110">
        <f t="shared" si="4"/>
        <v>15</v>
      </c>
      <c r="M21" s="80">
        <f>IF(OR(F21="",N10="",N10&lt;=0),"",IF(LEN(F21)&lt;=N10,LEN(F21),IFERROR(FIND("♦",SUBSTITUTE(LEFT(F21,N10)," ","♦",LEN(LEFT(F21,N10))-LEN(SUBSTITUTE(LEFT(F21,N10)," ","")))),FIND(" ",F21&amp;" ",N10+1)-1)))</f>
        <v>80</v>
      </c>
      <c r="N21" s="112">
        <f t="shared" si="5"/>
        <v>4</v>
      </c>
      <c r="O21" s="113" t="str">
        <f t="shared" si="6"/>
        <v xml:space="preserve">parfumée. À servir tiède avec une cuillerée de crème fraîche pour un pur moment </v>
      </c>
      <c r="P21" s="112">
        <f t="shared" si="7"/>
        <v>14</v>
      </c>
      <c r="Q21" s="112">
        <f t="shared" si="8"/>
        <v>80</v>
      </c>
      <c r="S21" s="3">
        <v>1</v>
      </c>
      <c r="T21"/>
      <c r="U21" s="35" t="s">
        <v>66</v>
      </c>
    </row>
    <row r="22" spans="2:21" ht="30" customHeight="1">
      <c r="B22" s="99" t="str">
        <f t="shared" si="0"/>
        <v>• 6 pommes</v>
      </c>
      <c r="C22" s="99" t="str">
        <f t="shared" si="1"/>
        <v>• 6 pommes</v>
      </c>
      <c r="D22" s="99" t="str">
        <f>IF(UPPER(TRIM(N11))="X",C22,B22)</f>
        <v>• 6 pommes</v>
      </c>
      <c r="E22" s="99" cm="1">
        <f t="array" ref="E22">IF(H21&lt;&gt;"",E21,IF(E21="","",IFERROR(MATCH(TRUE(),INDEX(INDEX(K:K,E21+1):K203&lt;&gt;"",0),0)+E21,"")))</f>
        <v>19</v>
      </c>
      <c r="F22" s="99" t="str" cm="1">
        <f t="array" ref="F22">IF(E22="","",IF(H21&lt;&gt;"",H21,INDEX(D:D,E22)))</f>
        <v>de douceur.</v>
      </c>
      <c r="G22" s="99" t="str">
        <f t="shared" si="2"/>
        <v>de douceur.</v>
      </c>
      <c r="H22" s="109" t="str">
        <f t="shared" si="3"/>
        <v/>
      </c>
      <c r="I22" s="114" t="str">
        <f>IF(AND(F22&lt;&gt;"",N10&gt;0,M22&gt;N10),"Mot &gt; limite","")</f>
        <v/>
      </c>
      <c r="J22" s="110">
        <f>IF(K22="","",COUNTIF(K18:K22,"&lt;&gt;"))</f>
        <v>5</v>
      </c>
      <c r="K22" s="111" t="s">
        <v>397</v>
      </c>
      <c r="L22" s="110">
        <f t="shared" si="4"/>
        <v>10</v>
      </c>
      <c r="M22" s="80">
        <f>IF(OR(F22="",N10="",N10&lt;=0),"",IF(LEN(F22)&lt;=N10,LEN(F22),IFERROR(FIND("♦",SUBSTITUTE(LEFT(F22,N10)," ","♦",LEN(LEFT(F22,N10))-LEN(SUBSTITUTE(LEFT(F22,N10)," ","")))),FIND(" ",F22&amp;" ",N10+1)-1)))</f>
        <v>11</v>
      </c>
      <c r="N22" s="112">
        <f t="shared" si="5"/>
        <v>5</v>
      </c>
      <c r="O22" s="113" t="str">
        <f t="shared" si="6"/>
        <v>de douceur.</v>
      </c>
      <c r="P22" s="112">
        <f t="shared" si="7"/>
        <v>2</v>
      </c>
      <c r="Q22" s="112">
        <f t="shared" si="8"/>
        <v>11</v>
      </c>
      <c r="S22" s="3">
        <v>1</v>
      </c>
      <c r="T22"/>
      <c r="U22" s="35" t="s">
        <v>67</v>
      </c>
    </row>
    <row r="23" spans="2:21" ht="30" customHeight="1">
      <c r="B23" s="99" t="str">
        <f t="shared" si="0"/>
        <v>• 3 œufs</v>
      </c>
      <c r="C23" s="99" t="str">
        <f t="shared" si="1"/>
        <v>• 3 œufs</v>
      </c>
      <c r="D23" s="99" t="str">
        <f>IF(UPPER(TRIM(N11))="X",C23,B23)</f>
        <v>• 3 œufs</v>
      </c>
      <c r="E23" s="99" cm="1">
        <f t="array" ref="E23">IF(H22&lt;&gt;"",E22,IF(E22="","",IFERROR(MATCH(TRUE(),INDEX(INDEX(K:K,E22+1):K203&lt;&gt;"",0),0)+E22,"")))</f>
        <v>20</v>
      </c>
      <c r="F23" s="99" t="str" cm="1">
        <f t="array" ref="F23">IF(E23="","",IF(H22&lt;&gt;"",H22,INDEX(D:D,E23)))</f>
        <v>Ingrédients :</v>
      </c>
      <c r="G23" s="99" t="str">
        <f t="shared" si="2"/>
        <v>Ingrédients :</v>
      </c>
      <c r="H23" s="109" t="str">
        <f t="shared" si="3"/>
        <v/>
      </c>
      <c r="I23" s="114" t="str">
        <f>IF(AND(F23&lt;&gt;"",N10&gt;0,M23&gt;N10),"Mot &gt; limite","")</f>
        <v/>
      </c>
      <c r="J23" s="110">
        <f>IF(K23="","",COUNTIF(K18:K23,"&lt;&gt;"))</f>
        <v>6</v>
      </c>
      <c r="K23" s="111" t="s">
        <v>398</v>
      </c>
      <c r="L23" s="110">
        <f t="shared" si="4"/>
        <v>8</v>
      </c>
      <c r="M23" s="80">
        <f>IF(OR(F23="",N10="",N10&lt;=0),"",IF(LEN(F23)&lt;=N10,LEN(F23),IFERROR(FIND("♦",SUBSTITUTE(LEFT(F23,N10)," ","♦",LEN(LEFT(F23,N10))-LEN(SUBSTITUTE(LEFT(F23,N10)," ","")))),FIND(" ",F23&amp;" ",N10+1)-1)))</f>
        <v>13</v>
      </c>
      <c r="N23" s="112">
        <f t="shared" si="5"/>
        <v>6</v>
      </c>
      <c r="O23" s="113" t="str">
        <f t="shared" si="6"/>
        <v>Ingrédients :</v>
      </c>
      <c r="P23" s="112">
        <f t="shared" si="7"/>
        <v>2</v>
      </c>
      <c r="Q23" s="112">
        <f t="shared" si="8"/>
        <v>13</v>
      </c>
      <c r="S23" s="3">
        <v>1</v>
      </c>
      <c r="T23"/>
    </row>
    <row r="24" spans="2:21" ht="30" customHeight="1">
      <c r="B24" s="99" t="str">
        <f t="shared" si="0"/>
        <v>• 50 g de poudre d’amandes</v>
      </c>
      <c r="C24" s="99" t="str">
        <f t="shared" si="1"/>
        <v>• 50 g de poudre d’amandes</v>
      </c>
      <c r="D24" s="99" t="str">
        <f>IF(UPPER(TRIM(N11))="X",C24,B24)</f>
        <v>• 50 g de poudre d’amandes</v>
      </c>
      <c r="E24" s="99" cm="1">
        <f t="array" ref="E24">IF(H23&lt;&gt;"",E23,IF(E23="","",IFERROR(MATCH(TRUE(),INDEX(INDEX(K:K,E23+1):K203&lt;&gt;"",0),0)+E23,"")))</f>
        <v>21</v>
      </c>
      <c r="F24" s="99" t="str" cm="1">
        <f t="array" ref="F24">IF(E24="","",IF(H23&lt;&gt;"",H23,INDEX(D:D,E24)))</f>
        <v>• 1 pâte sablée</v>
      </c>
      <c r="G24" s="99" t="str">
        <f t="shared" si="2"/>
        <v>• 1 pâte sablée</v>
      </c>
      <c r="H24" s="109" t="str">
        <f t="shared" si="3"/>
        <v/>
      </c>
      <c r="I24" s="114" t="str">
        <f>IF(AND(F24&lt;&gt;"",N10&gt;0,M24&gt;N10),"Mot &gt; limite","")</f>
        <v/>
      </c>
      <c r="J24" s="110">
        <f>IF(K24="","",COUNTIF(K18:K24,"&lt;&gt;"))</f>
        <v>7</v>
      </c>
      <c r="K24" s="111" t="s">
        <v>399</v>
      </c>
      <c r="L24" s="110">
        <f t="shared" si="4"/>
        <v>26</v>
      </c>
      <c r="M24" s="80">
        <f>IF(OR(F24="",N10="",N10&lt;=0),"",IF(LEN(F24)&lt;=N10,LEN(F24),IFERROR(FIND("♦",SUBSTITUTE(LEFT(F24,N10)," ","♦",LEN(LEFT(F24,N10))-LEN(SUBSTITUTE(LEFT(F24,N10)," ","")))),FIND(" ",F24&amp;" ",N10+1)-1)))</f>
        <v>15</v>
      </c>
      <c r="N24" s="112">
        <f t="shared" si="5"/>
        <v>7</v>
      </c>
      <c r="O24" s="113" t="str">
        <f t="shared" si="6"/>
        <v>• 1 pâte sablée</v>
      </c>
      <c r="P24" s="112">
        <f t="shared" si="7"/>
        <v>4</v>
      </c>
      <c r="Q24" s="112">
        <f t="shared" si="8"/>
        <v>15</v>
      </c>
      <c r="S24" s="3">
        <v>1</v>
      </c>
      <c r="T24"/>
    </row>
    <row r="25" spans="2:21" ht="30" customHeight="1">
      <c r="B25" s="99" t="str">
        <f t="shared" si="0"/>
        <v>• 50 g d’amandes effilées</v>
      </c>
      <c r="C25" s="99" t="str">
        <f t="shared" si="1"/>
        <v>• 50 g d’amandes effilées</v>
      </c>
      <c r="D25" s="99" t="str">
        <f>IF(UPPER(TRIM(N11))="X",C25,B25)</f>
        <v>• 50 g d’amandes effilées</v>
      </c>
      <c r="E25" s="99" cm="1">
        <f t="array" ref="E25">IF(H24&lt;&gt;"",E24,IF(E24="","",IFERROR(MATCH(TRUE(),INDEX(INDEX(K:K,E24+1):K203&lt;&gt;"",0),0)+E24,"")))</f>
        <v>22</v>
      </c>
      <c r="F25" s="99" t="str" cm="1">
        <f t="array" ref="F25">IF(E25="","",IF(H24&lt;&gt;"",H24,INDEX(D:D,E25)))</f>
        <v>• 6 pommes</v>
      </c>
      <c r="G25" s="99" t="str">
        <f t="shared" si="2"/>
        <v>• 6 pommes</v>
      </c>
      <c r="H25" s="109" t="str">
        <f t="shared" si="3"/>
        <v/>
      </c>
      <c r="I25" s="114" t="str">
        <f>IF(AND(F25&lt;&gt;"",N10&gt;0,M25&gt;N10),"Mot &gt; limite","")</f>
        <v/>
      </c>
      <c r="J25" s="110">
        <f>IF(K25="","",COUNTIF(K18:K25,"&lt;&gt;"))</f>
        <v>8</v>
      </c>
      <c r="K25" s="111" t="s">
        <v>400</v>
      </c>
      <c r="L25" s="110">
        <f t="shared" si="4"/>
        <v>25</v>
      </c>
      <c r="M25" s="80">
        <f>IF(OR(F25="",N10="",N10&lt;=0),"",IF(LEN(F25)&lt;=N10,LEN(F25),IFERROR(FIND("♦",SUBSTITUTE(LEFT(F25,N10)," ","♦",LEN(LEFT(F25,N10))-LEN(SUBSTITUTE(LEFT(F25,N10)," ","")))),FIND(" ",F25&amp;" ",N10+1)-1)))</f>
        <v>10</v>
      </c>
      <c r="N25" s="112">
        <f t="shared" si="5"/>
        <v>8</v>
      </c>
      <c r="O25" s="113" t="str">
        <f t="shared" si="6"/>
        <v>• 6 pommes</v>
      </c>
      <c r="P25" s="112">
        <f t="shared" si="7"/>
        <v>3</v>
      </c>
      <c r="Q25" s="112">
        <f t="shared" si="8"/>
        <v>10</v>
      </c>
      <c r="S25" s="3">
        <v>1</v>
      </c>
      <c r="T25"/>
    </row>
    <row r="26" spans="2:21" ht="30" customHeight="1">
      <c r="B26" s="99" t="str">
        <f t="shared" si="0"/>
        <v>• 50 g de sucre en poudre</v>
      </c>
      <c r="C26" s="99" t="str">
        <f t="shared" si="1"/>
        <v>• 50 g de sucre en poudre</v>
      </c>
      <c r="D26" s="99" t="str">
        <f>IF(UPPER(TRIM(N11))="X",C26,B26)</f>
        <v>• 50 g de sucre en poudre</v>
      </c>
      <c r="E26" s="99" cm="1">
        <f t="array" ref="E26">IF(H25&lt;&gt;"",E25,IF(E25="","",IFERROR(MATCH(TRUE(),INDEX(INDEX(K:K,E25+1):K203&lt;&gt;"",0),0)+E25,"")))</f>
        <v>23</v>
      </c>
      <c r="F26" s="99" t="str" cm="1">
        <f t="array" ref="F26">IF(E26="","",IF(H25&lt;&gt;"",H25,INDEX(D:D,E26)))</f>
        <v>• 3 œufs</v>
      </c>
      <c r="G26" s="99" t="str">
        <f t="shared" si="2"/>
        <v>• 3 œufs</v>
      </c>
      <c r="H26" s="109" t="str">
        <f t="shared" si="3"/>
        <v/>
      </c>
      <c r="I26" s="114" t="str">
        <f>IF(AND(F26&lt;&gt;"",N10&gt;0,M26&gt;N10),"Mot &gt; limite","")</f>
        <v/>
      </c>
      <c r="J26" s="110">
        <f>IF(K26="","",COUNTIF(K18:K26,"&lt;&gt;"))</f>
        <v>9</v>
      </c>
      <c r="K26" s="111" t="s">
        <v>401</v>
      </c>
      <c r="L26" s="110">
        <f t="shared" si="4"/>
        <v>25</v>
      </c>
      <c r="M26" s="80">
        <f>IF(OR(F26="",N10="",N10&lt;=0),"",IF(LEN(F26)&lt;=N10,LEN(F26),IFERROR(FIND("♦",SUBSTITUTE(LEFT(F26,N10)," ","♦",LEN(LEFT(F26,N10))-LEN(SUBSTITUTE(LEFT(F26,N10)," ","")))),FIND(" ",F26&amp;" ",N10+1)-1)))</f>
        <v>8</v>
      </c>
      <c r="N26" s="112">
        <f t="shared" si="5"/>
        <v>9</v>
      </c>
      <c r="O26" s="113" t="str">
        <f t="shared" si="6"/>
        <v>• 3 œufs</v>
      </c>
      <c r="P26" s="112">
        <f t="shared" si="7"/>
        <v>3</v>
      </c>
      <c r="Q26" s="112">
        <f t="shared" si="8"/>
        <v>8</v>
      </c>
      <c r="S26" s="3">
        <v>1</v>
      </c>
      <c r="T26"/>
    </row>
    <row r="27" spans="2:21" ht="30" customHeight="1">
      <c r="B27" s="99" t="str">
        <f t="shared" si="0"/>
        <v>• 30 g de farine</v>
      </c>
      <c r="C27" s="99" t="str">
        <f t="shared" si="1"/>
        <v>• 30 g de farine</v>
      </c>
      <c r="D27" s="99" t="str">
        <f>IF(UPPER(TRIM(N11))="X",C27,B27)</f>
        <v>• 30 g de farine</v>
      </c>
      <c r="E27" s="99" cm="1">
        <f t="array" ref="E27">IF(H26&lt;&gt;"",E26,IF(E26="","",IFERROR(MATCH(TRUE(),INDEX(INDEX(K:K,E26+1):K203&lt;&gt;"",0),0)+E26,"")))</f>
        <v>24</v>
      </c>
      <c r="F27" s="99" t="str" cm="1">
        <f t="array" ref="F27">IF(E27="","",IF(H26&lt;&gt;"",H26,INDEX(D:D,E27)))</f>
        <v>• 50 g de poudre d’amandes</v>
      </c>
      <c r="G27" s="99" t="str">
        <f t="shared" si="2"/>
        <v>• 50 g de poudre d’amandes</v>
      </c>
      <c r="H27" s="109" t="str">
        <f t="shared" si="3"/>
        <v/>
      </c>
      <c r="I27" s="114" t="str">
        <f>IF(AND(F27&lt;&gt;"",N10&gt;0,M27&gt;N10),"Mot &gt; limite","")</f>
        <v/>
      </c>
      <c r="J27" s="110">
        <f>IF(K27="","",COUNTIF(K18:K27,"&lt;&gt;"))</f>
        <v>10</v>
      </c>
      <c r="K27" s="111" t="s">
        <v>402</v>
      </c>
      <c r="L27" s="110">
        <f t="shared" si="4"/>
        <v>16</v>
      </c>
      <c r="M27" s="80">
        <f>IF(OR(F27="",N10="",N10&lt;=0),"",IF(LEN(F27)&lt;=N10,LEN(F27),IFERROR(FIND("♦",SUBSTITUTE(LEFT(F27,N10)," ","♦",LEN(LEFT(F27,N10))-LEN(SUBSTITUTE(LEFT(F27,N10)," ","")))),FIND(" ",F27&amp;" ",N10+1)-1)))</f>
        <v>26</v>
      </c>
      <c r="N27" s="112">
        <f t="shared" si="5"/>
        <v>10</v>
      </c>
      <c r="O27" s="113" t="str">
        <f t="shared" si="6"/>
        <v>• 50 g de poudre d’amandes</v>
      </c>
      <c r="P27" s="112">
        <f t="shared" si="7"/>
        <v>6</v>
      </c>
      <c r="Q27" s="112">
        <f t="shared" si="8"/>
        <v>26</v>
      </c>
      <c r="S27" s="3">
        <v>1</v>
      </c>
      <c r="T27"/>
    </row>
    <row r="28" spans="2:21" ht="30" customHeight="1">
      <c r="B28" s="99" t="str">
        <f t="shared" si="0"/>
        <v>• 15 cl de crème liquide</v>
      </c>
      <c r="C28" s="99" t="str">
        <f t="shared" si="1"/>
        <v>• 15 cl de crème liquide</v>
      </c>
      <c r="D28" s="99" t="str">
        <f>IF(UPPER(TRIM(N11))="X",C28,B28)</f>
        <v>• 15 cl de crème liquide</v>
      </c>
      <c r="E28" s="99" cm="1">
        <f t="array" ref="E28">IF(H27&lt;&gt;"",E27,IF(E27="","",IFERROR(MATCH(TRUE(),INDEX(INDEX(K:K,E27+1):K203&lt;&gt;"",0),0)+E27,"")))</f>
        <v>25</v>
      </c>
      <c r="F28" s="99" t="str" cm="1">
        <f t="array" ref="F28">IF(E28="","",IF(H27&lt;&gt;"",H27,INDEX(D:D,E28)))</f>
        <v>• 50 g d’amandes effilées</v>
      </c>
      <c r="G28" s="99" t="str">
        <f t="shared" si="2"/>
        <v>• 50 g d’amandes effilées</v>
      </c>
      <c r="H28" s="109" t="str">
        <f t="shared" si="3"/>
        <v/>
      </c>
      <c r="I28" s="114" t="str">
        <f>IF(AND(F28&lt;&gt;"",N10&gt;0,M28&gt;N10),"Mot &gt; limite","")</f>
        <v/>
      </c>
      <c r="J28" s="110">
        <f>IF(K28="","",COUNTIF(K18:K28,"&lt;&gt;"))</f>
        <v>11</v>
      </c>
      <c r="K28" s="111" t="s">
        <v>403</v>
      </c>
      <c r="L28" s="110">
        <f t="shared" si="4"/>
        <v>24</v>
      </c>
      <c r="M28" s="80">
        <f>IF(OR(F28="",N10="",N10&lt;=0),"",IF(LEN(F28)&lt;=N10,LEN(F28),IFERROR(FIND("♦",SUBSTITUTE(LEFT(F28,N10)," ","♦",LEN(LEFT(F28,N10))-LEN(SUBSTITUTE(LEFT(F28,N10)," ","")))),FIND(" ",F28&amp;" ",N10+1)-1)))</f>
        <v>25</v>
      </c>
      <c r="N28" s="112">
        <f t="shared" si="5"/>
        <v>11</v>
      </c>
      <c r="O28" s="113" t="str">
        <f t="shared" si="6"/>
        <v>• 50 g d’amandes effilées</v>
      </c>
      <c r="P28" s="112">
        <f t="shared" si="7"/>
        <v>5</v>
      </c>
      <c r="Q28" s="112">
        <f t="shared" si="8"/>
        <v>25</v>
      </c>
      <c r="S28" s="3">
        <v>1</v>
      </c>
      <c r="T28"/>
    </row>
    <row r="29" spans="2:21" ht="30" customHeight="1">
      <c r="B29" s="99" t="str">
        <f t="shared" si="0"/>
        <v>• 1 sachet de sucre vanillé</v>
      </c>
      <c r="C29" s="99" t="str">
        <f t="shared" si="1"/>
        <v>• 1 sachet de sucre vanillé</v>
      </c>
      <c r="D29" s="99" t="str">
        <f>IF(UPPER(TRIM(N11))="X",C29,B29)</f>
        <v>• 1 sachet de sucre vanillé</v>
      </c>
      <c r="E29" s="99" cm="1">
        <f t="array" ref="E29">IF(H28&lt;&gt;"",E28,IF(E28="","",IFERROR(MATCH(TRUE(),INDEX(INDEX(K:K,E28+1):K203&lt;&gt;"",0),0)+E28,"")))</f>
        <v>26</v>
      </c>
      <c r="F29" s="99" t="str" cm="1">
        <f t="array" ref="F29">IF(E29="","",IF(H28&lt;&gt;"",H28,INDEX(D:D,E29)))</f>
        <v>• 50 g de sucre en poudre</v>
      </c>
      <c r="G29" s="99" t="str">
        <f t="shared" si="2"/>
        <v>• 50 g de sucre en poudre</v>
      </c>
      <c r="H29" s="109" t="str">
        <f t="shared" si="3"/>
        <v/>
      </c>
      <c r="I29" s="114" t="str">
        <f>IF(AND(F29&lt;&gt;"",N10&gt;0,M29&gt;N10),"Mot &gt; limite","")</f>
        <v/>
      </c>
      <c r="J29" s="110">
        <f>IF(K29="","",COUNTIF(K18:K29,"&lt;&gt;"))</f>
        <v>12</v>
      </c>
      <c r="K29" s="111" t="s">
        <v>404</v>
      </c>
      <c r="L29" s="110">
        <f t="shared" si="4"/>
        <v>27</v>
      </c>
      <c r="M29" s="80">
        <f>IF(OR(F29="",N10="",N10&lt;=0),"",IF(LEN(F29)&lt;=N10,LEN(F29),IFERROR(FIND("♦",SUBSTITUTE(LEFT(F29,N10)," ","♦",LEN(LEFT(F29,N10))-LEN(SUBSTITUTE(LEFT(F29,N10)," ","")))),FIND(" ",F29&amp;" ",N10+1)-1)))</f>
        <v>25</v>
      </c>
      <c r="N29" s="112">
        <f t="shared" si="5"/>
        <v>12</v>
      </c>
      <c r="O29" s="113" t="str">
        <f t="shared" si="6"/>
        <v>• 50 g de sucre en poudre</v>
      </c>
      <c r="P29" s="112">
        <f t="shared" si="7"/>
        <v>7</v>
      </c>
      <c r="Q29" s="112">
        <f t="shared" si="8"/>
        <v>25</v>
      </c>
      <c r="S29" s="3">
        <v>1</v>
      </c>
      <c r="T29"/>
    </row>
    <row r="30" spans="2:21" ht="30" customHeight="1">
      <c r="B30" s="99" t="str">
        <f t="shared" si="0"/>
        <v>• 15 g de beurre</v>
      </c>
      <c r="C30" s="99" t="str">
        <f t="shared" si="1"/>
        <v>• 15 g de beurre</v>
      </c>
      <c r="D30" s="99" t="str">
        <f>IF(UPPER(TRIM(N11))="X",C30,B30)</f>
        <v>• 15 g de beurre</v>
      </c>
      <c r="E30" s="99" cm="1">
        <f t="array" ref="E30">IF(H29&lt;&gt;"",E29,IF(E29="","",IFERROR(MATCH(TRUE(),INDEX(INDEX(K:K,E29+1):K203&lt;&gt;"",0),0)+E29,"")))</f>
        <v>27</v>
      </c>
      <c r="F30" s="99" t="str" cm="1">
        <f t="array" ref="F30">IF(E30="","",IF(H29&lt;&gt;"",H29,INDEX(D:D,E30)))</f>
        <v>• 30 g de farine</v>
      </c>
      <c r="G30" s="99" t="str">
        <f t="shared" si="2"/>
        <v>• 30 g de farine</v>
      </c>
      <c r="H30" s="109" t="str">
        <f t="shared" si="3"/>
        <v/>
      </c>
      <c r="I30" s="114" t="str">
        <f>IF(AND(F30&lt;&gt;"",N10&gt;0,M30&gt;N10),"Mot &gt; limite","")</f>
        <v/>
      </c>
      <c r="J30" s="110">
        <f>IF(K30="","",COUNTIF(K18:K30,"&lt;&gt;"))</f>
        <v>13</v>
      </c>
      <c r="K30" s="111" t="s">
        <v>405</v>
      </c>
      <c r="L30" s="110">
        <f t="shared" si="4"/>
        <v>16</v>
      </c>
      <c r="M30" s="80">
        <f>IF(OR(F30="",N10="",N10&lt;=0),"",IF(LEN(F30)&lt;=N10,LEN(F30),IFERROR(FIND("♦",SUBSTITUTE(LEFT(F30,N10)," ","♦",LEN(LEFT(F30,N10))-LEN(SUBSTITUTE(LEFT(F30,N10)," ","")))),FIND(" ",F30&amp;" ",N10+1)-1)))</f>
        <v>16</v>
      </c>
      <c r="N30" s="112">
        <f t="shared" si="5"/>
        <v>13</v>
      </c>
      <c r="O30" s="113" t="str">
        <f t="shared" si="6"/>
        <v>• 30 g de farine</v>
      </c>
      <c r="P30" s="112">
        <f t="shared" si="7"/>
        <v>5</v>
      </c>
      <c r="Q30" s="112">
        <f t="shared" si="8"/>
        <v>16</v>
      </c>
      <c r="S30" s="3">
        <v>1</v>
      </c>
      <c r="T30"/>
    </row>
    <row r="31" spans="2:21" ht="30" customHeight="1">
      <c r="B31" s="99" t="str">
        <f t="shared" si="0"/>
        <v>• 10 g de sucre glace</v>
      </c>
      <c r="C31" s="99" t="str">
        <f t="shared" si="1"/>
        <v>• 10 g de sucre glace</v>
      </c>
      <c r="D31" s="99" t="str">
        <f>IF(UPPER(TRIM(N11))="X",C31,B31)</f>
        <v>• 10 g de sucre glace</v>
      </c>
      <c r="E31" s="99" cm="1">
        <f t="array" ref="E31">IF(H30&lt;&gt;"",E30,IF(E30="","",IFERROR(MATCH(TRUE(),INDEX(INDEX(K:K,E30+1):K203&lt;&gt;"",0),0)+E30,"")))</f>
        <v>28</v>
      </c>
      <c r="F31" s="99" t="str" cm="1">
        <f t="array" ref="F31">IF(E31="","",IF(H30&lt;&gt;"",H30,INDEX(D:D,E31)))</f>
        <v>• 15 cl de crème liquide</v>
      </c>
      <c r="G31" s="99" t="str">
        <f t="shared" si="2"/>
        <v>• 15 cl de crème liquide</v>
      </c>
      <c r="H31" s="109" t="str">
        <f t="shared" si="3"/>
        <v/>
      </c>
      <c r="I31" s="114" t="str">
        <f>IF(AND(F31&lt;&gt;"",N10&gt;0,M31&gt;N10),"Mot &gt; limite","")</f>
        <v/>
      </c>
      <c r="J31" s="110">
        <f>IF(K31="","",COUNTIF(K18:K31,"&lt;&gt;"))</f>
        <v>14</v>
      </c>
      <c r="K31" s="111" t="s">
        <v>406</v>
      </c>
      <c r="L31" s="110">
        <f t="shared" si="4"/>
        <v>21</v>
      </c>
      <c r="M31" s="80">
        <f>IF(OR(F31="",N10="",N10&lt;=0),"",IF(LEN(F31)&lt;=N10,LEN(F31),IFERROR(FIND("♦",SUBSTITUTE(LEFT(F31,N10)," ","♦",LEN(LEFT(F31,N10))-LEN(SUBSTITUTE(LEFT(F31,N10)," ","")))),FIND(" ",F31&amp;" ",N10+1)-1)))</f>
        <v>24</v>
      </c>
      <c r="N31" s="112">
        <f t="shared" si="5"/>
        <v>14</v>
      </c>
      <c r="O31" s="113" t="str">
        <f t="shared" si="6"/>
        <v>• 15 cl de crème liquide</v>
      </c>
      <c r="P31" s="112">
        <f t="shared" si="7"/>
        <v>6</v>
      </c>
      <c r="Q31" s="112">
        <f t="shared" si="8"/>
        <v>24</v>
      </c>
      <c r="S31" s="3">
        <v>1</v>
      </c>
      <c r="T31"/>
    </row>
    <row r="32" spans="2:21" ht="30" customHeight="1">
      <c r="B32" s="99" t="str">
        <f t="shared" si="0"/>
        <v>Préparation :</v>
      </c>
      <c r="C32" s="99" t="str">
        <f t="shared" si="1"/>
        <v>Préparation</v>
      </c>
      <c r="D32" s="99" t="str">
        <f>IF(UPPER(TRIM(N11))="X",C32,B32)</f>
        <v>Préparation :</v>
      </c>
      <c r="E32" s="99" cm="1">
        <f t="array" ref="E32">IF(H31&lt;&gt;"",E31,IF(E31="","",IFERROR(MATCH(TRUE(),INDEX(INDEX(K:K,E31+1):K203&lt;&gt;"",0),0)+E31,"")))</f>
        <v>29</v>
      </c>
      <c r="F32" s="99" t="str" cm="1">
        <f t="array" ref="F32">IF(E32="","",IF(H31&lt;&gt;"",H31,INDEX(D:D,E32)))</f>
        <v>• 1 sachet de sucre vanillé</v>
      </c>
      <c r="G32" s="99" t="str">
        <f t="shared" si="2"/>
        <v>• 1 sachet de sucre vanillé</v>
      </c>
      <c r="H32" s="109" t="str">
        <f t="shared" si="3"/>
        <v/>
      </c>
      <c r="I32" s="114" t="str">
        <f>IF(AND(F32&lt;&gt;"",N10&gt;0,M32&gt;N10),"Mot &gt; limite","")</f>
        <v/>
      </c>
      <c r="J32" s="110">
        <f>IF(K32="","",COUNTIF(K18:K32,"&lt;&gt;"))</f>
        <v>15</v>
      </c>
      <c r="K32" s="111" t="s">
        <v>407</v>
      </c>
      <c r="L32" s="110">
        <f t="shared" si="4"/>
        <v>13</v>
      </c>
      <c r="M32" s="80">
        <f>IF(OR(F32="",N10="",N10&lt;=0),"",IF(LEN(F32)&lt;=N10,LEN(F32),IFERROR(FIND("♦",SUBSTITUTE(LEFT(F32,N10)," ","♦",LEN(LEFT(F32,N10))-LEN(SUBSTITUTE(LEFT(F32,N10)," ","")))),FIND(" ",F32&amp;" ",N10+1)-1)))</f>
        <v>27</v>
      </c>
      <c r="N32" s="112">
        <f t="shared" si="5"/>
        <v>15</v>
      </c>
      <c r="O32" s="113" t="str">
        <f t="shared" si="6"/>
        <v>• 1 sachet de sucre vanillé</v>
      </c>
      <c r="P32" s="112">
        <f t="shared" si="7"/>
        <v>6</v>
      </c>
      <c r="Q32" s="112">
        <f t="shared" si="8"/>
        <v>27</v>
      </c>
      <c r="S32" s="3">
        <v>1</v>
      </c>
      <c r="T32"/>
    </row>
    <row r="33" spans="2:20" ht="30" customHeight="1">
      <c r="B33" s="99" t="str">
        <f t="shared" si="0"/>
        <v>1. Préchauffez le four à 180°C (th. 6).</v>
      </c>
      <c r="C33" s="99" t="str">
        <f t="shared" si="1"/>
        <v>1 Préchauffez le four à 180°C th 6</v>
      </c>
      <c r="D33" s="99" t="str">
        <f>IF(UPPER(TRIM(N11))="X",C33,B33)</f>
        <v>1. Préchauffez le four à 180°C (th. 6).</v>
      </c>
      <c r="E33" s="99" cm="1">
        <f t="array" ref="E33">IF(H32&lt;&gt;"",E32,IF(E32="","",IFERROR(MATCH(TRUE(),INDEX(INDEX(K:K,E32+1):K203&lt;&gt;"",0),0)+E32,"")))</f>
        <v>30</v>
      </c>
      <c r="F33" s="99" t="str" cm="1">
        <f t="array" ref="F33">IF(E33="","",IF(H32&lt;&gt;"",H32,INDEX(D:D,E33)))</f>
        <v>• 15 g de beurre</v>
      </c>
      <c r="G33" s="99" t="str">
        <f t="shared" si="2"/>
        <v>• 15 g de beurre</v>
      </c>
      <c r="H33" s="109" t="str">
        <f t="shared" si="3"/>
        <v/>
      </c>
      <c r="I33" s="114" t="str">
        <f>IF(AND(F33&lt;&gt;"",N10&gt;0,M33&gt;N10),"Mot &gt; limite","")</f>
        <v/>
      </c>
      <c r="J33" s="110">
        <f>IF(K33="","",COUNTIF(K18:K33,"&lt;&gt;"))</f>
        <v>16</v>
      </c>
      <c r="K33" s="111" t="s">
        <v>408</v>
      </c>
      <c r="L33" s="110">
        <f t="shared" si="4"/>
        <v>39</v>
      </c>
      <c r="M33" s="80">
        <f>IF(OR(F33="",N10="",N10&lt;=0),"",IF(LEN(F33)&lt;=N10,LEN(F33),IFERROR(FIND("♦",SUBSTITUTE(LEFT(F33,N10)," ","♦",LEN(LEFT(F33,N10))-LEN(SUBSTITUTE(LEFT(F33,N10)," ","")))),FIND(" ",F33&amp;" ",N10+1)-1)))</f>
        <v>16</v>
      </c>
      <c r="N33" s="112">
        <f t="shared" si="5"/>
        <v>16</v>
      </c>
      <c r="O33" s="113" t="str">
        <f t="shared" si="6"/>
        <v>• 15 g de beurre</v>
      </c>
      <c r="P33" s="112">
        <f t="shared" si="7"/>
        <v>5</v>
      </c>
      <c r="Q33" s="112">
        <f t="shared" si="8"/>
        <v>16</v>
      </c>
      <c r="S33" s="3">
        <v>1</v>
      </c>
      <c r="T33"/>
    </row>
    <row r="34" spans="2:20" ht="30" customHeight="1">
      <c r="B34" s="99" t="str">
        <f t="shared" si="0"/>
        <v>2. Étalez la pâte sablée dans un moule beurré, piquez le fond avec une fourchette et placez au réfrigérateur pendant la préparation.</v>
      </c>
      <c r="C34" s="99" t="str">
        <f t="shared" si="1"/>
        <v>2 Étalez la pâte sablée dans un moule beurré piquez le fond avec une fourchette et placez au réfrigérateur pendant la préparation</v>
      </c>
      <c r="D34" s="99" t="str">
        <f>IF(UPPER(TRIM(N11))="X",C34,B34)</f>
        <v>2. Étalez la pâte sablée dans un moule beurré, piquez le fond avec une fourchette et placez au réfrigérateur pendant la préparation.</v>
      </c>
      <c r="E34" s="99" cm="1">
        <f t="array" ref="E34">IF(H33&lt;&gt;"",E33,IF(E33="","",IFERROR(MATCH(TRUE(),INDEX(INDEX(K:K,E33+1):K203&lt;&gt;"",0),0)+E33,"")))</f>
        <v>31</v>
      </c>
      <c r="F34" s="99" t="str" cm="1">
        <f t="array" ref="F34">IF(E34="","",IF(H33&lt;&gt;"",H33,INDEX(D:D,E34)))</f>
        <v>• 10 g de sucre glace</v>
      </c>
      <c r="G34" s="99" t="str">
        <f t="shared" si="2"/>
        <v>• 10 g de sucre glace</v>
      </c>
      <c r="H34" s="109" t="str">
        <f t="shared" si="3"/>
        <v/>
      </c>
      <c r="I34" s="114" t="str">
        <f>IF(AND(F34&lt;&gt;"",N10&gt;0,M34&gt;N10),"Mot &gt; limite","")</f>
        <v/>
      </c>
      <c r="J34" s="110">
        <f>IF(K34="","",COUNTIF(K18:K34,"&lt;&gt;"))</f>
        <v>17</v>
      </c>
      <c r="K34" s="111" t="s">
        <v>409</v>
      </c>
      <c r="L34" s="110">
        <f t="shared" si="4"/>
        <v>132</v>
      </c>
      <c r="M34" s="80">
        <f>IF(OR(F34="",N10="",N10&lt;=0),"",IF(LEN(F34)&lt;=N10,LEN(F34),IFERROR(FIND("♦",SUBSTITUTE(LEFT(F34,N10)," ","♦",LEN(LEFT(F34,N10))-LEN(SUBSTITUTE(LEFT(F34,N10)," ","")))),FIND(" ",F34&amp;" ",N10+1)-1)))</f>
        <v>21</v>
      </c>
      <c r="N34" s="112">
        <f t="shared" si="5"/>
        <v>17</v>
      </c>
      <c r="O34" s="113" t="str">
        <f t="shared" si="6"/>
        <v>• 10 g de sucre glace</v>
      </c>
      <c r="P34" s="112">
        <f t="shared" si="7"/>
        <v>6</v>
      </c>
      <c r="Q34" s="112">
        <f t="shared" si="8"/>
        <v>21</v>
      </c>
      <c r="S34" s="3">
        <v>1</v>
      </c>
      <c r="T34"/>
    </row>
    <row r="35" spans="2:20" ht="30" customHeight="1">
      <c r="B35" s="99" t="str">
        <f t="shared" si="0"/>
        <v>3. Épluchez, épépinez et coupez les pommes en tranches épaisses. Disposez-les joliment sur le fond de tarte.</v>
      </c>
      <c r="C35" s="99" t="str">
        <f t="shared" si="1"/>
        <v>3 Épluchez épépinez et coupez les pommes en tranches épaisses Disposez les joliment sur le fond de tarte</v>
      </c>
      <c r="D35" s="99" t="str">
        <f>IF(UPPER(TRIM(N11))="X",C35,B35)</f>
        <v>3. Épluchez, épépinez et coupez les pommes en tranches épaisses. Disposez-les joliment sur le fond de tarte.</v>
      </c>
      <c r="E35" s="99" cm="1">
        <f t="array" ref="E35">IF(H34&lt;&gt;"",E34,IF(E34="","",IFERROR(MATCH(TRUE(),INDEX(INDEX(K:K,E34+1):K203&lt;&gt;"",0),0)+E34,"")))</f>
        <v>32</v>
      </c>
      <c r="F35" s="99" t="str" cm="1">
        <f t="array" ref="F35">IF(E35="","",IF(H34&lt;&gt;"",H34,INDEX(D:D,E35)))</f>
        <v>Préparation :</v>
      </c>
      <c r="G35" s="99" t="str">
        <f t="shared" si="2"/>
        <v>Préparation :</v>
      </c>
      <c r="H35" s="109" t="str">
        <f t="shared" si="3"/>
        <v/>
      </c>
      <c r="I35" s="114" t="str">
        <f>IF(AND(F35&lt;&gt;"",N10&gt;0,M35&gt;N10),"Mot &gt; limite","")</f>
        <v/>
      </c>
      <c r="J35" s="110">
        <f>IF(K35="","",COUNTIF(K18:K35,"&lt;&gt;"))</f>
        <v>18</v>
      </c>
      <c r="K35" s="111" t="s">
        <v>410</v>
      </c>
      <c r="L35" s="110">
        <f t="shared" si="4"/>
        <v>108</v>
      </c>
      <c r="M35" s="80">
        <f>IF(OR(F35="",N10="",N10&lt;=0),"",IF(LEN(F35)&lt;=N10,LEN(F35),IFERROR(FIND("♦",SUBSTITUTE(LEFT(F35,N10)," ","♦",LEN(LEFT(F35,N10))-LEN(SUBSTITUTE(LEFT(F35,N10)," ","")))),FIND(" ",F35&amp;" ",N10+1)-1)))</f>
        <v>13</v>
      </c>
      <c r="N35" s="112">
        <f t="shared" si="5"/>
        <v>18</v>
      </c>
      <c r="O35" s="113" t="str">
        <f t="shared" si="6"/>
        <v>Préparation :</v>
      </c>
      <c r="P35" s="112">
        <f t="shared" si="7"/>
        <v>2</v>
      </c>
      <c r="Q35" s="112">
        <f t="shared" si="8"/>
        <v>13</v>
      </c>
      <c r="S35" s="3">
        <v>1</v>
      </c>
      <c r="T35"/>
    </row>
    <row r="36" spans="2:20" ht="30" customHeight="1">
      <c r="B36" s="99" t="str">
        <f t="shared" si="0"/>
        <v>4. Dans un saladier, fouettez les œufs avec le sucre et le sucre vanillé jusqu’à ce que le mélange blanchisse.</v>
      </c>
      <c r="C36" s="99" t="str">
        <f t="shared" si="1"/>
        <v>4 Dans un saladier fouettez les œufs avec le sucre et le sucre vanillé jusqu’à ce que le mélange blanchisse</v>
      </c>
      <c r="D36" s="99" t="str">
        <f>IF(UPPER(TRIM(N11))="X",C36,B36)</f>
        <v>4. Dans un saladier, fouettez les œufs avec le sucre et le sucre vanillé jusqu’à ce que le mélange blanchisse.</v>
      </c>
      <c r="E36" s="99" cm="1">
        <f t="array" ref="E36">IF(H35&lt;&gt;"",E35,IF(E35="","",IFERROR(MATCH(TRUE(),INDEX(INDEX(K:K,E35+1):K203&lt;&gt;"",0),0)+E35,"")))</f>
        <v>33</v>
      </c>
      <c r="F36" s="99" t="str" cm="1">
        <f t="array" ref="F36">IF(E36="","",IF(H35&lt;&gt;"",H35,INDEX(D:D,E36)))</f>
        <v>1. Préchauffez le four à 180°C (th. 6).</v>
      </c>
      <c r="G36" s="99" t="str">
        <f t="shared" si="2"/>
        <v>1. Préchauffez le four à 180°C (th. 6).</v>
      </c>
      <c r="H36" s="109" t="str">
        <f t="shared" si="3"/>
        <v/>
      </c>
      <c r="I36" s="114" t="str">
        <f>IF(AND(F36&lt;&gt;"",N10&gt;0,M36&gt;N10),"Mot &gt; limite","")</f>
        <v/>
      </c>
      <c r="J36" s="110">
        <f>IF(K36="","",COUNTIF(K18:K36,"&lt;&gt;"))</f>
        <v>19</v>
      </c>
      <c r="K36" s="111" t="s">
        <v>411</v>
      </c>
      <c r="L36" s="110">
        <f t="shared" si="4"/>
        <v>110</v>
      </c>
      <c r="M36" s="80">
        <f>IF(OR(F36="",N10="",N10&lt;=0),"",IF(LEN(F36)&lt;=N10,LEN(F36),IFERROR(FIND("♦",SUBSTITUTE(LEFT(F36,N10)," ","♦",LEN(LEFT(F36,N10))-LEN(SUBSTITUTE(LEFT(F36,N10)," ","")))),FIND(" ",F36&amp;" ",N10+1)-1)))</f>
        <v>39</v>
      </c>
      <c r="N36" s="112">
        <f t="shared" si="5"/>
        <v>19</v>
      </c>
      <c r="O36" s="113" t="str">
        <f t="shared" si="6"/>
        <v>1. Préchauffez le four à 180°C (th. 6).</v>
      </c>
      <c r="P36" s="112">
        <f t="shared" si="7"/>
        <v>8</v>
      </c>
      <c r="Q36" s="112">
        <f t="shared" si="8"/>
        <v>39</v>
      </c>
      <c r="S36" s="3">
        <v>1</v>
      </c>
    </row>
    <row r="37" spans="2:20" ht="30" customHeight="1">
      <c r="B37" s="99" t="str">
        <f t="shared" si="0"/>
        <v>5. Incorporez la farine, la poudre d’amandes puis la crème liquide, en mélangeant bien entre chaque ajout.</v>
      </c>
      <c r="C37" s="99" t="str">
        <f t="shared" si="1"/>
        <v>5 Incorporez la farine la poudre d’amandes puis la crème liquide en mélangeant bien entre chaque ajout</v>
      </c>
      <c r="D37" s="99" t="str">
        <f>IF(UPPER(TRIM(N11))="X",C37,B37)</f>
        <v>5. Incorporez la farine, la poudre d’amandes puis la crème liquide, en mélangeant bien entre chaque ajout.</v>
      </c>
      <c r="E37" s="99" cm="1">
        <f t="array" ref="E37">IF(H36&lt;&gt;"",E36,IF(E36="","",IFERROR(MATCH(TRUE(),INDEX(INDEX(K:K,E36+1):K203&lt;&gt;"",0),0)+E36,"")))</f>
        <v>34</v>
      </c>
      <c r="F37" s="99" t="str" cm="1">
        <f t="array" ref="F37">IF(E37="","",IF(H36&lt;&gt;"",H36,INDEX(D:D,E37)))</f>
        <v>2. Étalez la pâte sablée dans un moule beurré, piquez le fond avec une fourchette et placez au réfrigérateur pendant la préparation.</v>
      </c>
      <c r="G37" s="99" t="str">
        <f t="shared" si="2"/>
        <v xml:space="preserve">2. Étalez la pâte sablée dans un moule beurré, piquez le fond avec une </v>
      </c>
      <c r="H37" s="109" t="str">
        <f t="shared" si="3"/>
        <v>fourchette et placez au réfrigérateur pendant la préparation.</v>
      </c>
      <c r="I37" s="114" t="str">
        <f>IF(AND(F37&lt;&gt;"",N10&gt;0,M37&gt;N10),"Mot &gt; limite","")</f>
        <v/>
      </c>
      <c r="J37" s="110">
        <f>IF(K37="","",COUNTIF(K18:K37,"&lt;&gt;"))</f>
        <v>20</v>
      </c>
      <c r="K37" s="111" t="s">
        <v>412</v>
      </c>
      <c r="L37" s="110">
        <f t="shared" si="4"/>
        <v>106</v>
      </c>
      <c r="M37" s="80">
        <f>IF(OR(F37="",N10="",N10&lt;=0),"",IF(LEN(F37)&lt;=N10,LEN(F37),IFERROR(FIND("♦",SUBSTITUTE(LEFT(F37,N10)," ","♦",LEN(LEFT(F37,N10))-LEN(SUBSTITUTE(LEFT(F37,N10)," ","")))),FIND(" ",F37&amp;" ",N10+1)-1)))</f>
        <v>71</v>
      </c>
      <c r="N37" s="112">
        <f t="shared" si="5"/>
        <v>20</v>
      </c>
      <c r="O37" s="113" t="str">
        <f t="shared" si="6"/>
        <v xml:space="preserve">2. Étalez la pâte sablée dans un moule beurré, piquez le fond avec une </v>
      </c>
      <c r="P37" s="112">
        <f t="shared" si="7"/>
        <v>14</v>
      </c>
      <c r="Q37" s="112">
        <f t="shared" si="8"/>
        <v>71</v>
      </c>
      <c r="S37" s="3">
        <v>1</v>
      </c>
    </row>
    <row r="38" spans="2:20" ht="30" customHeight="1">
      <c r="B38" s="99" t="str">
        <f t="shared" si="0"/>
        <v>6. Versez cette préparation sur les pommes, parsemez d’amandes effilées et ajoutez quelques noisettes de beurre.</v>
      </c>
      <c r="C38" s="99" t="str">
        <f t="shared" si="1"/>
        <v>6 Versez cette préparation sur les pommes parsemez d’amandes effilées et ajoutez quelques noisettes de beurre</v>
      </c>
      <c r="D38" s="99" t="str">
        <f>IF(UPPER(TRIM(N11))="X",C38,B38)</f>
        <v>6. Versez cette préparation sur les pommes, parsemez d’amandes effilées et ajoutez quelques noisettes de beurre.</v>
      </c>
      <c r="E38" s="99" cm="1">
        <f t="array" ref="E38">IF(H37&lt;&gt;"",E37,IF(E37="","",IFERROR(MATCH(TRUE(),INDEX(INDEX(K:K,E37+1):K203&lt;&gt;"",0),0)+E37,"")))</f>
        <v>34</v>
      </c>
      <c r="F38" s="99" t="str" cm="1">
        <f t="array" ref="F38">IF(E38="","",IF(H37&lt;&gt;"",H37,INDEX(D:D,E38)))</f>
        <v>fourchette et placez au réfrigérateur pendant la préparation.</v>
      </c>
      <c r="G38" s="99" t="str">
        <f t="shared" si="2"/>
        <v>fourchette et placez au réfrigérateur pendant la préparation.</v>
      </c>
      <c r="H38" s="109" t="str">
        <f t="shared" si="3"/>
        <v/>
      </c>
      <c r="I38" s="114" t="str">
        <f>IF(AND(F38&lt;&gt;"",N10&gt;0,M38&gt;N10),"Mot &gt; limite","")</f>
        <v/>
      </c>
      <c r="J38" s="110">
        <f>IF(K38="","",COUNTIF(K18:K38,"&lt;&gt;"))</f>
        <v>21</v>
      </c>
      <c r="K38" s="111" t="s">
        <v>413</v>
      </c>
      <c r="L38" s="110">
        <f t="shared" si="4"/>
        <v>112</v>
      </c>
      <c r="M38" s="80">
        <f>IF(OR(F38="",N10="",N10&lt;=0),"",IF(LEN(F38)&lt;=N10,LEN(F38),IFERROR(FIND("♦",SUBSTITUTE(LEFT(F38,N10)," ","♦",LEN(LEFT(F38,N10))-LEN(SUBSTITUTE(LEFT(F38,N10)," ","")))),FIND(" ",F38&amp;" ",N10+1)-1)))</f>
        <v>61</v>
      </c>
      <c r="N38" s="112">
        <f t="shared" si="5"/>
        <v>21</v>
      </c>
      <c r="O38" s="113" t="str">
        <f t="shared" si="6"/>
        <v>fourchette et placez au réfrigérateur pendant la préparation.</v>
      </c>
      <c r="P38" s="112">
        <f t="shared" si="7"/>
        <v>8</v>
      </c>
      <c r="Q38" s="112">
        <f t="shared" si="8"/>
        <v>61</v>
      </c>
      <c r="S38" s="3">
        <v>1</v>
      </c>
    </row>
    <row r="39" spans="2:20" ht="30" customHeight="1">
      <c r="B39" s="99" t="str">
        <f t="shared" si="0"/>
        <v>7. Enfournez pendant 30 minutes jusqu’à ce que la tarte soit dorée.</v>
      </c>
      <c r="C39" s="99" t="str">
        <f t="shared" si="1"/>
        <v>7 Enfournez pendant 30 minutes jusqu’à ce que la tarte soit dorée</v>
      </c>
      <c r="D39" s="99" t="str">
        <f>IF(UPPER(TRIM(N11))="X",C39,B39)</f>
        <v>7. Enfournez pendant 30 minutes jusqu’à ce que la tarte soit dorée.</v>
      </c>
      <c r="E39" s="99" cm="1">
        <f t="array" ref="E39">IF(H38&lt;&gt;"",E38,IF(E38="","",IFERROR(MATCH(TRUE(),INDEX(INDEX(K:K,E38+1):K203&lt;&gt;"",0),0)+E38,"")))</f>
        <v>35</v>
      </c>
      <c r="F39" s="99" t="str" cm="1">
        <f t="array" ref="F39">IF(E39="","",IF(H38&lt;&gt;"",H38,INDEX(D:D,E39)))</f>
        <v>3. Épluchez, épépinez et coupez les pommes en tranches épaisses. Disposez-les joliment sur le fond de tarte.</v>
      </c>
      <c r="G39" s="99" t="str">
        <f t="shared" si="2"/>
        <v xml:space="preserve">3. Épluchez, épépinez et coupez les pommes en tranches épaisses. Disposez-les </v>
      </c>
      <c r="H39" s="109" t="str">
        <f t="shared" si="3"/>
        <v>joliment sur le fond de tarte.</v>
      </c>
      <c r="I39" s="114" t="str">
        <f>IF(AND(F39&lt;&gt;"",N10&gt;0,M39&gt;N10),"Mot &gt; limite","")</f>
        <v/>
      </c>
      <c r="J39" s="110">
        <f>IF(K39="","",COUNTIF(K18:K39,"&lt;&gt;"))</f>
        <v>22</v>
      </c>
      <c r="K39" s="111" t="s">
        <v>414</v>
      </c>
      <c r="L39" s="110">
        <f t="shared" si="4"/>
        <v>67</v>
      </c>
      <c r="M39" s="80">
        <f>IF(OR(F39="",N10="",N10&lt;=0),"",IF(LEN(F39)&lt;=N10,LEN(F39),IFERROR(FIND("♦",SUBSTITUTE(LEFT(F39,N10)," ","♦",LEN(LEFT(F39,N10))-LEN(SUBSTITUTE(LEFT(F39,N10)," ","")))),FIND(" ",F39&amp;" ",N10+1)-1)))</f>
        <v>78</v>
      </c>
      <c r="N39" s="112">
        <f t="shared" si="5"/>
        <v>22</v>
      </c>
      <c r="O39" s="113" t="str">
        <f t="shared" si="6"/>
        <v xml:space="preserve">3. Épluchez, épépinez et coupez les pommes en tranches épaisses. Disposez-les </v>
      </c>
      <c r="P39" s="112">
        <f t="shared" si="7"/>
        <v>11</v>
      </c>
      <c r="Q39" s="112">
        <f t="shared" si="8"/>
        <v>78</v>
      </c>
      <c r="S39" s="3">
        <v>1</v>
      </c>
    </row>
    <row r="40" spans="2:20" ht="30" customHeight="1">
      <c r="B40" s="99" t="str">
        <f t="shared" si="0"/>
        <v>8. Laissez tiédir, saupoudrez de sucre glace et servez avec une touche de crème fraîche.</v>
      </c>
      <c r="C40" s="99" t="str">
        <f t="shared" si="1"/>
        <v>8 Laissez tiédir saupoudrez de sucre glace et servez avec une touche de crème fraîche</v>
      </c>
      <c r="D40" s="99" t="str">
        <f>IF(UPPER(TRIM(N11))="X",C40,B40)</f>
        <v>8. Laissez tiédir, saupoudrez de sucre glace et servez avec une touche de crème fraîche.</v>
      </c>
      <c r="E40" s="99" cm="1">
        <f t="array" ref="E40">IF(H39&lt;&gt;"",E39,IF(E39="","",IFERROR(MATCH(TRUE(),INDEX(INDEX(K:K,E39+1):K203&lt;&gt;"",0),0)+E39,"")))</f>
        <v>35</v>
      </c>
      <c r="F40" s="99" t="str" cm="1">
        <f t="array" ref="F40">IF(E40="","",IF(H39&lt;&gt;"",H39,INDEX(D:D,E40)))</f>
        <v>joliment sur le fond de tarte.</v>
      </c>
      <c r="G40" s="99" t="str">
        <f t="shared" si="2"/>
        <v>joliment sur le fond de tarte.</v>
      </c>
      <c r="H40" s="109" t="str">
        <f t="shared" si="3"/>
        <v/>
      </c>
      <c r="I40" s="114" t="str">
        <f>IF(AND(F40&lt;&gt;"",N10&gt;0,M40&gt;N10),"Mot &gt; limite","")</f>
        <v/>
      </c>
      <c r="J40" s="110">
        <f>IF(K40="","",COUNTIF(K18:K40,"&lt;&gt;"))</f>
        <v>23</v>
      </c>
      <c r="K40" s="111" t="s">
        <v>415</v>
      </c>
      <c r="L40" s="110">
        <f t="shared" si="4"/>
        <v>88</v>
      </c>
      <c r="M40" s="80">
        <f>IF(OR(F40="",N10="",N10&lt;=0),"",IF(LEN(F40)&lt;=N10,LEN(F40),IFERROR(FIND("♦",SUBSTITUTE(LEFT(F40,N10)," ","♦",LEN(LEFT(F40,N10))-LEN(SUBSTITUTE(LEFT(F40,N10)," ","")))),FIND(" ",F40&amp;" ",N10+1)-1)))</f>
        <v>30</v>
      </c>
      <c r="N40" s="112">
        <f t="shared" si="5"/>
        <v>23</v>
      </c>
      <c r="O40" s="113" t="str">
        <f t="shared" si="6"/>
        <v>joliment sur le fond de tarte.</v>
      </c>
      <c r="P40" s="112">
        <f t="shared" si="7"/>
        <v>6</v>
      </c>
      <c r="Q40" s="112">
        <f t="shared" si="8"/>
        <v>30</v>
      </c>
      <c r="S40" s="3">
        <v>1</v>
      </c>
    </row>
    <row r="41" spans="2:20" ht="30" customHeight="1">
      <c r="B41" s="99" t="str">
        <f t="shared" si="0"/>
        <v>Préparation : 20 min</v>
      </c>
      <c r="C41" s="99" t="str">
        <f t="shared" si="1"/>
        <v>Préparation 20 min</v>
      </c>
      <c r="D41" s="99" t="str">
        <f>IF(UPPER(TRIM(N11))="X",C41,B41)</f>
        <v>Préparation : 20 min</v>
      </c>
      <c r="E41" s="99" cm="1">
        <f t="array" ref="E41">IF(H40&lt;&gt;"",E40,IF(E40="","",IFERROR(MATCH(TRUE(),INDEX(INDEX(K:K,E40+1):K203&lt;&gt;"",0),0)+E40,"")))</f>
        <v>36</v>
      </c>
      <c r="F41" s="99" t="str" cm="1">
        <f t="array" ref="F41">IF(E41="","",IF(H40&lt;&gt;"",H40,INDEX(D:D,E41)))</f>
        <v>4. Dans un saladier, fouettez les œufs avec le sucre et le sucre vanillé jusqu’à ce que le mélange blanchisse.</v>
      </c>
      <c r="G41" s="99" t="str">
        <f t="shared" si="2"/>
        <v xml:space="preserve">4. Dans un saladier, fouettez les œufs avec le sucre et le sucre vanillé </v>
      </c>
      <c r="H41" s="109" t="str">
        <f t="shared" si="3"/>
        <v>jusqu’à ce que le mélange blanchisse.</v>
      </c>
      <c r="I41" s="114" t="str">
        <f>IF(AND(F41&lt;&gt;"",N10&gt;0,M41&gt;N10),"Mot &gt; limite","")</f>
        <v/>
      </c>
      <c r="J41" s="110">
        <f>IF(K41="","",COUNTIF(K18:K41,"&lt;&gt;"))</f>
        <v>24</v>
      </c>
      <c r="K41" s="111" t="s">
        <v>416</v>
      </c>
      <c r="L41" s="110">
        <f t="shared" si="4"/>
        <v>20</v>
      </c>
      <c r="M41" s="80">
        <f>IF(OR(F41="",N10="",N10&lt;=0),"",IF(LEN(F41)&lt;=N10,LEN(F41),IFERROR(FIND("♦",SUBSTITUTE(LEFT(F41,N10)," ","♦",LEN(LEFT(F41,N10))-LEN(SUBSTITUTE(LEFT(F41,N10)," ","")))),FIND(" ",F41&amp;" ",N10+1)-1)))</f>
        <v>73</v>
      </c>
      <c r="N41" s="112">
        <f t="shared" si="5"/>
        <v>24</v>
      </c>
      <c r="O41" s="113" t="str">
        <f t="shared" si="6"/>
        <v xml:space="preserve">4. Dans un saladier, fouettez les œufs avec le sucre et le sucre vanillé </v>
      </c>
      <c r="P41" s="112">
        <f t="shared" si="7"/>
        <v>14</v>
      </c>
      <c r="Q41" s="112">
        <f t="shared" si="8"/>
        <v>73</v>
      </c>
      <c r="S41" s="3">
        <v>1</v>
      </c>
    </row>
    <row r="42" spans="2:20" ht="30" customHeight="1">
      <c r="B42" s="99" t="str">
        <f t="shared" si="0"/>
        <v>Cuisson : 30 min</v>
      </c>
      <c r="C42" s="99" t="str">
        <f t="shared" si="1"/>
        <v>Cuisson 30 min</v>
      </c>
      <c r="D42" s="99" t="str">
        <f>IF(UPPER(TRIM(N11))="X",C42,B42)</f>
        <v>Cuisson : 30 min</v>
      </c>
      <c r="E42" s="99" cm="1">
        <f t="array" ref="E42">IF(H41&lt;&gt;"",E41,IF(E41="","",IFERROR(MATCH(TRUE(),INDEX(INDEX(K:K,E41+1):K203&lt;&gt;"",0),0)+E41,"")))</f>
        <v>36</v>
      </c>
      <c r="F42" s="99" t="str" cm="1">
        <f t="array" ref="F42">IF(E42="","",IF(H41&lt;&gt;"",H41,INDEX(D:D,E42)))</f>
        <v>jusqu’à ce que le mélange blanchisse.</v>
      </c>
      <c r="G42" s="99" t="str">
        <f t="shared" si="2"/>
        <v>jusqu’à ce que le mélange blanchisse.</v>
      </c>
      <c r="H42" s="109" t="str">
        <f t="shared" si="3"/>
        <v/>
      </c>
      <c r="I42" s="114" t="str">
        <f>IF(AND(F42&lt;&gt;"",N10&gt;0,M42&gt;N10),"Mot &gt; limite","")</f>
        <v/>
      </c>
      <c r="J42" s="110">
        <f>IF(K42="","",COUNTIF(K18:K42,"&lt;&gt;"))</f>
        <v>25</v>
      </c>
      <c r="K42" s="111" t="s">
        <v>417</v>
      </c>
      <c r="L42" s="110">
        <f t="shared" si="4"/>
        <v>16</v>
      </c>
      <c r="M42" s="80">
        <f>IF(OR(F42="",N10="",N10&lt;=0),"",IF(LEN(F42)&lt;=N10,LEN(F42),IFERROR(FIND("♦",SUBSTITUTE(LEFT(F42,N10)," ","♦",LEN(LEFT(F42,N10))-LEN(SUBSTITUTE(LEFT(F42,N10)," ","")))),FIND(" ",F42&amp;" ",N10+1)-1)))</f>
        <v>37</v>
      </c>
      <c r="N42" s="112">
        <f t="shared" si="5"/>
        <v>25</v>
      </c>
      <c r="O42" s="113" t="str">
        <f t="shared" si="6"/>
        <v>jusqu’à ce que le mélange blanchisse.</v>
      </c>
      <c r="P42" s="112">
        <f t="shared" si="7"/>
        <v>6</v>
      </c>
      <c r="Q42" s="112">
        <f t="shared" si="8"/>
        <v>37</v>
      </c>
      <c r="S42" s="3">
        <v>1</v>
      </c>
    </row>
    <row r="43" spans="2:20" ht="30" customHeight="1">
      <c r="B43" s="99" t="str">
        <f t="shared" si="0"/>
        <v>Portions : 4</v>
      </c>
      <c r="C43" s="99" t="str">
        <f t="shared" si="1"/>
        <v>Portions 4</v>
      </c>
      <c r="D43" s="99" t="str">
        <f>IF(UPPER(TRIM(N11))="X",C43,B43)</f>
        <v>Portions : 4</v>
      </c>
      <c r="E43" s="99" cm="1">
        <f t="array" ref="E43">IF(H42&lt;&gt;"",E42,IF(E42="","",IFERROR(MATCH(TRUE(),INDEX(INDEX(K:K,E42+1):K203&lt;&gt;"",0),0)+E42,"")))</f>
        <v>37</v>
      </c>
      <c r="F43" s="99" t="str" cm="1">
        <f t="array" ref="F43">IF(E43="","",IF(H42&lt;&gt;"",H42,INDEX(D:D,E43)))</f>
        <v>5. Incorporez la farine, la poudre d’amandes puis la crème liquide, en mélangeant bien entre chaque ajout.</v>
      </c>
      <c r="G43" s="99" t="str">
        <f t="shared" si="2"/>
        <v xml:space="preserve">5. Incorporez la farine, la poudre d’amandes puis la crème liquide, en </v>
      </c>
      <c r="H43" s="109" t="str">
        <f t="shared" si="3"/>
        <v>mélangeant bien entre chaque ajout.</v>
      </c>
      <c r="I43" s="114" t="str">
        <f>IF(AND(F43&lt;&gt;"",N10&gt;0,M43&gt;N10),"Mot &gt; limite","")</f>
        <v/>
      </c>
      <c r="J43" s="110">
        <f>IF(K43="","",COUNTIF(K18:K43,"&lt;&gt;"))</f>
        <v>26</v>
      </c>
      <c r="K43" s="111" t="s">
        <v>418</v>
      </c>
      <c r="L43" s="110">
        <f t="shared" si="4"/>
        <v>12</v>
      </c>
      <c r="M43" s="80">
        <f>IF(OR(F43="",N10="",N10&lt;=0),"",IF(LEN(F43)&lt;=N10,LEN(F43),IFERROR(FIND("♦",SUBSTITUTE(LEFT(F43,N10)," ","♦",LEN(LEFT(F43,N10))-LEN(SUBSTITUTE(LEFT(F43,N10)," ","")))),FIND(" ",F43&amp;" ",N10+1)-1)))</f>
        <v>71</v>
      </c>
      <c r="N43" s="112">
        <f t="shared" si="5"/>
        <v>26</v>
      </c>
      <c r="O43" s="113" t="str">
        <f t="shared" si="6"/>
        <v xml:space="preserve">5. Incorporez la farine, la poudre d’amandes puis la crème liquide, en </v>
      </c>
      <c r="P43" s="112">
        <f t="shared" si="7"/>
        <v>12</v>
      </c>
      <c r="Q43" s="112">
        <f t="shared" si="8"/>
        <v>71</v>
      </c>
      <c r="S43" s="3">
        <v>1</v>
      </c>
    </row>
    <row r="44" spans="2:20" ht="30" customHeight="1">
      <c r="B44" s="99" t="str">
        <f t="shared" si="0"/>
        <v>Calories : ≈ 410 kcal par part</v>
      </c>
      <c r="C44" s="99" t="str">
        <f t="shared" si="1"/>
        <v>Calories ≈ 410 kcal par part</v>
      </c>
      <c r="D44" s="99" t="str">
        <f>IF(UPPER(TRIM(N11))="X",C44,B44)</f>
        <v>Calories : ≈ 410 kcal par part</v>
      </c>
      <c r="E44" s="99" cm="1">
        <f t="array" ref="E44">IF(H43&lt;&gt;"",E43,IF(E43="","",IFERROR(MATCH(TRUE(),INDEX(INDEX(K:K,E43+1):K203&lt;&gt;"",0),0)+E43,"")))</f>
        <v>37</v>
      </c>
      <c r="F44" s="99" t="str" cm="1">
        <f t="array" ref="F44">IF(E44="","",IF(H43&lt;&gt;"",H43,INDEX(D:D,E44)))</f>
        <v>mélangeant bien entre chaque ajout.</v>
      </c>
      <c r="G44" s="99" t="str">
        <f t="shared" si="2"/>
        <v>mélangeant bien entre chaque ajout.</v>
      </c>
      <c r="H44" s="109" t="str">
        <f t="shared" si="3"/>
        <v/>
      </c>
      <c r="I44" s="114" t="str">
        <f>IF(AND(F44&lt;&gt;"",N10&gt;0,M44&gt;N10),"Mot &gt; limite","")</f>
        <v/>
      </c>
      <c r="J44" s="110">
        <f>IF(K44="","",COUNTIF(K18:K44,"&lt;&gt;"))</f>
        <v>27</v>
      </c>
      <c r="K44" s="111" t="s">
        <v>419</v>
      </c>
      <c r="L44" s="110">
        <f t="shared" si="4"/>
        <v>30</v>
      </c>
      <c r="M44" s="80">
        <f>IF(OR(F44="",N10="",N10&lt;=0),"",IF(LEN(F44)&lt;=N10,LEN(F44),IFERROR(FIND("♦",SUBSTITUTE(LEFT(F44,N10)," ","♦",LEN(LEFT(F44,N10))-LEN(SUBSTITUTE(LEFT(F44,N10)," ","")))),FIND(" ",F44&amp;" ",N10+1)-1)))</f>
        <v>35</v>
      </c>
      <c r="N44" s="112">
        <f t="shared" si="5"/>
        <v>27</v>
      </c>
      <c r="O44" s="113" t="str">
        <f t="shared" si="6"/>
        <v>mélangeant bien entre chaque ajout.</v>
      </c>
      <c r="P44" s="112">
        <f t="shared" si="7"/>
        <v>5</v>
      </c>
      <c r="Q44" s="112">
        <f t="shared" si="8"/>
        <v>35</v>
      </c>
      <c r="S44" s="3">
        <v>1</v>
      </c>
    </row>
    <row r="45" spans="2:20" ht="30" customHeight="1">
      <c r="B45" s="99" t="str">
        <f t="shared" si="0"/>
        <v/>
      </c>
      <c r="C45" s="99" t="str">
        <f t="shared" si="1"/>
        <v/>
      </c>
      <c r="D45" s="99" t="str">
        <f>IF(UPPER(TRIM(N11))="X",C45,B45)</f>
        <v/>
      </c>
      <c r="E45" s="99" cm="1">
        <f t="array" ref="E45">IF(H44&lt;&gt;"",E44,IF(E44="","",IFERROR(MATCH(TRUE(),INDEX(INDEX(K:K,E44+1):K203&lt;&gt;"",0),0)+E44,"")))</f>
        <v>38</v>
      </c>
      <c r="F45" s="99" t="str" cm="1">
        <f t="array" ref="F45">IF(E45="","",IF(H44&lt;&gt;"",H44,INDEX(D:D,E45)))</f>
        <v>6. Versez cette préparation sur les pommes, parsemez d’amandes effilées et ajoutez quelques noisettes de beurre.</v>
      </c>
      <c r="G45" s="99" t="str">
        <f t="shared" si="2"/>
        <v xml:space="preserve">6. Versez cette préparation sur les pommes, parsemez d’amandes effilées et </v>
      </c>
      <c r="H45" s="109" t="str">
        <f t="shared" si="3"/>
        <v>ajoutez quelques noisettes de beurre.</v>
      </c>
      <c r="I45" s="114" t="str">
        <f>IF(AND(F45&lt;&gt;"",N10&gt;0,M45&gt;N10),"Mot &gt; limite","")</f>
        <v/>
      </c>
      <c r="J45" s="110" t="str">
        <f>IF(K45="","",COUNTIF(K18:K45,"&lt;&gt;"))</f>
        <v/>
      </c>
      <c r="K45" s="111"/>
      <c r="L45" s="110" t="str">
        <f t="shared" si="4"/>
        <v/>
      </c>
      <c r="M45" s="80">
        <f>IF(OR(F45="",N10="",N10&lt;=0),"",IF(LEN(F45)&lt;=N10,LEN(F45),IFERROR(FIND("♦",SUBSTITUTE(LEFT(F45,N10)," ","♦",LEN(LEFT(F45,N10))-LEN(SUBSTITUTE(LEFT(F45,N10)," ","")))),FIND(" ",F45&amp;" ",N10+1)-1)))</f>
        <v>75</v>
      </c>
      <c r="N45" s="112">
        <f t="shared" si="5"/>
        <v>28</v>
      </c>
      <c r="O45" s="113" t="str">
        <f t="shared" si="6"/>
        <v xml:space="preserve">6. Versez cette préparation sur les pommes, parsemez d’amandes effilées et </v>
      </c>
      <c r="P45" s="112">
        <f t="shared" si="7"/>
        <v>11</v>
      </c>
      <c r="Q45" s="112">
        <f t="shared" si="8"/>
        <v>75</v>
      </c>
      <c r="S45" s="3">
        <v>1</v>
      </c>
    </row>
    <row r="46" spans="2:20" ht="30" customHeight="1">
      <c r="B46" s="99" t="str">
        <f t="shared" si="0"/>
        <v/>
      </c>
      <c r="C46" s="99" t="str">
        <f t="shared" si="1"/>
        <v/>
      </c>
      <c r="D46" s="99" t="str">
        <f>IF(UPPER(TRIM(N11))="X",C46,B46)</f>
        <v/>
      </c>
      <c r="E46" s="99" cm="1">
        <f t="array" ref="E46">IF(H45&lt;&gt;"",E45,IF(E45="","",IFERROR(MATCH(TRUE(),INDEX(INDEX(K:K,E45+1):K203&lt;&gt;"",0),0)+E45,"")))</f>
        <v>38</v>
      </c>
      <c r="F46" s="99" t="str" cm="1">
        <f t="array" ref="F46">IF(E46="","",IF(H45&lt;&gt;"",H45,INDEX(D:D,E46)))</f>
        <v>ajoutez quelques noisettes de beurre.</v>
      </c>
      <c r="G46" s="99" t="str">
        <f t="shared" si="2"/>
        <v>ajoutez quelques noisettes de beurre.</v>
      </c>
      <c r="H46" s="109" t="str">
        <f t="shared" si="3"/>
        <v/>
      </c>
      <c r="I46" s="114" t="str">
        <f>IF(AND(F46&lt;&gt;"",N10&gt;0,M46&gt;N10),"Mot &gt; limite","")</f>
        <v/>
      </c>
      <c r="J46" s="110" t="str">
        <f>IF(K46="","",COUNTIF(K18:K46,"&lt;&gt;"))</f>
        <v/>
      </c>
      <c r="K46" s="111"/>
      <c r="L46" s="110" t="str">
        <f t="shared" si="4"/>
        <v/>
      </c>
      <c r="M46" s="80">
        <f>IF(OR(F46="",N10="",N10&lt;=0),"",IF(LEN(F46)&lt;=N10,LEN(F46),IFERROR(FIND("♦",SUBSTITUTE(LEFT(F46,N10)," ","♦",LEN(LEFT(F46,N10))-LEN(SUBSTITUTE(LEFT(F46,N10)," ","")))),FIND(" ",F46&amp;" ",N10+1)-1)))</f>
        <v>37</v>
      </c>
      <c r="N46" s="112">
        <f t="shared" si="5"/>
        <v>29</v>
      </c>
      <c r="O46" s="113" t="str">
        <f t="shared" si="6"/>
        <v>ajoutez quelques noisettes de beurre.</v>
      </c>
      <c r="P46" s="112">
        <f t="shared" si="7"/>
        <v>5</v>
      </c>
      <c r="Q46" s="112">
        <f t="shared" si="8"/>
        <v>37</v>
      </c>
      <c r="S46" s="3">
        <v>1</v>
      </c>
    </row>
    <row r="47" spans="2:20" ht="30" customHeight="1">
      <c r="B47" s="99" t="str">
        <f t="shared" si="0"/>
        <v/>
      </c>
      <c r="C47" s="99" t="str">
        <f t="shared" si="1"/>
        <v/>
      </c>
      <c r="D47" s="99" t="str">
        <f>IF(UPPER(TRIM(N11))="X",C47,B47)</f>
        <v/>
      </c>
      <c r="E47" s="99" cm="1">
        <f t="array" ref="E47">IF(H46&lt;&gt;"",E46,IF(E46="","",IFERROR(MATCH(TRUE(),INDEX(INDEX(K:K,E46+1):K203&lt;&gt;"",0),0)+E46,"")))</f>
        <v>39</v>
      </c>
      <c r="F47" s="99" t="str" cm="1">
        <f t="array" ref="F47">IF(E47="","",IF(H46&lt;&gt;"",H46,INDEX(D:D,E47)))</f>
        <v>7. Enfournez pendant 30 minutes jusqu’à ce que la tarte soit dorée.</v>
      </c>
      <c r="G47" s="99" t="str">
        <f t="shared" si="2"/>
        <v>7. Enfournez pendant 30 minutes jusqu’à ce que la tarte soit dorée.</v>
      </c>
      <c r="H47" s="109" t="str">
        <f t="shared" si="3"/>
        <v/>
      </c>
      <c r="I47" s="114" t="str">
        <f>IF(AND(F47&lt;&gt;"",N10&gt;0,M47&gt;N10),"Mot &gt; limite","")</f>
        <v/>
      </c>
      <c r="J47" s="110" t="str">
        <f>IF(K47="","",COUNTIF(K18:K47,"&lt;&gt;"))</f>
        <v/>
      </c>
      <c r="K47" s="111"/>
      <c r="L47" s="110" t="str">
        <f t="shared" si="4"/>
        <v/>
      </c>
      <c r="M47" s="80">
        <f>IF(OR(F47="",N10="",N10&lt;=0),"",IF(LEN(F47)&lt;=N10,LEN(F47),IFERROR(FIND("♦",SUBSTITUTE(LEFT(F47,N10)," ","♦",LEN(LEFT(F47,N10))-LEN(SUBSTITUTE(LEFT(F47,N10)," ","")))),FIND(" ",F47&amp;" ",N10+1)-1)))</f>
        <v>67</v>
      </c>
      <c r="N47" s="112">
        <f t="shared" si="5"/>
        <v>30</v>
      </c>
      <c r="O47" s="113" t="str">
        <f t="shared" si="6"/>
        <v>7. Enfournez pendant 30 minutes jusqu’à ce que la tarte soit dorée.</v>
      </c>
      <c r="P47" s="112">
        <f t="shared" si="7"/>
        <v>12</v>
      </c>
      <c r="Q47" s="112">
        <f t="shared" si="8"/>
        <v>67</v>
      </c>
      <c r="S47" s="3">
        <v>1</v>
      </c>
    </row>
    <row r="48" spans="2:20" ht="30" customHeight="1">
      <c r="B48" s="99" t="str">
        <f t="shared" si="0"/>
        <v/>
      </c>
      <c r="C48" s="99" t="str">
        <f t="shared" si="1"/>
        <v/>
      </c>
      <c r="D48" s="99" t="str">
        <f>IF(UPPER(TRIM(N11))="X",C48,B48)</f>
        <v/>
      </c>
      <c r="E48" s="99" cm="1">
        <f t="array" ref="E48">IF(H47&lt;&gt;"",E47,IF(E47="","",IFERROR(MATCH(TRUE(),INDEX(INDEX(K:K,E47+1):K203&lt;&gt;"",0),0)+E47,"")))</f>
        <v>40</v>
      </c>
      <c r="F48" s="99" t="str" cm="1">
        <f t="array" ref="F48">IF(E48="","",IF(H47&lt;&gt;"",H47,INDEX(D:D,E48)))</f>
        <v>8. Laissez tiédir, saupoudrez de sucre glace et servez avec une touche de crème fraîche.</v>
      </c>
      <c r="G48" s="99" t="str">
        <f t="shared" si="2"/>
        <v xml:space="preserve">8. Laissez tiédir, saupoudrez de sucre glace et servez avec une touche de crème </v>
      </c>
      <c r="H48" s="109" t="str">
        <f t="shared" si="3"/>
        <v>fraîche.</v>
      </c>
      <c r="I48" s="114" t="str">
        <f>IF(AND(F48&lt;&gt;"",N10&gt;0,M48&gt;N10),"Mot &gt; limite","")</f>
        <v/>
      </c>
      <c r="J48" s="110" t="str">
        <f>IF(K48="","",COUNTIF(K18:K48,"&lt;&gt;"))</f>
        <v/>
      </c>
      <c r="K48" s="111"/>
      <c r="L48" s="110" t="str">
        <f t="shared" si="4"/>
        <v/>
      </c>
      <c r="M48" s="80">
        <f>IF(OR(F48="",N10="",N10&lt;=0),"",IF(LEN(F48)&lt;=N10,LEN(F48),IFERROR(FIND("♦",SUBSTITUTE(LEFT(F48,N10)," ","♦",LEN(LEFT(F48,N10))-LEN(SUBSTITUTE(LEFT(F48,N10)," ","")))),FIND(" ",F48&amp;" ",N10+1)-1)))</f>
        <v>80</v>
      </c>
      <c r="N48" s="112">
        <f t="shared" si="5"/>
        <v>31</v>
      </c>
      <c r="O48" s="113" t="str">
        <f t="shared" si="6"/>
        <v xml:space="preserve">8. Laissez tiédir, saupoudrez de sucre glace et servez avec une touche de crème </v>
      </c>
      <c r="P48" s="112">
        <f t="shared" si="7"/>
        <v>14</v>
      </c>
      <c r="Q48" s="112">
        <f t="shared" si="8"/>
        <v>80</v>
      </c>
      <c r="S48" s="3">
        <v>1</v>
      </c>
    </row>
    <row r="49" spans="2:19" ht="30" customHeight="1">
      <c r="B49" s="99" t="str">
        <f t="shared" si="0"/>
        <v/>
      </c>
      <c r="C49" s="99" t="str">
        <f t="shared" si="1"/>
        <v/>
      </c>
      <c r="D49" s="99" t="str">
        <f>IF(UPPER(TRIM(N11))="X",C49,B49)</f>
        <v/>
      </c>
      <c r="E49" s="99" cm="1">
        <f t="array" ref="E49">IF(H48&lt;&gt;"",E48,IF(E48="","",IFERROR(MATCH(TRUE(),INDEX(INDEX(K:K,E48+1):K203&lt;&gt;"",0),0)+E48,"")))</f>
        <v>40</v>
      </c>
      <c r="F49" s="99" t="str" cm="1">
        <f t="array" ref="F49">IF(E49="","",IF(H48&lt;&gt;"",H48,INDEX(D:D,E49)))</f>
        <v>fraîche.</v>
      </c>
      <c r="G49" s="99" t="str">
        <f t="shared" si="2"/>
        <v>fraîche.</v>
      </c>
      <c r="H49" s="109" t="str">
        <f t="shared" si="3"/>
        <v/>
      </c>
      <c r="I49" s="114" t="str">
        <f>IF(AND(F49&lt;&gt;"",N10&gt;0,M49&gt;N10),"Mot &gt; limite","")</f>
        <v/>
      </c>
      <c r="J49" s="110" t="str">
        <f>IF(K49="","",COUNTIF(K18:K49,"&lt;&gt;"))</f>
        <v/>
      </c>
      <c r="K49" s="111"/>
      <c r="L49" s="110" t="str">
        <f t="shared" si="4"/>
        <v/>
      </c>
      <c r="M49" s="80">
        <f>IF(OR(F49="",N10="",N10&lt;=0),"",IF(LEN(F49)&lt;=N10,LEN(F49),IFERROR(FIND("♦",SUBSTITUTE(LEFT(F49,N10)," ","♦",LEN(LEFT(F49,N10))-LEN(SUBSTITUTE(LEFT(F49,N10)," ","")))),FIND(" ",F49&amp;" ",N10+1)-1)))</f>
        <v>8</v>
      </c>
      <c r="N49" s="112">
        <f t="shared" si="5"/>
        <v>32</v>
      </c>
      <c r="O49" s="113" t="str">
        <f t="shared" si="6"/>
        <v>fraîche.</v>
      </c>
      <c r="P49" s="112">
        <f t="shared" si="7"/>
        <v>1</v>
      </c>
      <c r="Q49" s="112">
        <f t="shared" si="8"/>
        <v>8</v>
      </c>
      <c r="S49" s="3">
        <v>1</v>
      </c>
    </row>
    <row r="50" spans="2:19" ht="30" customHeight="1">
      <c r="B50" s="99" t="str">
        <f t="shared" si="0"/>
        <v/>
      </c>
      <c r="C50" s="99" t="str">
        <f t="shared" si="1"/>
        <v/>
      </c>
      <c r="D50" s="99" t="str">
        <f>IF(UPPER(TRIM(N11))="X",C50,B50)</f>
        <v/>
      </c>
      <c r="E50" s="99" cm="1">
        <f t="array" ref="E50">IF(H49&lt;&gt;"",E49,IF(E49="","",IFERROR(MATCH(TRUE(),INDEX(INDEX(K:K,E49+1):K203&lt;&gt;"",0),0)+E49,"")))</f>
        <v>41</v>
      </c>
      <c r="F50" s="99" t="str" cm="1">
        <f t="array" ref="F50">IF(E50="","",IF(H49&lt;&gt;"",H49,INDEX(D:D,E50)))</f>
        <v>Préparation : 20 min</v>
      </c>
      <c r="G50" s="99" t="str">
        <f t="shared" si="2"/>
        <v>Préparation : 20 min</v>
      </c>
      <c r="H50" s="109" t="str">
        <f t="shared" si="3"/>
        <v/>
      </c>
      <c r="I50" s="114" t="str">
        <f>IF(AND(F50&lt;&gt;"",N10&gt;0,M50&gt;N10),"Mot &gt; limite","")</f>
        <v/>
      </c>
      <c r="J50" s="110" t="str">
        <f>IF(K50="","",COUNTIF(K18:K50,"&lt;&gt;"))</f>
        <v/>
      </c>
      <c r="K50" s="111"/>
      <c r="L50" s="110" t="str">
        <f t="shared" si="4"/>
        <v/>
      </c>
      <c r="M50" s="80">
        <f>IF(OR(F50="",N10="",N10&lt;=0),"",IF(LEN(F50)&lt;=N10,LEN(F50),IFERROR(FIND("♦",SUBSTITUTE(LEFT(F50,N10)," ","♦",LEN(LEFT(F50,N10))-LEN(SUBSTITUTE(LEFT(F50,N10)," ","")))),FIND(" ",F50&amp;" ",N10+1)-1)))</f>
        <v>20</v>
      </c>
      <c r="N50" s="112">
        <f t="shared" si="5"/>
        <v>33</v>
      </c>
      <c r="O50" s="113" t="str">
        <f t="shared" si="6"/>
        <v>Préparation : 20 min</v>
      </c>
      <c r="P50" s="112">
        <f t="shared" si="7"/>
        <v>4</v>
      </c>
      <c r="Q50" s="112">
        <f t="shared" si="8"/>
        <v>20</v>
      </c>
      <c r="S50" s="3">
        <v>1</v>
      </c>
    </row>
    <row r="51" spans="2:19" ht="30" customHeight="1">
      <c r="B51" s="99" t="str">
        <f t="shared" si="0"/>
        <v/>
      </c>
      <c r="C51" s="99" t="str">
        <f t="shared" si="1"/>
        <v/>
      </c>
      <c r="D51" s="99" t="str">
        <f>IF(UPPER(TRIM(N11))="X",C51,B51)</f>
        <v/>
      </c>
      <c r="E51" s="99" cm="1">
        <f t="array" ref="E51">IF(H50&lt;&gt;"",E50,IF(E50="","",IFERROR(MATCH(TRUE(),INDEX(INDEX(K:K,E50+1):K203&lt;&gt;"",0),0)+E50,"")))</f>
        <v>42</v>
      </c>
      <c r="F51" s="99" t="str" cm="1">
        <f t="array" ref="F51">IF(E51="","",IF(H50&lt;&gt;"",H50,INDEX(D:D,E51)))</f>
        <v>Cuisson : 30 min</v>
      </c>
      <c r="G51" s="99" t="str">
        <f t="shared" si="2"/>
        <v>Cuisson : 30 min</v>
      </c>
      <c r="H51" s="109" t="str">
        <f t="shared" si="3"/>
        <v/>
      </c>
      <c r="I51" s="114" t="str">
        <f>IF(AND(F51&lt;&gt;"",N10&gt;0,M51&gt;N10),"Mot &gt; limite","")</f>
        <v/>
      </c>
      <c r="J51" s="110" t="str">
        <f>IF(K51="","",COUNTIF(K18:K51,"&lt;&gt;"))</f>
        <v/>
      </c>
      <c r="K51" s="111"/>
      <c r="L51" s="110" t="str">
        <f t="shared" si="4"/>
        <v/>
      </c>
      <c r="M51" s="80">
        <f>IF(OR(F51="",N10="",N10&lt;=0),"",IF(LEN(F51)&lt;=N10,LEN(F51),IFERROR(FIND("♦",SUBSTITUTE(LEFT(F51,N10)," ","♦",LEN(LEFT(F51,N10))-LEN(SUBSTITUTE(LEFT(F51,N10)," ","")))),FIND(" ",F51&amp;" ",N10+1)-1)))</f>
        <v>16</v>
      </c>
      <c r="N51" s="112">
        <f t="shared" si="5"/>
        <v>34</v>
      </c>
      <c r="O51" s="113" t="str">
        <f t="shared" si="6"/>
        <v>Cuisson : 30 min</v>
      </c>
      <c r="P51" s="112">
        <f t="shared" si="7"/>
        <v>4</v>
      </c>
      <c r="Q51" s="112">
        <f t="shared" si="8"/>
        <v>16</v>
      </c>
      <c r="S51" s="3">
        <v>1</v>
      </c>
    </row>
    <row r="52" spans="2:19" ht="30" customHeight="1">
      <c r="B52" s="99" t="str">
        <f t="shared" si="0"/>
        <v/>
      </c>
      <c r="C52" s="99" t="str">
        <f t="shared" si="1"/>
        <v/>
      </c>
      <c r="D52" s="99" t="str">
        <f>IF(UPPER(TRIM(N11))="X",C52,B52)</f>
        <v/>
      </c>
      <c r="E52" s="99" cm="1">
        <f t="array" ref="E52">IF(H51&lt;&gt;"",E51,IF(E51="","",IFERROR(MATCH(TRUE(),INDEX(INDEX(K:K,E51+1):K203&lt;&gt;"",0),0)+E51,"")))</f>
        <v>43</v>
      </c>
      <c r="F52" s="99" t="str" cm="1">
        <f t="array" ref="F52">IF(E52="","",IF(H51&lt;&gt;"",H51,INDEX(D:D,E52)))</f>
        <v>Portions : 4</v>
      </c>
      <c r="G52" s="99" t="str">
        <f t="shared" si="2"/>
        <v>Portions : 4</v>
      </c>
      <c r="H52" s="109" t="str">
        <f t="shared" si="3"/>
        <v/>
      </c>
      <c r="I52" s="114" t="str">
        <f>IF(AND(F52&lt;&gt;"",N10&gt;0,M52&gt;N10),"Mot &gt; limite","")</f>
        <v/>
      </c>
      <c r="J52" s="110" t="str">
        <f>IF(K52="","",COUNTIF(K18:K52,"&lt;&gt;"))</f>
        <v/>
      </c>
      <c r="K52" s="111"/>
      <c r="L52" s="110" t="str">
        <f t="shared" si="4"/>
        <v/>
      </c>
      <c r="M52" s="80">
        <f>IF(OR(F52="",N10="",N10&lt;=0),"",IF(LEN(F52)&lt;=N10,LEN(F52),IFERROR(FIND("♦",SUBSTITUTE(LEFT(F52,N10)," ","♦",LEN(LEFT(F52,N10))-LEN(SUBSTITUTE(LEFT(F52,N10)," ","")))),FIND(" ",F52&amp;" ",N10+1)-1)))</f>
        <v>12</v>
      </c>
      <c r="N52" s="112">
        <f t="shared" si="5"/>
        <v>35</v>
      </c>
      <c r="O52" s="113" t="str">
        <f t="shared" si="6"/>
        <v>Portions : 4</v>
      </c>
      <c r="P52" s="112">
        <f t="shared" si="7"/>
        <v>3</v>
      </c>
      <c r="Q52" s="112">
        <f t="shared" si="8"/>
        <v>12</v>
      </c>
      <c r="S52" s="3">
        <v>1</v>
      </c>
    </row>
    <row r="53" spans="2:19" ht="30" customHeight="1">
      <c r="B53" s="99" t="str">
        <f t="shared" si="0"/>
        <v/>
      </c>
      <c r="C53" s="99" t="str">
        <f t="shared" si="1"/>
        <v/>
      </c>
      <c r="D53" s="99" t="str">
        <f>IF(UPPER(TRIM(N11))="X",C53,B53)</f>
        <v/>
      </c>
      <c r="E53" s="99" cm="1">
        <f t="array" ref="E53">IF(H52&lt;&gt;"",E52,IF(E52="","",IFERROR(MATCH(TRUE(),INDEX(INDEX(K:K,E52+1):K203&lt;&gt;"",0),0)+E52,"")))</f>
        <v>44</v>
      </c>
      <c r="F53" s="99" t="str" cm="1">
        <f t="array" ref="F53">IF(E53="","",IF(H52&lt;&gt;"",H52,INDEX(D:D,E53)))</f>
        <v>Calories : ≈ 410 kcal par part</v>
      </c>
      <c r="G53" s="99" t="str">
        <f t="shared" si="2"/>
        <v>Calories : ≈ 410 kcal par part</v>
      </c>
      <c r="H53" s="109" t="str">
        <f t="shared" si="3"/>
        <v/>
      </c>
      <c r="I53" s="114" t="str">
        <f>IF(AND(F53&lt;&gt;"",N10&gt;0,M53&gt;N10),"Mot &gt; limite","")</f>
        <v/>
      </c>
      <c r="J53" s="110" t="str">
        <f>IF(K53="","",COUNTIF(K18:K53,"&lt;&gt;"))</f>
        <v/>
      </c>
      <c r="K53" s="111"/>
      <c r="L53" s="110" t="str">
        <f t="shared" si="4"/>
        <v/>
      </c>
      <c r="M53" s="80">
        <f>IF(OR(F53="",N10="",N10&lt;=0),"",IF(LEN(F53)&lt;=N10,LEN(F53),IFERROR(FIND("♦",SUBSTITUTE(LEFT(F53,N10)," ","♦",LEN(LEFT(F53,N10))-LEN(SUBSTITUTE(LEFT(F53,N10)," ","")))),FIND(" ",F53&amp;" ",N10+1)-1)))</f>
        <v>30</v>
      </c>
      <c r="N53" s="112">
        <f t="shared" si="5"/>
        <v>36</v>
      </c>
      <c r="O53" s="113" t="str">
        <f t="shared" si="6"/>
        <v>Calories : ≈ 410 kcal par part</v>
      </c>
      <c r="P53" s="112">
        <f t="shared" si="7"/>
        <v>7</v>
      </c>
      <c r="Q53" s="112">
        <f t="shared" si="8"/>
        <v>30</v>
      </c>
      <c r="S53" s="3">
        <v>1</v>
      </c>
    </row>
    <row r="54" spans="2:19" ht="30" customHeight="1">
      <c r="B54" s="99" t="str">
        <f t="shared" si="0"/>
        <v/>
      </c>
      <c r="C54" s="99" t="str">
        <f t="shared" si="1"/>
        <v/>
      </c>
      <c r="D54" s="99" t="str">
        <f>IF(UPPER(TRIM(N11))="X",C54,B54)</f>
        <v/>
      </c>
      <c r="E54" s="99" cm="1">
        <f t="array" ref="E54">IF(H53&lt;&gt;"",E53,IF(E53="","",IFERROR(MATCH(TRUE(),INDEX(INDEX(K:K,E53+1):K203&lt;&gt;"",0),0)+E53,"")))</f>
        <v>91</v>
      </c>
      <c r="F54" s="99" t="str" cm="1">
        <f t="array" ref="F54">IF(E54="","",IF(H53&lt;&gt;"",H53,INDEX(D:D,E54)))</f>
        <v>►&gt; &gt; &gt;</v>
      </c>
      <c r="G54" s="99" t="str">
        <f t="shared" si="2"/>
        <v>►&gt; &gt; &gt;</v>
      </c>
      <c r="H54" s="109" t="str">
        <f t="shared" si="3"/>
        <v/>
      </c>
      <c r="I54" s="114" t="str">
        <f>IF(AND(F54&lt;&gt;"",N10&gt;0,M54&gt;N10),"Mot &gt; limite","")</f>
        <v/>
      </c>
      <c r="J54" s="110" t="str">
        <f>IF(K54="","",COUNTIF(K18:K54,"&lt;&gt;"))</f>
        <v/>
      </c>
      <c r="K54" s="111"/>
      <c r="L54" s="110" t="str">
        <f t="shared" si="4"/>
        <v/>
      </c>
      <c r="M54" s="80">
        <f>IF(OR(F54="",N10="",N10&lt;=0),"",IF(LEN(F54)&lt;=N10,LEN(F54),IFERROR(FIND("♦",SUBSTITUTE(LEFT(F54,N10)," ","♦",LEN(LEFT(F54,N10))-LEN(SUBSTITUTE(LEFT(F54,N10)," ","")))),FIND(" ",F54&amp;" ",N10+1)-1)))</f>
        <v>6</v>
      </c>
      <c r="N54" s="112">
        <f t="shared" si="5"/>
        <v>37</v>
      </c>
      <c r="O54" s="113" t="str">
        <f t="shared" si="6"/>
        <v>►&gt; &gt; &gt;</v>
      </c>
      <c r="P54" s="112">
        <f t="shared" si="7"/>
        <v>3</v>
      </c>
      <c r="Q54" s="112">
        <f t="shared" si="8"/>
        <v>6</v>
      </c>
      <c r="S54" s="3">
        <v>1</v>
      </c>
    </row>
    <row r="55" spans="2:19" ht="30" customHeight="1">
      <c r="B55" s="99" t="str">
        <f t="shared" si="0"/>
        <v/>
      </c>
      <c r="C55" s="99" t="str">
        <f t="shared" si="1"/>
        <v/>
      </c>
      <c r="D55" s="99" t="str">
        <f>IF(UPPER(TRIM(N11))="X",C55,B55)</f>
        <v/>
      </c>
      <c r="E55" s="99" cm="1">
        <f t="array" ref="E55">IF(H54&lt;&gt;"",E54,IF(E54="","",IFERROR(MATCH(TRUE(),INDEX(INDEX(K:K,E54+1):K203&lt;&gt;"",0),0)+E54,"")))</f>
        <v>203</v>
      </c>
      <c r="F55" s="99" t="str" cm="1">
        <f t="array" ref="F55">IF(E55="","",IF(H54&lt;&gt;"",H54,INDEX(D:D,E55)))</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5" s="99" t="str">
        <f t="shared" si="2"/>
        <v xml:space="preserve">Si vous récupérez du texte sur internet, collez-le d’abord dans la colonne 1️⃣ </v>
      </c>
      <c r="H55" s="109" t="str">
        <f t="shared" si="3"/>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5" s="114" t="str">
        <f>IF(AND(F55&lt;&gt;"",N10&gt;0,M55&gt;N10),"Mot &gt; limite","")</f>
        <v/>
      </c>
      <c r="J55" s="110" t="str">
        <f>IF(K55="","",COUNTIF(K18:K55,"&lt;&gt;"))</f>
        <v/>
      </c>
      <c r="K55" s="111"/>
      <c r="L55" s="110" t="str">
        <f t="shared" si="4"/>
        <v/>
      </c>
      <c r="M55" s="80">
        <f>IF(OR(F55="",N10="",N10&lt;=0),"",IF(LEN(F55)&lt;=N10,LEN(F55),IFERROR(FIND("♦",SUBSTITUTE(LEFT(F55,N10)," ","♦",LEN(LEFT(F55,N10))-LEN(SUBSTITUTE(LEFT(F55,N10)," ","")))),FIND(" ",F55&amp;" ",N10+1)-1)))</f>
        <v>79</v>
      </c>
      <c r="N55" s="112">
        <f t="shared" si="5"/>
        <v>38</v>
      </c>
      <c r="O55" s="113" t="str">
        <f t="shared" si="6"/>
        <v xml:space="preserve">Si vous récupérez du texte sur internet, collez-le d’abord dans la colonne 1️⃣ </v>
      </c>
      <c r="P55" s="112">
        <f t="shared" si="7"/>
        <v>13</v>
      </c>
      <c r="Q55" s="112">
        <f t="shared" si="8"/>
        <v>79</v>
      </c>
      <c r="S55" s="3">
        <v>1</v>
      </c>
    </row>
    <row r="56" spans="2:19" ht="30" customHeight="1">
      <c r="B56" s="99" t="str">
        <f t="shared" si="0"/>
        <v/>
      </c>
      <c r="C56" s="99" t="str">
        <f t="shared" si="1"/>
        <v/>
      </c>
      <c r="D56" s="99" t="str">
        <f>IF(UPPER(TRIM(N11))="X",C56,B56)</f>
        <v/>
      </c>
      <c r="E56" s="99" cm="1">
        <f t="array" ref="E56">IF(H55&lt;&gt;"",E55,IF(E55="","",IFERROR(MATCH(TRUE(),INDEX(INDEX(K:K,E55+1):K203&lt;&gt;"",0),0)+E55,"")))</f>
        <v>203</v>
      </c>
      <c r="F56" s="99" t="str" cm="1">
        <f t="array" ref="F56">IF(E56="","",IF(H55&lt;&gt;"",H55,INDEX(D:D,E56)))</f>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6" s="99" t="str">
        <f t="shared" si="2"/>
        <v xml:space="preserve">pour le “nettoyer” : cela supprime les espaces insécables, tabulations </v>
      </c>
      <c r="H56" s="109" t="str">
        <f t="shared" si="3"/>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6" s="114" t="str">
        <f>IF(AND(F56&lt;&gt;"",N10&gt;0,M56&gt;N10),"Mot &gt; limite","")</f>
        <v/>
      </c>
      <c r="J56" s="110" t="str">
        <f>IF(K56="","",COUNTIF(K18:K56,"&lt;&gt;"))</f>
        <v/>
      </c>
      <c r="K56" s="111"/>
      <c r="L56" s="110" t="str">
        <f t="shared" si="4"/>
        <v/>
      </c>
      <c r="M56" s="80">
        <f>IF(OR(F56="",N10="",N10&lt;=0),"",IF(LEN(F56)&lt;=N10,LEN(F56),IFERROR(FIND("♦",SUBSTITUTE(LEFT(F56,N10)," ","♦",LEN(LEFT(F56,N10))-LEN(SUBSTITUTE(LEFT(F56,N10)," ","")))),FIND(" ",F56&amp;" ",N10+1)-1)))</f>
        <v>71</v>
      </c>
      <c r="N56" s="112">
        <f t="shared" si="5"/>
        <v>39</v>
      </c>
      <c r="O56" s="113" t="str">
        <f t="shared" si="6"/>
        <v xml:space="preserve">pour le “nettoyer” : cela supprime les espaces insécables, tabulations </v>
      </c>
      <c r="P56" s="112">
        <f t="shared" si="7"/>
        <v>10</v>
      </c>
      <c r="Q56" s="112">
        <f t="shared" si="8"/>
        <v>71</v>
      </c>
      <c r="S56" s="3">
        <v>1</v>
      </c>
    </row>
    <row r="57" spans="2:19" ht="30" customHeight="1">
      <c r="B57" s="99" t="str">
        <f t="shared" si="0"/>
        <v/>
      </c>
      <c r="C57" s="99" t="str">
        <f t="shared" si="1"/>
        <v/>
      </c>
      <c r="D57" s="99" t="str">
        <f>IF(UPPER(TRIM(N11))="X",C57,B57)</f>
        <v/>
      </c>
      <c r="E57" s="99" cm="1">
        <f t="array" ref="E57">IF(H56&lt;&gt;"",E56,IF(E56="","",IFERROR(MATCH(TRUE(),INDEX(INDEX(K:K,E56+1):K203&lt;&gt;"",0),0)+E56,"")))</f>
        <v>203</v>
      </c>
      <c r="F57" s="99" t="str" cm="1">
        <f t="array" ref="F57">IF(E57="","",IF(H56&lt;&gt;"",H56,INDEX(D:D,E57)))</f>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7" s="99" t="str">
        <f t="shared" si="2"/>
        <v xml:space="preserve">invisibles et autres “pollutions”.◄ 2️⃣ Saisissez la largeur du document dans </v>
      </c>
      <c r="H57" s="109" t="str">
        <f t="shared" si="3"/>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7" s="114" t="str">
        <f>IF(AND(F57&lt;&gt;"",N10&gt;0,M57&gt;N10),"Mot &gt; limite","")</f>
        <v/>
      </c>
      <c r="J57" s="110" t="str">
        <f>IF(K57="","",COUNTIF(K18:K57,"&lt;&gt;"))</f>
        <v/>
      </c>
      <c r="K57" s="111"/>
      <c r="L57" s="110" t="str">
        <f t="shared" si="4"/>
        <v/>
      </c>
      <c r="M57" s="80">
        <f>IF(OR(F57="",N10="",N10&lt;=0),"",IF(LEN(F57)&lt;=N10,LEN(F57),IFERROR(FIND("♦",SUBSTITUTE(LEFT(F57,N10)," ","♦",LEN(LEFT(F57,N10))-LEN(SUBSTITUTE(LEFT(F57,N10)," ","")))),FIND(" ",F57&amp;" ",N10+1)-1)))</f>
        <v>78</v>
      </c>
      <c r="N57" s="112">
        <f t="shared" si="5"/>
        <v>40</v>
      </c>
      <c r="O57" s="113" t="str">
        <f t="shared" si="6"/>
        <v xml:space="preserve">invisibles et autres “pollutions”.◄ 2️⃣ Saisissez la largeur du document dans </v>
      </c>
      <c r="P57" s="112">
        <f t="shared" si="7"/>
        <v>11</v>
      </c>
      <c r="Q57" s="112">
        <f t="shared" si="8"/>
        <v>78</v>
      </c>
      <c r="S57" s="3">
        <v>1</v>
      </c>
    </row>
    <row r="58" spans="2:19" ht="30" customHeight="1">
      <c r="B58" s="99" t="str">
        <f t="shared" si="0"/>
        <v/>
      </c>
      <c r="C58" s="99" t="str">
        <f t="shared" si="1"/>
        <v/>
      </c>
      <c r="D58" s="99" t="str">
        <f>IF(UPPER(TRIM(N11))="X",C58,B58)</f>
        <v/>
      </c>
      <c r="E58" s="99" cm="1">
        <f t="array" ref="E58">IF(H57&lt;&gt;"",E57,IF(E57="","",IFERROR(MATCH(TRUE(),INDEX(INDEX(K:K,E57+1):K203&lt;&gt;"",0),0)+E57,"")))</f>
        <v>203</v>
      </c>
      <c r="F58" s="99" t="str" cm="1">
        <f t="array" ref="F58">IF(E58="","",IF(H57&lt;&gt;"",H57,INDEX(D:D,E58)))</f>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8" s="99" t="str">
        <f t="shared" si="2"/>
        <v xml:space="preserve">lequel vous collerez ensuite le texte. ◄ 3️⃣ saisissez un nombre de caractères </v>
      </c>
      <c r="H58" s="109" t="str">
        <f t="shared" si="3"/>
        <v>par lignes ◄ 4️⃣ Si vous ne voulez pas de ponctuation saisissez un X dans la cellule - Ensuite, dans la colonne B copiez le texte nettoyé - puis dans votre document faites Collage spécial &gt; 1.2.3 Valeurs pour ne coller que le texte, sans formules.</v>
      </c>
      <c r="I58" s="114" t="str">
        <f>IF(AND(F58&lt;&gt;"",N10&gt;0,M58&gt;N10),"Mot &gt; limite","")</f>
        <v/>
      </c>
      <c r="J58" s="110" t="str">
        <f>IF(K58="","",COUNTIF(K18:K58,"&lt;&gt;"))</f>
        <v/>
      </c>
      <c r="K58" s="111"/>
      <c r="L58" s="110" t="str">
        <f t="shared" si="4"/>
        <v/>
      </c>
      <c r="M58" s="80">
        <f>IF(OR(F58="",N10="",N10&lt;=0),"",IF(LEN(F58)&lt;=N10,LEN(F58),IFERROR(FIND("♦",SUBSTITUTE(LEFT(F58,N10)," ","♦",LEN(LEFT(F58,N10))-LEN(SUBSTITUTE(LEFT(F58,N10)," ","")))),FIND(" ",F58&amp;" ",N10+1)-1)))</f>
        <v>79</v>
      </c>
      <c r="N58" s="112">
        <f t="shared" si="5"/>
        <v>41</v>
      </c>
      <c r="O58" s="113" t="str">
        <f t="shared" si="6"/>
        <v xml:space="preserve">lequel vous collerez ensuite le texte. ◄ 3️⃣ saisissez un nombre de caractères </v>
      </c>
      <c r="P58" s="112">
        <f t="shared" si="7"/>
        <v>13</v>
      </c>
      <c r="Q58" s="112">
        <f t="shared" si="8"/>
        <v>79</v>
      </c>
      <c r="S58" s="3">
        <v>1</v>
      </c>
    </row>
    <row r="59" spans="2:19" ht="30" customHeight="1">
      <c r="B59" s="99" t="str">
        <f t="shared" si="0"/>
        <v/>
      </c>
      <c r="C59" s="99" t="str">
        <f t="shared" si="1"/>
        <v/>
      </c>
      <c r="D59" s="99" t="str">
        <f>IF(UPPER(TRIM(N11))="X",C59,B59)</f>
        <v/>
      </c>
      <c r="E59" s="99" cm="1">
        <f t="array" ref="E59">IF(H58&lt;&gt;"",E58,IF(E58="","",IFERROR(MATCH(TRUE(),INDEX(INDEX(K:K,E58+1):K203&lt;&gt;"",0),0)+E58,"")))</f>
        <v>203</v>
      </c>
      <c r="F59" s="99" t="str" cm="1">
        <f t="array" ref="F59">IF(E59="","",IF(H58&lt;&gt;"",H58,INDEX(D:D,E59)))</f>
        <v>par lignes ◄ 4️⃣ Si vous ne voulez pas de ponctuation saisissez un X dans la cellule - Ensuite, dans la colonne B copiez le texte nettoyé - puis dans votre document faites Collage spécial &gt; 1.2.3 Valeurs pour ne coller que le texte, sans formules.</v>
      </c>
      <c r="G59" s="99" t="str">
        <f t="shared" si="2"/>
        <v xml:space="preserve">par lignes ◄ 4️⃣ Si vous ne voulez pas de ponctuation saisissez un X dans la </v>
      </c>
      <c r="H59" s="109" t="str">
        <f t="shared" si="3"/>
        <v>cellule - Ensuite, dans la colonne B copiez le texte nettoyé - puis dans votre document faites Collage spécial &gt; 1.2.3 Valeurs pour ne coller que le texte, sans formules.</v>
      </c>
      <c r="I59" s="114" t="str">
        <f>IF(AND(F59&lt;&gt;"",N10&gt;0,M59&gt;N10),"Mot &gt; limite","")</f>
        <v/>
      </c>
      <c r="J59" s="110" t="str">
        <f>IF(K59="","",COUNTIF(K18:K59,"&lt;&gt;"))</f>
        <v/>
      </c>
      <c r="K59" s="111"/>
      <c r="L59" s="110" t="str">
        <f t="shared" si="4"/>
        <v/>
      </c>
      <c r="M59" s="80">
        <f>IF(OR(F59="",N10="",N10&lt;=0),"",IF(LEN(F59)&lt;=N10,LEN(F59),IFERROR(FIND("♦",SUBSTITUTE(LEFT(F59,N10)," ","♦",LEN(LEFT(F59,N10))-LEN(SUBSTITUTE(LEFT(F59,N10)," ","")))),FIND(" ",F59&amp;" ",N10+1)-1)))</f>
        <v>77</v>
      </c>
      <c r="N59" s="112">
        <f t="shared" si="5"/>
        <v>42</v>
      </c>
      <c r="O59" s="113" t="str">
        <f t="shared" si="6"/>
        <v xml:space="preserve">par lignes ◄ 4️⃣ Si vous ne voulez pas de ponctuation saisissez un X dans la </v>
      </c>
      <c r="P59" s="112">
        <f t="shared" si="7"/>
        <v>16</v>
      </c>
      <c r="Q59" s="112">
        <f t="shared" si="8"/>
        <v>77</v>
      </c>
      <c r="S59" s="3">
        <v>1</v>
      </c>
    </row>
    <row r="60" spans="2:19" ht="30" customHeight="1">
      <c r="B60" s="99" t="str">
        <f t="shared" si="0"/>
        <v/>
      </c>
      <c r="C60" s="99" t="str">
        <f t="shared" si="1"/>
        <v/>
      </c>
      <c r="D60" s="99" t="str">
        <f>IF(UPPER(TRIM(N11))="X",C60,B60)</f>
        <v/>
      </c>
      <c r="E60" s="99" cm="1">
        <f t="array" ref="E60">IF(H59&lt;&gt;"",E59,IF(E59="","",IFERROR(MATCH(TRUE(),INDEX(INDEX(K:K,E59+1):K203&lt;&gt;"",0),0)+E59,"")))</f>
        <v>203</v>
      </c>
      <c r="F60" s="99" t="str" cm="1">
        <f t="array" ref="F60">IF(E60="","",IF(H59&lt;&gt;"",H59,INDEX(D:D,E60)))</f>
        <v>cellule - Ensuite, dans la colonne B copiez le texte nettoyé - puis dans votre document faites Collage spécial &gt; 1.2.3 Valeurs pour ne coller que le texte, sans formules.</v>
      </c>
      <c r="G60" s="99" t="str">
        <f t="shared" si="2"/>
        <v xml:space="preserve">cellule - Ensuite, dans la colonne B copiez le texte nettoyé - puis dans votre </v>
      </c>
      <c r="H60" s="109" t="str">
        <f t="shared" si="3"/>
        <v>document faites Collage spécial &gt; 1.2.3 Valeurs pour ne coller que le texte, sans formules.</v>
      </c>
      <c r="I60" s="114" t="str">
        <f>IF(AND(F60&lt;&gt;"",N10&gt;0,M60&gt;N10),"Mot &gt; limite","")</f>
        <v/>
      </c>
      <c r="J60" s="110" t="str">
        <f>IF(K60="","",COUNTIF(K18:K60,"&lt;&gt;"))</f>
        <v/>
      </c>
      <c r="K60" s="111"/>
      <c r="L60" s="110" t="str">
        <f t="shared" si="4"/>
        <v/>
      </c>
      <c r="M60" s="80">
        <f>IF(OR(F60="",N10="",N10&lt;=0),"",IF(LEN(F60)&lt;=N10,LEN(F60),IFERROR(FIND("♦",SUBSTITUTE(LEFT(F60,N10)," ","♦",LEN(LEFT(F60,N10))-LEN(SUBSTITUTE(LEFT(F60,N10)," ","")))),FIND(" ",F60&amp;" ",N10+1)-1)))</f>
        <v>79</v>
      </c>
      <c r="N60" s="112">
        <f t="shared" si="5"/>
        <v>43</v>
      </c>
      <c r="O60" s="113" t="str">
        <f t="shared" si="6"/>
        <v xml:space="preserve">cellule - Ensuite, dans la colonne B copiez le texte nettoyé - puis dans votre </v>
      </c>
      <c r="P60" s="112">
        <f t="shared" si="7"/>
        <v>15</v>
      </c>
      <c r="Q60" s="112">
        <f t="shared" si="8"/>
        <v>79</v>
      </c>
      <c r="S60" s="3">
        <v>1</v>
      </c>
    </row>
    <row r="61" spans="2:19" ht="30" customHeight="1">
      <c r="B61" s="99" t="str">
        <f t="shared" si="0"/>
        <v/>
      </c>
      <c r="C61" s="99" t="str">
        <f t="shared" si="1"/>
        <v/>
      </c>
      <c r="D61" s="99" t="str">
        <f>IF(UPPER(TRIM(N11))="X",C61,B61)</f>
        <v/>
      </c>
      <c r="E61" s="99" cm="1">
        <f t="array" ref="E61">IF(H60&lt;&gt;"",E60,IF(E60="","",IFERROR(MATCH(TRUE(),INDEX(INDEX(K:K,E60+1):K203&lt;&gt;"",0),0)+E60,"")))</f>
        <v>203</v>
      </c>
      <c r="F61" s="99" t="str" cm="1">
        <f t="array" ref="F61">IF(E61="","",IF(H60&lt;&gt;"",H60,INDEX(D:D,E61)))</f>
        <v>document faites Collage spécial &gt; 1.2.3 Valeurs pour ne coller que le texte, sans formules.</v>
      </c>
      <c r="G61" s="99" t="str">
        <f t="shared" si="2"/>
        <v xml:space="preserve">document faites Collage spécial &gt; 1.2.3 Valeurs pour ne coller que le texte, </v>
      </c>
      <c r="H61" s="109" t="str">
        <f t="shared" si="3"/>
        <v>sans formules.</v>
      </c>
      <c r="I61" s="114" t="str">
        <f>IF(AND(F61&lt;&gt;"",N10&gt;0,M61&gt;N10),"Mot &gt; limite","")</f>
        <v/>
      </c>
      <c r="J61" s="110" t="str">
        <f>IF(K61="","",COUNTIF(K18:K61,"&lt;&gt;"))</f>
        <v/>
      </c>
      <c r="K61" s="111"/>
      <c r="L61" s="110" t="str">
        <f t="shared" si="4"/>
        <v/>
      </c>
      <c r="M61" s="80">
        <f>IF(OR(F61="",N10="",N10&lt;=0),"",IF(LEN(F61)&lt;=N10,LEN(F61),IFERROR(FIND("♦",SUBSTITUTE(LEFT(F61,N10)," ","♦",LEN(LEFT(F61,N10))-LEN(SUBSTITUTE(LEFT(F61,N10)," ","")))),FIND(" ",F61&amp;" ",N10+1)-1)))</f>
        <v>77</v>
      </c>
      <c r="N61" s="112">
        <f t="shared" si="5"/>
        <v>44</v>
      </c>
      <c r="O61" s="113" t="str">
        <f t="shared" si="6"/>
        <v xml:space="preserve">document faites Collage spécial &gt; 1.2.3 Valeurs pour ne coller que le texte, </v>
      </c>
      <c r="P61" s="112">
        <f t="shared" si="7"/>
        <v>13</v>
      </c>
      <c r="Q61" s="112">
        <f t="shared" si="8"/>
        <v>77</v>
      </c>
      <c r="S61" s="3">
        <v>1</v>
      </c>
    </row>
    <row r="62" spans="2:19" ht="30" customHeight="1">
      <c r="B62" s="99" t="str">
        <f t="shared" si="0"/>
        <v/>
      </c>
      <c r="C62" s="99" t="str">
        <f t="shared" si="1"/>
        <v/>
      </c>
      <c r="D62" s="99" t="str">
        <f>IF(UPPER(TRIM(N11))="X",C62,B62)</f>
        <v/>
      </c>
      <c r="E62" s="99" cm="1">
        <f t="array" ref="E62">IF(H61&lt;&gt;"",E61,IF(E61="","",IFERROR(MATCH(TRUE(),INDEX(INDEX(K:K,E61+1):K203&lt;&gt;"",0),0)+E61,"")))</f>
        <v>203</v>
      </c>
      <c r="F62" s="99" t="str" cm="1">
        <f t="array" ref="F62">IF(E62="","",IF(H61&lt;&gt;"",H61,INDEX(D:D,E62)))</f>
        <v>sans formules.</v>
      </c>
      <c r="G62" s="99" t="str">
        <f t="shared" si="2"/>
        <v>sans formules.</v>
      </c>
      <c r="H62" s="109" t="str">
        <f t="shared" si="3"/>
        <v/>
      </c>
      <c r="I62" s="114" t="str">
        <f>IF(AND(F62&lt;&gt;"",N10&gt;0,M62&gt;N10),"Mot &gt; limite","")</f>
        <v/>
      </c>
      <c r="J62" s="110" t="str">
        <f>IF(K62="","",COUNTIF(K18:K62,"&lt;&gt;"))</f>
        <v/>
      </c>
      <c r="K62" s="111"/>
      <c r="L62" s="110" t="str">
        <f t="shared" si="4"/>
        <v/>
      </c>
      <c r="M62" s="80">
        <f>IF(OR(F62="",N10="",N10&lt;=0),"",IF(LEN(F62)&lt;=N10,LEN(F62),IFERROR(FIND("♦",SUBSTITUTE(LEFT(F62,N10)," ","♦",LEN(LEFT(F62,N10))-LEN(SUBSTITUTE(LEFT(F62,N10)," ","")))),FIND(" ",F62&amp;" ",N10+1)-1)))</f>
        <v>14</v>
      </c>
      <c r="N62" s="112">
        <f t="shared" si="5"/>
        <v>45</v>
      </c>
      <c r="O62" s="113" t="str">
        <f t="shared" si="6"/>
        <v>sans formules.</v>
      </c>
      <c r="P62" s="112">
        <f t="shared" si="7"/>
        <v>2</v>
      </c>
      <c r="Q62" s="112">
        <f t="shared" si="8"/>
        <v>14</v>
      </c>
      <c r="S62" s="3">
        <v>1</v>
      </c>
    </row>
    <row r="63" spans="2:19" ht="30" customHeight="1">
      <c r="B63" s="99" t="str">
        <f t="shared" si="0"/>
        <v/>
      </c>
      <c r="C63" s="99" t="str">
        <f t="shared" si="1"/>
        <v/>
      </c>
      <c r="D63" s="99" t="str">
        <f>IF(UPPER(TRIM(N11))="X",C63,B63)</f>
        <v/>
      </c>
      <c r="E63" s="99" cm="1">
        <f t="array" ref="E63">IF(H62&lt;&gt;"",E62,IF(E62="","",IFERROR(MATCH(TRUE(),INDEX(INDEX(K:K,E62+1):K203&lt;&gt;"",0),0)+E62,"")))</f>
        <v>204</v>
      </c>
      <c r="F63" s="99" cm="1">
        <f t="array" ref="F63">IF(E63="","",IF(H62&lt;&gt;"",H62,INDEX(D:D,E63)))</f>
        <v>0</v>
      </c>
      <c r="G63" s="99" t="str">
        <f t="shared" si="2"/>
        <v>0</v>
      </c>
      <c r="H63" s="109" t="str">
        <f t="shared" si="3"/>
        <v/>
      </c>
      <c r="I63" s="114" t="str">
        <f>IF(AND(F63&lt;&gt;"",N10&gt;0,M63&gt;N10),"Mot &gt; limite","")</f>
        <v/>
      </c>
      <c r="J63" s="110" t="str">
        <f>IF(K63="","",COUNTIF(K18:K63,"&lt;&gt;"))</f>
        <v/>
      </c>
      <c r="K63" s="111"/>
      <c r="L63" s="110" t="str">
        <f t="shared" si="4"/>
        <v/>
      </c>
      <c r="M63" s="80">
        <f>IF(OR(F63="",N10="",N10&lt;=0),"",IF(LEN(F63)&lt;=N10,LEN(F63),IFERROR(FIND("♦",SUBSTITUTE(LEFT(F63,N10)," ","♦",LEN(LEFT(F63,N10))-LEN(SUBSTITUTE(LEFT(F63,N10)," ","")))),FIND(" ",F63&amp;" ",N10+1)-1)))</f>
        <v>1</v>
      </c>
      <c r="N63" s="112">
        <f t="shared" si="5"/>
        <v>46</v>
      </c>
      <c r="O63" s="113" t="str">
        <f t="shared" si="6"/>
        <v>0</v>
      </c>
      <c r="P63" s="112">
        <f t="shared" si="7"/>
        <v>1</v>
      </c>
      <c r="Q63" s="112">
        <f t="shared" si="8"/>
        <v>1</v>
      </c>
      <c r="S63" s="3">
        <v>1</v>
      </c>
    </row>
    <row r="64" spans="2:19" ht="30" customHeight="1">
      <c r="B64" s="99" t="str">
        <f t="shared" si="0"/>
        <v/>
      </c>
      <c r="C64" s="99" t="str">
        <f t="shared" si="1"/>
        <v/>
      </c>
      <c r="D64" s="99" t="str">
        <f>IF(UPPER(TRIM(N11))="X",C64,B64)</f>
        <v/>
      </c>
      <c r="E64" s="99" cm="1">
        <f t="array" ref="E64">IF(H63&lt;&gt;"",E63,IF(E63="","",IFERROR(MATCH(TRUE(),INDEX(INDEX(K:K,E63+1):K203&lt;&gt;"",0),0)+E63,"")))</f>
        <v>205</v>
      </c>
      <c r="F64" s="99" cm="1">
        <f t="array" ref="F64">IF(E64="","",IF(H63&lt;&gt;"",H63,INDEX(D:D,E64)))</f>
        <v>0</v>
      </c>
      <c r="G64" s="99" t="str">
        <f t="shared" si="2"/>
        <v>0</v>
      </c>
      <c r="H64" s="109" t="str">
        <f t="shared" si="3"/>
        <v/>
      </c>
      <c r="I64" s="114" t="str">
        <f>IF(AND(F64&lt;&gt;"",N10&gt;0,M64&gt;N10),"Mot &gt; limite","")</f>
        <v/>
      </c>
      <c r="J64" s="110" t="str">
        <f>IF(K64="","",COUNTIF(K18:K64,"&lt;&gt;"))</f>
        <v/>
      </c>
      <c r="K64" s="111"/>
      <c r="L64" s="110" t="str">
        <f t="shared" si="4"/>
        <v/>
      </c>
      <c r="M64" s="80">
        <f>IF(OR(F64="",N10="",N10&lt;=0),"",IF(LEN(F64)&lt;=N10,LEN(F64),IFERROR(FIND("♦",SUBSTITUTE(LEFT(F64,N10)," ","♦",LEN(LEFT(F64,N10))-LEN(SUBSTITUTE(LEFT(F64,N10)," ","")))),FIND(" ",F64&amp;" ",N10+1)-1)))</f>
        <v>1</v>
      </c>
      <c r="N64" s="112">
        <f t="shared" si="5"/>
        <v>47</v>
      </c>
      <c r="O64" s="113" t="str">
        <f t="shared" si="6"/>
        <v>0</v>
      </c>
      <c r="P64" s="112">
        <f t="shared" si="7"/>
        <v>1</v>
      </c>
      <c r="Q64" s="112">
        <f t="shared" si="8"/>
        <v>1</v>
      </c>
      <c r="S64" s="3">
        <v>1</v>
      </c>
    </row>
    <row r="65" spans="2:19" ht="30" customHeight="1">
      <c r="B65" s="99" t="str">
        <f t="shared" si="0"/>
        <v/>
      </c>
      <c r="C65" s="99" t="str">
        <f t="shared" si="1"/>
        <v/>
      </c>
      <c r="D65" s="99" t="str">
        <f>IF(UPPER(TRIM(N11))="X",C65,B65)</f>
        <v/>
      </c>
      <c r="E65" s="99" cm="1">
        <f t="array" ref="E65">IF(H64&lt;&gt;"",E64,IF(E64="","",IFERROR(MATCH(TRUE(),INDEX(INDEX(K:K,E64+1):K203&lt;&gt;"",0),0)+E64,"")))</f>
        <v>206</v>
      </c>
      <c r="F65" s="99" cm="1">
        <f t="array" ref="F65">IF(E65="","",IF(H64&lt;&gt;"",H64,INDEX(D:D,E65)))</f>
        <v>0</v>
      </c>
      <c r="G65" s="99" t="str">
        <f t="shared" si="2"/>
        <v>0</v>
      </c>
      <c r="H65" s="109" t="str">
        <f t="shared" si="3"/>
        <v/>
      </c>
      <c r="I65" s="114" t="str">
        <f>IF(AND(F65&lt;&gt;"",N10&gt;0,M65&gt;N10),"Mot &gt; limite","")</f>
        <v/>
      </c>
      <c r="J65" s="110" t="str">
        <f>IF(K65="","",COUNTIF(K18:K65,"&lt;&gt;"))</f>
        <v/>
      </c>
      <c r="K65" s="111"/>
      <c r="L65" s="110" t="str">
        <f t="shared" si="4"/>
        <v/>
      </c>
      <c r="M65" s="80">
        <f>IF(OR(F65="",N10="",N10&lt;=0),"",IF(LEN(F65)&lt;=N10,LEN(F65),IFERROR(FIND("♦",SUBSTITUTE(LEFT(F65,N10)," ","♦",LEN(LEFT(F65,N10))-LEN(SUBSTITUTE(LEFT(F65,N10)," ","")))),FIND(" ",F65&amp;" ",N10+1)-1)))</f>
        <v>1</v>
      </c>
      <c r="N65" s="112">
        <f t="shared" si="5"/>
        <v>48</v>
      </c>
      <c r="O65" s="113" t="str">
        <f t="shared" si="6"/>
        <v>0</v>
      </c>
      <c r="P65" s="112">
        <f t="shared" si="7"/>
        <v>1</v>
      </c>
      <c r="Q65" s="112">
        <f t="shared" si="8"/>
        <v>1</v>
      </c>
      <c r="S65" s="3">
        <v>1</v>
      </c>
    </row>
    <row r="66" spans="2:19" ht="30" customHeight="1">
      <c r="B66" s="99" t="str">
        <f t="shared" si="0"/>
        <v/>
      </c>
      <c r="C66" s="99" t="str">
        <f t="shared" si="1"/>
        <v/>
      </c>
      <c r="D66" s="99" t="str">
        <f>IF(UPPER(TRIM(N11))="X",C66,B66)</f>
        <v/>
      </c>
      <c r="E66" s="99" cm="1">
        <f t="array" ref="E66">IF(H65&lt;&gt;"",E65,IF(E65="","",IFERROR(MATCH(TRUE(),INDEX(INDEX(K:K,E65+1):K203&lt;&gt;"",0),0)+E65,"")))</f>
        <v>207</v>
      </c>
      <c r="F66" s="99" cm="1">
        <f t="array" ref="F66">IF(E66="","",IF(H65&lt;&gt;"",H65,INDEX(D:D,E66)))</f>
        <v>0</v>
      </c>
      <c r="G66" s="99" t="str">
        <f t="shared" si="2"/>
        <v>0</v>
      </c>
      <c r="H66" s="109" t="str">
        <f t="shared" si="3"/>
        <v/>
      </c>
      <c r="I66" s="114" t="str">
        <f>IF(AND(F66&lt;&gt;"",N10&gt;0,M66&gt;N10),"Mot &gt; limite","")</f>
        <v/>
      </c>
      <c r="J66" s="110" t="str">
        <f>IF(K66="","",COUNTIF(K18:K66,"&lt;&gt;"))</f>
        <v/>
      </c>
      <c r="K66" s="111"/>
      <c r="L66" s="110" t="str">
        <f t="shared" si="4"/>
        <v/>
      </c>
      <c r="M66" s="80">
        <f>IF(OR(F66="",N10="",N10&lt;=0),"",IF(LEN(F66)&lt;=N10,LEN(F66),IFERROR(FIND("♦",SUBSTITUTE(LEFT(F66,N10)," ","♦",LEN(LEFT(F66,N10))-LEN(SUBSTITUTE(LEFT(F66,N10)," ","")))),FIND(" ",F66&amp;" ",N10+1)-1)))</f>
        <v>1</v>
      </c>
      <c r="N66" s="112">
        <f t="shared" si="5"/>
        <v>49</v>
      </c>
      <c r="O66" s="113" t="str">
        <f t="shared" si="6"/>
        <v>0</v>
      </c>
      <c r="P66" s="112">
        <f t="shared" si="7"/>
        <v>1</v>
      </c>
      <c r="Q66" s="112">
        <f t="shared" si="8"/>
        <v>1</v>
      </c>
      <c r="S66" s="3">
        <v>1</v>
      </c>
    </row>
    <row r="67" spans="2:19" ht="30" customHeight="1">
      <c r="B67" s="99" t="str">
        <f t="shared" si="0"/>
        <v/>
      </c>
      <c r="C67" s="99" t="str">
        <f t="shared" si="1"/>
        <v/>
      </c>
      <c r="D67" s="99" t="str">
        <f>IF(UPPER(TRIM(N11))="X",C67,B67)</f>
        <v/>
      </c>
      <c r="E67" s="99" cm="1">
        <f t="array" ref="E67">IF(H66&lt;&gt;"",E66,IF(E66="","",IFERROR(MATCH(TRUE(),INDEX(INDEX(K:K,E66+1):K203&lt;&gt;"",0),0)+E66,"")))</f>
        <v>208</v>
      </c>
      <c r="F67" s="99" cm="1">
        <f t="array" ref="F67">IF(E67="","",IF(H66&lt;&gt;"",H66,INDEX(D:D,E67)))</f>
        <v>0</v>
      </c>
      <c r="G67" s="99" t="str">
        <f t="shared" si="2"/>
        <v>0</v>
      </c>
      <c r="H67" s="109" t="str">
        <f t="shared" si="3"/>
        <v/>
      </c>
      <c r="I67" s="114" t="str">
        <f>IF(AND(F67&lt;&gt;"",N10&gt;0,M67&gt;N10),"Mot &gt; limite","")</f>
        <v/>
      </c>
      <c r="J67" s="110" t="str">
        <f>IF(K67="","",COUNTIF(K18:K67,"&lt;&gt;"))</f>
        <v/>
      </c>
      <c r="K67" s="111"/>
      <c r="L67" s="110" t="str">
        <f t="shared" si="4"/>
        <v/>
      </c>
      <c r="M67" s="80">
        <f>IF(OR(F67="",N10="",N10&lt;=0),"",IF(LEN(F67)&lt;=N10,LEN(F67),IFERROR(FIND("♦",SUBSTITUTE(LEFT(F67,N10)," ","♦",LEN(LEFT(F67,N10))-LEN(SUBSTITUTE(LEFT(F67,N10)," ","")))),FIND(" ",F67&amp;" ",N10+1)-1)))</f>
        <v>1</v>
      </c>
      <c r="N67" s="112">
        <f t="shared" si="5"/>
        <v>50</v>
      </c>
      <c r="O67" s="113" t="str">
        <f t="shared" si="6"/>
        <v>0</v>
      </c>
      <c r="P67" s="112">
        <f t="shared" si="7"/>
        <v>1</v>
      </c>
      <c r="Q67" s="112">
        <f t="shared" si="8"/>
        <v>1</v>
      </c>
      <c r="S67" s="3">
        <v>1</v>
      </c>
    </row>
    <row r="68" spans="2:19" ht="30" customHeight="1">
      <c r="B68" s="99" t="str">
        <f t="shared" si="0"/>
        <v/>
      </c>
      <c r="C68" s="99" t="str">
        <f t="shared" si="1"/>
        <v/>
      </c>
      <c r="D68" s="99" t="str">
        <f>IF(UPPER(TRIM(N11))="X",C68,B68)</f>
        <v/>
      </c>
      <c r="E68" s="99" cm="1">
        <f t="array" ref="E68">IF(H67&lt;&gt;"",E67,IF(E67="","",IFERROR(MATCH(TRUE(),INDEX(INDEX(K:K,E67+1):K203&lt;&gt;"",0),0)+E67,"")))</f>
        <v>209</v>
      </c>
      <c r="F68" s="99" cm="1">
        <f t="array" ref="F68">IF(E68="","",IF(H67&lt;&gt;"",H67,INDEX(D:D,E68)))</f>
        <v>0</v>
      </c>
      <c r="G68" s="99" t="str">
        <f t="shared" si="2"/>
        <v>0</v>
      </c>
      <c r="H68" s="109" t="str">
        <f t="shared" si="3"/>
        <v/>
      </c>
      <c r="I68" s="114" t="str">
        <f>IF(AND(F68&lt;&gt;"",N10&gt;0,M68&gt;N10),"Mot &gt; limite","")</f>
        <v/>
      </c>
      <c r="J68" s="110" t="str">
        <f>IF(K68="","",COUNTIF(K18:K68,"&lt;&gt;"))</f>
        <v/>
      </c>
      <c r="K68" s="111"/>
      <c r="L68" s="110" t="str">
        <f t="shared" si="4"/>
        <v/>
      </c>
      <c r="M68" s="80">
        <f>IF(OR(F68="",N10="",N10&lt;=0),"",IF(LEN(F68)&lt;=N10,LEN(F68),IFERROR(FIND("♦",SUBSTITUTE(LEFT(F68,N10)," ","♦",LEN(LEFT(F68,N10))-LEN(SUBSTITUTE(LEFT(F68,N10)," ","")))),FIND(" ",F68&amp;" ",N10+1)-1)))</f>
        <v>1</v>
      </c>
      <c r="N68" s="112">
        <f t="shared" si="5"/>
        <v>51</v>
      </c>
      <c r="O68" s="113" t="str">
        <f t="shared" si="6"/>
        <v>0</v>
      </c>
      <c r="P68" s="112">
        <f t="shared" si="7"/>
        <v>1</v>
      </c>
      <c r="Q68" s="112">
        <f t="shared" si="8"/>
        <v>1</v>
      </c>
      <c r="S68" s="3">
        <v>1</v>
      </c>
    </row>
    <row r="69" spans="2:19" ht="30" customHeight="1">
      <c r="B69" s="99" t="str">
        <f t="shared" si="0"/>
        <v/>
      </c>
      <c r="C69" s="99" t="str">
        <f t="shared" si="1"/>
        <v/>
      </c>
      <c r="D69" s="99" t="str">
        <f>IF(UPPER(TRIM(N11))="X",C69,B69)</f>
        <v/>
      </c>
      <c r="E69" s="99" cm="1">
        <f t="array" ref="E69">IF(H68&lt;&gt;"",E68,IF(E68="","",IFERROR(MATCH(TRUE(),INDEX(INDEX(K:K,E68+1):K203&lt;&gt;"",0),0)+E68,"")))</f>
        <v>210</v>
      </c>
      <c r="F69" s="99" cm="1">
        <f t="array" ref="F69">IF(E69="","",IF(H68&lt;&gt;"",H68,INDEX(D:D,E69)))</f>
        <v>0</v>
      </c>
      <c r="G69" s="99" t="str">
        <f t="shared" si="2"/>
        <v>0</v>
      </c>
      <c r="H69" s="109" t="str">
        <f t="shared" si="3"/>
        <v/>
      </c>
      <c r="I69" s="114" t="str">
        <f>IF(AND(F69&lt;&gt;"",N10&gt;0,M69&gt;N10),"Mot &gt; limite","")</f>
        <v/>
      </c>
      <c r="J69" s="110" t="str">
        <f>IF(K69="","",COUNTIF(K18:K69,"&lt;&gt;"))</f>
        <v/>
      </c>
      <c r="K69" s="111"/>
      <c r="L69" s="110" t="str">
        <f t="shared" si="4"/>
        <v/>
      </c>
      <c r="M69" s="80">
        <f>IF(OR(F69="",N10="",N10&lt;=0),"",IF(LEN(F69)&lt;=N10,LEN(F69),IFERROR(FIND("♦",SUBSTITUTE(LEFT(F69,N10)," ","♦",LEN(LEFT(F69,N10))-LEN(SUBSTITUTE(LEFT(F69,N10)," ","")))),FIND(" ",F69&amp;" ",N10+1)-1)))</f>
        <v>1</v>
      </c>
      <c r="N69" s="112">
        <f t="shared" si="5"/>
        <v>52</v>
      </c>
      <c r="O69" s="113" t="str">
        <f t="shared" si="6"/>
        <v>0</v>
      </c>
      <c r="P69" s="112">
        <f t="shared" si="7"/>
        <v>1</v>
      </c>
      <c r="Q69" s="112">
        <f t="shared" si="8"/>
        <v>1</v>
      </c>
      <c r="S69" s="3">
        <v>1</v>
      </c>
    </row>
    <row r="70" spans="2:19" ht="30" customHeight="1">
      <c r="B70" s="99" t="str">
        <f t="shared" si="0"/>
        <v/>
      </c>
      <c r="C70" s="99" t="str">
        <f t="shared" si="1"/>
        <v/>
      </c>
      <c r="D70" s="99" t="str">
        <f>IF(UPPER(TRIM(N11))="X",C70,B70)</f>
        <v/>
      </c>
      <c r="E70" s="99" cm="1">
        <f t="array" ref="E70">IF(H69&lt;&gt;"",E69,IF(E69="","",IFERROR(MATCH(TRUE(),INDEX(INDEX(K:K,E69+1):K203&lt;&gt;"",0),0)+E69,"")))</f>
        <v>211</v>
      </c>
      <c r="F70" s="99" cm="1">
        <f t="array" ref="F70">IF(E70="","",IF(H69&lt;&gt;"",H69,INDEX(D:D,E70)))</f>
        <v>0</v>
      </c>
      <c r="G70" s="99" t="str">
        <f t="shared" si="2"/>
        <v>0</v>
      </c>
      <c r="H70" s="109" t="str">
        <f t="shared" si="3"/>
        <v/>
      </c>
      <c r="I70" s="114" t="str">
        <f>IF(AND(F70&lt;&gt;"",N10&gt;0,M70&gt;N10),"Mot &gt; limite","")</f>
        <v/>
      </c>
      <c r="J70" s="110" t="str">
        <f>IF(K70="","",COUNTIF(K18:K70,"&lt;&gt;"))</f>
        <v/>
      </c>
      <c r="K70" s="111"/>
      <c r="L70" s="110" t="str">
        <f t="shared" si="4"/>
        <v/>
      </c>
      <c r="M70" s="80">
        <f>IF(OR(F70="",N10="",N10&lt;=0),"",IF(LEN(F70)&lt;=N10,LEN(F70),IFERROR(FIND("♦",SUBSTITUTE(LEFT(F70,N10)," ","♦",LEN(LEFT(F70,N10))-LEN(SUBSTITUTE(LEFT(F70,N10)," ","")))),FIND(" ",F70&amp;" ",N10+1)-1)))</f>
        <v>1</v>
      </c>
      <c r="N70" s="112">
        <f t="shared" si="5"/>
        <v>53</v>
      </c>
      <c r="O70" s="113" t="str">
        <f t="shared" si="6"/>
        <v>0</v>
      </c>
      <c r="P70" s="112">
        <f t="shared" si="7"/>
        <v>1</v>
      </c>
      <c r="Q70" s="112">
        <f t="shared" si="8"/>
        <v>1</v>
      </c>
      <c r="S70" s="3">
        <v>1</v>
      </c>
    </row>
    <row r="71" spans="2:19" ht="30" customHeight="1">
      <c r="B71" s="99" t="str">
        <f t="shared" si="0"/>
        <v/>
      </c>
      <c r="C71" s="99" t="str">
        <f t="shared" si="1"/>
        <v/>
      </c>
      <c r="D71" s="99" t="str">
        <f>IF(UPPER(TRIM(N11))="X",C71,B71)</f>
        <v/>
      </c>
      <c r="E71" s="99" cm="1">
        <f t="array" ref="E71">IF(H70&lt;&gt;"",E70,IF(E70="","",IFERROR(MATCH(TRUE(),INDEX(INDEX(K:K,E70+1):K203&lt;&gt;"",0),0)+E70,"")))</f>
        <v>212</v>
      </c>
      <c r="F71" s="99" cm="1">
        <f t="array" ref="F71">IF(E71="","",IF(H70&lt;&gt;"",H70,INDEX(D:D,E71)))</f>
        <v>0</v>
      </c>
      <c r="G71" s="99" t="str">
        <f t="shared" si="2"/>
        <v>0</v>
      </c>
      <c r="H71" s="109" t="str">
        <f t="shared" si="3"/>
        <v/>
      </c>
      <c r="I71" s="114" t="str">
        <f>IF(AND(F71&lt;&gt;"",N10&gt;0,M71&gt;N10),"Mot &gt; limite","")</f>
        <v/>
      </c>
      <c r="J71" s="110" t="str">
        <f>IF(K71="","",COUNTIF(K18:K71,"&lt;&gt;"))</f>
        <v/>
      </c>
      <c r="K71" s="111"/>
      <c r="L71" s="110" t="str">
        <f t="shared" si="4"/>
        <v/>
      </c>
      <c r="M71" s="80">
        <f>IF(OR(F71="",N10="",N10&lt;=0),"",IF(LEN(F71)&lt;=N10,LEN(F71),IFERROR(FIND("♦",SUBSTITUTE(LEFT(F71,N10)," ","♦",LEN(LEFT(F71,N10))-LEN(SUBSTITUTE(LEFT(F71,N10)," ","")))),FIND(" ",F71&amp;" ",N10+1)-1)))</f>
        <v>1</v>
      </c>
      <c r="N71" s="112">
        <f t="shared" si="5"/>
        <v>54</v>
      </c>
      <c r="O71" s="113" t="str">
        <f t="shared" si="6"/>
        <v>0</v>
      </c>
      <c r="P71" s="112">
        <f t="shared" si="7"/>
        <v>1</v>
      </c>
      <c r="Q71" s="112">
        <f t="shared" si="8"/>
        <v>1</v>
      </c>
      <c r="S71" s="3">
        <v>1</v>
      </c>
    </row>
    <row r="72" spans="2:19" ht="30" customHeight="1">
      <c r="B72" s="99" t="str">
        <f t="shared" si="0"/>
        <v/>
      </c>
      <c r="C72" s="99" t="str">
        <f t="shared" si="1"/>
        <v/>
      </c>
      <c r="D72" s="99" t="str">
        <f>IF(UPPER(TRIM(N11))="X",C72,B72)</f>
        <v/>
      </c>
      <c r="E72" s="99" cm="1">
        <f t="array" ref="E72">IF(H71&lt;&gt;"",E71,IF(E71="","",IFERROR(MATCH(TRUE(),INDEX(INDEX(K:K,E71+1):K203&lt;&gt;"",0),0)+E71,"")))</f>
        <v>213</v>
      </c>
      <c r="F72" s="99" cm="1">
        <f t="array" ref="F72">IF(E72="","",IF(H71&lt;&gt;"",H71,INDEX(D:D,E72)))</f>
        <v>0</v>
      </c>
      <c r="G72" s="99" t="str">
        <f t="shared" si="2"/>
        <v>0</v>
      </c>
      <c r="H72" s="109" t="str">
        <f t="shared" si="3"/>
        <v/>
      </c>
      <c r="I72" s="114" t="str">
        <f>IF(AND(F72&lt;&gt;"",N10&gt;0,M72&gt;N10),"Mot &gt; limite","")</f>
        <v/>
      </c>
      <c r="J72" s="110" t="str">
        <f>IF(K72="","",COUNTIF(K18:K72,"&lt;&gt;"))</f>
        <v/>
      </c>
      <c r="K72" s="111"/>
      <c r="L72" s="110" t="str">
        <f t="shared" si="4"/>
        <v/>
      </c>
      <c r="M72" s="80">
        <f>IF(OR(F72="",N10="",N10&lt;=0),"",IF(LEN(F72)&lt;=N10,LEN(F72),IFERROR(FIND("♦",SUBSTITUTE(LEFT(F72,N10)," ","♦",LEN(LEFT(F72,N10))-LEN(SUBSTITUTE(LEFT(F72,N10)," ","")))),FIND(" ",F72&amp;" ",N10+1)-1)))</f>
        <v>1</v>
      </c>
      <c r="N72" s="112">
        <f t="shared" si="5"/>
        <v>55</v>
      </c>
      <c r="O72" s="113" t="str">
        <f t="shared" si="6"/>
        <v>0</v>
      </c>
      <c r="P72" s="112">
        <f t="shared" si="7"/>
        <v>1</v>
      </c>
      <c r="Q72" s="112">
        <f t="shared" si="8"/>
        <v>1</v>
      </c>
      <c r="S72" s="3">
        <v>1</v>
      </c>
    </row>
    <row r="73" spans="2:19" ht="30" customHeight="1">
      <c r="B73" s="99" t="str">
        <f t="shared" si="0"/>
        <v/>
      </c>
      <c r="C73" s="99" t="str">
        <f t="shared" si="1"/>
        <v/>
      </c>
      <c r="D73" s="99" t="str">
        <f>IF(UPPER(TRIM(N11))="X",C73,B73)</f>
        <v/>
      </c>
      <c r="E73" s="99" cm="1">
        <f t="array" ref="E73">IF(H72&lt;&gt;"",E72,IF(E72="","",IFERROR(MATCH(TRUE(),INDEX(INDEX(K:K,E72+1):K203&lt;&gt;"",0),0)+E72,"")))</f>
        <v>214</v>
      </c>
      <c r="F73" s="99" cm="1">
        <f t="array" ref="F73">IF(E73="","",IF(H72&lt;&gt;"",H72,INDEX(D:D,E73)))</f>
        <v>0</v>
      </c>
      <c r="G73" s="99" t="str">
        <f t="shared" si="2"/>
        <v>0</v>
      </c>
      <c r="H73" s="109" t="str">
        <f t="shared" si="3"/>
        <v/>
      </c>
      <c r="I73" s="114" t="str">
        <f>IF(AND(F73&lt;&gt;"",N10&gt;0,M73&gt;N10),"Mot &gt; limite","")</f>
        <v/>
      </c>
      <c r="J73" s="110" t="str">
        <f>IF(K73="","",COUNTIF(K18:K73,"&lt;&gt;"))</f>
        <v/>
      </c>
      <c r="K73" s="111"/>
      <c r="L73" s="110" t="str">
        <f t="shared" si="4"/>
        <v/>
      </c>
      <c r="M73" s="80">
        <f>IF(OR(F73="",N10="",N10&lt;=0),"",IF(LEN(F73)&lt;=N10,LEN(F73),IFERROR(FIND("♦",SUBSTITUTE(LEFT(F73,N10)," ","♦",LEN(LEFT(F73,N10))-LEN(SUBSTITUTE(LEFT(F73,N10)," ","")))),FIND(" ",F73&amp;" ",N10+1)-1)))</f>
        <v>1</v>
      </c>
      <c r="N73" s="112">
        <f t="shared" si="5"/>
        <v>56</v>
      </c>
      <c r="O73" s="113" t="str">
        <f t="shared" si="6"/>
        <v>0</v>
      </c>
      <c r="P73" s="112">
        <f t="shared" si="7"/>
        <v>1</v>
      </c>
      <c r="Q73" s="112">
        <f t="shared" si="8"/>
        <v>1</v>
      </c>
      <c r="S73" s="3">
        <v>1</v>
      </c>
    </row>
    <row r="74" spans="2:19" ht="30" customHeight="1">
      <c r="B74" s="99" t="str">
        <f t="shared" si="0"/>
        <v/>
      </c>
      <c r="C74" s="99" t="str">
        <f t="shared" si="1"/>
        <v/>
      </c>
      <c r="D74" s="99" t="str">
        <f>IF(UPPER(TRIM(N11))="X",C74,B74)</f>
        <v/>
      </c>
      <c r="E74" s="99" cm="1">
        <f t="array" ref="E74">IF(H73&lt;&gt;"",E73,IF(E73="","",IFERROR(MATCH(TRUE(),INDEX(INDEX(K:K,E73+1):K203&lt;&gt;"",0),0)+E73,"")))</f>
        <v>215</v>
      </c>
      <c r="F74" s="99" cm="1">
        <f t="array" ref="F74">IF(E74="","",IF(H73&lt;&gt;"",H73,INDEX(D:D,E74)))</f>
        <v>0</v>
      </c>
      <c r="G74" s="99" t="str">
        <f t="shared" si="2"/>
        <v>0</v>
      </c>
      <c r="H74" s="109" t="str">
        <f t="shared" si="3"/>
        <v/>
      </c>
      <c r="I74" s="114" t="str">
        <f>IF(AND(F74&lt;&gt;"",N10&gt;0,M74&gt;N10),"Mot &gt; limite","")</f>
        <v/>
      </c>
      <c r="J74" s="110" t="str">
        <f>IF(K74="","",COUNTIF(K18:K74,"&lt;&gt;"))</f>
        <v/>
      </c>
      <c r="K74" s="111"/>
      <c r="L74" s="110" t="str">
        <f t="shared" si="4"/>
        <v/>
      </c>
      <c r="M74" s="80">
        <f>IF(OR(F74="",N10="",N10&lt;=0),"",IF(LEN(F74)&lt;=N10,LEN(F74),IFERROR(FIND("♦",SUBSTITUTE(LEFT(F74,N10)," ","♦",LEN(LEFT(F74,N10))-LEN(SUBSTITUTE(LEFT(F74,N10)," ","")))),FIND(" ",F74&amp;" ",N10+1)-1)))</f>
        <v>1</v>
      </c>
      <c r="N74" s="112">
        <f t="shared" si="5"/>
        <v>57</v>
      </c>
      <c r="O74" s="113" t="str">
        <f t="shared" si="6"/>
        <v>0</v>
      </c>
      <c r="P74" s="112">
        <f t="shared" si="7"/>
        <v>1</v>
      </c>
      <c r="Q74" s="112">
        <f t="shared" si="8"/>
        <v>1</v>
      </c>
      <c r="S74" s="3">
        <v>1</v>
      </c>
    </row>
    <row r="75" spans="2:19" ht="30" customHeight="1">
      <c r="B75" s="99" t="str">
        <f t="shared" si="0"/>
        <v/>
      </c>
      <c r="C75" s="99" t="str">
        <f t="shared" si="1"/>
        <v/>
      </c>
      <c r="D75" s="99" t="str">
        <f>IF(UPPER(TRIM(N11))="X",C75,B75)</f>
        <v/>
      </c>
      <c r="E75" s="99" cm="1">
        <f t="array" ref="E75">IF(H74&lt;&gt;"",E74,IF(E74="","",IFERROR(MATCH(TRUE(),INDEX(INDEX(K:K,E74+1):K203&lt;&gt;"",0),0)+E74,"")))</f>
        <v>216</v>
      </c>
      <c r="F75" s="99" cm="1">
        <f t="array" ref="F75">IF(E75="","",IF(H74&lt;&gt;"",H74,INDEX(D:D,E75)))</f>
        <v>0</v>
      </c>
      <c r="G75" s="99" t="str">
        <f t="shared" si="2"/>
        <v>0</v>
      </c>
      <c r="H75" s="109" t="str">
        <f t="shared" si="3"/>
        <v/>
      </c>
      <c r="I75" s="114" t="str">
        <f>IF(AND(F75&lt;&gt;"",N10&gt;0,M75&gt;N10),"Mot &gt; limite","")</f>
        <v/>
      </c>
      <c r="J75" s="110" t="str">
        <f>IF(K75="","",COUNTIF(K18:K75,"&lt;&gt;"))</f>
        <v/>
      </c>
      <c r="K75" s="111"/>
      <c r="L75" s="110" t="str">
        <f t="shared" si="4"/>
        <v/>
      </c>
      <c r="M75" s="80">
        <f>IF(OR(F75="",N10="",N10&lt;=0),"",IF(LEN(F75)&lt;=N10,LEN(F75),IFERROR(FIND("♦",SUBSTITUTE(LEFT(F75,N10)," ","♦",LEN(LEFT(F75,N10))-LEN(SUBSTITUTE(LEFT(F75,N10)," ","")))),FIND(" ",F75&amp;" ",N10+1)-1)))</f>
        <v>1</v>
      </c>
      <c r="N75" s="112">
        <f t="shared" si="5"/>
        <v>58</v>
      </c>
      <c r="O75" s="113" t="str">
        <f t="shared" si="6"/>
        <v>0</v>
      </c>
      <c r="P75" s="112">
        <f t="shared" si="7"/>
        <v>1</v>
      </c>
      <c r="Q75" s="112">
        <f t="shared" si="8"/>
        <v>1</v>
      </c>
      <c r="S75" s="3">
        <v>1</v>
      </c>
    </row>
    <row r="76" spans="2:19" ht="30" customHeight="1">
      <c r="B76" s="99" t="str">
        <f t="shared" si="0"/>
        <v/>
      </c>
      <c r="C76" s="99" t="str">
        <f t="shared" si="1"/>
        <v/>
      </c>
      <c r="D76" s="99" t="str">
        <f>IF(UPPER(TRIM(N11))="X",C76,B76)</f>
        <v/>
      </c>
      <c r="E76" s="99" cm="1">
        <f t="array" ref="E76">IF(H75&lt;&gt;"",E75,IF(E75="","",IFERROR(MATCH(TRUE(),INDEX(INDEX(K:K,E75+1):K203&lt;&gt;"",0),0)+E75,"")))</f>
        <v>217</v>
      </c>
      <c r="F76" s="99" cm="1">
        <f t="array" ref="F76">IF(E76="","",IF(H75&lt;&gt;"",H75,INDEX(D:D,E76)))</f>
        <v>0</v>
      </c>
      <c r="G76" s="99" t="str">
        <f t="shared" si="2"/>
        <v>0</v>
      </c>
      <c r="H76" s="109" t="str">
        <f t="shared" si="3"/>
        <v/>
      </c>
      <c r="I76" s="114" t="str">
        <f>IF(AND(F76&lt;&gt;"",N10&gt;0,M76&gt;N10),"Mot &gt; limite","")</f>
        <v/>
      </c>
      <c r="J76" s="110" t="str">
        <f>IF(K76="","",COUNTIF(K18:K76,"&lt;&gt;"))</f>
        <v/>
      </c>
      <c r="K76" s="111"/>
      <c r="L76" s="110" t="str">
        <f t="shared" si="4"/>
        <v/>
      </c>
      <c r="M76" s="80">
        <f>IF(OR(F76="",N10="",N10&lt;=0),"",IF(LEN(F76)&lt;=N10,LEN(F76),IFERROR(FIND("♦",SUBSTITUTE(LEFT(F76,N10)," ","♦",LEN(LEFT(F76,N10))-LEN(SUBSTITUTE(LEFT(F76,N10)," ","")))),FIND(" ",F76&amp;" ",N10+1)-1)))</f>
        <v>1</v>
      </c>
      <c r="N76" s="112">
        <f t="shared" si="5"/>
        <v>59</v>
      </c>
      <c r="O76" s="113" t="str">
        <f t="shared" si="6"/>
        <v>0</v>
      </c>
      <c r="P76" s="112">
        <f t="shared" si="7"/>
        <v>1</v>
      </c>
      <c r="Q76" s="112">
        <f t="shared" si="8"/>
        <v>1</v>
      </c>
      <c r="S76" s="3">
        <v>1</v>
      </c>
    </row>
    <row r="77" spans="2:19" ht="30" customHeight="1">
      <c r="B77" s="99" t="str">
        <f t="shared" si="0"/>
        <v/>
      </c>
      <c r="C77" s="99" t="str">
        <f t="shared" si="1"/>
        <v/>
      </c>
      <c r="D77" s="99" t="str">
        <f>IF(UPPER(TRIM(N11))="X",C77,B77)</f>
        <v/>
      </c>
      <c r="E77" s="99" cm="1">
        <f t="array" ref="E77">IF(H76&lt;&gt;"",E76,IF(E76="","",IFERROR(MATCH(TRUE(),INDEX(INDEX(K:K,E76+1):K203&lt;&gt;"",0),0)+E76,"")))</f>
        <v>218</v>
      </c>
      <c r="F77" s="99" cm="1">
        <f t="array" ref="F77">IF(E77="","",IF(H76&lt;&gt;"",H76,INDEX(D:D,E77)))</f>
        <v>0</v>
      </c>
      <c r="G77" s="99" t="str">
        <f t="shared" si="2"/>
        <v>0</v>
      </c>
      <c r="H77" s="109" t="str">
        <f t="shared" si="3"/>
        <v/>
      </c>
      <c r="I77" s="114" t="str">
        <f>IF(AND(F77&lt;&gt;"",N10&gt;0,M77&gt;N10),"Mot &gt; limite","")</f>
        <v/>
      </c>
      <c r="J77" s="110" t="str">
        <f>IF(K77="","",COUNTIF(K18:K77,"&lt;&gt;"))</f>
        <v/>
      </c>
      <c r="K77" s="111"/>
      <c r="L77" s="110" t="str">
        <f t="shared" si="4"/>
        <v/>
      </c>
      <c r="M77" s="80">
        <f>IF(OR(F77="",N10="",N10&lt;=0),"",IF(LEN(F77)&lt;=N10,LEN(F77),IFERROR(FIND("♦",SUBSTITUTE(LEFT(F77,N10)," ","♦",LEN(LEFT(F77,N10))-LEN(SUBSTITUTE(LEFT(F77,N10)," ","")))),FIND(" ",F77&amp;" ",N10+1)-1)))</f>
        <v>1</v>
      </c>
      <c r="N77" s="112">
        <f t="shared" si="5"/>
        <v>60</v>
      </c>
      <c r="O77" s="113" t="str">
        <f t="shared" si="6"/>
        <v>0</v>
      </c>
      <c r="P77" s="112">
        <f t="shared" si="7"/>
        <v>1</v>
      </c>
      <c r="Q77" s="112">
        <f t="shared" si="8"/>
        <v>1</v>
      </c>
      <c r="S77" s="3">
        <v>1</v>
      </c>
    </row>
    <row r="78" spans="2:19" ht="30" customHeight="1">
      <c r="B78" s="99" t="str">
        <f t="shared" si="0"/>
        <v/>
      </c>
      <c r="C78" s="99" t="str">
        <f t="shared" si="1"/>
        <v/>
      </c>
      <c r="D78" s="99" t="str">
        <f>IF(UPPER(TRIM(N11))="X",C78,B78)</f>
        <v/>
      </c>
      <c r="E78" s="99" cm="1">
        <f t="array" ref="E78">IF(H77&lt;&gt;"",E77,IF(E77="","",IFERROR(MATCH(TRUE(),INDEX(INDEX(K:K,E77+1):K203&lt;&gt;"",0),0)+E77,"")))</f>
        <v>219</v>
      </c>
      <c r="F78" s="99" cm="1">
        <f t="array" ref="F78">IF(E78="","",IF(H77&lt;&gt;"",H77,INDEX(D:D,E78)))</f>
        <v>0</v>
      </c>
      <c r="G78" s="99" t="str">
        <f t="shared" si="2"/>
        <v>0</v>
      </c>
      <c r="H78" s="109" t="str">
        <f t="shared" si="3"/>
        <v/>
      </c>
      <c r="I78" s="114" t="str">
        <f>IF(AND(F78&lt;&gt;"",N10&gt;0,M78&gt;N10),"Mot &gt; limite","")</f>
        <v/>
      </c>
      <c r="J78" s="110" t="str">
        <f>IF(K78="","",COUNTIF(K18:K78,"&lt;&gt;"))</f>
        <v/>
      </c>
      <c r="K78" s="111"/>
      <c r="L78" s="110" t="str">
        <f t="shared" si="4"/>
        <v/>
      </c>
      <c r="M78" s="80">
        <f>IF(OR(F78="",N10="",N10&lt;=0),"",IF(LEN(F78)&lt;=N10,LEN(F78),IFERROR(FIND("♦",SUBSTITUTE(LEFT(F78,N10)," ","♦",LEN(LEFT(F78,N10))-LEN(SUBSTITUTE(LEFT(F78,N10)," ","")))),FIND(" ",F78&amp;" ",N10+1)-1)))</f>
        <v>1</v>
      </c>
      <c r="N78" s="112">
        <f t="shared" si="5"/>
        <v>61</v>
      </c>
      <c r="O78" s="113" t="str">
        <f t="shared" si="6"/>
        <v>0</v>
      </c>
      <c r="P78" s="112">
        <f t="shared" si="7"/>
        <v>1</v>
      </c>
      <c r="Q78" s="112">
        <f t="shared" si="8"/>
        <v>1</v>
      </c>
      <c r="S78" s="3">
        <v>1</v>
      </c>
    </row>
    <row r="79" spans="2:19" ht="30" customHeight="1">
      <c r="B79" s="99" t="str">
        <f t="shared" si="0"/>
        <v/>
      </c>
      <c r="C79" s="99" t="str">
        <f t="shared" si="1"/>
        <v/>
      </c>
      <c r="D79" s="99" t="str">
        <f>IF(UPPER(TRIM(N11))="X",C79,B79)</f>
        <v/>
      </c>
      <c r="E79" s="99" cm="1">
        <f t="array" ref="E79">IF(H78&lt;&gt;"",E78,IF(E78="","",IFERROR(MATCH(TRUE(),INDEX(INDEX(K:K,E78+1):K203&lt;&gt;"",0),0)+E78,"")))</f>
        <v>220</v>
      </c>
      <c r="F79" s="99" cm="1">
        <f t="array" ref="F79">IF(E79="","",IF(H78&lt;&gt;"",H78,INDEX(D:D,E79)))</f>
        <v>0</v>
      </c>
      <c r="G79" s="99" t="str">
        <f t="shared" si="2"/>
        <v>0</v>
      </c>
      <c r="H79" s="109" t="str">
        <f t="shared" si="3"/>
        <v/>
      </c>
      <c r="I79" s="114" t="str">
        <f>IF(AND(F79&lt;&gt;"",N10&gt;0,M79&gt;N10),"Mot &gt; limite","")</f>
        <v/>
      </c>
      <c r="J79" s="110" t="str">
        <f>IF(K79="","",COUNTIF(K18:K79,"&lt;&gt;"))</f>
        <v/>
      </c>
      <c r="K79" s="111"/>
      <c r="L79" s="110" t="str">
        <f t="shared" si="4"/>
        <v/>
      </c>
      <c r="M79" s="80">
        <f>IF(OR(F79="",N10="",N10&lt;=0),"",IF(LEN(F79)&lt;=N10,LEN(F79),IFERROR(FIND("♦",SUBSTITUTE(LEFT(F79,N10)," ","♦",LEN(LEFT(F79,N10))-LEN(SUBSTITUTE(LEFT(F79,N10)," ","")))),FIND(" ",F79&amp;" ",N10+1)-1)))</f>
        <v>1</v>
      </c>
      <c r="N79" s="112">
        <f t="shared" si="5"/>
        <v>62</v>
      </c>
      <c r="O79" s="113" t="str">
        <f t="shared" si="6"/>
        <v>0</v>
      </c>
      <c r="P79" s="112">
        <f t="shared" si="7"/>
        <v>1</v>
      </c>
      <c r="Q79" s="112">
        <f t="shared" si="8"/>
        <v>1</v>
      </c>
      <c r="S79" s="3">
        <v>1</v>
      </c>
    </row>
    <row r="80" spans="2:19" ht="30" customHeight="1">
      <c r="B80" s="99" t="str">
        <f t="shared" si="0"/>
        <v/>
      </c>
      <c r="C80" s="99" t="str">
        <f t="shared" si="1"/>
        <v/>
      </c>
      <c r="D80" s="99" t="str">
        <f>IF(UPPER(TRIM(N11))="X",C80,B80)</f>
        <v/>
      </c>
      <c r="E80" s="99" cm="1">
        <f t="array" ref="E80">IF(H79&lt;&gt;"",E79,IF(E79="","",IFERROR(MATCH(TRUE(),INDEX(INDEX(K:K,E79+1):K203&lt;&gt;"",0),0)+E79,"")))</f>
        <v>221</v>
      </c>
      <c r="F80" s="99" cm="1">
        <f t="array" ref="F80">IF(E80="","",IF(H79&lt;&gt;"",H79,INDEX(D:D,E80)))</f>
        <v>0</v>
      </c>
      <c r="G80" s="99" t="str">
        <f t="shared" si="2"/>
        <v>0</v>
      </c>
      <c r="H80" s="109" t="str">
        <f t="shared" si="3"/>
        <v/>
      </c>
      <c r="I80" s="114" t="str">
        <f>IF(AND(F80&lt;&gt;"",N10&gt;0,M80&gt;N10),"Mot &gt; limite","")</f>
        <v/>
      </c>
      <c r="J80" s="110" t="str">
        <f>IF(K80="","",COUNTIF(K18:K80,"&lt;&gt;"))</f>
        <v/>
      </c>
      <c r="K80" s="111"/>
      <c r="L80" s="110" t="str">
        <f t="shared" si="4"/>
        <v/>
      </c>
      <c r="M80" s="80">
        <f>IF(OR(F80="",N10="",N10&lt;=0),"",IF(LEN(F80)&lt;=N10,LEN(F80),IFERROR(FIND("♦",SUBSTITUTE(LEFT(F80,N10)," ","♦",LEN(LEFT(F80,N10))-LEN(SUBSTITUTE(LEFT(F80,N10)," ","")))),FIND(" ",F80&amp;" ",N10+1)-1)))</f>
        <v>1</v>
      </c>
      <c r="N80" s="112">
        <f t="shared" si="5"/>
        <v>63</v>
      </c>
      <c r="O80" s="113" t="str">
        <f t="shared" si="6"/>
        <v>0</v>
      </c>
      <c r="P80" s="112">
        <f t="shared" si="7"/>
        <v>1</v>
      </c>
      <c r="Q80" s="112">
        <f t="shared" si="8"/>
        <v>1</v>
      </c>
      <c r="S80" s="3">
        <v>1</v>
      </c>
    </row>
    <row r="81" spans="2:19" ht="30" customHeight="1">
      <c r="B81" s="99" t="str">
        <f t="shared" si="0"/>
        <v/>
      </c>
      <c r="C81" s="99" t="str">
        <f t="shared" si="1"/>
        <v/>
      </c>
      <c r="D81" s="99" t="str">
        <f>IF(UPPER(TRIM(N11))="X",C81,B81)</f>
        <v/>
      </c>
      <c r="E81" s="99" cm="1">
        <f t="array" ref="E81">IF(H80&lt;&gt;"",E80,IF(E80="","",IFERROR(MATCH(TRUE(),INDEX(INDEX(K:K,E80+1):K203&lt;&gt;"",0),0)+E80,"")))</f>
        <v>222</v>
      </c>
      <c r="F81" s="99" cm="1">
        <f t="array" ref="F81">IF(E81="","",IF(H80&lt;&gt;"",H80,INDEX(D:D,E81)))</f>
        <v>0</v>
      </c>
      <c r="G81" s="99" t="str">
        <f t="shared" si="2"/>
        <v>0</v>
      </c>
      <c r="H81" s="109" t="str">
        <f t="shared" si="3"/>
        <v/>
      </c>
      <c r="I81" s="114" t="str">
        <f>IF(AND(F81&lt;&gt;"",N10&gt;0,M81&gt;N10),"Mot &gt; limite","")</f>
        <v/>
      </c>
      <c r="J81" s="110" t="str">
        <f>IF(K81="","",COUNTIF(K18:K81,"&lt;&gt;"))</f>
        <v/>
      </c>
      <c r="K81" s="111"/>
      <c r="L81" s="110" t="str">
        <f t="shared" si="4"/>
        <v/>
      </c>
      <c r="M81" s="80">
        <f>IF(OR(F81="",N10="",N10&lt;=0),"",IF(LEN(F81)&lt;=N10,LEN(F81),IFERROR(FIND("♦",SUBSTITUTE(LEFT(F81,N10)," ","♦",LEN(LEFT(F81,N10))-LEN(SUBSTITUTE(LEFT(F81,N10)," ","")))),FIND(" ",F81&amp;" ",N10+1)-1)))</f>
        <v>1</v>
      </c>
      <c r="N81" s="112">
        <f t="shared" si="5"/>
        <v>64</v>
      </c>
      <c r="O81" s="113" t="str">
        <f t="shared" si="6"/>
        <v>0</v>
      </c>
      <c r="P81" s="112">
        <f t="shared" si="7"/>
        <v>1</v>
      </c>
      <c r="Q81" s="112">
        <f t="shared" si="8"/>
        <v>1</v>
      </c>
      <c r="S81" s="3">
        <v>1</v>
      </c>
    </row>
    <row r="82" spans="2:19" ht="30" customHeight="1">
      <c r="B82" s="99" t="str">
        <f t="shared" ref="B82:B145" si="9">IF(TRIM(SUBSTITUTE(K82,CHAR(160),""))="","",TRIM(SUBSTITUTE(SUBSTITUTE(SUBSTITUTE(SUBSTITUTE(CLEAN(K82),CHAR(160)," "),CHAR(9)," "),CHAR(10)," "),CHAR(13)," ")))</f>
        <v/>
      </c>
      <c r="C82" s="99" t="str">
        <f t="shared" ref="C82:C145" si="10">IF(B82="","",TRIM(SUBSTITUTE(SUBSTITUTE(SUBSTITUTE(SUBSTITUTE(SUBSTITUTE(SUBSTITUTE(SUBSTITUTE(SUBSTITUTE(SUBSTITUTE(SUBSTITUTE(B82,","," "),";"," "),":"," "),"."," "),"?"," "), "!"," "),"/"," "), "("," "), ")"," "), "-"," ")))</f>
        <v/>
      </c>
      <c r="D82" s="99" t="str">
        <f>IF(UPPER(TRIM(N11))="X",C82,B82)</f>
        <v/>
      </c>
      <c r="E82" s="99" cm="1">
        <f t="array" ref="E82">IF(H81&lt;&gt;"",E81,IF(E81="","",IFERROR(MATCH(TRUE(),INDEX(INDEX(K:K,E81+1):K203&lt;&gt;"",0),0)+E81,"")))</f>
        <v>223</v>
      </c>
      <c r="F82" s="99" cm="1">
        <f t="array" ref="F82">IF(E82="","",IF(H81&lt;&gt;"",H81,INDEX(D:D,E82)))</f>
        <v>0</v>
      </c>
      <c r="G82" s="99" t="str">
        <f t="shared" ref="G82:G145" si="11">IF(OR(F82="",M82=""),"",LEFT(F82,M82))</f>
        <v>0</v>
      </c>
      <c r="H82" s="109" t="str">
        <f t="shared" ref="H82:H145" si="12">IF(OR(F82="",M82=""),"",TRIM(MID(F82,M82+1,99999)))</f>
        <v/>
      </c>
      <c r="I82" s="114" t="str">
        <f>IF(AND(F82&lt;&gt;"",N10&gt;0,M82&gt;N10),"Mot &gt; limite","")</f>
        <v/>
      </c>
      <c r="J82" s="110" t="str">
        <f>IF(K82="","",COUNTIF(K18:K82,"&lt;&gt;"))</f>
        <v/>
      </c>
      <c r="K82" s="111"/>
      <c r="L82" s="110" t="str">
        <f t="shared" ref="L82:L145" si="13">IF(TRIM(SUBSTITUTE(K82,CHAR(160),""))="","",LEN(K82))</f>
        <v/>
      </c>
      <c r="M82" s="80">
        <f>IF(OR(F82="",N10="",N10&lt;=0),"",IF(LEN(F82)&lt;=N10,LEN(F82),IFERROR(FIND("♦",SUBSTITUTE(LEFT(F82,N10)," ","♦",LEN(LEFT(F82,N10))-LEN(SUBSTITUTE(LEFT(F82,N10)," ","")))),FIND(" ",F82&amp;" ",N10+1)-1)))</f>
        <v>1</v>
      </c>
      <c r="N82" s="112">
        <f t="shared" ref="N82:N145" si="14">IF(O82="","",ROW()-17)</f>
        <v>65</v>
      </c>
      <c r="O82" s="113" t="str">
        <f t="shared" ref="O82:O145" si="15">G82</f>
        <v>0</v>
      </c>
      <c r="P82" s="112">
        <f t="shared" ref="P82:P145" si="16">IF(O82="","",LEN(TRIM(O82))-LEN(SUBSTITUTE(TRIM(O82)," ",""))+1)</f>
        <v>1</v>
      </c>
      <c r="Q82" s="112">
        <f t="shared" ref="Q82:Q145" si="17">IF(O82="","",LEN(O82))</f>
        <v>1</v>
      </c>
      <c r="S82" s="3">
        <v>1</v>
      </c>
    </row>
    <row r="83" spans="2:19" ht="30" customHeight="1">
      <c r="B83" s="99" t="str">
        <f t="shared" si="9"/>
        <v/>
      </c>
      <c r="C83" s="99" t="str">
        <f t="shared" si="10"/>
        <v/>
      </c>
      <c r="D83" s="99" t="str">
        <f>IF(UPPER(TRIM(N11))="X",C83,B83)</f>
        <v/>
      </c>
      <c r="E83" s="99" cm="1">
        <f t="array" ref="E83">IF(H82&lt;&gt;"",E82,IF(E82="","",IFERROR(MATCH(TRUE(),INDEX(INDEX(K:K,E82+1):K203&lt;&gt;"",0),0)+E82,"")))</f>
        <v>224</v>
      </c>
      <c r="F83" s="99" cm="1">
        <f t="array" ref="F83">IF(E83="","",IF(H82&lt;&gt;"",H82,INDEX(D:D,E83)))</f>
        <v>0</v>
      </c>
      <c r="G83" s="99" t="str">
        <f t="shared" si="11"/>
        <v>0</v>
      </c>
      <c r="H83" s="109" t="str">
        <f t="shared" si="12"/>
        <v/>
      </c>
      <c r="I83" s="114" t="str">
        <f>IF(AND(F83&lt;&gt;"",N10&gt;0,M83&gt;N10),"Mot &gt; limite","")</f>
        <v/>
      </c>
      <c r="J83" s="110" t="str">
        <f>IF(K83="","",COUNTIF(K18:K83,"&lt;&gt;"))</f>
        <v/>
      </c>
      <c r="K83" s="111"/>
      <c r="L83" s="110" t="str">
        <f t="shared" si="13"/>
        <v/>
      </c>
      <c r="M83" s="80">
        <f>IF(OR(F83="",N10="",N10&lt;=0),"",IF(LEN(F83)&lt;=N10,LEN(F83),IFERROR(FIND("♦",SUBSTITUTE(LEFT(F83,N10)," ","♦",LEN(LEFT(F83,N10))-LEN(SUBSTITUTE(LEFT(F83,N10)," ","")))),FIND(" ",F83&amp;" ",N10+1)-1)))</f>
        <v>1</v>
      </c>
      <c r="N83" s="112">
        <f t="shared" si="14"/>
        <v>66</v>
      </c>
      <c r="O83" s="113" t="str">
        <f t="shared" si="15"/>
        <v>0</v>
      </c>
      <c r="P83" s="112">
        <f t="shared" si="16"/>
        <v>1</v>
      </c>
      <c r="Q83" s="112">
        <f t="shared" si="17"/>
        <v>1</v>
      </c>
      <c r="S83" s="3">
        <v>1</v>
      </c>
    </row>
    <row r="84" spans="2:19" ht="30" customHeight="1">
      <c r="B84" s="99" t="str">
        <f t="shared" si="9"/>
        <v/>
      </c>
      <c r="C84" s="99" t="str">
        <f t="shared" si="10"/>
        <v/>
      </c>
      <c r="D84" s="99" t="str">
        <f>IF(UPPER(TRIM(N11))="X",C84,B84)</f>
        <v/>
      </c>
      <c r="E84" s="99" cm="1">
        <f t="array" ref="E84">IF(H83&lt;&gt;"",E83,IF(E83="","",IFERROR(MATCH(TRUE(),INDEX(INDEX(K:K,E83+1):K203&lt;&gt;"",0),0)+E83,"")))</f>
        <v>225</v>
      </c>
      <c r="F84" s="99" cm="1">
        <f t="array" ref="F84">IF(E84="","",IF(H83&lt;&gt;"",H83,INDEX(D:D,E84)))</f>
        <v>0</v>
      </c>
      <c r="G84" s="99" t="str">
        <f t="shared" si="11"/>
        <v>0</v>
      </c>
      <c r="H84" s="109" t="str">
        <f t="shared" si="12"/>
        <v/>
      </c>
      <c r="I84" s="114" t="str">
        <f>IF(AND(F84&lt;&gt;"",N10&gt;0,M84&gt;N10),"Mot &gt; limite","")</f>
        <v/>
      </c>
      <c r="J84" s="110" t="str">
        <f>IF(K84="","",COUNTIF(K18:K84,"&lt;&gt;"))</f>
        <v/>
      </c>
      <c r="K84" s="111"/>
      <c r="L84" s="110" t="str">
        <f t="shared" si="13"/>
        <v/>
      </c>
      <c r="M84" s="80">
        <f>IF(OR(F84="",N10="",N10&lt;=0),"",IF(LEN(F84)&lt;=N10,LEN(F84),IFERROR(FIND("♦",SUBSTITUTE(LEFT(F84,N10)," ","♦",LEN(LEFT(F84,N10))-LEN(SUBSTITUTE(LEFT(F84,N10)," ","")))),FIND(" ",F84&amp;" ",N10+1)-1)))</f>
        <v>1</v>
      </c>
      <c r="N84" s="112">
        <f t="shared" si="14"/>
        <v>67</v>
      </c>
      <c r="O84" s="113" t="str">
        <f t="shared" si="15"/>
        <v>0</v>
      </c>
      <c r="P84" s="112">
        <f t="shared" si="16"/>
        <v>1</v>
      </c>
      <c r="Q84" s="112">
        <f t="shared" si="17"/>
        <v>1</v>
      </c>
      <c r="S84" s="3">
        <v>1</v>
      </c>
    </row>
    <row r="85" spans="2:19" ht="30" customHeight="1">
      <c r="B85" s="99" t="str">
        <f t="shared" si="9"/>
        <v/>
      </c>
      <c r="C85" s="99" t="str">
        <f t="shared" si="10"/>
        <v/>
      </c>
      <c r="D85" s="99" t="str">
        <f>IF(UPPER(TRIM(N11))="X",C85,B85)</f>
        <v/>
      </c>
      <c r="E85" s="99" cm="1">
        <f t="array" ref="E85">IF(H84&lt;&gt;"",E84,IF(E84="","",IFERROR(MATCH(TRUE(),INDEX(INDEX(K:K,E84+1):K203&lt;&gt;"",0),0)+E84,"")))</f>
        <v>226</v>
      </c>
      <c r="F85" s="99" cm="1">
        <f t="array" ref="F85">IF(E85="","",IF(H84&lt;&gt;"",H84,INDEX(D:D,E85)))</f>
        <v>0</v>
      </c>
      <c r="G85" s="99" t="str">
        <f t="shared" si="11"/>
        <v>0</v>
      </c>
      <c r="H85" s="109" t="str">
        <f t="shared" si="12"/>
        <v/>
      </c>
      <c r="I85" s="114" t="str">
        <f>IF(AND(F85&lt;&gt;"",N10&gt;0,M85&gt;N10),"Mot &gt; limite","")</f>
        <v/>
      </c>
      <c r="J85" s="110" t="str">
        <f>IF(K85="","",COUNTIF(K18:K85,"&lt;&gt;"))</f>
        <v/>
      </c>
      <c r="K85" s="111"/>
      <c r="L85" s="110" t="str">
        <f t="shared" si="13"/>
        <v/>
      </c>
      <c r="M85" s="80">
        <f>IF(OR(F85="",N10="",N10&lt;=0),"",IF(LEN(F85)&lt;=N10,LEN(F85),IFERROR(FIND("♦",SUBSTITUTE(LEFT(F85,N10)," ","♦",LEN(LEFT(F85,N10))-LEN(SUBSTITUTE(LEFT(F85,N10)," ","")))),FIND(" ",F85&amp;" ",N10+1)-1)))</f>
        <v>1</v>
      </c>
      <c r="N85" s="112">
        <f t="shared" si="14"/>
        <v>68</v>
      </c>
      <c r="O85" s="113" t="str">
        <f t="shared" si="15"/>
        <v>0</v>
      </c>
      <c r="P85" s="112">
        <f t="shared" si="16"/>
        <v>1</v>
      </c>
      <c r="Q85" s="112">
        <f t="shared" si="17"/>
        <v>1</v>
      </c>
      <c r="S85" s="3">
        <v>1</v>
      </c>
    </row>
    <row r="86" spans="2:19" ht="30" customHeight="1">
      <c r="B86" s="99" t="str">
        <f t="shared" si="9"/>
        <v/>
      </c>
      <c r="C86" s="99" t="str">
        <f t="shared" si="10"/>
        <v/>
      </c>
      <c r="D86" s="99" t="str">
        <f>IF(UPPER(TRIM(N11))="X",C86,B86)</f>
        <v/>
      </c>
      <c r="E86" s="99" cm="1">
        <f t="array" ref="E86">IF(H85&lt;&gt;"",E85,IF(E85="","",IFERROR(MATCH(TRUE(),INDEX(INDEX(K:K,E85+1):K203&lt;&gt;"",0),0)+E85,"")))</f>
        <v>227</v>
      </c>
      <c r="F86" s="99" cm="1">
        <f t="array" ref="F86">IF(E86="","",IF(H85&lt;&gt;"",H85,INDEX(D:D,E86)))</f>
        <v>0</v>
      </c>
      <c r="G86" s="99" t="str">
        <f t="shared" si="11"/>
        <v>0</v>
      </c>
      <c r="H86" s="109" t="str">
        <f t="shared" si="12"/>
        <v/>
      </c>
      <c r="I86" s="114" t="str">
        <f>IF(AND(F86&lt;&gt;"",N10&gt;0,M86&gt;N10),"Mot &gt; limite","")</f>
        <v/>
      </c>
      <c r="J86" s="110" t="str">
        <f>IF(K86="","",COUNTIF(K18:K86,"&lt;&gt;"))</f>
        <v/>
      </c>
      <c r="K86" s="111"/>
      <c r="L86" s="110" t="str">
        <f t="shared" si="13"/>
        <v/>
      </c>
      <c r="M86" s="80">
        <f>IF(OR(F86="",N10="",N10&lt;=0),"",IF(LEN(F86)&lt;=N10,LEN(F86),IFERROR(FIND("♦",SUBSTITUTE(LEFT(F86,N10)," ","♦",LEN(LEFT(F86,N10))-LEN(SUBSTITUTE(LEFT(F86,N10)," ","")))),FIND(" ",F86&amp;" ",N10+1)-1)))</f>
        <v>1</v>
      </c>
      <c r="N86" s="112">
        <f t="shared" si="14"/>
        <v>69</v>
      </c>
      <c r="O86" s="113" t="str">
        <f t="shared" si="15"/>
        <v>0</v>
      </c>
      <c r="P86" s="112">
        <f t="shared" si="16"/>
        <v>1</v>
      </c>
      <c r="Q86" s="112">
        <f t="shared" si="17"/>
        <v>1</v>
      </c>
      <c r="S86" s="3">
        <v>1</v>
      </c>
    </row>
    <row r="87" spans="2:19" ht="30" customHeight="1">
      <c r="B87" s="99" t="str">
        <f t="shared" si="9"/>
        <v/>
      </c>
      <c r="C87" s="99" t="str">
        <f t="shared" si="10"/>
        <v/>
      </c>
      <c r="D87" s="99" t="str">
        <f>IF(UPPER(TRIM(N11))="X",C87,B87)</f>
        <v/>
      </c>
      <c r="E87" s="99" cm="1">
        <f t="array" ref="E87">IF(H86&lt;&gt;"",E86,IF(E86="","",IFERROR(MATCH(TRUE(),INDEX(INDEX(K:K,E86+1):K203&lt;&gt;"",0),0)+E86,"")))</f>
        <v>228</v>
      </c>
      <c r="F87" s="99" cm="1">
        <f t="array" ref="F87">IF(E87="","",IF(H86&lt;&gt;"",H86,INDEX(D:D,E87)))</f>
        <v>0</v>
      </c>
      <c r="G87" s="99" t="str">
        <f t="shared" si="11"/>
        <v>0</v>
      </c>
      <c r="H87" s="109" t="str">
        <f t="shared" si="12"/>
        <v/>
      </c>
      <c r="I87" s="114" t="str">
        <f>IF(AND(F87&lt;&gt;"",N10&gt;0,M87&gt;N10),"Mot &gt; limite","")</f>
        <v/>
      </c>
      <c r="J87" s="110" t="str">
        <f>IF(K87="","",COUNTIF(K18:K87,"&lt;&gt;"))</f>
        <v/>
      </c>
      <c r="K87" s="111"/>
      <c r="L87" s="110" t="str">
        <f t="shared" si="13"/>
        <v/>
      </c>
      <c r="M87" s="80">
        <f>IF(OR(F87="",N10="",N10&lt;=0),"",IF(LEN(F87)&lt;=N10,LEN(F87),IFERROR(FIND("♦",SUBSTITUTE(LEFT(F87,N10)," ","♦",LEN(LEFT(F87,N10))-LEN(SUBSTITUTE(LEFT(F87,N10)," ","")))),FIND(" ",F87&amp;" ",N10+1)-1)))</f>
        <v>1</v>
      </c>
      <c r="N87" s="112">
        <f t="shared" si="14"/>
        <v>70</v>
      </c>
      <c r="O87" s="113" t="str">
        <f t="shared" si="15"/>
        <v>0</v>
      </c>
      <c r="P87" s="112">
        <f t="shared" si="16"/>
        <v>1</v>
      </c>
      <c r="Q87" s="112">
        <f t="shared" si="17"/>
        <v>1</v>
      </c>
      <c r="S87" s="3">
        <v>1</v>
      </c>
    </row>
    <row r="88" spans="2:19" ht="30" customHeight="1">
      <c r="B88" s="99" t="str">
        <f t="shared" si="9"/>
        <v/>
      </c>
      <c r="C88" s="99" t="str">
        <f t="shared" si="10"/>
        <v/>
      </c>
      <c r="D88" s="99" t="str">
        <f>IF(UPPER(TRIM(N11))="X",C88,B88)</f>
        <v/>
      </c>
      <c r="E88" s="99" cm="1">
        <f t="array" ref="E88">IF(H87&lt;&gt;"",E87,IF(E87="","",IFERROR(MATCH(TRUE(),INDEX(INDEX(K:K,E87+1):K203&lt;&gt;"",0),0)+E87,"")))</f>
        <v>229</v>
      </c>
      <c r="F88" s="99" cm="1">
        <f t="array" ref="F88">IF(E88="","",IF(H87&lt;&gt;"",H87,INDEX(D:D,E88)))</f>
        <v>0</v>
      </c>
      <c r="G88" s="99" t="str">
        <f t="shared" si="11"/>
        <v>0</v>
      </c>
      <c r="H88" s="109" t="str">
        <f t="shared" si="12"/>
        <v/>
      </c>
      <c r="I88" s="114" t="str">
        <f>IF(AND(F88&lt;&gt;"",N10&gt;0,M88&gt;N10),"Mot &gt; limite","")</f>
        <v/>
      </c>
      <c r="J88" s="110" t="str">
        <f>IF(K88="","",COUNTIF(K18:K88,"&lt;&gt;"))</f>
        <v/>
      </c>
      <c r="K88" s="111"/>
      <c r="L88" s="110" t="str">
        <f t="shared" si="13"/>
        <v/>
      </c>
      <c r="M88" s="80">
        <f>IF(OR(F88="",N10="",N10&lt;=0),"",IF(LEN(F88)&lt;=N10,LEN(F88),IFERROR(FIND("♦",SUBSTITUTE(LEFT(F88,N10)," ","♦",LEN(LEFT(F88,N10))-LEN(SUBSTITUTE(LEFT(F88,N10)," ","")))),FIND(" ",F88&amp;" ",N10+1)-1)))</f>
        <v>1</v>
      </c>
      <c r="N88" s="112">
        <f t="shared" si="14"/>
        <v>71</v>
      </c>
      <c r="O88" s="113" t="str">
        <f t="shared" si="15"/>
        <v>0</v>
      </c>
      <c r="P88" s="112">
        <f t="shared" si="16"/>
        <v>1</v>
      </c>
      <c r="Q88" s="112">
        <f t="shared" si="17"/>
        <v>1</v>
      </c>
      <c r="S88" s="3">
        <v>1</v>
      </c>
    </row>
    <row r="89" spans="2:19" ht="30" customHeight="1">
      <c r="B89" s="99" t="str">
        <f t="shared" si="9"/>
        <v/>
      </c>
      <c r="C89" s="99" t="str">
        <f t="shared" si="10"/>
        <v/>
      </c>
      <c r="D89" s="99" t="str">
        <f>IF(UPPER(TRIM(N11))="X",C89,B89)</f>
        <v/>
      </c>
      <c r="E89" s="99" cm="1">
        <f t="array" ref="E89">IF(H88&lt;&gt;"",E88,IF(E88="","",IFERROR(MATCH(TRUE(),INDEX(INDEX(K:K,E88+1):K203&lt;&gt;"",0),0)+E88,"")))</f>
        <v>230</v>
      </c>
      <c r="F89" s="99" cm="1">
        <f t="array" ref="F89">IF(E89="","",IF(H88&lt;&gt;"",H88,INDEX(D:D,E89)))</f>
        <v>0</v>
      </c>
      <c r="G89" s="99" t="str">
        <f t="shared" si="11"/>
        <v>0</v>
      </c>
      <c r="H89" s="109" t="str">
        <f t="shared" si="12"/>
        <v/>
      </c>
      <c r="I89" s="114" t="str">
        <f>IF(AND(F89&lt;&gt;"",N10&gt;0,M89&gt;N10),"Mot &gt; limite","")</f>
        <v/>
      </c>
      <c r="J89" s="110" t="str">
        <f>IF(K89="","",COUNTIF(K18:K89,"&lt;&gt;"))</f>
        <v/>
      </c>
      <c r="K89" s="111"/>
      <c r="L89" s="110" t="str">
        <f t="shared" si="13"/>
        <v/>
      </c>
      <c r="M89" s="80">
        <f>IF(OR(F89="",N10="",N10&lt;=0),"",IF(LEN(F89)&lt;=N10,LEN(F89),IFERROR(FIND("♦",SUBSTITUTE(LEFT(F89,N10)," ","♦",LEN(LEFT(F89,N10))-LEN(SUBSTITUTE(LEFT(F89,N10)," ","")))),FIND(" ",F89&amp;" ",N10+1)-1)))</f>
        <v>1</v>
      </c>
      <c r="N89" s="112">
        <f t="shared" si="14"/>
        <v>72</v>
      </c>
      <c r="O89" s="113" t="str">
        <f t="shared" si="15"/>
        <v>0</v>
      </c>
      <c r="P89" s="112">
        <f t="shared" si="16"/>
        <v>1</v>
      </c>
      <c r="Q89" s="112">
        <f t="shared" si="17"/>
        <v>1</v>
      </c>
      <c r="S89" s="3">
        <v>1</v>
      </c>
    </row>
    <row r="90" spans="2:19" ht="30" customHeight="1">
      <c r="B90" s="99" t="str">
        <f t="shared" si="9"/>
        <v/>
      </c>
      <c r="C90" s="99" t="str">
        <f t="shared" si="10"/>
        <v/>
      </c>
      <c r="D90" s="99" t="str">
        <f>IF(UPPER(TRIM(N11))="X",C90,B90)</f>
        <v/>
      </c>
      <c r="E90" s="99" cm="1">
        <f t="array" ref="E90">IF(H89&lt;&gt;"",E89,IF(E89="","",IFERROR(MATCH(TRUE(),INDEX(INDEX(K:K,E89+1):K203&lt;&gt;"",0),0)+E89,"")))</f>
        <v>231</v>
      </c>
      <c r="F90" s="99" cm="1">
        <f t="array" ref="F90">IF(E90="","",IF(H89&lt;&gt;"",H89,INDEX(D:D,E90)))</f>
        <v>0</v>
      </c>
      <c r="G90" s="99" t="str">
        <f t="shared" si="11"/>
        <v>0</v>
      </c>
      <c r="H90" s="109" t="str">
        <f t="shared" si="12"/>
        <v/>
      </c>
      <c r="I90" s="114" t="str">
        <f>IF(AND(F90&lt;&gt;"",N10&gt;0,M90&gt;N10),"Mot &gt; limite","")</f>
        <v/>
      </c>
      <c r="J90" s="110" t="str">
        <f>IF(K90="","",COUNTIF(K18:K90,"&lt;&gt;"))</f>
        <v/>
      </c>
      <c r="K90" s="111"/>
      <c r="L90" s="110" t="str">
        <f t="shared" si="13"/>
        <v/>
      </c>
      <c r="M90" s="80">
        <f>IF(OR(F90="",N10="",N10&lt;=0),"",IF(LEN(F90)&lt;=N10,LEN(F90),IFERROR(FIND("♦",SUBSTITUTE(LEFT(F90,N10)," ","♦",LEN(LEFT(F90,N10))-LEN(SUBSTITUTE(LEFT(F90,N10)," ","")))),FIND(" ",F90&amp;" ",N10+1)-1)))</f>
        <v>1</v>
      </c>
      <c r="N90" s="112">
        <f t="shared" si="14"/>
        <v>73</v>
      </c>
      <c r="O90" s="113" t="str">
        <f t="shared" si="15"/>
        <v>0</v>
      </c>
      <c r="P90" s="112">
        <f t="shared" si="16"/>
        <v>1</v>
      </c>
      <c r="Q90" s="112">
        <f t="shared" si="17"/>
        <v>1</v>
      </c>
      <c r="S90" s="3">
        <v>1</v>
      </c>
    </row>
    <row r="91" spans="2:19" ht="30" customHeight="1">
      <c r="B91" s="99" t="str">
        <f t="shared" si="9"/>
        <v>►&gt; &gt; &gt;</v>
      </c>
      <c r="C91" s="99" t="str">
        <f t="shared" si="10"/>
        <v>►&gt; &gt; &gt;</v>
      </c>
      <c r="D91" s="99" t="str">
        <f>IF(UPPER(TRIM(N11))="X",C91,B91)</f>
        <v>►&gt; &gt; &gt;</v>
      </c>
      <c r="E91" s="99" cm="1">
        <f t="array" ref="E91">IF(H90&lt;&gt;"",E90,IF(E90="","",IFERROR(MATCH(TRUE(),INDEX(INDEX(K:K,E90+1):K203&lt;&gt;"",0),0)+E90,"")))</f>
        <v>232</v>
      </c>
      <c r="F91" s="99" cm="1">
        <f t="array" ref="F91">IF(E91="","",IF(H90&lt;&gt;"",H90,INDEX(D:D,E91)))</f>
        <v>0</v>
      </c>
      <c r="G91" s="99" t="str">
        <f t="shared" si="11"/>
        <v>0</v>
      </c>
      <c r="H91" s="109" t="str">
        <f t="shared" si="12"/>
        <v/>
      </c>
      <c r="I91" s="114" t="str">
        <f>IF(AND(F91&lt;&gt;"",N10&gt;0,M91&gt;N10),"Mot &gt; limite","")</f>
        <v/>
      </c>
      <c r="J91" s="110">
        <f>IF(K91="","",COUNTIF(K18:K91,"&lt;&gt;"))</f>
        <v>28</v>
      </c>
      <c r="K91" s="111" t="s">
        <v>392</v>
      </c>
      <c r="L91" s="110">
        <f t="shared" si="13"/>
        <v>6</v>
      </c>
      <c r="M91" s="80">
        <f>IF(OR(F91="",N10="",N10&lt;=0),"",IF(LEN(F91)&lt;=N10,LEN(F91),IFERROR(FIND("♦",SUBSTITUTE(LEFT(F91,N10)," ","♦",LEN(LEFT(F91,N10))-LEN(SUBSTITUTE(LEFT(F91,N10)," ","")))),FIND(" ",F91&amp;" ",N10+1)-1)))</f>
        <v>1</v>
      </c>
      <c r="N91" s="112">
        <f t="shared" si="14"/>
        <v>74</v>
      </c>
      <c r="O91" s="113" t="str">
        <f t="shared" si="15"/>
        <v>0</v>
      </c>
      <c r="P91" s="112">
        <f t="shared" si="16"/>
        <v>1</v>
      </c>
      <c r="Q91" s="112">
        <f t="shared" si="17"/>
        <v>1</v>
      </c>
      <c r="S91" s="3">
        <v>1</v>
      </c>
    </row>
    <row r="92" spans="2:19" ht="30" customHeight="1">
      <c r="B92" s="99" t="str">
        <f t="shared" si="9"/>
        <v/>
      </c>
      <c r="C92" s="99" t="str">
        <f t="shared" si="10"/>
        <v/>
      </c>
      <c r="D92" s="99" t="str">
        <f>IF(UPPER(TRIM(N11))="X",C92,B92)</f>
        <v/>
      </c>
      <c r="E92" s="99" cm="1">
        <f t="array" ref="E92">IF(H91&lt;&gt;"",E91,IF(E91="","",IFERROR(MATCH(TRUE(),INDEX(INDEX(K:K,E91+1):K203&lt;&gt;"",0),0)+E91,"")))</f>
        <v>233</v>
      </c>
      <c r="F92" s="99" cm="1">
        <f t="array" ref="F92">IF(E92="","",IF(H91&lt;&gt;"",H91,INDEX(D:D,E92)))</f>
        <v>0</v>
      </c>
      <c r="G92" s="99" t="str">
        <f t="shared" si="11"/>
        <v>0</v>
      </c>
      <c r="H92" s="109" t="str">
        <f t="shared" si="12"/>
        <v/>
      </c>
      <c r="I92" s="114" t="str">
        <f>IF(AND(F92&lt;&gt;"",N10&gt;0,M92&gt;N10),"Mot &gt; limite","")</f>
        <v/>
      </c>
      <c r="J92" s="110" t="str">
        <f>IF(K92="","",COUNTIF(K18:K92,"&lt;&gt;"))</f>
        <v/>
      </c>
      <c r="K92" s="111"/>
      <c r="L92" s="110" t="str">
        <f t="shared" si="13"/>
        <v/>
      </c>
      <c r="M92" s="80">
        <f>IF(OR(F92="",N10="",N10&lt;=0),"",IF(LEN(F92)&lt;=N10,LEN(F92),IFERROR(FIND("♦",SUBSTITUTE(LEFT(F92,N10)," ","♦",LEN(LEFT(F92,N10))-LEN(SUBSTITUTE(LEFT(F92,N10)," ","")))),FIND(" ",F92&amp;" ",N10+1)-1)))</f>
        <v>1</v>
      </c>
      <c r="N92" s="112">
        <f t="shared" si="14"/>
        <v>75</v>
      </c>
      <c r="O92" s="113" t="str">
        <f t="shared" si="15"/>
        <v>0</v>
      </c>
      <c r="P92" s="112">
        <f t="shared" si="16"/>
        <v>1</v>
      </c>
      <c r="Q92" s="112">
        <f t="shared" si="17"/>
        <v>1</v>
      </c>
      <c r="S92" s="3">
        <v>1</v>
      </c>
    </row>
    <row r="93" spans="2:19" ht="30" customHeight="1">
      <c r="B93" s="99" t="str">
        <f t="shared" si="9"/>
        <v/>
      </c>
      <c r="C93" s="99" t="str">
        <f t="shared" si="10"/>
        <v/>
      </c>
      <c r="D93" s="99" t="str">
        <f>IF(UPPER(TRIM(N11))="X",C93,B93)</f>
        <v/>
      </c>
      <c r="E93" s="99" cm="1">
        <f t="array" ref="E93">IF(H92&lt;&gt;"",E92,IF(E92="","",IFERROR(MATCH(TRUE(),INDEX(INDEX(K:K,E92+1):K203&lt;&gt;"",0),0)+E92,"")))</f>
        <v>234</v>
      </c>
      <c r="F93" s="99" cm="1">
        <f t="array" ref="F93">IF(E93="","",IF(H92&lt;&gt;"",H92,INDEX(D:D,E93)))</f>
        <v>0</v>
      </c>
      <c r="G93" s="99" t="str">
        <f t="shared" si="11"/>
        <v>0</v>
      </c>
      <c r="H93" s="109" t="str">
        <f t="shared" si="12"/>
        <v/>
      </c>
      <c r="I93" s="114" t="str">
        <f>IF(AND(F93&lt;&gt;"",N10&gt;0,M93&gt;N10),"Mot &gt; limite","")</f>
        <v/>
      </c>
      <c r="J93" s="110" t="str">
        <f>IF(K93="","",COUNTIF(K18:K93,"&lt;&gt;"))</f>
        <v/>
      </c>
      <c r="K93" s="111"/>
      <c r="L93" s="110" t="str">
        <f t="shared" si="13"/>
        <v/>
      </c>
      <c r="M93" s="80">
        <f>IF(OR(F93="",N10="",N10&lt;=0),"",IF(LEN(F93)&lt;=N10,LEN(F93),IFERROR(FIND("♦",SUBSTITUTE(LEFT(F93,N10)," ","♦",LEN(LEFT(F93,N10))-LEN(SUBSTITUTE(LEFT(F93,N10)," ","")))),FIND(" ",F93&amp;" ",N10+1)-1)))</f>
        <v>1</v>
      </c>
      <c r="N93" s="112">
        <f t="shared" si="14"/>
        <v>76</v>
      </c>
      <c r="O93" s="113" t="str">
        <f t="shared" si="15"/>
        <v>0</v>
      </c>
      <c r="P93" s="112">
        <f t="shared" si="16"/>
        <v>1</v>
      </c>
      <c r="Q93" s="112">
        <f t="shared" si="17"/>
        <v>1</v>
      </c>
      <c r="S93" s="3">
        <v>1</v>
      </c>
    </row>
    <row r="94" spans="2:19" ht="30" customHeight="1">
      <c r="B94" s="99" t="str">
        <f t="shared" si="9"/>
        <v/>
      </c>
      <c r="C94" s="99" t="str">
        <f t="shared" si="10"/>
        <v/>
      </c>
      <c r="D94" s="99" t="str">
        <f>IF(UPPER(TRIM(N11))="X",C94,B94)</f>
        <v/>
      </c>
      <c r="E94" s="99" cm="1">
        <f t="array" ref="E94">IF(H93&lt;&gt;"",E93,IF(E93="","",IFERROR(MATCH(TRUE(),INDEX(INDEX(K:K,E93+1):K203&lt;&gt;"",0),0)+E93,"")))</f>
        <v>235</v>
      </c>
      <c r="F94" s="99" cm="1">
        <f t="array" ref="F94">IF(E94="","",IF(H93&lt;&gt;"",H93,INDEX(D:D,E94)))</f>
        <v>0</v>
      </c>
      <c r="G94" s="99" t="str">
        <f t="shared" si="11"/>
        <v>0</v>
      </c>
      <c r="H94" s="109" t="str">
        <f t="shared" si="12"/>
        <v/>
      </c>
      <c r="I94" s="114" t="str">
        <f>IF(AND(F94&lt;&gt;"",N10&gt;0,M94&gt;N10),"Mot &gt; limite","")</f>
        <v/>
      </c>
      <c r="J94" s="110" t="str">
        <f>IF(K94="","",COUNTIF(K18:K94,"&lt;&gt;"))</f>
        <v/>
      </c>
      <c r="K94" s="111"/>
      <c r="L94" s="110" t="str">
        <f t="shared" si="13"/>
        <v/>
      </c>
      <c r="M94" s="80">
        <f>IF(OR(F94="",N10="",N10&lt;=0),"",IF(LEN(F94)&lt;=N10,LEN(F94),IFERROR(FIND("♦",SUBSTITUTE(LEFT(F94,N10)," ","♦",LEN(LEFT(F94,N10))-LEN(SUBSTITUTE(LEFT(F94,N10)," ","")))),FIND(" ",F94&amp;" ",N10+1)-1)))</f>
        <v>1</v>
      </c>
      <c r="N94" s="112">
        <f t="shared" si="14"/>
        <v>77</v>
      </c>
      <c r="O94" s="113" t="str">
        <f t="shared" si="15"/>
        <v>0</v>
      </c>
      <c r="P94" s="112">
        <f t="shared" si="16"/>
        <v>1</v>
      </c>
      <c r="Q94" s="112">
        <f t="shared" si="17"/>
        <v>1</v>
      </c>
      <c r="S94" s="3">
        <v>1</v>
      </c>
    </row>
    <row r="95" spans="2:19" ht="30" customHeight="1">
      <c r="B95" s="99" t="str">
        <f t="shared" si="9"/>
        <v/>
      </c>
      <c r="C95" s="99" t="str">
        <f t="shared" si="10"/>
        <v/>
      </c>
      <c r="D95" s="99" t="str">
        <f>IF(UPPER(TRIM(N11))="X",C95,B95)</f>
        <v/>
      </c>
      <c r="E95" s="99" cm="1">
        <f t="array" ref="E95">IF(H94&lt;&gt;"",E94,IF(E94="","",IFERROR(MATCH(TRUE(),INDEX(INDEX(K:K,E94+1):K203&lt;&gt;"",0),0)+E94,"")))</f>
        <v>236</v>
      </c>
      <c r="F95" s="99" cm="1">
        <f t="array" ref="F95">IF(E95="","",IF(H94&lt;&gt;"",H94,INDEX(D:D,E95)))</f>
        <v>0</v>
      </c>
      <c r="G95" s="99" t="str">
        <f t="shared" si="11"/>
        <v>0</v>
      </c>
      <c r="H95" s="109" t="str">
        <f t="shared" si="12"/>
        <v/>
      </c>
      <c r="I95" s="114" t="str">
        <f>IF(AND(F95&lt;&gt;"",N10&gt;0,M95&gt;N10),"Mot &gt; limite","")</f>
        <v/>
      </c>
      <c r="J95" s="110" t="str">
        <f>IF(K95="","",COUNTIF(K18:K95,"&lt;&gt;"))</f>
        <v/>
      </c>
      <c r="K95" s="111"/>
      <c r="L95" s="110" t="str">
        <f t="shared" si="13"/>
        <v/>
      </c>
      <c r="M95" s="80">
        <f>IF(OR(F95="",N10="",N10&lt;=0),"",IF(LEN(F95)&lt;=N10,LEN(F95),IFERROR(FIND("♦",SUBSTITUTE(LEFT(F95,N10)," ","♦",LEN(LEFT(F95,N10))-LEN(SUBSTITUTE(LEFT(F95,N10)," ","")))),FIND(" ",F95&amp;" ",N10+1)-1)))</f>
        <v>1</v>
      </c>
      <c r="N95" s="112">
        <f t="shared" si="14"/>
        <v>78</v>
      </c>
      <c r="O95" s="113" t="str">
        <f t="shared" si="15"/>
        <v>0</v>
      </c>
      <c r="P95" s="112">
        <f t="shared" si="16"/>
        <v>1</v>
      </c>
      <c r="Q95" s="112">
        <f t="shared" si="17"/>
        <v>1</v>
      </c>
      <c r="S95" s="3">
        <v>1</v>
      </c>
    </row>
    <row r="96" spans="2:19" ht="30" customHeight="1">
      <c r="B96" s="99" t="str">
        <f t="shared" si="9"/>
        <v/>
      </c>
      <c r="C96" s="99" t="str">
        <f t="shared" si="10"/>
        <v/>
      </c>
      <c r="D96" s="99" t="str">
        <f>IF(UPPER(TRIM(N11))="X",C96,B96)</f>
        <v/>
      </c>
      <c r="E96" s="99" cm="1">
        <f t="array" ref="E96">IF(H95&lt;&gt;"",E95,IF(E95="","",IFERROR(MATCH(TRUE(),INDEX(INDEX(K:K,E95+1):K203&lt;&gt;"",0),0)+E95,"")))</f>
        <v>237</v>
      </c>
      <c r="F96" s="99" cm="1">
        <f t="array" ref="F96">IF(E96="","",IF(H95&lt;&gt;"",H95,INDEX(D:D,E96)))</f>
        <v>0</v>
      </c>
      <c r="G96" s="99" t="str">
        <f t="shared" si="11"/>
        <v>0</v>
      </c>
      <c r="H96" s="109" t="str">
        <f t="shared" si="12"/>
        <v/>
      </c>
      <c r="I96" s="114" t="str">
        <f>IF(AND(F96&lt;&gt;"",N10&gt;0,M96&gt;N10),"Mot &gt; limite","")</f>
        <v/>
      </c>
      <c r="J96" s="110" t="str">
        <f>IF(K96="","",COUNTIF(K18:K96,"&lt;&gt;"))</f>
        <v/>
      </c>
      <c r="K96" s="111"/>
      <c r="L96" s="110" t="str">
        <f t="shared" si="13"/>
        <v/>
      </c>
      <c r="M96" s="80">
        <f>IF(OR(F96="",N10="",N10&lt;=0),"",IF(LEN(F96)&lt;=N10,LEN(F96),IFERROR(FIND("♦",SUBSTITUTE(LEFT(F96,N10)," ","♦",LEN(LEFT(F96,N10))-LEN(SUBSTITUTE(LEFT(F96,N10)," ","")))),FIND(" ",F96&amp;" ",N10+1)-1)))</f>
        <v>1</v>
      </c>
      <c r="N96" s="112">
        <f t="shared" si="14"/>
        <v>79</v>
      </c>
      <c r="O96" s="113" t="str">
        <f t="shared" si="15"/>
        <v>0</v>
      </c>
      <c r="P96" s="112">
        <f t="shared" si="16"/>
        <v>1</v>
      </c>
      <c r="Q96" s="112">
        <f t="shared" si="17"/>
        <v>1</v>
      </c>
      <c r="S96" s="3">
        <v>1</v>
      </c>
    </row>
    <row r="97" spans="2:19" ht="30" customHeight="1">
      <c r="B97" s="99" t="str">
        <f t="shared" si="9"/>
        <v/>
      </c>
      <c r="C97" s="99" t="str">
        <f t="shared" si="10"/>
        <v/>
      </c>
      <c r="D97" s="99" t="str">
        <f>IF(UPPER(TRIM(N11))="X",C97,B97)</f>
        <v/>
      </c>
      <c r="E97" s="99" cm="1">
        <f t="array" ref="E97">IF(H96&lt;&gt;"",E96,IF(E96="","",IFERROR(MATCH(TRUE(),INDEX(INDEX(K:K,E96+1):K203&lt;&gt;"",0),0)+E96,"")))</f>
        <v>238</v>
      </c>
      <c r="F97" s="99" cm="1">
        <f t="array" ref="F97">IF(E97="","",IF(H96&lt;&gt;"",H96,INDEX(D:D,E97)))</f>
        <v>0</v>
      </c>
      <c r="G97" s="99" t="str">
        <f t="shared" si="11"/>
        <v>0</v>
      </c>
      <c r="H97" s="109" t="str">
        <f t="shared" si="12"/>
        <v/>
      </c>
      <c r="I97" s="114" t="str">
        <f>IF(AND(F97&lt;&gt;"",N10&gt;0,M97&gt;N10),"Mot &gt; limite","")</f>
        <v/>
      </c>
      <c r="J97" s="110" t="str">
        <f>IF(K97="","",COUNTIF(K18:K97,"&lt;&gt;"))</f>
        <v/>
      </c>
      <c r="K97" s="111"/>
      <c r="L97" s="110" t="str">
        <f t="shared" si="13"/>
        <v/>
      </c>
      <c r="M97" s="80">
        <f>IF(OR(F97="",N10="",N10&lt;=0),"",IF(LEN(F97)&lt;=N10,LEN(F97),IFERROR(FIND("♦",SUBSTITUTE(LEFT(F97,N10)," ","♦",LEN(LEFT(F97,N10))-LEN(SUBSTITUTE(LEFT(F97,N10)," ","")))),FIND(" ",F97&amp;" ",N10+1)-1)))</f>
        <v>1</v>
      </c>
      <c r="N97" s="112">
        <f t="shared" si="14"/>
        <v>80</v>
      </c>
      <c r="O97" s="113" t="str">
        <f t="shared" si="15"/>
        <v>0</v>
      </c>
      <c r="P97" s="112">
        <f t="shared" si="16"/>
        <v>1</v>
      </c>
      <c r="Q97" s="112">
        <f t="shared" si="17"/>
        <v>1</v>
      </c>
      <c r="S97" s="3">
        <v>1</v>
      </c>
    </row>
    <row r="98" spans="2:19" ht="30" customHeight="1">
      <c r="B98" s="99" t="str">
        <f t="shared" si="9"/>
        <v/>
      </c>
      <c r="C98" s="99" t="str">
        <f t="shared" si="10"/>
        <v/>
      </c>
      <c r="D98" s="99" t="str">
        <f>IF(UPPER(TRIM(N11))="X",C98,B98)</f>
        <v/>
      </c>
      <c r="E98" s="99" cm="1">
        <f t="array" ref="E98">IF(H97&lt;&gt;"",E97,IF(E97="","",IFERROR(MATCH(TRUE(),INDEX(INDEX(K:K,E97+1):K203&lt;&gt;"",0),0)+E97,"")))</f>
        <v>239</v>
      </c>
      <c r="F98" s="99" cm="1">
        <f t="array" ref="F98">IF(E98="","",IF(H97&lt;&gt;"",H97,INDEX(D:D,E98)))</f>
        <v>0</v>
      </c>
      <c r="G98" s="99" t="str">
        <f t="shared" si="11"/>
        <v>0</v>
      </c>
      <c r="H98" s="109" t="str">
        <f t="shared" si="12"/>
        <v/>
      </c>
      <c r="I98" s="114" t="str">
        <f>IF(AND(F98&lt;&gt;"",N10&gt;0,M98&gt;N10),"Mot &gt; limite","")</f>
        <v/>
      </c>
      <c r="J98" s="110" t="str">
        <f>IF(K98="","",COUNTIF(K18:K98,"&lt;&gt;"))</f>
        <v/>
      </c>
      <c r="K98" s="111"/>
      <c r="L98" s="110" t="str">
        <f t="shared" si="13"/>
        <v/>
      </c>
      <c r="M98" s="80">
        <f>IF(OR(F98="",N10="",N10&lt;=0),"",IF(LEN(F98)&lt;=N10,LEN(F98),IFERROR(FIND("♦",SUBSTITUTE(LEFT(F98,N10)," ","♦",LEN(LEFT(F98,N10))-LEN(SUBSTITUTE(LEFT(F98,N10)," ","")))),FIND(" ",F98&amp;" ",N10+1)-1)))</f>
        <v>1</v>
      </c>
      <c r="N98" s="112">
        <f t="shared" si="14"/>
        <v>81</v>
      </c>
      <c r="O98" s="113" t="str">
        <f t="shared" si="15"/>
        <v>0</v>
      </c>
      <c r="P98" s="112">
        <f t="shared" si="16"/>
        <v>1</v>
      </c>
      <c r="Q98" s="112">
        <f t="shared" si="17"/>
        <v>1</v>
      </c>
      <c r="S98" s="3">
        <v>1</v>
      </c>
    </row>
    <row r="99" spans="2:19" ht="30" customHeight="1">
      <c r="B99" s="99" t="str">
        <f t="shared" si="9"/>
        <v/>
      </c>
      <c r="C99" s="99" t="str">
        <f t="shared" si="10"/>
        <v/>
      </c>
      <c r="D99" s="99" t="str">
        <f>IF(UPPER(TRIM(N11))="X",C99,B99)</f>
        <v/>
      </c>
      <c r="E99" s="99" cm="1">
        <f t="array" ref="E99">IF(H98&lt;&gt;"",E98,IF(E98="","",IFERROR(MATCH(TRUE(),INDEX(INDEX(K:K,E98+1):K203&lt;&gt;"",0),0)+E98,"")))</f>
        <v>240</v>
      </c>
      <c r="F99" s="99" cm="1">
        <f t="array" ref="F99">IF(E99="","",IF(H98&lt;&gt;"",H98,INDEX(D:D,E99)))</f>
        <v>0</v>
      </c>
      <c r="G99" s="99" t="str">
        <f t="shared" si="11"/>
        <v>0</v>
      </c>
      <c r="H99" s="109" t="str">
        <f t="shared" si="12"/>
        <v/>
      </c>
      <c r="I99" s="114" t="str">
        <f>IF(AND(F99&lt;&gt;"",N10&gt;0,M99&gt;N10),"Mot &gt; limite","")</f>
        <v/>
      </c>
      <c r="J99" s="110" t="str">
        <f>IF(K99="","",COUNTIF(K18:K99,"&lt;&gt;"))</f>
        <v/>
      </c>
      <c r="K99" s="111"/>
      <c r="L99" s="110" t="str">
        <f t="shared" si="13"/>
        <v/>
      </c>
      <c r="M99" s="80">
        <f>IF(OR(F99="",N10="",N10&lt;=0),"",IF(LEN(F99)&lt;=N10,LEN(F99),IFERROR(FIND("♦",SUBSTITUTE(LEFT(F99,N10)," ","♦",LEN(LEFT(F99,N10))-LEN(SUBSTITUTE(LEFT(F99,N10)," ","")))),FIND(" ",F99&amp;" ",N10+1)-1)))</f>
        <v>1</v>
      </c>
      <c r="N99" s="112">
        <f t="shared" si="14"/>
        <v>82</v>
      </c>
      <c r="O99" s="113" t="str">
        <f t="shared" si="15"/>
        <v>0</v>
      </c>
      <c r="P99" s="112">
        <f t="shared" si="16"/>
        <v>1</v>
      </c>
      <c r="Q99" s="112">
        <f t="shared" si="17"/>
        <v>1</v>
      </c>
      <c r="S99" s="3">
        <v>1</v>
      </c>
    </row>
    <row r="100" spans="2:19" ht="30" customHeight="1">
      <c r="B100" s="99" t="str">
        <f t="shared" si="9"/>
        <v/>
      </c>
      <c r="C100" s="99" t="str">
        <f t="shared" si="10"/>
        <v/>
      </c>
      <c r="D100" s="99" t="str">
        <f>IF(UPPER(TRIM(N11))="X",C100,B100)</f>
        <v/>
      </c>
      <c r="E100" s="99" cm="1">
        <f t="array" ref="E100">IF(H99&lt;&gt;"",E99,IF(E99="","",IFERROR(MATCH(TRUE(),INDEX(INDEX(K:K,E99+1):K203&lt;&gt;"",0),0)+E99,"")))</f>
        <v>241</v>
      </c>
      <c r="F100" s="99" cm="1">
        <f t="array" ref="F100">IF(E100="","",IF(H99&lt;&gt;"",H99,INDEX(D:D,E100)))</f>
        <v>0</v>
      </c>
      <c r="G100" s="99" t="str">
        <f t="shared" si="11"/>
        <v>0</v>
      </c>
      <c r="H100" s="109" t="str">
        <f t="shared" si="12"/>
        <v/>
      </c>
      <c r="I100" s="114" t="str">
        <f>IF(AND(F100&lt;&gt;"",N10&gt;0,M100&gt;N10),"Mot &gt; limite","")</f>
        <v/>
      </c>
      <c r="J100" s="110" t="str">
        <f>IF(K100="","",COUNTIF(K18:K100,"&lt;&gt;"))</f>
        <v/>
      </c>
      <c r="K100" s="111"/>
      <c r="L100" s="110" t="str">
        <f t="shared" si="13"/>
        <v/>
      </c>
      <c r="M100" s="80">
        <f>IF(OR(F100="",N10="",N10&lt;=0),"",IF(LEN(F100)&lt;=N10,LEN(F100),IFERROR(FIND("♦",SUBSTITUTE(LEFT(F100,N10)," ","♦",LEN(LEFT(F100,N10))-LEN(SUBSTITUTE(LEFT(F100,N10)," ","")))),FIND(" ",F100&amp;" ",N10+1)-1)))</f>
        <v>1</v>
      </c>
      <c r="N100" s="112">
        <f t="shared" si="14"/>
        <v>83</v>
      </c>
      <c r="O100" s="113" t="str">
        <f t="shared" si="15"/>
        <v>0</v>
      </c>
      <c r="P100" s="112">
        <f t="shared" si="16"/>
        <v>1</v>
      </c>
      <c r="Q100" s="112">
        <f t="shared" si="17"/>
        <v>1</v>
      </c>
      <c r="S100" s="3">
        <v>1</v>
      </c>
    </row>
    <row r="101" spans="2:19" ht="30" customHeight="1">
      <c r="B101" s="99" t="str">
        <f t="shared" si="9"/>
        <v/>
      </c>
      <c r="C101" s="99" t="str">
        <f t="shared" si="10"/>
        <v/>
      </c>
      <c r="D101" s="99" t="str">
        <f>IF(UPPER(TRIM(N11))="X",C101,B101)</f>
        <v/>
      </c>
      <c r="E101" s="99" cm="1">
        <f t="array" ref="E101">IF(H100&lt;&gt;"",E100,IF(E100="","",IFERROR(MATCH(TRUE(),INDEX(INDEX(K:K,E100+1):K203&lt;&gt;"",0),0)+E100,"")))</f>
        <v>242</v>
      </c>
      <c r="F101" s="99" cm="1">
        <f t="array" ref="F101">IF(E101="","",IF(H100&lt;&gt;"",H100,INDEX(D:D,E101)))</f>
        <v>0</v>
      </c>
      <c r="G101" s="99" t="str">
        <f t="shared" si="11"/>
        <v>0</v>
      </c>
      <c r="H101" s="109" t="str">
        <f t="shared" si="12"/>
        <v/>
      </c>
      <c r="I101" s="114" t="str">
        <f>IF(AND(F101&lt;&gt;"",N10&gt;0,M101&gt;N10),"Mot &gt; limite","")</f>
        <v/>
      </c>
      <c r="J101" s="110" t="str">
        <f>IF(K101="","",COUNTIF(K18:K101,"&lt;&gt;"))</f>
        <v/>
      </c>
      <c r="K101" s="111"/>
      <c r="L101" s="110" t="str">
        <f t="shared" si="13"/>
        <v/>
      </c>
      <c r="M101" s="80">
        <f>IF(OR(F101="",N10="",N10&lt;=0),"",IF(LEN(F101)&lt;=N10,LEN(F101),IFERROR(FIND("♦",SUBSTITUTE(LEFT(F101,N10)," ","♦",LEN(LEFT(F101,N10))-LEN(SUBSTITUTE(LEFT(F101,N10)," ","")))),FIND(" ",F101&amp;" ",N10+1)-1)))</f>
        <v>1</v>
      </c>
      <c r="N101" s="112">
        <f t="shared" si="14"/>
        <v>84</v>
      </c>
      <c r="O101" s="113" t="str">
        <f t="shared" si="15"/>
        <v>0</v>
      </c>
      <c r="P101" s="112">
        <f t="shared" si="16"/>
        <v>1</v>
      </c>
      <c r="Q101" s="112">
        <f t="shared" si="17"/>
        <v>1</v>
      </c>
      <c r="S101" s="3">
        <v>1</v>
      </c>
    </row>
    <row r="102" spans="2:19" ht="30" customHeight="1">
      <c r="B102" s="99" t="str">
        <f t="shared" si="9"/>
        <v/>
      </c>
      <c r="C102" s="99" t="str">
        <f t="shared" si="10"/>
        <v/>
      </c>
      <c r="D102" s="99" t="str">
        <f>IF(UPPER(TRIM(N11))="X",C102,B102)</f>
        <v/>
      </c>
      <c r="E102" s="99" cm="1">
        <f t="array" ref="E102">IF(H101&lt;&gt;"",E101,IF(E101="","",IFERROR(MATCH(TRUE(),INDEX(INDEX(K:K,E101+1):K203&lt;&gt;"",0),0)+E101,"")))</f>
        <v>243</v>
      </c>
      <c r="F102" s="99" cm="1">
        <f t="array" ref="F102">IF(E102="","",IF(H101&lt;&gt;"",H101,INDEX(D:D,E102)))</f>
        <v>0</v>
      </c>
      <c r="G102" s="99" t="str">
        <f t="shared" si="11"/>
        <v>0</v>
      </c>
      <c r="H102" s="109" t="str">
        <f t="shared" si="12"/>
        <v/>
      </c>
      <c r="I102" s="114" t="str">
        <f>IF(AND(F102&lt;&gt;"",N10&gt;0,M102&gt;N10),"Mot &gt; limite","")</f>
        <v/>
      </c>
      <c r="J102" s="110" t="str">
        <f>IF(K102="","",COUNTIF(K18:K102,"&lt;&gt;"))</f>
        <v/>
      </c>
      <c r="K102" s="111"/>
      <c r="L102" s="110" t="str">
        <f t="shared" si="13"/>
        <v/>
      </c>
      <c r="M102" s="80">
        <f>IF(OR(F102="",N10="",N10&lt;=0),"",IF(LEN(F102)&lt;=N10,LEN(F102),IFERROR(FIND("♦",SUBSTITUTE(LEFT(F102,N10)," ","♦",LEN(LEFT(F102,N10))-LEN(SUBSTITUTE(LEFT(F102,N10)," ","")))),FIND(" ",F102&amp;" ",N10+1)-1)))</f>
        <v>1</v>
      </c>
      <c r="N102" s="112">
        <f t="shared" si="14"/>
        <v>85</v>
      </c>
      <c r="O102" s="113" t="str">
        <f t="shared" si="15"/>
        <v>0</v>
      </c>
      <c r="P102" s="112">
        <f t="shared" si="16"/>
        <v>1</v>
      </c>
      <c r="Q102" s="112">
        <f t="shared" si="17"/>
        <v>1</v>
      </c>
      <c r="S102" s="3">
        <v>1</v>
      </c>
    </row>
    <row r="103" spans="2:19" ht="30" customHeight="1">
      <c r="B103" s="99" t="str">
        <f t="shared" si="9"/>
        <v/>
      </c>
      <c r="C103" s="99" t="str">
        <f t="shared" si="10"/>
        <v/>
      </c>
      <c r="D103" s="99" t="str">
        <f>IF(UPPER(TRIM(N11))="X",C103,B103)</f>
        <v/>
      </c>
      <c r="E103" s="99" cm="1">
        <f t="array" ref="E103">IF(H102&lt;&gt;"",E102,IF(E102="","",IFERROR(MATCH(TRUE(),INDEX(INDEX(K:K,E102+1):K203&lt;&gt;"",0),0)+E102,"")))</f>
        <v>244</v>
      </c>
      <c r="F103" s="99" cm="1">
        <f t="array" ref="F103">IF(E103="","",IF(H102&lt;&gt;"",H102,INDEX(D:D,E103)))</f>
        <v>0</v>
      </c>
      <c r="G103" s="99" t="str">
        <f t="shared" si="11"/>
        <v>0</v>
      </c>
      <c r="H103" s="109" t="str">
        <f t="shared" si="12"/>
        <v/>
      </c>
      <c r="I103" s="114" t="str">
        <f>IF(AND(F103&lt;&gt;"",N10&gt;0,M103&gt;N10),"Mot &gt; limite","")</f>
        <v/>
      </c>
      <c r="J103" s="110" t="str">
        <f>IF(K103="","",COUNTIF(K18:K103,"&lt;&gt;"))</f>
        <v/>
      </c>
      <c r="K103" s="111"/>
      <c r="L103" s="110" t="str">
        <f t="shared" si="13"/>
        <v/>
      </c>
      <c r="M103" s="80">
        <f>IF(OR(F103="",N10="",N10&lt;=0),"",IF(LEN(F103)&lt;=N10,LEN(F103),IFERROR(FIND("♦",SUBSTITUTE(LEFT(F103,N10)," ","♦",LEN(LEFT(F103,N10))-LEN(SUBSTITUTE(LEFT(F103,N10)," ","")))),FIND(" ",F103&amp;" ",N10+1)-1)))</f>
        <v>1</v>
      </c>
      <c r="N103" s="112">
        <f t="shared" si="14"/>
        <v>86</v>
      </c>
      <c r="O103" s="113" t="str">
        <f t="shared" si="15"/>
        <v>0</v>
      </c>
      <c r="P103" s="112">
        <f t="shared" si="16"/>
        <v>1</v>
      </c>
      <c r="Q103" s="112">
        <f t="shared" si="17"/>
        <v>1</v>
      </c>
      <c r="S103" s="3">
        <v>1</v>
      </c>
    </row>
    <row r="104" spans="2:19" ht="30" customHeight="1">
      <c r="B104" s="99" t="str">
        <f t="shared" si="9"/>
        <v/>
      </c>
      <c r="C104" s="99" t="str">
        <f t="shared" si="10"/>
        <v/>
      </c>
      <c r="D104" s="99" t="str">
        <f>IF(UPPER(TRIM(N11))="X",C104,B104)</f>
        <v/>
      </c>
      <c r="E104" s="99" cm="1">
        <f t="array" ref="E104">IF(H103&lt;&gt;"",E103,IF(E103="","",IFERROR(MATCH(TRUE(),INDEX(INDEX(K:K,E103+1):K203&lt;&gt;"",0),0)+E103,"")))</f>
        <v>245</v>
      </c>
      <c r="F104" s="99" cm="1">
        <f t="array" ref="F104">IF(E104="","",IF(H103&lt;&gt;"",H103,INDEX(D:D,E104)))</f>
        <v>0</v>
      </c>
      <c r="G104" s="99" t="str">
        <f t="shared" si="11"/>
        <v>0</v>
      </c>
      <c r="H104" s="109" t="str">
        <f t="shared" si="12"/>
        <v/>
      </c>
      <c r="I104" s="114" t="str">
        <f>IF(AND(F104&lt;&gt;"",N10&gt;0,M104&gt;N10),"Mot &gt; limite","")</f>
        <v/>
      </c>
      <c r="J104" s="110" t="str">
        <f>IF(K104="","",COUNTIF(K18:K104,"&lt;&gt;"))</f>
        <v/>
      </c>
      <c r="K104" s="111"/>
      <c r="L104" s="110" t="str">
        <f t="shared" si="13"/>
        <v/>
      </c>
      <c r="M104" s="80">
        <f>IF(OR(F104="",N10="",N10&lt;=0),"",IF(LEN(F104)&lt;=N10,LEN(F104),IFERROR(FIND("♦",SUBSTITUTE(LEFT(F104,N10)," ","♦",LEN(LEFT(F104,N10))-LEN(SUBSTITUTE(LEFT(F104,N10)," ","")))),FIND(" ",F104&amp;" ",N10+1)-1)))</f>
        <v>1</v>
      </c>
      <c r="N104" s="112">
        <f t="shared" si="14"/>
        <v>87</v>
      </c>
      <c r="O104" s="113" t="str">
        <f t="shared" si="15"/>
        <v>0</v>
      </c>
      <c r="P104" s="112">
        <f t="shared" si="16"/>
        <v>1</v>
      </c>
      <c r="Q104" s="112">
        <f t="shared" si="17"/>
        <v>1</v>
      </c>
      <c r="S104" s="3">
        <v>1</v>
      </c>
    </row>
    <row r="105" spans="2:19" ht="30" customHeight="1">
      <c r="B105" s="99" t="str">
        <f t="shared" si="9"/>
        <v/>
      </c>
      <c r="C105" s="99" t="str">
        <f t="shared" si="10"/>
        <v/>
      </c>
      <c r="D105" s="99" t="str">
        <f>IF(UPPER(TRIM(N11))="X",C105,B105)</f>
        <v/>
      </c>
      <c r="E105" s="99" cm="1">
        <f t="array" ref="E105">IF(H104&lt;&gt;"",E104,IF(E104="","",IFERROR(MATCH(TRUE(),INDEX(INDEX(K:K,E104+1):K203&lt;&gt;"",0),0)+E104,"")))</f>
        <v>246</v>
      </c>
      <c r="F105" s="99" cm="1">
        <f t="array" ref="F105">IF(E105="","",IF(H104&lt;&gt;"",H104,INDEX(D:D,E105)))</f>
        <v>0</v>
      </c>
      <c r="G105" s="99" t="str">
        <f t="shared" si="11"/>
        <v>0</v>
      </c>
      <c r="H105" s="109" t="str">
        <f t="shared" si="12"/>
        <v/>
      </c>
      <c r="I105" s="114" t="str">
        <f>IF(AND(F105&lt;&gt;"",N10&gt;0,M105&gt;N10),"Mot &gt; limite","")</f>
        <v/>
      </c>
      <c r="J105" s="110" t="str">
        <f>IF(K105="","",COUNTIF(K18:K105,"&lt;&gt;"))</f>
        <v/>
      </c>
      <c r="K105" s="111"/>
      <c r="L105" s="110" t="str">
        <f t="shared" si="13"/>
        <v/>
      </c>
      <c r="M105" s="80">
        <f>IF(OR(F105="",N10="",N10&lt;=0),"",IF(LEN(F105)&lt;=N10,LEN(F105),IFERROR(FIND("♦",SUBSTITUTE(LEFT(F105,N10)," ","♦",LEN(LEFT(F105,N10))-LEN(SUBSTITUTE(LEFT(F105,N10)," ","")))),FIND(" ",F105&amp;" ",N10+1)-1)))</f>
        <v>1</v>
      </c>
      <c r="N105" s="112">
        <f t="shared" si="14"/>
        <v>88</v>
      </c>
      <c r="O105" s="113" t="str">
        <f t="shared" si="15"/>
        <v>0</v>
      </c>
      <c r="P105" s="112">
        <f t="shared" si="16"/>
        <v>1</v>
      </c>
      <c r="Q105" s="112">
        <f t="shared" si="17"/>
        <v>1</v>
      </c>
      <c r="S105" s="3">
        <v>1</v>
      </c>
    </row>
    <row r="106" spans="2:19" ht="30" customHeight="1">
      <c r="B106" s="99" t="str">
        <f t="shared" si="9"/>
        <v/>
      </c>
      <c r="C106" s="99" t="str">
        <f t="shared" si="10"/>
        <v/>
      </c>
      <c r="D106" s="99" t="str">
        <f>IF(UPPER(TRIM(N11))="X",C106,B106)</f>
        <v/>
      </c>
      <c r="E106" s="99" cm="1">
        <f t="array" ref="E106">IF(H105&lt;&gt;"",E105,IF(E105="","",IFERROR(MATCH(TRUE(),INDEX(INDEX(K:K,E105+1):K203&lt;&gt;"",0),0)+E105,"")))</f>
        <v>247</v>
      </c>
      <c r="F106" s="99" cm="1">
        <f t="array" ref="F106">IF(E106="","",IF(H105&lt;&gt;"",H105,INDEX(D:D,E106)))</f>
        <v>0</v>
      </c>
      <c r="G106" s="99" t="str">
        <f t="shared" si="11"/>
        <v>0</v>
      </c>
      <c r="H106" s="109" t="str">
        <f t="shared" si="12"/>
        <v/>
      </c>
      <c r="I106" s="114" t="str">
        <f>IF(AND(F106&lt;&gt;"",N10&gt;0,M106&gt;N10),"Mot &gt; limite","")</f>
        <v/>
      </c>
      <c r="J106" s="110" t="str">
        <f>IF(K106="","",COUNTIF(K18:K106,"&lt;&gt;"))</f>
        <v/>
      </c>
      <c r="K106" s="111"/>
      <c r="L106" s="110" t="str">
        <f t="shared" si="13"/>
        <v/>
      </c>
      <c r="M106" s="80">
        <f>IF(OR(F106="",N10="",N10&lt;=0),"",IF(LEN(F106)&lt;=N10,LEN(F106),IFERROR(FIND("♦",SUBSTITUTE(LEFT(F106,N10)," ","♦",LEN(LEFT(F106,N10))-LEN(SUBSTITUTE(LEFT(F106,N10)," ","")))),FIND(" ",F106&amp;" ",N10+1)-1)))</f>
        <v>1</v>
      </c>
      <c r="N106" s="112">
        <f t="shared" si="14"/>
        <v>89</v>
      </c>
      <c r="O106" s="113" t="str">
        <f t="shared" si="15"/>
        <v>0</v>
      </c>
      <c r="P106" s="112">
        <f t="shared" si="16"/>
        <v>1</v>
      </c>
      <c r="Q106" s="112">
        <f t="shared" si="17"/>
        <v>1</v>
      </c>
      <c r="S106" s="3">
        <v>1</v>
      </c>
    </row>
    <row r="107" spans="2:19" ht="30" customHeight="1">
      <c r="B107" s="99" t="str">
        <f t="shared" si="9"/>
        <v/>
      </c>
      <c r="C107" s="99" t="str">
        <f t="shared" si="10"/>
        <v/>
      </c>
      <c r="D107" s="99" t="str">
        <f>IF(UPPER(TRIM(N11))="X",C107,B107)</f>
        <v/>
      </c>
      <c r="E107" s="99" cm="1">
        <f t="array" ref="E107">IF(H106&lt;&gt;"",E106,IF(E106="","",IFERROR(MATCH(TRUE(),INDEX(INDEX(K:K,E106+1):K203&lt;&gt;"",0),0)+E106,"")))</f>
        <v>248</v>
      </c>
      <c r="F107" s="99" cm="1">
        <f t="array" ref="F107">IF(E107="","",IF(H106&lt;&gt;"",H106,INDEX(D:D,E107)))</f>
        <v>0</v>
      </c>
      <c r="G107" s="99" t="str">
        <f t="shared" si="11"/>
        <v>0</v>
      </c>
      <c r="H107" s="109" t="str">
        <f t="shared" si="12"/>
        <v/>
      </c>
      <c r="I107" s="114" t="str">
        <f>IF(AND(F107&lt;&gt;"",N10&gt;0,M107&gt;N10),"Mot &gt; limite","")</f>
        <v/>
      </c>
      <c r="J107" s="110" t="str">
        <f>IF(K107="","",COUNTIF(K18:K107,"&lt;&gt;"))</f>
        <v/>
      </c>
      <c r="K107" s="111"/>
      <c r="L107" s="110" t="str">
        <f t="shared" si="13"/>
        <v/>
      </c>
      <c r="M107" s="80">
        <f>IF(OR(F107="",N10="",N10&lt;=0),"",IF(LEN(F107)&lt;=N10,LEN(F107),IFERROR(FIND("♦",SUBSTITUTE(LEFT(F107,N10)," ","♦",LEN(LEFT(F107,N10))-LEN(SUBSTITUTE(LEFT(F107,N10)," ","")))),FIND(" ",F107&amp;" ",N10+1)-1)))</f>
        <v>1</v>
      </c>
      <c r="N107" s="112">
        <f t="shared" si="14"/>
        <v>90</v>
      </c>
      <c r="O107" s="113" t="str">
        <f t="shared" si="15"/>
        <v>0</v>
      </c>
      <c r="P107" s="112">
        <f t="shared" si="16"/>
        <v>1</v>
      </c>
      <c r="Q107" s="112">
        <f t="shared" si="17"/>
        <v>1</v>
      </c>
      <c r="S107" s="3">
        <v>1</v>
      </c>
    </row>
    <row r="108" spans="2:19" ht="30" customHeight="1">
      <c r="B108" s="99" t="str">
        <f t="shared" si="9"/>
        <v/>
      </c>
      <c r="C108" s="99" t="str">
        <f t="shared" si="10"/>
        <v/>
      </c>
      <c r="D108" s="99" t="str">
        <f>IF(UPPER(TRIM(N11))="X",C108,B108)</f>
        <v/>
      </c>
      <c r="E108" s="99" cm="1">
        <f t="array" ref="E108">IF(H107&lt;&gt;"",E107,IF(E107="","",IFERROR(MATCH(TRUE(),INDEX(INDEX(K:K,E107+1):K203&lt;&gt;"",0),0)+E107,"")))</f>
        <v>249</v>
      </c>
      <c r="F108" s="99" cm="1">
        <f t="array" ref="F108">IF(E108="","",IF(H107&lt;&gt;"",H107,INDEX(D:D,E108)))</f>
        <v>0</v>
      </c>
      <c r="G108" s="99" t="str">
        <f t="shared" si="11"/>
        <v>0</v>
      </c>
      <c r="H108" s="109" t="str">
        <f t="shared" si="12"/>
        <v/>
      </c>
      <c r="I108" s="114" t="str">
        <f>IF(AND(F108&lt;&gt;"",N10&gt;0,M108&gt;N10),"Mot &gt; limite","")</f>
        <v/>
      </c>
      <c r="J108" s="110" t="str">
        <f>IF(K108="","",COUNTIF(K18:K108,"&lt;&gt;"))</f>
        <v/>
      </c>
      <c r="K108" s="111"/>
      <c r="L108" s="110" t="str">
        <f t="shared" si="13"/>
        <v/>
      </c>
      <c r="M108" s="80">
        <f>IF(OR(F108="",N10="",N10&lt;=0),"",IF(LEN(F108)&lt;=N10,LEN(F108),IFERROR(FIND("♦",SUBSTITUTE(LEFT(F108,N10)," ","♦",LEN(LEFT(F108,N10))-LEN(SUBSTITUTE(LEFT(F108,N10)," ","")))),FIND(" ",F108&amp;" ",N10+1)-1)))</f>
        <v>1</v>
      </c>
      <c r="N108" s="112">
        <f t="shared" si="14"/>
        <v>91</v>
      </c>
      <c r="O108" s="113" t="str">
        <f t="shared" si="15"/>
        <v>0</v>
      </c>
      <c r="P108" s="112">
        <f t="shared" si="16"/>
        <v>1</v>
      </c>
      <c r="Q108" s="112">
        <f t="shared" si="17"/>
        <v>1</v>
      </c>
      <c r="S108" s="3">
        <v>1</v>
      </c>
    </row>
    <row r="109" spans="2:19" ht="30" customHeight="1">
      <c r="B109" s="99" t="str">
        <f t="shared" si="9"/>
        <v/>
      </c>
      <c r="C109" s="99" t="str">
        <f t="shared" si="10"/>
        <v/>
      </c>
      <c r="D109" s="99" t="str">
        <f>IF(UPPER(TRIM(N11))="X",C109,B109)</f>
        <v/>
      </c>
      <c r="E109" s="99" cm="1">
        <f t="array" ref="E109">IF(H108&lt;&gt;"",E108,IF(E108="","",IFERROR(MATCH(TRUE(),INDEX(INDEX(K:K,E108+1):K203&lt;&gt;"",0),0)+E108,"")))</f>
        <v>250</v>
      </c>
      <c r="F109" s="99" cm="1">
        <f t="array" ref="F109">IF(E109="","",IF(H108&lt;&gt;"",H108,INDEX(D:D,E109)))</f>
        <v>0</v>
      </c>
      <c r="G109" s="99" t="str">
        <f t="shared" si="11"/>
        <v>0</v>
      </c>
      <c r="H109" s="109" t="str">
        <f t="shared" si="12"/>
        <v/>
      </c>
      <c r="I109" s="114" t="str">
        <f>IF(AND(F109&lt;&gt;"",N10&gt;0,M109&gt;N10),"Mot &gt; limite","")</f>
        <v/>
      </c>
      <c r="J109" s="110" t="str">
        <f>IF(K109="","",COUNTIF(K18:K109,"&lt;&gt;"))</f>
        <v/>
      </c>
      <c r="K109" s="111"/>
      <c r="L109" s="110" t="str">
        <f t="shared" si="13"/>
        <v/>
      </c>
      <c r="M109" s="80">
        <f>IF(OR(F109="",N10="",N10&lt;=0),"",IF(LEN(F109)&lt;=N10,LEN(F109),IFERROR(FIND("♦",SUBSTITUTE(LEFT(F109,N10)," ","♦",LEN(LEFT(F109,N10))-LEN(SUBSTITUTE(LEFT(F109,N10)," ","")))),FIND(" ",F109&amp;" ",N10+1)-1)))</f>
        <v>1</v>
      </c>
      <c r="N109" s="112">
        <f t="shared" si="14"/>
        <v>92</v>
      </c>
      <c r="O109" s="113" t="str">
        <f t="shared" si="15"/>
        <v>0</v>
      </c>
      <c r="P109" s="112">
        <f t="shared" si="16"/>
        <v>1</v>
      </c>
      <c r="Q109" s="112">
        <f t="shared" si="17"/>
        <v>1</v>
      </c>
      <c r="S109" s="3">
        <v>1</v>
      </c>
    </row>
    <row r="110" spans="2:19" ht="30" customHeight="1">
      <c r="B110" s="99" t="str">
        <f t="shared" si="9"/>
        <v/>
      </c>
      <c r="C110" s="99" t="str">
        <f t="shared" si="10"/>
        <v/>
      </c>
      <c r="D110" s="99" t="str">
        <f>IF(UPPER(TRIM(N11))="X",C110,B110)</f>
        <v/>
      </c>
      <c r="E110" s="99" cm="1">
        <f t="array" ref="E110">IF(H109&lt;&gt;"",E109,IF(E109="","",IFERROR(MATCH(TRUE(),INDEX(INDEX(K:K,E109+1):K203&lt;&gt;"",0),0)+E109,"")))</f>
        <v>251</v>
      </c>
      <c r="F110" s="99" cm="1">
        <f t="array" ref="F110">IF(E110="","",IF(H109&lt;&gt;"",H109,INDEX(D:D,E110)))</f>
        <v>0</v>
      </c>
      <c r="G110" s="99" t="str">
        <f t="shared" si="11"/>
        <v>0</v>
      </c>
      <c r="H110" s="109" t="str">
        <f t="shared" si="12"/>
        <v/>
      </c>
      <c r="I110" s="114" t="str">
        <f>IF(AND(F110&lt;&gt;"",N10&gt;0,M110&gt;N10),"Mot &gt; limite","")</f>
        <v/>
      </c>
      <c r="J110" s="110" t="str">
        <f>IF(K110="","",COUNTIF(K18:K110,"&lt;&gt;"))</f>
        <v/>
      </c>
      <c r="K110" s="111"/>
      <c r="L110" s="110" t="str">
        <f t="shared" si="13"/>
        <v/>
      </c>
      <c r="M110" s="80">
        <f>IF(OR(F110="",N10="",N10&lt;=0),"",IF(LEN(F110)&lt;=N10,LEN(F110),IFERROR(FIND("♦",SUBSTITUTE(LEFT(F110,N10)," ","♦",LEN(LEFT(F110,N10))-LEN(SUBSTITUTE(LEFT(F110,N10)," ","")))),FIND(" ",F110&amp;" ",N10+1)-1)))</f>
        <v>1</v>
      </c>
      <c r="N110" s="112">
        <f t="shared" si="14"/>
        <v>93</v>
      </c>
      <c r="O110" s="113" t="str">
        <f t="shared" si="15"/>
        <v>0</v>
      </c>
      <c r="P110" s="112">
        <f t="shared" si="16"/>
        <v>1</v>
      </c>
      <c r="Q110" s="112">
        <f t="shared" si="17"/>
        <v>1</v>
      </c>
      <c r="S110" s="3">
        <v>1</v>
      </c>
    </row>
    <row r="111" spans="2:19" ht="30" customHeight="1">
      <c r="B111" s="99" t="str">
        <f t="shared" si="9"/>
        <v/>
      </c>
      <c r="C111" s="99" t="str">
        <f t="shared" si="10"/>
        <v/>
      </c>
      <c r="D111" s="99" t="str">
        <f>IF(UPPER(TRIM(N11))="X",C111,B111)</f>
        <v/>
      </c>
      <c r="E111" s="99" cm="1">
        <f t="array" ref="E111">IF(H110&lt;&gt;"",E110,IF(E110="","",IFERROR(MATCH(TRUE(),INDEX(INDEX(K:K,E110+1):K203&lt;&gt;"",0),0)+E110,"")))</f>
        <v>252</v>
      </c>
      <c r="F111" s="99" cm="1">
        <f t="array" ref="F111">IF(E111="","",IF(H110&lt;&gt;"",H110,INDEX(D:D,E111)))</f>
        <v>0</v>
      </c>
      <c r="G111" s="99" t="str">
        <f t="shared" si="11"/>
        <v>0</v>
      </c>
      <c r="H111" s="109" t="str">
        <f t="shared" si="12"/>
        <v/>
      </c>
      <c r="I111" s="114" t="str">
        <f>IF(AND(F111&lt;&gt;"",N10&gt;0,M111&gt;N10),"Mot &gt; limite","")</f>
        <v/>
      </c>
      <c r="J111" s="110" t="str">
        <f>IF(K111="","",COUNTIF(K18:K111,"&lt;&gt;"))</f>
        <v/>
      </c>
      <c r="K111" s="111"/>
      <c r="L111" s="110" t="str">
        <f t="shared" si="13"/>
        <v/>
      </c>
      <c r="M111" s="80">
        <f>IF(OR(F111="",N10="",N10&lt;=0),"",IF(LEN(F111)&lt;=N10,LEN(F111),IFERROR(FIND("♦",SUBSTITUTE(LEFT(F111,N10)," ","♦",LEN(LEFT(F111,N10))-LEN(SUBSTITUTE(LEFT(F111,N10)," ","")))),FIND(" ",F111&amp;" ",N10+1)-1)))</f>
        <v>1</v>
      </c>
      <c r="N111" s="112">
        <f t="shared" si="14"/>
        <v>94</v>
      </c>
      <c r="O111" s="113" t="str">
        <f t="shared" si="15"/>
        <v>0</v>
      </c>
      <c r="P111" s="112">
        <f t="shared" si="16"/>
        <v>1</v>
      </c>
      <c r="Q111" s="112">
        <f t="shared" si="17"/>
        <v>1</v>
      </c>
      <c r="S111" s="3">
        <v>1</v>
      </c>
    </row>
    <row r="112" spans="2:19" ht="30" customHeight="1">
      <c r="B112" s="99" t="str">
        <f t="shared" si="9"/>
        <v/>
      </c>
      <c r="C112" s="99" t="str">
        <f t="shared" si="10"/>
        <v/>
      </c>
      <c r="D112" s="99" t="str">
        <f>IF(UPPER(TRIM(N11))="X",C112,B112)</f>
        <v/>
      </c>
      <c r="E112" s="99" cm="1">
        <f t="array" ref="E112">IF(H111&lt;&gt;"",E111,IF(E111="","",IFERROR(MATCH(TRUE(),INDEX(INDEX(K:K,E111+1):K203&lt;&gt;"",0),0)+E111,"")))</f>
        <v>253</v>
      </c>
      <c r="F112" s="99" cm="1">
        <f t="array" ref="F112">IF(E112="","",IF(H111&lt;&gt;"",H111,INDEX(D:D,E112)))</f>
        <v>0</v>
      </c>
      <c r="G112" s="99" t="str">
        <f t="shared" si="11"/>
        <v>0</v>
      </c>
      <c r="H112" s="109" t="str">
        <f t="shared" si="12"/>
        <v/>
      </c>
      <c r="I112" s="114" t="str">
        <f>IF(AND(F112&lt;&gt;"",N10&gt;0,M112&gt;N10),"Mot &gt; limite","")</f>
        <v/>
      </c>
      <c r="J112" s="110" t="str">
        <f>IF(K112="","",COUNTIF(K18:K112,"&lt;&gt;"))</f>
        <v/>
      </c>
      <c r="K112" s="111"/>
      <c r="L112" s="110" t="str">
        <f t="shared" si="13"/>
        <v/>
      </c>
      <c r="M112" s="80">
        <f>IF(OR(F112="",N10="",N10&lt;=0),"",IF(LEN(F112)&lt;=N10,LEN(F112),IFERROR(FIND("♦",SUBSTITUTE(LEFT(F112,N10)," ","♦",LEN(LEFT(F112,N10))-LEN(SUBSTITUTE(LEFT(F112,N10)," ","")))),FIND(" ",F112&amp;" ",N10+1)-1)))</f>
        <v>1</v>
      </c>
      <c r="N112" s="112">
        <f t="shared" si="14"/>
        <v>95</v>
      </c>
      <c r="O112" s="113" t="str">
        <f t="shared" si="15"/>
        <v>0</v>
      </c>
      <c r="P112" s="112">
        <f t="shared" si="16"/>
        <v>1</v>
      </c>
      <c r="Q112" s="112">
        <f t="shared" si="17"/>
        <v>1</v>
      </c>
      <c r="S112" s="3">
        <v>1</v>
      </c>
    </row>
    <row r="113" spans="2:19" ht="30" customHeight="1">
      <c r="B113" s="99" t="str">
        <f t="shared" si="9"/>
        <v/>
      </c>
      <c r="C113" s="99" t="str">
        <f t="shared" si="10"/>
        <v/>
      </c>
      <c r="D113" s="99" t="str">
        <f>IF(UPPER(TRIM(N11))="X",C113,B113)</f>
        <v/>
      </c>
      <c r="E113" s="99" cm="1">
        <f t="array" ref="E113">IF(H112&lt;&gt;"",E112,IF(E112="","",IFERROR(MATCH(TRUE(),INDEX(INDEX(K:K,E112+1):K203&lt;&gt;"",0),0)+E112,"")))</f>
        <v>254</v>
      </c>
      <c r="F113" s="99" cm="1">
        <f t="array" ref="F113">IF(E113="","",IF(H112&lt;&gt;"",H112,INDEX(D:D,E113)))</f>
        <v>0</v>
      </c>
      <c r="G113" s="99" t="str">
        <f t="shared" si="11"/>
        <v>0</v>
      </c>
      <c r="H113" s="109" t="str">
        <f t="shared" si="12"/>
        <v/>
      </c>
      <c r="I113" s="114" t="str">
        <f>IF(AND(F113&lt;&gt;"",N10&gt;0,M113&gt;N10),"Mot &gt; limite","")</f>
        <v/>
      </c>
      <c r="J113" s="110" t="str">
        <f>IF(K113="","",COUNTIF(K18:K113,"&lt;&gt;"))</f>
        <v/>
      </c>
      <c r="K113" s="111"/>
      <c r="L113" s="110" t="str">
        <f t="shared" si="13"/>
        <v/>
      </c>
      <c r="M113" s="80">
        <f>IF(OR(F113="",N10="",N10&lt;=0),"",IF(LEN(F113)&lt;=N10,LEN(F113),IFERROR(FIND("♦",SUBSTITUTE(LEFT(F113,N10)," ","♦",LEN(LEFT(F113,N10))-LEN(SUBSTITUTE(LEFT(F113,N10)," ","")))),FIND(" ",F113&amp;" ",N10+1)-1)))</f>
        <v>1</v>
      </c>
      <c r="N113" s="112">
        <f t="shared" si="14"/>
        <v>96</v>
      </c>
      <c r="O113" s="113" t="str">
        <f t="shared" si="15"/>
        <v>0</v>
      </c>
      <c r="P113" s="112">
        <f t="shared" si="16"/>
        <v>1</v>
      </c>
      <c r="Q113" s="112">
        <f t="shared" si="17"/>
        <v>1</v>
      </c>
      <c r="S113" s="3">
        <v>1</v>
      </c>
    </row>
    <row r="114" spans="2:19" ht="30" customHeight="1">
      <c r="B114" s="99" t="str">
        <f t="shared" si="9"/>
        <v/>
      </c>
      <c r="C114" s="99" t="str">
        <f t="shared" si="10"/>
        <v/>
      </c>
      <c r="D114" s="99" t="str">
        <f>IF(UPPER(TRIM(N11))="X",C114,B114)</f>
        <v/>
      </c>
      <c r="E114" s="99" cm="1">
        <f t="array" ref="E114">IF(H113&lt;&gt;"",E113,IF(E113="","",IFERROR(MATCH(TRUE(),INDEX(INDEX(K:K,E113+1):K203&lt;&gt;"",0),0)+E113,"")))</f>
        <v>255</v>
      </c>
      <c r="F114" s="99" cm="1">
        <f t="array" ref="F114">IF(E114="","",IF(H113&lt;&gt;"",H113,INDEX(D:D,E114)))</f>
        <v>0</v>
      </c>
      <c r="G114" s="99" t="str">
        <f t="shared" si="11"/>
        <v>0</v>
      </c>
      <c r="H114" s="109" t="str">
        <f t="shared" si="12"/>
        <v/>
      </c>
      <c r="I114" s="114" t="str">
        <f>IF(AND(F114&lt;&gt;"",N10&gt;0,M114&gt;N10),"Mot &gt; limite","")</f>
        <v/>
      </c>
      <c r="J114" s="110" t="str">
        <f>IF(K114="","",COUNTIF(K18:K114,"&lt;&gt;"))</f>
        <v/>
      </c>
      <c r="K114" s="111"/>
      <c r="L114" s="110" t="str">
        <f t="shared" si="13"/>
        <v/>
      </c>
      <c r="M114" s="80">
        <f>IF(OR(F114="",N10="",N10&lt;=0),"",IF(LEN(F114)&lt;=N10,LEN(F114),IFERROR(FIND("♦",SUBSTITUTE(LEFT(F114,N10)," ","♦",LEN(LEFT(F114,N10))-LEN(SUBSTITUTE(LEFT(F114,N10)," ","")))),FIND(" ",F114&amp;" ",N10+1)-1)))</f>
        <v>1</v>
      </c>
      <c r="N114" s="112">
        <f t="shared" si="14"/>
        <v>97</v>
      </c>
      <c r="O114" s="113" t="str">
        <f t="shared" si="15"/>
        <v>0</v>
      </c>
      <c r="P114" s="112">
        <f t="shared" si="16"/>
        <v>1</v>
      </c>
      <c r="Q114" s="112">
        <f t="shared" si="17"/>
        <v>1</v>
      </c>
      <c r="S114" s="3">
        <v>1</v>
      </c>
    </row>
    <row r="115" spans="2:19" ht="30" customHeight="1">
      <c r="B115" s="99" t="str">
        <f t="shared" si="9"/>
        <v/>
      </c>
      <c r="C115" s="99" t="str">
        <f t="shared" si="10"/>
        <v/>
      </c>
      <c r="D115" s="99" t="str">
        <f>IF(UPPER(TRIM(N11))="X",C115,B115)</f>
        <v/>
      </c>
      <c r="E115" s="99" cm="1">
        <f t="array" ref="E115">IF(H114&lt;&gt;"",E114,IF(E114="","",IFERROR(MATCH(TRUE(),INDEX(INDEX(K:K,E114+1):K203&lt;&gt;"",0),0)+E114,"")))</f>
        <v>256</v>
      </c>
      <c r="F115" s="99" cm="1">
        <f t="array" ref="F115">IF(E115="","",IF(H114&lt;&gt;"",H114,INDEX(D:D,E115)))</f>
        <v>0</v>
      </c>
      <c r="G115" s="99" t="str">
        <f t="shared" si="11"/>
        <v>0</v>
      </c>
      <c r="H115" s="109" t="str">
        <f t="shared" si="12"/>
        <v/>
      </c>
      <c r="I115" s="114" t="str">
        <f>IF(AND(F115&lt;&gt;"",N10&gt;0,M115&gt;N10),"Mot &gt; limite","")</f>
        <v/>
      </c>
      <c r="J115" s="110" t="str">
        <f>IF(K115="","",COUNTIF(K18:K115,"&lt;&gt;"))</f>
        <v/>
      </c>
      <c r="K115" s="111"/>
      <c r="L115" s="110" t="str">
        <f t="shared" si="13"/>
        <v/>
      </c>
      <c r="M115" s="80">
        <f>IF(OR(F115="",N10="",N10&lt;=0),"",IF(LEN(F115)&lt;=N10,LEN(F115),IFERROR(FIND("♦",SUBSTITUTE(LEFT(F115,N10)," ","♦",LEN(LEFT(F115,N10))-LEN(SUBSTITUTE(LEFT(F115,N10)," ","")))),FIND(" ",F115&amp;" ",N10+1)-1)))</f>
        <v>1</v>
      </c>
      <c r="N115" s="112">
        <f t="shared" si="14"/>
        <v>98</v>
      </c>
      <c r="O115" s="113" t="str">
        <f t="shared" si="15"/>
        <v>0</v>
      </c>
      <c r="P115" s="112">
        <f t="shared" si="16"/>
        <v>1</v>
      </c>
      <c r="Q115" s="112">
        <f t="shared" si="17"/>
        <v>1</v>
      </c>
      <c r="S115" s="3">
        <v>1</v>
      </c>
    </row>
    <row r="116" spans="2:19" ht="30" customHeight="1">
      <c r="B116" s="99" t="str">
        <f t="shared" si="9"/>
        <v/>
      </c>
      <c r="C116" s="99" t="str">
        <f t="shared" si="10"/>
        <v/>
      </c>
      <c r="D116" s="99" t="str">
        <f>IF(UPPER(TRIM(N11))="X",C116,B116)</f>
        <v/>
      </c>
      <c r="E116" s="99" cm="1">
        <f t="array" ref="E116">IF(H115&lt;&gt;"",E115,IF(E115="","",IFERROR(MATCH(TRUE(),INDEX(INDEX(K:K,E115+1):K203&lt;&gt;"",0),0)+E115,"")))</f>
        <v>257</v>
      </c>
      <c r="F116" s="99" cm="1">
        <f t="array" ref="F116">IF(E116="","",IF(H115&lt;&gt;"",H115,INDEX(D:D,E116)))</f>
        <v>0</v>
      </c>
      <c r="G116" s="99" t="str">
        <f t="shared" si="11"/>
        <v>0</v>
      </c>
      <c r="H116" s="109" t="str">
        <f t="shared" si="12"/>
        <v/>
      </c>
      <c r="I116" s="114" t="str">
        <f>IF(AND(F116&lt;&gt;"",N10&gt;0,M116&gt;N10),"Mot &gt; limite","")</f>
        <v/>
      </c>
      <c r="J116" s="110" t="str">
        <f>IF(K116="","",COUNTIF(K18:K116,"&lt;&gt;"))</f>
        <v/>
      </c>
      <c r="K116" s="111"/>
      <c r="L116" s="110" t="str">
        <f t="shared" si="13"/>
        <v/>
      </c>
      <c r="M116" s="80">
        <f>IF(OR(F116="",N10="",N10&lt;=0),"",IF(LEN(F116)&lt;=N10,LEN(F116),IFERROR(FIND("♦",SUBSTITUTE(LEFT(F116,N10)," ","♦",LEN(LEFT(F116,N10))-LEN(SUBSTITUTE(LEFT(F116,N10)," ","")))),FIND(" ",F116&amp;" ",N10+1)-1)))</f>
        <v>1</v>
      </c>
      <c r="N116" s="112">
        <f t="shared" si="14"/>
        <v>99</v>
      </c>
      <c r="O116" s="113" t="str">
        <f t="shared" si="15"/>
        <v>0</v>
      </c>
      <c r="P116" s="112">
        <f t="shared" si="16"/>
        <v>1</v>
      </c>
      <c r="Q116" s="112">
        <f t="shared" si="17"/>
        <v>1</v>
      </c>
      <c r="S116" s="3">
        <v>1</v>
      </c>
    </row>
    <row r="117" spans="2:19" ht="30" customHeight="1">
      <c r="B117" s="99" t="str">
        <f t="shared" si="9"/>
        <v/>
      </c>
      <c r="C117" s="99" t="str">
        <f t="shared" si="10"/>
        <v/>
      </c>
      <c r="D117" s="99" t="str">
        <f>IF(UPPER(TRIM(N11))="X",C117,B117)</f>
        <v/>
      </c>
      <c r="E117" s="99" cm="1">
        <f t="array" ref="E117">IF(H116&lt;&gt;"",E116,IF(E116="","",IFERROR(MATCH(TRUE(),INDEX(INDEX(K:K,E116+1):K203&lt;&gt;"",0),0)+E116,"")))</f>
        <v>258</v>
      </c>
      <c r="F117" s="99" cm="1">
        <f t="array" ref="F117">IF(E117="","",IF(H116&lt;&gt;"",H116,INDEX(D:D,E117)))</f>
        <v>0</v>
      </c>
      <c r="G117" s="99" t="str">
        <f t="shared" si="11"/>
        <v>0</v>
      </c>
      <c r="H117" s="109" t="str">
        <f t="shared" si="12"/>
        <v/>
      </c>
      <c r="I117" s="114" t="str">
        <f>IF(AND(F117&lt;&gt;"",N10&gt;0,M117&gt;N10),"Mot &gt; limite","")</f>
        <v/>
      </c>
      <c r="J117" s="110" t="str">
        <f>IF(K117="","",COUNTIF(K18:K117,"&lt;&gt;"))</f>
        <v/>
      </c>
      <c r="K117" s="111"/>
      <c r="L117" s="110" t="str">
        <f t="shared" si="13"/>
        <v/>
      </c>
      <c r="M117" s="80">
        <f>IF(OR(F117="",N10="",N10&lt;=0),"",IF(LEN(F117)&lt;=N10,LEN(F117),IFERROR(FIND("♦",SUBSTITUTE(LEFT(F117,N10)," ","♦",LEN(LEFT(F117,N10))-LEN(SUBSTITUTE(LEFT(F117,N10)," ","")))),FIND(" ",F117&amp;" ",N10+1)-1)))</f>
        <v>1</v>
      </c>
      <c r="N117" s="112">
        <f t="shared" si="14"/>
        <v>100</v>
      </c>
      <c r="O117" s="113" t="str">
        <f t="shared" si="15"/>
        <v>0</v>
      </c>
      <c r="P117" s="112">
        <f t="shared" si="16"/>
        <v>1</v>
      </c>
      <c r="Q117" s="112">
        <f t="shared" si="17"/>
        <v>1</v>
      </c>
      <c r="S117" s="3">
        <v>1</v>
      </c>
    </row>
    <row r="118" spans="2:19" ht="30" customHeight="1">
      <c r="B118" s="99" t="str">
        <f t="shared" si="9"/>
        <v/>
      </c>
      <c r="C118" s="99" t="str">
        <f t="shared" si="10"/>
        <v/>
      </c>
      <c r="D118" s="99" t="str">
        <f>IF(UPPER(TRIM(N11))="X",C118,B118)</f>
        <v/>
      </c>
      <c r="E118" s="99" cm="1">
        <f t="array" ref="E118">IF(H117&lt;&gt;"",E117,IF(E117="","",IFERROR(MATCH(TRUE(),INDEX(INDEX(K:K,E117+1):K203&lt;&gt;"",0),0)+E117,"")))</f>
        <v>259</v>
      </c>
      <c r="F118" s="99" cm="1">
        <f t="array" ref="F118">IF(E118="","",IF(H117&lt;&gt;"",H117,INDEX(D:D,E118)))</f>
        <v>0</v>
      </c>
      <c r="G118" s="99" t="str">
        <f t="shared" si="11"/>
        <v>0</v>
      </c>
      <c r="H118" s="109" t="str">
        <f t="shared" si="12"/>
        <v/>
      </c>
      <c r="I118" s="114" t="str">
        <f>IF(AND(F118&lt;&gt;"",N10&gt;0,M118&gt;N10),"Mot &gt; limite","")</f>
        <v/>
      </c>
      <c r="J118" s="110" t="str">
        <f>IF(K118="","",COUNTIF(K18:K118,"&lt;&gt;"))</f>
        <v/>
      </c>
      <c r="K118" s="111"/>
      <c r="L118" s="110" t="str">
        <f t="shared" si="13"/>
        <v/>
      </c>
      <c r="M118" s="80">
        <f>IF(OR(F118="",N10="",N10&lt;=0),"",IF(LEN(F118)&lt;=N10,LEN(F118),IFERROR(FIND("♦",SUBSTITUTE(LEFT(F118,N10)," ","♦",LEN(LEFT(F118,N10))-LEN(SUBSTITUTE(LEFT(F118,N10)," ","")))),FIND(" ",F118&amp;" ",N10+1)-1)))</f>
        <v>1</v>
      </c>
      <c r="N118" s="112">
        <f t="shared" si="14"/>
        <v>101</v>
      </c>
      <c r="O118" s="113" t="str">
        <f t="shared" si="15"/>
        <v>0</v>
      </c>
      <c r="P118" s="112">
        <f t="shared" si="16"/>
        <v>1</v>
      </c>
      <c r="Q118" s="112">
        <f t="shared" si="17"/>
        <v>1</v>
      </c>
      <c r="S118" s="3">
        <v>1</v>
      </c>
    </row>
    <row r="119" spans="2:19" ht="30" customHeight="1">
      <c r="B119" s="99" t="str">
        <f t="shared" si="9"/>
        <v/>
      </c>
      <c r="C119" s="99" t="str">
        <f t="shared" si="10"/>
        <v/>
      </c>
      <c r="D119" s="99" t="str">
        <f>IF(UPPER(TRIM(N11))="X",C119,B119)</f>
        <v/>
      </c>
      <c r="E119" s="99" cm="1">
        <f t="array" ref="E119">IF(H118&lt;&gt;"",E118,IF(E118="","",IFERROR(MATCH(TRUE(),INDEX(INDEX(K:K,E118+1):K203&lt;&gt;"",0),0)+E118,"")))</f>
        <v>260</v>
      </c>
      <c r="F119" s="99" cm="1">
        <f t="array" ref="F119">IF(E119="","",IF(H118&lt;&gt;"",H118,INDEX(D:D,E119)))</f>
        <v>0</v>
      </c>
      <c r="G119" s="99" t="str">
        <f t="shared" si="11"/>
        <v>0</v>
      </c>
      <c r="H119" s="109" t="str">
        <f t="shared" si="12"/>
        <v/>
      </c>
      <c r="I119" s="114" t="str">
        <f>IF(AND(F119&lt;&gt;"",N10&gt;0,M119&gt;N10),"Mot &gt; limite","")</f>
        <v/>
      </c>
      <c r="J119" s="110" t="str">
        <f>IF(K119="","",COUNTIF(K18:K119,"&lt;&gt;"))</f>
        <v/>
      </c>
      <c r="K119" s="111"/>
      <c r="L119" s="110" t="str">
        <f t="shared" si="13"/>
        <v/>
      </c>
      <c r="M119" s="80">
        <f>IF(OR(F119="",N10="",N10&lt;=0),"",IF(LEN(F119)&lt;=N10,LEN(F119),IFERROR(FIND("♦",SUBSTITUTE(LEFT(F119,N10)," ","♦",LEN(LEFT(F119,N10))-LEN(SUBSTITUTE(LEFT(F119,N10)," ","")))),FIND(" ",F119&amp;" ",N10+1)-1)))</f>
        <v>1</v>
      </c>
      <c r="N119" s="112">
        <f t="shared" si="14"/>
        <v>102</v>
      </c>
      <c r="O119" s="113" t="str">
        <f t="shared" si="15"/>
        <v>0</v>
      </c>
      <c r="P119" s="112">
        <f t="shared" si="16"/>
        <v>1</v>
      </c>
      <c r="Q119" s="112">
        <f t="shared" si="17"/>
        <v>1</v>
      </c>
      <c r="S119" s="3">
        <v>1</v>
      </c>
    </row>
    <row r="120" spans="2:19" ht="30" customHeight="1">
      <c r="B120" s="99" t="str">
        <f t="shared" si="9"/>
        <v/>
      </c>
      <c r="C120" s="99" t="str">
        <f t="shared" si="10"/>
        <v/>
      </c>
      <c r="D120" s="99" t="str">
        <f>IF(UPPER(TRIM(N11))="X",C120,B120)</f>
        <v/>
      </c>
      <c r="E120" s="99" cm="1">
        <f t="array" ref="E120">IF(H119&lt;&gt;"",E119,IF(E119="","",IFERROR(MATCH(TRUE(),INDEX(INDEX(K:K,E119+1):K203&lt;&gt;"",0),0)+E119,"")))</f>
        <v>261</v>
      </c>
      <c r="F120" s="99" cm="1">
        <f t="array" ref="F120">IF(E120="","",IF(H119&lt;&gt;"",H119,INDEX(D:D,E120)))</f>
        <v>0</v>
      </c>
      <c r="G120" s="99" t="str">
        <f t="shared" si="11"/>
        <v>0</v>
      </c>
      <c r="H120" s="109" t="str">
        <f t="shared" si="12"/>
        <v/>
      </c>
      <c r="I120" s="114" t="str">
        <f>IF(AND(F120&lt;&gt;"",N10&gt;0,M120&gt;N10),"Mot &gt; limite","")</f>
        <v/>
      </c>
      <c r="J120" s="110" t="str">
        <f>IF(K120="","",COUNTIF(K18:K120,"&lt;&gt;"))</f>
        <v/>
      </c>
      <c r="K120" s="111"/>
      <c r="L120" s="110" t="str">
        <f t="shared" si="13"/>
        <v/>
      </c>
      <c r="M120" s="80">
        <f>IF(OR(F120="",N10="",N10&lt;=0),"",IF(LEN(F120)&lt;=N10,LEN(F120),IFERROR(FIND("♦",SUBSTITUTE(LEFT(F120,N10)," ","♦",LEN(LEFT(F120,N10))-LEN(SUBSTITUTE(LEFT(F120,N10)," ","")))),FIND(" ",F120&amp;" ",N10+1)-1)))</f>
        <v>1</v>
      </c>
      <c r="N120" s="112">
        <f t="shared" si="14"/>
        <v>103</v>
      </c>
      <c r="O120" s="113" t="str">
        <f t="shared" si="15"/>
        <v>0</v>
      </c>
      <c r="P120" s="112">
        <f t="shared" si="16"/>
        <v>1</v>
      </c>
      <c r="Q120" s="112">
        <f t="shared" si="17"/>
        <v>1</v>
      </c>
      <c r="S120" s="3">
        <v>1</v>
      </c>
    </row>
    <row r="121" spans="2:19" ht="30" customHeight="1">
      <c r="B121" s="99" t="str">
        <f t="shared" si="9"/>
        <v/>
      </c>
      <c r="C121" s="99" t="str">
        <f t="shared" si="10"/>
        <v/>
      </c>
      <c r="D121" s="99" t="str">
        <f>IF(UPPER(TRIM(N11))="X",C121,B121)</f>
        <v/>
      </c>
      <c r="E121" s="99" cm="1">
        <f t="array" ref="E121">IF(H120&lt;&gt;"",E120,IF(E120="","",IFERROR(MATCH(TRUE(),INDEX(INDEX(K:K,E120+1):K203&lt;&gt;"",0),0)+E120,"")))</f>
        <v>262</v>
      </c>
      <c r="F121" s="99" cm="1">
        <f t="array" ref="F121">IF(E121="","",IF(H120&lt;&gt;"",H120,INDEX(D:D,E121)))</f>
        <v>0</v>
      </c>
      <c r="G121" s="99" t="str">
        <f t="shared" si="11"/>
        <v>0</v>
      </c>
      <c r="H121" s="109" t="str">
        <f t="shared" si="12"/>
        <v/>
      </c>
      <c r="I121" s="114" t="str">
        <f>IF(AND(F121&lt;&gt;"",N10&gt;0,M121&gt;N10),"Mot &gt; limite","")</f>
        <v/>
      </c>
      <c r="J121" s="110" t="str">
        <f>IF(K121="","",COUNTIF(K18:K121,"&lt;&gt;"))</f>
        <v/>
      </c>
      <c r="K121" s="111"/>
      <c r="L121" s="110" t="str">
        <f t="shared" si="13"/>
        <v/>
      </c>
      <c r="M121" s="80">
        <f>IF(OR(F121="",N10="",N10&lt;=0),"",IF(LEN(F121)&lt;=N10,LEN(F121),IFERROR(FIND("♦",SUBSTITUTE(LEFT(F121,N10)," ","♦",LEN(LEFT(F121,N10))-LEN(SUBSTITUTE(LEFT(F121,N10)," ","")))),FIND(" ",F121&amp;" ",N10+1)-1)))</f>
        <v>1</v>
      </c>
      <c r="N121" s="112">
        <f t="shared" si="14"/>
        <v>104</v>
      </c>
      <c r="O121" s="113" t="str">
        <f t="shared" si="15"/>
        <v>0</v>
      </c>
      <c r="P121" s="112">
        <f t="shared" si="16"/>
        <v>1</v>
      </c>
      <c r="Q121" s="112">
        <f t="shared" si="17"/>
        <v>1</v>
      </c>
      <c r="S121" s="3">
        <v>1</v>
      </c>
    </row>
    <row r="122" spans="2:19" ht="30" customHeight="1">
      <c r="B122" s="99" t="str">
        <f t="shared" si="9"/>
        <v/>
      </c>
      <c r="C122" s="99" t="str">
        <f t="shared" si="10"/>
        <v/>
      </c>
      <c r="D122" s="99" t="str">
        <f>IF(UPPER(TRIM(N11))="X",C122,B122)</f>
        <v/>
      </c>
      <c r="E122" s="99" cm="1">
        <f t="array" ref="E122">IF(H121&lt;&gt;"",E121,IF(E121="","",IFERROR(MATCH(TRUE(),INDEX(INDEX(K:K,E121+1):K203&lt;&gt;"",0),0)+E121,"")))</f>
        <v>263</v>
      </c>
      <c r="F122" s="99" cm="1">
        <f t="array" ref="F122">IF(E122="","",IF(H121&lt;&gt;"",H121,INDEX(D:D,E122)))</f>
        <v>0</v>
      </c>
      <c r="G122" s="99" t="str">
        <f t="shared" si="11"/>
        <v>0</v>
      </c>
      <c r="H122" s="109" t="str">
        <f t="shared" si="12"/>
        <v/>
      </c>
      <c r="I122" s="114" t="str">
        <f>IF(AND(F122&lt;&gt;"",N10&gt;0,M122&gt;N10),"Mot &gt; limite","")</f>
        <v/>
      </c>
      <c r="J122" s="110" t="str">
        <f>IF(K122="","",COUNTIF(K18:K122,"&lt;&gt;"))</f>
        <v/>
      </c>
      <c r="K122" s="111"/>
      <c r="L122" s="110" t="str">
        <f t="shared" si="13"/>
        <v/>
      </c>
      <c r="M122" s="80">
        <f>IF(OR(F122="",N10="",N10&lt;=0),"",IF(LEN(F122)&lt;=N10,LEN(F122),IFERROR(FIND("♦",SUBSTITUTE(LEFT(F122,N10)," ","♦",LEN(LEFT(F122,N10))-LEN(SUBSTITUTE(LEFT(F122,N10)," ","")))),FIND(" ",F122&amp;" ",N10+1)-1)))</f>
        <v>1</v>
      </c>
      <c r="N122" s="112">
        <f t="shared" si="14"/>
        <v>105</v>
      </c>
      <c r="O122" s="113" t="str">
        <f t="shared" si="15"/>
        <v>0</v>
      </c>
      <c r="P122" s="112">
        <f t="shared" si="16"/>
        <v>1</v>
      </c>
      <c r="Q122" s="112">
        <f t="shared" si="17"/>
        <v>1</v>
      </c>
      <c r="S122" s="3">
        <v>1</v>
      </c>
    </row>
    <row r="123" spans="2:19" ht="30" customHeight="1">
      <c r="B123" s="99" t="str">
        <f t="shared" si="9"/>
        <v/>
      </c>
      <c r="C123" s="99" t="str">
        <f t="shared" si="10"/>
        <v/>
      </c>
      <c r="D123" s="99" t="str">
        <f>IF(UPPER(TRIM(N11))="X",C123,B123)</f>
        <v/>
      </c>
      <c r="E123" s="99" cm="1">
        <f t="array" ref="E123">IF(H122&lt;&gt;"",E122,IF(E122="","",IFERROR(MATCH(TRUE(),INDEX(INDEX(K:K,E122+1):K203&lt;&gt;"",0),0)+E122,"")))</f>
        <v>264</v>
      </c>
      <c r="F123" s="99" cm="1">
        <f t="array" ref="F123">IF(E123="","",IF(H122&lt;&gt;"",H122,INDEX(D:D,E123)))</f>
        <v>0</v>
      </c>
      <c r="G123" s="99" t="str">
        <f t="shared" si="11"/>
        <v>0</v>
      </c>
      <c r="H123" s="109" t="str">
        <f t="shared" si="12"/>
        <v/>
      </c>
      <c r="I123" s="114" t="str">
        <f>IF(AND(F123&lt;&gt;"",N10&gt;0,M123&gt;N10),"Mot &gt; limite","")</f>
        <v/>
      </c>
      <c r="J123" s="110" t="str">
        <f>IF(K123="","",COUNTIF(K18:K123,"&lt;&gt;"))</f>
        <v/>
      </c>
      <c r="K123" s="111"/>
      <c r="L123" s="110" t="str">
        <f t="shared" si="13"/>
        <v/>
      </c>
      <c r="M123" s="80">
        <f>IF(OR(F123="",N10="",N10&lt;=0),"",IF(LEN(F123)&lt;=N10,LEN(F123),IFERROR(FIND("♦",SUBSTITUTE(LEFT(F123,N10)," ","♦",LEN(LEFT(F123,N10))-LEN(SUBSTITUTE(LEFT(F123,N10)," ","")))),FIND(" ",F123&amp;" ",N10+1)-1)))</f>
        <v>1</v>
      </c>
      <c r="N123" s="112">
        <f t="shared" si="14"/>
        <v>106</v>
      </c>
      <c r="O123" s="113" t="str">
        <f t="shared" si="15"/>
        <v>0</v>
      </c>
      <c r="P123" s="112">
        <f t="shared" si="16"/>
        <v>1</v>
      </c>
      <c r="Q123" s="112">
        <f t="shared" si="17"/>
        <v>1</v>
      </c>
      <c r="S123" s="3">
        <v>1</v>
      </c>
    </row>
    <row r="124" spans="2:19" ht="30" customHeight="1">
      <c r="B124" s="99" t="str">
        <f t="shared" si="9"/>
        <v/>
      </c>
      <c r="C124" s="99" t="str">
        <f t="shared" si="10"/>
        <v/>
      </c>
      <c r="D124" s="99" t="str">
        <f>IF(UPPER(TRIM(N11))="X",C124,B124)</f>
        <v/>
      </c>
      <c r="E124" s="99" cm="1">
        <f t="array" ref="E124">IF(H123&lt;&gt;"",E123,IF(E123="","",IFERROR(MATCH(TRUE(),INDEX(INDEX(K:K,E123+1):K203&lt;&gt;"",0),0)+E123,"")))</f>
        <v>265</v>
      </c>
      <c r="F124" s="99" cm="1">
        <f t="array" ref="F124">IF(E124="","",IF(H123&lt;&gt;"",H123,INDEX(D:D,E124)))</f>
        <v>0</v>
      </c>
      <c r="G124" s="99" t="str">
        <f t="shared" si="11"/>
        <v>0</v>
      </c>
      <c r="H124" s="109" t="str">
        <f t="shared" si="12"/>
        <v/>
      </c>
      <c r="I124" s="114" t="str">
        <f>IF(AND(F124&lt;&gt;"",N10&gt;0,M124&gt;N10),"Mot &gt; limite","")</f>
        <v/>
      </c>
      <c r="J124" s="110" t="str">
        <f>IF(K124="","",COUNTIF(K18:K124,"&lt;&gt;"))</f>
        <v/>
      </c>
      <c r="K124" s="111"/>
      <c r="L124" s="110" t="str">
        <f t="shared" si="13"/>
        <v/>
      </c>
      <c r="M124" s="80">
        <f>IF(OR(F124="",N10="",N10&lt;=0),"",IF(LEN(F124)&lt;=N10,LEN(F124),IFERROR(FIND("♦",SUBSTITUTE(LEFT(F124,N10)," ","♦",LEN(LEFT(F124,N10))-LEN(SUBSTITUTE(LEFT(F124,N10)," ","")))),FIND(" ",F124&amp;" ",N10+1)-1)))</f>
        <v>1</v>
      </c>
      <c r="N124" s="112">
        <f t="shared" si="14"/>
        <v>107</v>
      </c>
      <c r="O124" s="113" t="str">
        <f t="shared" si="15"/>
        <v>0</v>
      </c>
      <c r="P124" s="112">
        <f t="shared" si="16"/>
        <v>1</v>
      </c>
      <c r="Q124" s="112">
        <f t="shared" si="17"/>
        <v>1</v>
      </c>
      <c r="S124" s="3">
        <v>1</v>
      </c>
    </row>
    <row r="125" spans="2:19" ht="30" customHeight="1">
      <c r="B125" s="99" t="str">
        <f t="shared" si="9"/>
        <v/>
      </c>
      <c r="C125" s="99" t="str">
        <f t="shared" si="10"/>
        <v/>
      </c>
      <c r="D125" s="99" t="str">
        <f>IF(UPPER(TRIM(N11))="X",C125,B125)</f>
        <v/>
      </c>
      <c r="E125" s="99" cm="1">
        <f t="array" ref="E125">IF(H124&lt;&gt;"",E124,IF(E124="","",IFERROR(MATCH(TRUE(),INDEX(INDEX(K:K,E124+1):K203&lt;&gt;"",0),0)+E124,"")))</f>
        <v>266</v>
      </c>
      <c r="F125" s="99" cm="1">
        <f t="array" ref="F125">IF(E125="","",IF(H124&lt;&gt;"",H124,INDEX(D:D,E125)))</f>
        <v>0</v>
      </c>
      <c r="G125" s="99" t="str">
        <f t="shared" si="11"/>
        <v>0</v>
      </c>
      <c r="H125" s="109" t="str">
        <f t="shared" si="12"/>
        <v/>
      </c>
      <c r="I125" s="114" t="str">
        <f>IF(AND(F125&lt;&gt;"",N10&gt;0,M125&gt;N10),"Mot &gt; limite","")</f>
        <v/>
      </c>
      <c r="J125" s="110" t="str">
        <f>IF(K125="","",COUNTIF(K18:K125,"&lt;&gt;"))</f>
        <v/>
      </c>
      <c r="K125" s="111"/>
      <c r="L125" s="110" t="str">
        <f t="shared" si="13"/>
        <v/>
      </c>
      <c r="M125" s="80">
        <f>IF(OR(F125="",N10="",N10&lt;=0),"",IF(LEN(F125)&lt;=N10,LEN(F125),IFERROR(FIND("♦",SUBSTITUTE(LEFT(F125,N10)," ","♦",LEN(LEFT(F125,N10))-LEN(SUBSTITUTE(LEFT(F125,N10)," ","")))),FIND(" ",F125&amp;" ",N10+1)-1)))</f>
        <v>1</v>
      </c>
      <c r="N125" s="112">
        <f t="shared" si="14"/>
        <v>108</v>
      </c>
      <c r="O125" s="113" t="str">
        <f t="shared" si="15"/>
        <v>0</v>
      </c>
      <c r="P125" s="112">
        <f t="shared" si="16"/>
        <v>1</v>
      </c>
      <c r="Q125" s="112">
        <f t="shared" si="17"/>
        <v>1</v>
      </c>
      <c r="S125" s="3">
        <v>1</v>
      </c>
    </row>
    <row r="126" spans="2:19" ht="30" customHeight="1">
      <c r="B126" s="99" t="str">
        <f t="shared" si="9"/>
        <v/>
      </c>
      <c r="C126" s="99" t="str">
        <f t="shared" si="10"/>
        <v/>
      </c>
      <c r="D126" s="99" t="str">
        <f>IF(UPPER(TRIM(N11))="X",C126,B126)</f>
        <v/>
      </c>
      <c r="E126" s="99" cm="1">
        <f t="array" ref="E126">IF(H125&lt;&gt;"",E125,IF(E125="","",IFERROR(MATCH(TRUE(),INDEX(INDEX(K:K,E125+1):K203&lt;&gt;"",0),0)+E125,"")))</f>
        <v>267</v>
      </c>
      <c r="F126" s="99" cm="1">
        <f t="array" ref="F126">IF(E126="","",IF(H125&lt;&gt;"",H125,INDEX(D:D,E126)))</f>
        <v>0</v>
      </c>
      <c r="G126" s="99" t="str">
        <f t="shared" si="11"/>
        <v>0</v>
      </c>
      <c r="H126" s="109" t="str">
        <f t="shared" si="12"/>
        <v/>
      </c>
      <c r="I126" s="114" t="str">
        <f>IF(AND(F126&lt;&gt;"",N10&gt;0,M126&gt;N10),"Mot &gt; limite","")</f>
        <v/>
      </c>
      <c r="J126" s="110" t="str">
        <f>IF(K126="","",COUNTIF(K18:K126,"&lt;&gt;"))</f>
        <v/>
      </c>
      <c r="K126" s="111"/>
      <c r="L126" s="110" t="str">
        <f t="shared" si="13"/>
        <v/>
      </c>
      <c r="M126" s="80">
        <f>IF(OR(F126="",N10="",N10&lt;=0),"",IF(LEN(F126)&lt;=N10,LEN(F126),IFERROR(FIND("♦",SUBSTITUTE(LEFT(F126,N10)," ","♦",LEN(LEFT(F126,N10))-LEN(SUBSTITUTE(LEFT(F126,N10)," ","")))),FIND(" ",F126&amp;" ",N10+1)-1)))</f>
        <v>1</v>
      </c>
      <c r="N126" s="112">
        <f t="shared" si="14"/>
        <v>109</v>
      </c>
      <c r="O126" s="113" t="str">
        <f t="shared" si="15"/>
        <v>0</v>
      </c>
      <c r="P126" s="112">
        <f t="shared" si="16"/>
        <v>1</v>
      </c>
      <c r="Q126" s="112">
        <f t="shared" si="17"/>
        <v>1</v>
      </c>
      <c r="S126" s="3">
        <v>1</v>
      </c>
    </row>
    <row r="127" spans="2:19" ht="30" customHeight="1">
      <c r="B127" s="99" t="str">
        <f t="shared" si="9"/>
        <v/>
      </c>
      <c r="C127" s="99" t="str">
        <f t="shared" si="10"/>
        <v/>
      </c>
      <c r="D127" s="99" t="str">
        <f>IF(UPPER(TRIM(N11))="X",C127,B127)</f>
        <v/>
      </c>
      <c r="E127" s="99" cm="1">
        <f t="array" ref="E127">IF(H126&lt;&gt;"",E126,IF(E126="","",IFERROR(MATCH(TRUE(),INDEX(INDEX(K:K,E126+1):K203&lt;&gt;"",0),0)+E126,"")))</f>
        <v>268</v>
      </c>
      <c r="F127" s="99" cm="1">
        <f t="array" ref="F127">IF(E127="","",IF(H126&lt;&gt;"",H126,INDEX(D:D,E127)))</f>
        <v>0</v>
      </c>
      <c r="G127" s="99" t="str">
        <f t="shared" si="11"/>
        <v>0</v>
      </c>
      <c r="H127" s="109" t="str">
        <f t="shared" si="12"/>
        <v/>
      </c>
      <c r="I127" s="114" t="str">
        <f>IF(AND(F127&lt;&gt;"",N10&gt;0,M127&gt;N10),"Mot &gt; limite","")</f>
        <v/>
      </c>
      <c r="J127" s="110" t="str">
        <f>IF(K127="","",COUNTIF(K18:K127,"&lt;&gt;"))</f>
        <v/>
      </c>
      <c r="K127" s="111"/>
      <c r="L127" s="110" t="str">
        <f t="shared" si="13"/>
        <v/>
      </c>
      <c r="M127" s="80">
        <f>IF(OR(F127="",N10="",N10&lt;=0),"",IF(LEN(F127)&lt;=N10,LEN(F127),IFERROR(FIND("♦",SUBSTITUTE(LEFT(F127,N10)," ","♦",LEN(LEFT(F127,N10))-LEN(SUBSTITUTE(LEFT(F127,N10)," ","")))),FIND(" ",F127&amp;" ",N10+1)-1)))</f>
        <v>1</v>
      </c>
      <c r="N127" s="112">
        <f t="shared" si="14"/>
        <v>110</v>
      </c>
      <c r="O127" s="113" t="str">
        <f t="shared" si="15"/>
        <v>0</v>
      </c>
      <c r="P127" s="112">
        <f t="shared" si="16"/>
        <v>1</v>
      </c>
      <c r="Q127" s="112">
        <f t="shared" si="17"/>
        <v>1</v>
      </c>
      <c r="S127" s="3">
        <v>1</v>
      </c>
    </row>
    <row r="128" spans="2:19" ht="30" customHeight="1">
      <c r="B128" s="99" t="str">
        <f t="shared" si="9"/>
        <v/>
      </c>
      <c r="C128" s="99" t="str">
        <f t="shared" si="10"/>
        <v/>
      </c>
      <c r="D128" s="99" t="str">
        <f>IF(UPPER(TRIM(N11))="X",C128,B128)</f>
        <v/>
      </c>
      <c r="E128" s="99" cm="1">
        <f t="array" ref="E128">IF(H127&lt;&gt;"",E127,IF(E127="","",IFERROR(MATCH(TRUE(),INDEX(INDEX(K:K,E127+1):K203&lt;&gt;"",0),0)+E127,"")))</f>
        <v>269</v>
      </c>
      <c r="F128" s="99" cm="1">
        <f t="array" ref="F128">IF(E128="","",IF(H127&lt;&gt;"",H127,INDEX(D:D,E128)))</f>
        <v>0</v>
      </c>
      <c r="G128" s="99" t="str">
        <f t="shared" si="11"/>
        <v>0</v>
      </c>
      <c r="H128" s="109" t="str">
        <f t="shared" si="12"/>
        <v/>
      </c>
      <c r="I128" s="114" t="str">
        <f>IF(AND(F128&lt;&gt;"",N10&gt;0,M128&gt;N10),"Mot &gt; limite","")</f>
        <v/>
      </c>
      <c r="J128" s="110" t="str">
        <f>IF(K128="","",COUNTIF(K18:K128,"&lt;&gt;"))</f>
        <v/>
      </c>
      <c r="K128" s="111"/>
      <c r="L128" s="110" t="str">
        <f t="shared" si="13"/>
        <v/>
      </c>
      <c r="M128" s="80">
        <f>IF(OR(F128="",N10="",N10&lt;=0),"",IF(LEN(F128)&lt;=N10,LEN(F128),IFERROR(FIND("♦",SUBSTITUTE(LEFT(F128,N10)," ","♦",LEN(LEFT(F128,N10))-LEN(SUBSTITUTE(LEFT(F128,N10)," ","")))),FIND(" ",F128&amp;" ",N10+1)-1)))</f>
        <v>1</v>
      </c>
      <c r="N128" s="112">
        <f t="shared" si="14"/>
        <v>111</v>
      </c>
      <c r="O128" s="113" t="str">
        <f t="shared" si="15"/>
        <v>0</v>
      </c>
      <c r="P128" s="112">
        <f t="shared" si="16"/>
        <v>1</v>
      </c>
      <c r="Q128" s="112">
        <f t="shared" si="17"/>
        <v>1</v>
      </c>
      <c r="S128" s="3">
        <v>1</v>
      </c>
    </row>
    <row r="129" spans="2:19" ht="30" customHeight="1">
      <c r="B129" s="99" t="str">
        <f t="shared" si="9"/>
        <v/>
      </c>
      <c r="C129" s="99" t="str">
        <f t="shared" si="10"/>
        <v/>
      </c>
      <c r="D129" s="99" t="str">
        <f>IF(UPPER(TRIM(N11))="X",C129,B129)</f>
        <v/>
      </c>
      <c r="E129" s="99" cm="1">
        <f t="array" ref="E129">IF(H128&lt;&gt;"",E128,IF(E128="","",IFERROR(MATCH(TRUE(),INDEX(INDEX(K:K,E128+1):K203&lt;&gt;"",0),0)+E128,"")))</f>
        <v>270</v>
      </c>
      <c r="F129" s="99" cm="1">
        <f t="array" ref="F129">IF(E129="","",IF(H128&lt;&gt;"",H128,INDEX(D:D,E129)))</f>
        <v>0</v>
      </c>
      <c r="G129" s="99" t="str">
        <f t="shared" si="11"/>
        <v>0</v>
      </c>
      <c r="H129" s="109" t="str">
        <f t="shared" si="12"/>
        <v/>
      </c>
      <c r="I129" s="114" t="str">
        <f>IF(AND(F129&lt;&gt;"",N10&gt;0,M129&gt;N10),"Mot &gt; limite","")</f>
        <v/>
      </c>
      <c r="J129" s="110" t="str">
        <f>IF(K129="","",COUNTIF(K18:K129,"&lt;&gt;"))</f>
        <v/>
      </c>
      <c r="K129" s="111"/>
      <c r="L129" s="110" t="str">
        <f t="shared" si="13"/>
        <v/>
      </c>
      <c r="M129" s="80">
        <f>IF(OR(F129="",N10="",N10&lt;=0),"",IF(LEN(F129)&lt;=N10,LEN(F129),IFERROR(FIND("♦",SUBSTITUTE(LEFT(F129,N10)," ","♦",LEN(LEFT(F129,N10))-LEN(SUBSTITUTE(LEFT(F129,N10)," ","")))),FIND(" ",F129&amp;" ",N10+1)-1)))</f>
        <v>1</v>
      </c>
      <c r="N129" s="112">
        <f t="shared" si="14"/>
        <v>112</v>
      </c>
      <c r="O129" s="113" t="str">
        <f t="shared" si="15"/>
        <v>0</v>
      </c>
      <c r="P129" s="112">
        <f t="shared" si="16"/>
        <v>1</v>
      </c>
      <c r="Q129" s="112">
        <f t="shared" si="17"/>
        <v>1</v>
      </c>
      <c r="S129" s="3">
        <v>1</v>
      </c>
    </row>
    <row r="130" spans="2:19" ht="30" customHeight="1">
      <c r="B130" s="99" t="str">
        <f t="shared" si="9"/>
        <v/>
      </c>
      <c r="C130" s="99" t="str">
        <f t="shared" si="10"/>
        <v/>
      </c>
      <c r="D130" s="99" t="str">
        <f>IF(UPPER(TRIM(N11))="X",C130,B130)</f>
        <v/>
      </c>
      <c r="E130" s="99" cm="1">
        <f t="array" ref="E130">IF(H129&lt;&gt;"",E129,IF(E129="","",IFERROR(MATCH(TRUE(),INDEX(INDEX(K:K,E129+1):K203&lt;&gt;"",0),0)+E129,"")))</f>
        <v>271</v>
      </c>
      <c r="F130" s="99" cm="1">
        <f t="array" ref="F130">IF(E130="","",IF(H129&lt;&gt;"",H129,INDEX(D:D,E130)))</f>
        <v>0</v>
      </c>
      <c r="G130" s="99" t="str">
        <f t="shared" si="11"/>
        <v>0</v>
      </c>
      <c r="H130" s="109" t="str">
        <f t="shared" si="12"/>
        <v/>
      </c>
      <c r="I130" s="114" t="str">
        <f>IF(AND(F130&lt;&gt;"",N10&gt;0,M130&gt;N10),"Mot &gt; limite","")</f>
        <v/>
      </c>
      <c r="J130" s="110" t="str">
        <f>IF(K130="","",COUNTIF(K18:K130,"&lt;&gt;"))</f>
        <v/>
      </c>
      <c r="K130" s="111"/>
      <c r="L130" s="110" t="str">
        <f t="shared" si="13"/>
        <v/>
      </c>
      <c r="M130" s="80">
        <f>IF(OR(F130="",N10="",N10&lt;=0),"",IF(LEN(F130)&lt;=N10,LEN(F130),IFERROR(FIND("♦",SUBSTITUTE(LEFT(F130,N10)," ","♦",LEN(LEFT(F130,N10))-LEN(SUBSTITUTE(LEFT(F130,N10)," ","")))),FIND(" ",F130&amp;" ",N10+1)-1)))</f>
        <v>1</v>
      </c>
      <c r="N130" s="112">
        <f t="shared" si="14"/>
        <v>113</v>
      </c>
      <c r="O130" s="113" t="str">
        <f t="shared" si="15"/>
        <v>0</v>
      </c>
      <c r="P130" s="112">
        <f t="shared" si="16"/>
        <v>1</v>
      </c>
      <c r="Q130" s="112">
        <f t="shared" si="17"/>
        <v>1</v>
      </c>
      <c r="S130" s="3">
        <v>1</v>
      </c>
    </row>
    <row r="131" spans="2:19" ht="30" customHeight="1">
      <c r="B131" s="99" t="str">
        <f t="shared" si="9"/>
        <v/>
      </c>
      <c r="C131" s="99" t="str">
        <f t="shared" si="10"/>
        <v/>
      </c>
      <c r="D131" s="99" t="str">
        <f>IF(UPPER(TRIM(N11))="X",C131,B131)</f>
        <v/>
      </c>
      <c r="E131" s="99" cm="1">
        <f t="array" ref="E131">IF(H130&lt;&gt;"",E130,IF(E130="","",IFERROR(MATCH(TRUE(),INDEX(INDEX(K:K,E130+1):K203&lt;&gt;"",0),0)+E130,"")))</f>
        <v>272</v>
      </c>
      <c r="F131" s="99" cm="1">
        <f t="array" ref="F131">IF(E131="","",IF(H130&lt;&gt;"",H130,INDEX(D:D,E131)))</f>
        <v>0</v>
      </c>
      <c r="G131" s="99" t="str">
        <f t="shared" si="11"/>
        <v>0</v>
      </c>
      <c r="H131" s="109" t="str">
        <f t="shared" si="12"/>
        <v/>
      </c>
      <c r="I131" s="114" t="str">
        <f>IF(AND(F131&lt;&gt;"",N10&gt;0,M131&gt;N10),"Mot &gt; limite","")</f>
        <v/>
      </c>
      <c r="J131" s="110" t="str">
        <f>IF(K131="","",COUNTIF(K18:K131,"&lt;&gt;"))</f>
        <v/>
      </c>
      <c r="K131" s="111"/>
      <c r="L131" s="110" t="str">
        <f t="shared" si="13"/>
        <v/>
      </c>
      <c r="M131" s="80">
        <f>IF(OR(F131="",N10="",N10&lt;=0),"",IF(LEN(F131)&lt;=N10,LEN(F131),IFERROR(FIND("♦",SUBSTITUTE(LEFT(F131,N10)," ","♦",LEN(LEFT(F131,N10))-LEN(SUBSTITUTE(LEFT(F131,N10)," ","")))),FIND(" ",F131&amp;" ",N10+1)-1)))</f>
        <v>1</v>
      </c>
      <c r="N131" s="112">
        <f t="shared" si="14"/>
        <v>114</v>
      </c>
      <c r="O131" s="113" t="str">
        <f t="shared" si="15"/>
        <v>0</v>
      </c>
      <c r="P131" s="112">
        <f t="shared" si="16"/>
        <v>1</v>
      </c>
      <c r="Q131" s="112">
        <f t="shared" si="17"/>
        <v>1</v>
      </c>
      <c r="S131" s="3">
        <v>1</v>
      </c>
    </row>
    <row r="132" spans="2:19" ht="30" customHeight="1">
      <c r="B132" s="99" t="str">
        <f t="shared" si="9"/>
        <v/>
      </c>
      <c r="C132" s="99" t="str">
        <f t="shared" si="10"/>
        <v/>
      </c>
      <c r="D132" s="99" t="str">
        <f>IF(UPPER(TRIM(N11))="X",C132,B132)</f>
        <v/>
      </c>
      <c r="E132" s="99" cm="1">
        <f t="array" ref="E132">IF(H131&lt;&gt;"",E131,IF(E131="","",IFERROR(MATCH(TRUE(),INDEX(INDEX(K:K,E131+1):K203&lt;&gt;"",0),0)+E131,"")))</f>
        <v>273</v>
      </c>
      <c r="F132" s="99" cm="1">
        <f t="array" ref="F132">IF(E132="","",IF(H131&lt;&gt;"",H131,INDEX(D:D,E132)))</f>
        <v>0</v>
      </c>
      <c r="G132" s="99" t="str">
        <f t="shared" si="11"/>
        <v>0</v>
      </c>
      <c r="H132" s="109" t="str">
        <f t="shared" si="12"/>
        <v/>
      </c>
      <c r="I132" s="114" t="str">
        <f>IF(AND(F132&lt;&gt;"",N10&gt;0,M132&gt;N10),"Mot &gt; limite","")</f>
        <v/>
      </c>
      <c r="J132" s="110" t="str">
        <f>IF(K132="","",COUNTIF(K18:K132,"&lt;&gt;"))</f>
        <v/>
      </c>
      <c r="K132" s="111"/>
      <c r="L132" s="110" t="str">
        <f t="shared" si="13"/>
        <v/>
      </c>
      <c r="M132" s="80">
        <f>IF(OR(F132="",N10="",N10&lt;=0),"",IF(LEN(F132)&lt;=N10,LEN(F132),IFERROR(FIND("♦",SUBSTITUTE(LEFT(F132,N10)," ","♦",LEN(LEFT(F132,N10))-LEN(SUBSTITUTE(LEFT(F132,N10)," ","")))),FIND(" ",F132&amp;" ",N10+1)-1)))</f>
        <v>1</v>
      </c>
      <c r="N132" s="112">
        <f t="shared" si="14"/>
        <v>115</v>
      </c>
      <c r="O132" s="113" t="str">
        <f t="shared" si="15"/>
        <v>0</v>
      </c>
      <c r="P132" s="112">
        <f t="shared" si="16"/>
        <v>1</v>
      </c>
      <c r="Q132" s="112">
        <f t="shared" si="17"/>
        <v>1</v>
      </c>
      <c r="S132" s="3">
        <v>1</v>
      </c>
    </row>
    <row r="133" spans="2:19" ht="30" customHeight="1">
      <c r="B133" s="99" t="str">
        <f t="shared" si="9"/>
        <v/>
      </c>
      <c r="C133" s="99" t="str">
        <f t="shared" si="10"/>
        <v/>
      </c>
      <c r="D133" s="99" t="str">
        <f>IF(UPPER(TRIM(N11))="X",C133,B133)</f>
        <v/>
      </c>
      <c r="E133" s="99" cm="1">
        <f t="array" ref="E133">IF(H132&lt;&gt;"",E132,IF(E132="","",IFERROR(MATCH(TRUE(),INDEX(INDEX(K:K,E132+1):K203&lt;&gt;"",0),0)+E132,"")))</f>
        <v>274</v>
      </c>
      <c r="F133" s="99" cm="1">
        <f t="array" ref="F133">IF(E133="","",IF(H132&lt;&gt;"",H132,INDEX(D:D,E133)))</f>
        <v>0</v>
      </c>
      <c r="G133" s="99" t="str">
        <f t="shared" si="11"/>
        <v>0</v>
      </c>
      <c r="H133" s="109" t="str">
        <f t="shared" si="12"/>
        <v/>
      </c>
      <c r="I133" s="114" t="str">
        <f>IF(AND(F133&lt;&gt;"",N10&gt;0,M133&gt;N10),"Mot &gt; limite","")</f>
        <v/>
      </c>
      <c r="J133" s="110" t="str">
        <f>IF(K133="","",COUNTIF(K18:K133,"&lt;&gt;"))</f>
        <v/>
      </c>
      <c r="K133" s="111"/>
      <c r="L133" s="110" t="str">
        <f t="shared" si="13"/>
        <v/>
      </c>
      <c r="M133" s="80">
        <f>IF(OR(F133="",N10="",N10&lt;=0),"",IF(LEN(F133)&lt;=N10,LEN(F133),IFERROR(FIND("♦",SUBSTITUTE(LEFT(F133,N10)," ","♦",LEN(LEFT(F133,N10))-LEN(SUBSTITUTE(LEFT(F133,N10)," ","")))),FIND(" ",F133&amp;" ",N10+1)-1)))</f>
        <v>1</v>
      </c>
      <c r="N133" s="112">
        <f t="shared" si="14"/>
        <v>116</v>
      </c>
      <c r="O133" s="113" t="str">
        <f t="shared" si="15"/>
        <v>0</v>
      </c>
      <c r="P133" s="112">
        <f t="shared" si="16"/>
        <v>1</v>
      </c>
      <c r="Q133" s="112">
        <f t="shared" si="17"/>
        <v>1</v>
      </c>
      <c r="S133" s="3">
        <v>1</v>
      </c>
    </row>
    <row r="134" spans="2:19" ht="30" customHeight="1">
      <c r="B134" s="99" t="str">
        <f t="shared" si="9"/>
        <v/>
      </c>
      <c r="C134" s="99" t="str">
        <f t="shared" si="10"/>
        <v/>
      </c>
      <c r="D134" s="99" t="str">
        <f>IF(UPPER(TRIM(N11))="X",C134,B134)</f>
        <v/>
      </c>
      <c r="E134" s="99" cm="1">
        <f t="array" ref="E134">IF(H133&lt;&gt;"",E133,IF(E133="","",IFERROR(MATCH(TRUE(),INDEX(INDEX(K:K,E133+1):K203&lt;&gt;"",0),0)+E133,"")))</f>
        <v>275</v>
      </c>
      <c r="F134" s="99" cm="1">
        <f t="array" ref="F134">IF(E134="","",IF(H133&lt;&gt;"",H133,INDEX(D:D,E134)))</f>
        <v>0</v>
      </c>
      <c r="G134" s="99" t="str">
        <f t="shared" si="11"/>
        <v>0</v>
      </c>
      <c r="H134" s="109" t="str">
        <f t="shared" si="12"/>
        <v/>
      </c>
      <c r="I134" s="114" t="str">
        <f>IF(AND(F134&lt;&gt;"",N10&gt;0,M134&gt;N10),"Mot &gt; limite","")</f>
        <v/>
      </c>
      <c r="J134" s="110" t="str">
        <f>IF(K134="","",COUNTIF(K18:K134,"&lt;&gt;"))</f>
        <v/>
      </c>
      <c r="K134" s="111"/>
      <c r="L134" s="110" t="str">
        <f t="shared" si="13"/>
        <v/>
      </c>
      <c r="M134" s="80">
        <f>IF(OR(F134="",N10="",N10&lt;=0),"",IF(LEN(F134)&lt;=N10,LEN(F134),IFERROR(FIND("♦",SUBSTITUTE(LEFT(F134,N10)," ","♦",LEN(LEFT(F134,N10))-LEN(SUBSTITUTE(LEFT(F134,N10)," ","")))),FIND(" ",F134&amp;" ",N10+1)-1)))</f>
        <v>1</v>
      </c>
      <c r="N134" s="112">
        <f t="shared" si="14"/>
        <v>117</v>
      </c>
      <c r="O134" s="113" t="str">
        <f t="shared" si="15"/>
        <v>0</v>
      </c>
      <c r="P134" s="112">
        <f t="shared" si="16"/>
        <v>1</v>
      </c>
      <c r="Q134" s="112">
        <f t="shared" si="17"/>
        <v>1</v>
      </c>
      <c r="S134" s="3">
        <v>1</v>
      </c>
    </row>
    <row r="135" spans="2:19" ht="30" customHeight="1">
      <c r="B135" s="99" t="str">
        <f t="shared" si="9"/>
        <v/>
      </c>
      <c r="C135" s="99" t="str">
        <f t="shared" si="10"/>
        <v/>
      </c>
      <c r="D135" s="99" t="str">
        <f>IF(UPPER(TRIM(N11))="X",C135,B135)</f>
        <v/>
      </c>
      <c r="E135" s="99" cm="1">
        <f t="array" ref="E135">IF(H134&lt;&gt;"",E134,IF(E134="","",IFERROR(MATCH(TRUE(),INDEX(INDEX(K:K,E134+1):K203&lt;&gt;"",0),0)+E134,"")))</f>
        <v>276</v>
      </c>
      <c r="F135" s="99" cm="1">
        <f t="array" ref="F135">IF(E135="","",IF(H134&lt;&gt;"",H134,INDEX(D:D,E135)))</f>
        <v>0</v>
      </c>
      <c r="G135" s="99" t="str">
        <f t="shared" si="11"/>
        <v>0</v>
      </c>
      <c r="H135" s="109" t="str">
        <f t="shared" si="12"/>
        <v/>
      </c>
      <c r="I135" s="114" t="str">
        <f>IF(AND(F135&lt;&gt;"",N10&gt;0,M135&gt;N10),"Mot &gt; limite","")</f>
        <v/>
      </c>
      <c r="J135" s="110" t="str">
        <f>IF(K135="","",COUNTIF(K18:K135,"&lt;&gt;"))</f>
        <v/>
      </c>
      <c r="K135" s="111"/>
      <c r="L135" s="110" t="str">
        <f t="shared" si="13"/>
        <v/>
      </c>
      <c r="M135" s="80">
        <f>IF(OR(F135="",N10="",N10&lt;=0),"",IF(LEN(F135)&lt;=N10,LEN(F135),IFERROR(FIND("♦",SUBSTITUTE(LEFT(F135,N10)," ","♦",LEN(LEFT(F135,N10))-LEN(SUBSTITUTE(LEFT(F135,N10)," ","")))),FIND(" ",F135&amp;" ",N10+1)-1)))</f>
        <v>1</v>
      </c>
      <c r="N135" s="112">
        <f t="shared" si="14"/>
        <v>118</v>
      </c>
      <c r="O135" s="113" t="str">
        <f t="shared" si="15"/>
        <v>0</v>
      </c>
      <c r="P135" s="112">
        <f t="shared" si="16"/>
        <v>1</v>
      </c>
      <c r="Q135" s="112">
        <f t="shared" si="17"/>
        <v>1</v>
      </c>
      <c r="S135" s="3">
        <v>1</v>
      </c>
    </row>
    <row r="136" spans="2:19" ht="30" customHeight="1">
      <c r="B136" s="99" t="str">
        <f t="shared" si="9"/>
        <v/>
      </c>
      <c r="C136" s="99" t="str">
        <f t="shared" si="10"/>
        <v/>
      </c>
      <c r="D136" s="99" t="str">
        <f>IF(UPPER(TRIM(N11))="X",C136,B136)</f>
        <v/>
      </c>
      <c r="E136" s="99" cm="1">
        <f t="array" ref="E136">IF(H135&lt;&gt;"",E135,IF(E135="","",IFERROR(MATCH(TRUE(),INDEX(INDEX(K:K,E135+1):K203&lt;&gt;"",0),0)+E135,"")))</f>
        <v>277</v>
      </c>
      <c r="F136" s="99" cm="1">
        <f t="array" ref="F136">IF(E136="","",IF(H135&lt;&gt;"",H135,INDEX(D:D,E136)))</f>
        <v>0</v>
      </c>
      <c r="G136" s="99" t="str">
        <f t="shared" si="11"/>
        <v>0</v>
      </c>
      <c r="H136" s="109" t="str">
        <f t="shared" si="12"/>
        <v/>
      </c>
      <c r="I136" s="114" t="str">
        <f>IF(AND(F136&lt;&gt;"",N10&gt;0,M136&gt;N10),"Mot &gt; limite","")</f>
        <v/>
      </c>
      <c r="J136" s="110" t="str">
        <f>IF(K136="","",COUNTIF(K18:K136,"&lt;&gt;"))</f>
        <v/>
      </c>
      <c r="K136" s="111"/>
      <c r="L136" s="110" t="str">
        <f t="shared" si="13"/>
        <v/>
      </c>
      <c r="M136" s="80">
        <f>IF(OR(F136="",N10="",N10&lt;=0),"",IF(LEN(F136)&lt;=N10,LEN(F136),IFERROR(FIND("♦",SUBSTITUTE(LEFT(F136,N10)," ","♦",LEN(LEFT(F136,N10))-LEN(SUBSTITUTE(LEFT(F136,N10)," ","")))),FIND(" ",F136&amp;" ",N10+1)-1)))</f>
        <v>1</v>
      </c>
      <c r="N136" s="112">
        <f t="shared" si="14"/>
        <v>119</v>
      </c>
      <c r="O136" s="113" t="str">
        <f t="shared" si="15"/>
        <v>0</v>
      </c>
      <c r="P136" s="112">
        <f t="shared" si="16"/>
        <v>1</v>
      </c>
      <c r="Q136" s="112">
        <f t="shared" si="17"/>
        <v>1</v>
      </c>
      <c r="S136" s="3">
        <v>1</v>
      </c>
    </row>
    <row r="137" spans="2:19" ht="30" customHeight="1">
      <c r="B137" s="99" t="str">
        <f t="shared" si="9"/>
        <v/>
      </c>
      <c r="C137" s="99" t="str">
        <f t="shared" si="10"/>
        <v/>
      </c>
      <c r="D137" s="99" t="str">
        <f>IF(UPPER(TRIM(N11))="X",C137,B137)</f>
        <v/>
      </c>
      <c r="E137" s="99" cm="1">
        <f t="array" ref="E137">IF(H136&lt;&gt;"",E136,IF(E136="","",IFERROR(MATCH(TRUE(),INDEX(INDEX(K:K,E136+1):K203&lt;&gt;"",0),0)+E136,"")))</f>
        <v>278</v>
      </c>
      <c r="F137" s="99" cm="1">
        <f t="array" ref="F137">IF(E137="","",IF(H136&lt;&gt;"",H136,INDEX(D:D,E137)))</f>
        <v>0</v>
      </c>
      <c r="G137" s="99" t="str">
        <f t="shared" si="11"/>
        <v>0</v>
      </c>
      <c r="H137" s="109" t="str">
        <f t="shared" si="12"/>
        <v/>
      </c>
      <c r="I137" s="114" t="str">
        <f>IF(AND(F137&lt;&gt;"",N10&gt;0,M137&gt;N10),"Mot &gt; limite","")</f>
        <v/>
      </c>
      <c r="J137" s="110" t="str">
        <f>IF(K137="","",COUNTIF(K18:K137,"&lt;&gt;"))</f>
        <v/>
      </c>
      <c r="K137" s="111"/>
      <c r="L137" s="110" t="str">
        <f t="shared" si="13"/>
        <v/>
      </c>
      <c r="M137" s="80">
        <f>IF(OR(F137="",N10="",N10&lt;=0),"",IF(LEN(F137)&lt;=N10,LEN(F137),IFERROR(FIND("♦",SUBSTITUTE(LEFT(F137,N10)," ","♦",LEN(LEFT(F137,N10))-LEN(SUBSTITUTE(LEFT(F137,N10)," ","")))),FIND(" ",F137&amp;" ",N10+1)-1)))</f>
        <v>1</v>
      </c>
      <c r="N137" s="112">
        <f t="shared" si="14"/>
        <v>120</v>
      </c>
      <c r="O137" s="113" t="str">
        <f t="shared" si="15"/>
        <v>0</v>
      </c>
      <c r="P137" s="112">
        <f t="shared" si="16"/>
        <v>1</v>
      </c>
      <c r="Q137" s="112">
        <f t="shared" si="17"/>
        <v>1</v>
      </c>
      <c r="S137" s="3">
        <v>1</v>
      </c>
    </row>
    <row r="138" spans="2:19" ht="30" customHeight="1">
      <c r="B138" s="99" t="str">
        <f t="shared" si="9"/>
        <v/>
      </c>
      <c r="C138" s="99" t="str">
        <f t="shared" si="10"/>
        <v/>
      </c>
      <c r="D138" s="99" t="str">
        <f>IF(UPPER(TRIM(N11))="X",C138,B138)</f>
        <v/>
      </c>
      <c r="E138" s="99" cm="1">
        <f t="array" ref="E138">IF(H137&lt;&gt;"",E137,IF(E137="","",IFERROR(MATCH(TRUE(),INDEX(INDEX(K:K,E137+1):K203&lt;&gt;"",0),0)+E137,"")))</f>
        <v>279</v>
      </c>
      <c r="F138" s="99" cm="1">
        <f t="array" ref="F138">IF(E138="","",IF(H137&lt;&gt;"",H137,INDEX(D:D,E138)))</f>
        <v>0</v>
      </c>
      <c r="G138" s="99" t="str">
        <f t="shared" si="11"/>
        <v>0</v>
      </c>
      <c r="H138" s="109" t="str">
        <f t="shared" si="12"/>
        <v/>
      </c>
      <c r="I138" s="114" t="str">
        <f>IF(AND(F138&lt;&gt;"",N10&gt;0,M138&gt;N10),"Mot &gt; limite","")</f>
        <v/>
      </c>
      <c r="J138" s="110" t="str">
        <f>IF(K138="","",COUNTIF(K18:K138,"&lt;&gt;"))</f>
        <v/>
      </c>
      <c r="K138" s="111"/>
      <c r="L138" s="110" t="str">
        <f t="shared" si="13"/>
        <v/>
      </c>
      <c r="M138" s="80">
        <f>IF(OR(F138="",N10="",N10&lt;=0),"",IF(LEN(F138)&lt;=N10,LEN(F138),IFERROR(FIND("♦",SUBSTITUTE(LEFT(F138,N10)," ","♦",LEN(LEFT(F138,N10))-LEN(SUBSTITUTE(LEFT(F138,N10)," ","")))),FIND(" ",F138&amp;" ",N10+1)-1)))</f>
        <v>1</v>
      </c>
      <c r="N138" s="112">
        <f t="shared" si="14"/>
        <v>121</v>
      </c>
      <c r="O138" s="113" t="str">
        <f t="shared" si="15"/>
        <v>0</v>
      </c>
      <c r="P138" s="112">
        <f t="shared" si="16"/>
        <v>1</v>
      </c>
      <c r="Q138" s="112">
        <f t="shared" si="17"/>
        <v>1</v>
      </c>
      <c r="S138" s="3">
        <v>1</v>
      </c>
    </row>
    <row r="139" spans="2:19" ht="30" customHeight="1">
      <c r="B139" s="99" t="str">
        <f t="shared" si="9"/>
        <v/>
      </c>
      <c r="C139" s="99" t="str">
        <f t="shared" si="10"/>
        <v/>
      </c>
      <c r="D139" s="99" t="str">
        <f>IF(UPPER(TRIM(N11))="X",C139,B139)</f>
        <v/>
      </c>
      <c r="E139" s="99" cm="1">
        <f t="array" ref="E139">IF(H138&lt;&gt;"",E138,IF(E138="","",IFERROR(MATCH(TRUE(),INDEX(INDEX(K:K,E138+1):K203&lt;&gt;"",0),0)+E138,"")))</f>
        <v>280</v>
      </c>
      <c r="F139" s="99" cm="1">
        <f t="array" ref="F139">IF(E139="","",IF(H138&lt;&gt;"",H138,INDEX(D:D,E139)))</f>
        <v>0</v>
      </c>
      <c r="G139" s="99" t="str">
        <f t="shared" si="11"/>
        <v>0</v>
      </c>
      <c r="H139" s="109" t="str">
        <f t="shared" si="12"/>
        <v/>
      </c>
      <c r="I139" s="114" t="str">
        <f>IF(AND(F139&lt;&gt;"",N10&gt;0,M139&gt;N10),"Mot &gt; limite","")</f>
        <v/>
      </c>
      <c r="J139" s="110" t="str">
        <f>IF(K139="","",COUNTIF(K18:K139,"&lt;&gt;"))</f>
        <v/>
      </c>
      <c r="K139" s="111"/>
      <c r="L139" s="110" t="str">
        <f t="shared" si="13"/>
        <v/>
      </c>
      <c r="M139" s="80">
        <f>IF(OR(F139="",N10="",N10&lt;=0),"",IF(LEN(F139)&lt;=N10,LEN(F139),IFERROR(FIND("♦",SUBSTITUTE(LEFT(F139,N10)," ","♦",LEN(LEFT(F139,N10))-LEN(SUBSTITUTE(LEFT(F139,N10)," ","")))),FIND(" ",F139&amp;" ",N10+1)-1)))</f>
        <v>1</v>
      </c>
      <c r="N139" s="112">
        <f t="shared" si="14"/>
        <v>122</v>
      </c>
      <c r="O139" s="113" t="str">
        <f t="shared" si="15"/>
        <v>0</v>
      </c>
      <c r="P139" s="112">
        <f t="shared" si="16"/>
        <v>1</v>
      </c>
      <c r="Q139" s="112">
        <f t="shared" si="17"/>
        <v>1</v>
      </c>
      <c r="S139" s="3">
        <v>1</v>
      </c>
    </row>
    <row r="140" spans="2:19" ht="30" customHeight="1">
      <c r="B140" s="99" t="str">
        <f t="shared" si="9"/>
        <v/>
      </c>
      <c r="C140" s="99" t="str">
        <f t="shared" si="10"/>
        <v/>
      </c>
      <c r="D140" s="99" t="str">
        <f>IF(UPPER(TRIM(N11))="X",C140,B140)</f>
        <v/>
      </c>
      <c r="E140" s="99" cm="1">
        <f t="array" ref="E140">IF(H139&lt;&gt;"",E139,IF(E139="","",IFERROR(MATCH(TRUE(),INDEX(INDEX(K:K,E139+1):K203&lt;&gt;"",0),0)+E139,"")))</f>
        <v>281</v>
      </c>
      <c r="F140" s="99" cm="1">
        <f t="array" ref="F140">IF(E140="","",IF(H139&lt;&gt;"",H139,INDEX(D:D,E140)))</f>
        <v>0</v>
      </c>
      <c r="G140" s="99" t="str">
        <f t="shared" si="11"/>
        <v>0</v>
      </c>
      <c r="H140" s="109" t="str">
        <f t="shared" si="12"/>
        <v/>
      </c>
      <c r="I140" s="114" t="str">
        <f>IF(AND(F140&lt;&gt;"",N10&gt;0,M140&gt;N10),"Mot &gt; limite","")</f>
        <v/>
      </c>
      <c r="J140" s="110" t="str">
        <f>IF(K140="","",COUNTIF(K18:K140,"&lt;&gt;"))</f>
        <v/>
      </c>
      <c r="K140" s="111"/>
      <c r="L140" s="110" t="str">
        <f t="shared" si="13"/>
        <v/>
      </c>
      <c r="M140" s="80">
        <f>IF(OR(F140="",N10="",N10&lt;=0),"",IF(LEN(F140)&lt;=N10,LEN(F140),IFERROR(FIND("♦",SUBSTITUTE(LEFT(F140,N10)," ","♦",LEN(LEFT(F140,N10))-LEN(SUBSTITUTE(LEFT(F140,N10)," ","")))),FIND(" ",F140&amp;" ",N10+1)-1)))</f>
        <v>1</v>
      </c>
      <c r="N140" s="112">
        <f t="shared" si="14"/>
        <v>123</v>
      </c>
      <c r="O140" s="113" t="str">
        <f t="shared" si="15"/>
        <v>0</v>
      </c>
      <c r="P140" s="112">
        <f t="shared" si="16"/>
        <v>1</v>
      </c>
      <c r="Q140" s="112">
        <f t="shared" si="17"/>
        <v>1</v>
      </c>
      <c r="S140" s="3">
        <v>1</v>
      </c>
    </row>
    <row r="141" spans="2:19" ht="30" customHeight="1">
      <c r="B141" s="99" t="str">
        <f t="shared" si="9"/>
        <v/>
      </c>
      <c r="C141" s="99" t="str">
        <f t="shared" si="10"/>
        <v/>
      </c>
      <c r="D141" s="99" t="str">
        <f>IF(UPPER(TRIM(N11))="X",C141,B141)</f>
        <v/>
      </c>
      <c r="E141" s="99" cm="1">
        <f t="array" ref="E141">IF(H140&lt;&gt;"",E140,IF(E140="","",IFERROR(MATCH(TRUE(),INDEX(INDEX(K:K,E140+1):K203&lt;&gt;"",0),0)+E140,"")))</f>
        <v>282</v>
      </c>
      <c r="F141" s="99" cm="1">
        <f t="array" ref="F141">IF(E141="","",IF(H140&lt;&gt;"",H140,INDEX(D:D,E141)))</f>
        <v>0</v>
      </c>
      <c r="G141" s="99" t="str">
        <f t="shared" si="11"/>
        <v>0</v>
      </c>
      <c r="H141" s="109" t="str">
        <f t="shared" si="12"/>
        <v/>
      </c>
      <c r="I141" s="114" t="str">
        <f>IF(AND(F141&lt;&gt;"",N10&gt;0,M141&gt;N10),"Mot &gt; limite","")</f>
        <v/>
      </c>
      <c r="J141" s="110" t="str">
        <f>IF(K141="","",COUNTIF(K18:K141,"&lt;&gt;"))</f>
        <v/>
      </c>
      <c r="K141" s="111"/>
      <c r="L141" s="110" t="str">
        <f t="shared" si="13"/>
        <v/>
      </c>
      <c r="M141" s="80">
        <f>IF(OR(F141="",N10="",N10&lt;=0),"",IF(LEN(F141)&lt;=N10,LEN(F141),IFERROR(FIND("♦",SUBSTITUTE(LEFT(F141,N10)," ","♦",LEN(LEFT(F141,N10))-LEN(SUBSTITUTE(LEFT(F141,N10)," ","")))),FIND(" ",F141&amp;" ",N10+1)-1)))</f>
        <v>1</v>
      </c>
      <c r="N141" s="112">
        <f t="shared" si="14"/>
        <v>124</v>
      </c>
      <c r="O141" s="113" t="str">
        <f t="shared" si="15"/>
        <v>0</v>
      </c>
      <c r="P141" s="112">
        <f t="shared" si="16"/>
        <v>1</v>
      </c>
      <c r="Q141" s="112">
        <f t="shared" si="17"/>
        <v>1</v>
      </c>
      <c r="S141" s="3">
        <v>1</v>
      </c>
    </row>
    <row r="142" spans="2:19" ht="30" customHeight="1">
      <c r="B142" s="99" t="str">
        <f t="shared" si="9"/>
        <v/>
      </c>
      <c r="C142" s="99" t="str">
        <f t="shared" si="10"/>
        <v/>
      </c>
      <c r="D142" s="99" t="str">
        <f>IF(UPPER(TRIM(N11))="X",C142,B142)</f>
        <v/>
      </c>
      <c r="E142" s="99" cm="1">
        <f t="array" ref="E142">IF(H141&lt;&gt;"",E141,IF(E141="","",IFERROR(MATCH(TRUE(),INDEX(INDEX(K:K,E141+1):K203&lt;&gt;"",0),0)+E141,"")))</f>
        <v>283</v>
      </c>
      <c r="F142" s="99" cm="1">
        <f t="array" ref="F142">IF(E142="","",IF(H141&lt;&gt;"",H141,INDEX(D:D,E142)))</f>
        <v>0</v>
      </c>
      <c r="G142" s="99" t="str">
        <f t="shared" si="11"/>
        <v>0</v>
      </c>
      <c r="H142" s="109" t="str">
        <f t="shared" si="12"/>
        <v/>
      </c>
      <c r="I142" s="114" t="str">
        <f>IF(AND(F142&lt;&gt;"",N10&gt;0,M142&gt;N10),"Mot &gt; limite","")</f>
        <v/>
      </c>
      <c r="J142" s="110" t="str">
        <f>IF(K142="","",COUNTIF(K18:K142,"&lt;&gt;"))</f>
        <v/>
      </c>
      <c r="K142" s="111"/>
      <c r="L142" s="110" t="str">
        <f t="shared" si="13"/>
        <v/>
      </c>
      <c r="M142" s="80">
        <f>IF(OR(F142="",N10="",N10&lt;=0),"",IF(LEN(F142)&lt;=N10,LEN(F142),IFERROR(FIND("♦",SUBSTITUTE(LEFT(F142,N10)," ","♦",LEN(LEFT(F142,N10))-LEN(SUBSTITUTE(LEFT(F142,N10)," ","")))),FIND(" ",F142&amp;" ",N10+1)-1)))</f>
        <v>1</v>
      </c>
      <c r="N142" s="112">
        <f t="shared" si="14"/>
        <v>125</v>
      </c>
      <c r="O142" s="113" t="str">
        <f t="shared" si="15"/>
        <v>0</v>
      </c>
      <c r="P142" s="112">
        <f t="shared" si="16"/>
        <v>1</v>
      </c>
      <c r="Q142" s="112">
        <f t="shared" si="17"/>
        <v>1</v>
      </c>
      <c r="S142" s="3">
        <v>1</v>
      </c>
    </row>
    <row r="143" spans="2:19" ht="30" customHeight="1">
      <c r="B143" s="99" t="str">
        <f t="shared" si="9"/>
        <v/>
      </c>
      <c r="C143" s="99" t="str">
        <f t="shared" si="10"/>
        <v/>
      </c>
      <c r="D143" s="99" t="str">
        <f>IF(UPPER(TRIM(N11))="X",C143,B143)</f>
        <v/>
      </c>
      <c r="E143" s="99" cm="1">
        <f t="array" ref="E143">IF(H142&lt;&gt;"",E142,IF(E142="","",IFERROR(MATCH(TRUE(),INDEX(INDEX(K:K,E142+1):K203&lt;&gt;"",0),0)+E142,"")))</f>
        <v>284</v>
      </c>
      <c r="F143" s="99" cm="1">
        <f t="array" ref="F143">IF(E143="","",IF(H142&lt;&gt;"",H142,INDEX(D:D,E143)))</f>
        <v>0</v>
      </c>
      <c r="G143" s="99" t="str">
        <f t="shared" si="11"/>
        <v>0</v>
      </c>
      <c r="H143" s="109" t="str">
        <f t="shared" si="12"/>
        <v/>
      </c>
      <c r="I143" s="114" t="str">
        <f>IF(AND(F143&lt;&gt;"",N10&gt;0,M143&gt;N10),"Mot &gt; limite","")</f>
        <v/>
      </c>
      <c r="J143" s="110" t="str">
        <f>IF(K143="","",COUNTIF(K18:K143,"&lt;&gt;"))</f>
        <v/>
      </c>
      <c r="K143" s="111"/>
      <c r="L143" s="110" t="str">
        <f t="shared" si="13"/>
        <v/>
      </c>
      <c r="M143" s="80">
        <f>IF(OR(F143="",N10="",N10&lt;=0),"",IF(LEN(F143)&lt;=N10,LEN(F143),IFERROR(FIND("♦",SUBSTITUTE(LEFT(F143,N10)," ","♦",LEN(LEFT(F143,N10))-LEN(SUBSTITUTE(LEFT(F143,N10)," ","")))),FIND(" ",F143&amp;" ",N10+1)-1)))</f>
        <v>1</v>
      </c>
      <c r="N143" s="112">
        <f t="shared" si="14"/>
        <v>126</v>
      </c>
      <c r="O143" s="113" t="str">
        <f t="shared" si="15"/>
        <v>0</v>
      </c>
      <c r="P143" s="112">
        <f t="shared" si="16"/>
        <v>1</v>
      </c>
      <c r="Q143" s="112">
        <f t="shared" si="17"/>
        <v>1</v>
      </c>
      <c r="S143" s="3">
        <v>1</v>
      </c>
    </row>
    <row r="144" spans="2:19" ht="30" customHeight="1">
      <c r="B144" s="99" t="str">
        <f t="shared" si="9"/>
        <v/>
      </c>
      <c r="C144" s="99" t="str">
        <f t="shared" si="10"/>
        <v/>
      </c>
      <c r="D144" s="99" t="str">
        <f>IF(UPPER(TRIM(N11))="X",C144,B144)</f>
        <v/>
      </c>
      <c r="E144" s="99" cm="1">
        <f t="array" ref="E144">IF(H143&lt;&gt;"",E143,IF(E143="","",IFERROR(MATCH(TRUE(),INDEX(INDEX(K:K,E143+1):K203&lt;&gt;"",0),0)+E143,"")))</f>
        <v>285</v>
      </c>
      <c r="F144" s="99" cm="1">
        <f t="array" ref="F144">IF(E144="","",IF(H143&lt;&gt;"",H143,INDEX(D:D,E144)))</f>
        <v>0</v>
      </c>
      <c r="G144" s="99" t="str">
        <f t="shared" si="11"/>
        <v>0</v>
      </c>
      <c r="H144" s="109" t="str">
        <f t="shared" si="12"/>
        <v/>
      </c>
      <c r="I144" s="114" t="str">
        <f>IF(AND(F144&lt;&gt;"",N10&gt;0,M144&gt;N10),"Mot &gt; limite","")</f>
        <v/>
      </c>
      <c r="J144" s="110" t="str">
        <f>IF(K144="","",COUNTIF(K18:K144,"&lt;&gt;"))</f>
        <v/>
      </c>
      <c r="K144" s="111"/>
      <c r="L144" s="110" t="str">
        <f t="shared" si="13"/>
        <v/>
      </c>
      <c r="M144" s="80">
        <f>IF(OR(F144="",N10="",N10&lt;=0),"",IF(LEN(F144)&lt;=N10,LEN(F144),IFERROR(FIND("♦",SUBSTITUTE(LEFT(F144,N10)," ","♦",LEN(LEFT(F144,N10))-LEN(SUBSTITUTE(LEFT(F144,N10)," ","")))),FIND(" ",F144&amp;" ",N10+1)-1)))</f>
        <v>1</v>
      </c>
      <c r="N144" s="112">
        <f t="shared" si="14"/>
        <v>127</v>
      </c>
      <c r="O144" s="113" t="str">
        <f t="shared" si="15"/>
        <v>0</v>
      </c>
      <c r="P144" s="112">
        <f t="shared" si="16"/>
        <v>1</v>
      </c>
      <c r="Q144" s="112">
        <f t="shared" si="17"/>
        <v>1</v>
      </c>
      <c r="S144" s="3">
        <v>1</v>
      </c>
    </row>
    <row r="145" spans="2:19" ht="30" customHeight="1">
      <c r="B145" s="99" t="str">
        <f t="shared" si="9"/>
        <v/>
      </c>
      <c r="C145" s="99" t="str">
        <f t="shared" si="10"/>
        <v/>
      </c>
      <c r="D145" s="99" t="str">
        <f>IF(UPPER(TRIM(N11))="X",C145,B145)</f>
        <v/>
      </c>
      <c r="E145" s="99" cm="1">
        <f t="array" ref="E145">IF(H144&lt;&gt;"",E144,IF(E144="","",IFERROR(MATCH(TRUE(),INDEX(INDEX(K:K,E144+1):K203&lt;&gt;"",0),0)+E144,"")))</f>
        <v>286</v>
      </c>
      <c r="F145" s="99" cm="1">
        <f t="array" ref="F145">IF(E145="","",IF(H144&lt;&gt;"",H144,INDEX(D:D,E145)))</f>
        <v>0</v>
      </c>
      <c r="G145" s="99" t="str">
        <f t="shared" si="11"/>
        <v>0</v>
      </c>
      <c r="H145" s="109" t="str">
        <f t="shared" si="12"/>
        <v/>
      </c>
      <c r="I145" s="114" t="str">
        <f>IF(AND(F145&lt;&gt;"",N10&gt;0,M145&gt;N10),"Mot &gt; limite","")</f>
        <v/>
      </c>
      <c r="J145" s="110" t="str">
        <f>IF(K145="","",COUNTIF(K18:K145,"&lt;&gt;"))</f>
        <v/>
      </c>
      <c r="K145" s="111"/>
      <c r="L145" s="110" t="str">
        <f t="shared" si="13"/>
        <v/>
      </c>
      <c r="M145" s="80">
        <f>IF(OR(F145="",N10="",N10&lt;=0),"",IF(LEN(F145)&lt;=N10,LEN(F145),IFERROR(FIND("♦",SUBSTITUTE(LEFT(F145,N10)," ","♦",LEN(LEFT(F145,N10))-LEN(SUBSTITUTE(LEFT(F145,N10)," ","")))),FIND(" ",F145&amp;" ",N10+1)-1)))</f>
        <v>1</v>
      </c>
      <c r="N145" s="112">
        <f t="shared" si="14"/>
        <v>128</v>
      </c>
      <c r="O145" s="113" t="str">
        <f t="shared" si="15"/>
        <v>0</v>
      </c>
      <c r="P145" s="112">
        <f t="shared" si="16"/>
        <v>1</v>
      </c>
      <c r="Q145" s="112">
        <f t="shared" si="17"/>
        <v>1</v>
      </c>
      <c r="S145" s="3">
        <v>1</v>
      </c>
    </row>
    <row r="146" spans="2:19" ht="30" customHeight="1">
      <c r="B146" s="99" t="str">
        <f t="shared" ref="B146:B203" si="18">IF(TRIM(SUBSTITUTE(K146,CHAR(160),""))="","",TRIM(SUBSTITUTE(SUBSTITUTE(SUBSTITUTE(SUBSTITUTE(CLEAN(K146),CHAR(160)," "),CHAR(9)," "),CHAR(10)," "),CHAR(13)," ")))</f>
        <v/>
      </c>
      <c r="C146" s="99" t="str">
        <f t="shared" ref="C146:C203" si="19">IF(B146="","",TRIM(SUBSTITUTE(SUBSTITUTE(SUBSTITUTE(SUBSTITUTE(SUBSTITUTE(SUBSTITUTE(SUBSTITUTE(SUBSTITUTE(SUBSTITUTE(SUBSTITUTE(B146,","," "),";"," "),":"," "),"."," "),"?"," "), "!"," "),"/"," "), "("," "), ")"," "), "-"," ")))</f>
        <v/>
      </c>
      <c r="D146" s="99" t="str">
        <f>IF(UPPER(TRIM(N11))="X",C146,B146)</f>
        <v/>
      </c>
      <c r="E146" s="99" cm="1">
        <f t="array" ref="E146">IF(H145&lt;&gt;"",E145,IF(E145="","",IFERROR(MATCH(TRUE(),INDEX(INDEX(K:K,E145+1):K203&lt;&gt;"",0),0)+E145,"")))</f>
        <v>287</v>
      </c>
      <c r="F146" s="99" cm="1">
        <f t="array" ref="F146">IF(E146="","",IF(H145&lt;&gt;"",H145,INDEX(D:D,E146)))</f>
        <v>0</v>
      </c>
      <c r="G146" s="99" t="str">
        <f t="shared" ref="G146:G209" si="20">IF(OR(F146="",M146=""),"",LEFT(F146,M146))</f>
        <v>0</v>
      </c>
      <c r="H146" s="109" t="str">
        <f t="shared" ref="H146:H209" si="21">IF(OR(F146="",M146=""),"",TRIM(MID(F146,M146+1,99999)))</f>
        <v/>
      </c>
      <c r="I146" s="114" t="str">
        <f>IF(AND(F146&lt;&gt;"",N10&gt;0,M146&gt;N10),"Mot &gt; limite","")</f>
        <v/>
      </c>
      <c r="J146" s="110" t="str">
        <f>IF(K146="","",COUNTIF(K18:K146,"&lt;&gt;"))</f>
        <v/>
      </c>
      <c r="K146" s="111"/>
      <c r="L146" s="110" t="str">
        <f t="shared" ref="L146:L203" si="22">IF(TRIM(SUBSTITUTE(K146,CHAR(160),""))="","",LEN(K146))</f>
        <v/>
      </c>
      <c r="M146" s="80">
        <f>IF(OR(F146="",N10="",N10&lt;=0),"",IF(LEN(F146)&lt;=N10,LEN(F146),IFERROR(FIND("♦",SUBSTITUTE(LEFT(F146,N10)," ","♦",LEN(LEFT(F146,N10))-LEN(SUBSTITUTE(LEFT(F146,N10)," ","")))),FIND(" ",F146&amp;" ",N10+1)-1)))</f>
        <v>1</v>
      </c>
      <c r="N146" s="112">
        <f t="shared" ref="N146:N209" si="23">IF(O146="","",ROW()-17)</f>
        <v>129</v>
      </c>
      <c r="O146" s="113" t="str">
        <f t="shared" ref="O146:O209" si="24">G146</f>
        <v>0</v>
      </c>
      <c r="P146" s="112">
        <f t="shared" ref="P146:P209" si="25">IF(O146="","",LEN(TRIM(O146))-LEN(SUBSTITUTE(TRIM(O146)," ",""))+1)</f>
        <v>1</v>
      </c>
      <c r="Q146" s="112">
        <f t="shared" ref="Q146:Q209" si="26">IF(O146="","",LEN(O146))</f>
        <v>1</v>
      </c>
      <c r="S146" s="3">
        <v>1</v>
      </c>
    </row>
    <row r="147" spans="2:19" ht="30" customHeight="1">
      <c r="B147" s="99" t="str">
        <f t="shared" si="18"/>
        <v/>
      </c>
      <c r="C147" s="99" t="str">
        <f t="shared" si="19"/>
        <v/>
      </c>
      <c r="D147" s="99" t="str">
        <f>IF(UPPER(TRIM(N11))="X",C147,B147)</f>
        <v/>
      </c>
      <c r="E147" s="99" cm="1">
        <f t="array" ref="E147">IF(H146&lt;&gt;"",E146,IF(E146="","",IFERROR(MATCH(TRUE(),INDEX(INDEX(K:K,E146+1):K203&lt;&gt;"",0),0)+E146,"")))</f>
        <v>288</v>
      </c>
      <c r="F147" s="99" cm="1">
        <f t="array" ref="F147">IF(E147="","",IF(H146&lt;&gt;"",H146,INDEX(D:D,E147)))</f>
        <v>0</v>
      </c>
      <c r="G147" s="99" t="str">
        <f t="shared" si="20"/>
        <v>0</v>
      </c>
      <c r="H147" s="109" t="str">
        <f t="shared" si="21"/>
        <v/>
      </c>
      <c r="I147" s="114" t="str">
        <f>IF(AND(F147&lt;&gt;"",N10&gt;0,M147&gt;N10),"Mot &gt; limite","")</f>
        <v/>
      </c>
      <c r="J147" s="110" t="str">
        <f>IF(K147="","",COUNTIF(K18:K147,"&lt;&gt;"))</f>
        <v/>
      </c>
      <c r="K147" s="111"/>
      <c r="L147" s="110" t="str">
        <f t="shared" si="22"/>
        <v/>
      </c>
      <c r="M147" s="80">
        <f>IF(OR(F147="",N10="",N10&lt;=0),"",IF(LEN(F147)&lt;=N10,LEN(F147),IFERROR(FIND("♦",SUBSTITUTE(LEFT(F147,N10)," ","♦",LEN(LEFT(F147,N10))-LEN(SUBSTITUTE(LEFT(F147,N10)," ","")))),FIND(" ",F147&amp;" ",N10+1)-1)))</f>
        <v>1</v>
      </c>
      <c r="N147" s="112">
        <f t="shared" si="23"/>
        <v>130</v>
      </c>
      <c r="O147" s="113" t="str">
        <f t="shared" si="24"/>
        <v>0</v>
      </c>
      <c r="P147" s="112">
        <f t="shared" si="25"/>
        <v>1</v>
      </c>
      <c r="Q147" s="112">
        <f t="shared" si="26"/>
        <v>1</v>
      </c>
      <c r="S147" s="3">
        <v>1</v>
      </c>
    </row>
    <row r="148" spans="2:19" ht="30" customHeight="1">
      <c r="B148" s="99" t="str">
        <f t="shared" si="18"/>
        <v/>
      </c>
      <c r="C148" s="99" t="str">
        <f t="shared" si="19"/>
        <v/>
      </c>
      <c r="D148" s="99" t="str">
        <f>IF(UPPER(TRIM(N11))="X",C148,B148)</f>
        <v/>
      </c>
      <c r="E148" s="99" cm="1">
        <f t="array" ref="E148">IF(H147&lt;&gt;"",E147,IF(E147="","",IFERROR(MATCH(TRUE(),INDEX(INDEX(K:K,E147+1):K203&lt;&gt;"",0),0)+E147,"")))</f>
        <v>289</v>
      </c>
      <c r="F148" s="99" cm="1">
        <f t="array" ref="F148">IF(E148="","",IF(H147&lt;&gt;"",H147,INDEX(D:D,E148)))</f>
        <v>0</v>
      </c>
      <c r="G148" s="99" t="str">
        <f t="shared" si="20"/>
        <v>0</v>
      </c>
      <c r="H148" s="109" t="str">
        <f t="shared" si="21"/>
        <v/>
      </c>
      <c r="I148" s="114" t="str">
        <f>IF(AND(F148&lt;&gt;"",N10&gt;0,M148&gt;N10),"Mot &gt; limite","")</f>
        <v/>
      </c>
      <c r="J148" s="110" t="str">
        <f>IF(K148="","",COUNTIF(K18:K148,"&lt;&gt;"))</f>
        <v/>
      </c>
      <c r="K148" s="111"/>
      <c r="L148" s="110" t="str">
        <f t="shared" si="22"/>
        <v/>
      </c>
      <c r="M148" s="80">
        <f>IF(OR(F148="",N10="",N10&lt;=0),"",IF(LEN(F148)&lt;=N10,LEN(F148),IFERROR(FIND("♦",SUBSTITUTE(LEFT(F148,N10)," ","♦",LEN(LEFT(F148,N10))-LEN(SUBSTITUTE(LEFT(F148,N10)," ","")))),FIND(" ",F148&amp;" ",N10+1)-1)))</f>
        <v>1</v>
      </c>
      <c r="N148" s="112">
        <f t="shared" si="23"/>
        <v>131</v>
      </c>
      <c r="O148" s="113" t="str">
        <f t="shared" si="24"/>
        <v>0</v>
      </c>
      <c r="P148" s="112">
        <f t="shared" si="25"/>
        <v>1</v>
      </c>
      <c r="Q148" s="112">
        <f t="shared" si="26"/>
        <v>1</v>
      </c>
      <c r="S148" s="3">
        <v>1</v>
      </c>
    </row>
    <row r="149" spans="2:19" ht="30" customHeight="1">
      <c r="B149" s="99" t="str">
        <f t="shared" si="18"/>
        <v/>
      </c>
      <c r="C149" s="99" t="str">
        <f t="shared" si="19"/>
        <v/>
      </c>
      <c r="D149" s="99" t="str">
        <f>IF(UPPER(TRIM(N11))="X",C149,B149)</f>
        <v/>
      </c>
      <c r="E149" s="99" cm="1">
        <f t="array" ref="E149">IF(H148&lt;&gt;"",E148,IF(E148="","",IFERROR(MATCH(TRUE(),INDEX(INDEX(K:K,E148+1):K203&lt;&gt;"",0),0)+E148,"")))</f>
        <v>290</v>
      </c>
      <c r="F149" s="99" cm="1">
        <f t="array" ref="F149">IF(E149="","",IF(H148&lt;&gt;"",H148,INDEX(D:D,E149)))</f>
        <v>0</v>
      </c>
      <c r="G149" s="99" t="str">
        <f t="shared" si="20"/>
        <v>0</v>
      </c>
      <c r="H149" s="109" t="str">
        <f t="shared" si="21"/>
        <v/>
      </c>
      <c r="I149" s="114" t="str">
        <f>IF(AND(F149&lt;&gt;"",N10&gt;0,M149&gt;N10),"Mot &gt; limite","")</f>
        <v/>
      </c>
      <c r="J149" s="110" t="str">
        <f>IF(K149="","",COUNTIF(K18:K149,"&lt;&gt;"))</f>
        <v/>
      </c>
      <c r="K149" s="111"/>
      <c r="L149" s="110" t="str">
        <f t="shared" si="22"/>
        <v/>
      </c>
      <c r="M149" s="80">
        <f>IF(OR(F149="",N10="",N10&lt;=0),"",IF(LEN(F149)&lt;=N10,LEN(F149),IFERROR(FIND("♦",SUBSTITUTE(LEFT(F149,N10)," ","♦",LEN(LEFT(F149,N10))-LEN(SUBSTITUTE(LEFT(F149,N10)," ","")))),FIND(" ",F149&amp;" ",N10+1)-1)))</f>
        <v>1</v>
      </c>
      <c r="N149" s="112">
        <f t="shared" si="23"/>
        <v>132</v>
      </c>
      <c r="O149" s="113" t="str">
        <f t="shared" si="24"/>
        <v>0</v>
      </c>
      <c r="P149" s="112">
        <f t="shared" si="25"/>
        <v>1</v>
      </c>
      <c r="Q149" s="112">
        <f t="shared" si="26"/>
        <v>1</v>
      </c>
      <c r="S149" s="3">
        <v>1</v>
      </c>
    </row>
    <row r="150" spans="2:19" ht="30" customHeight="1">
      <c r="B150" s="99" t="str">
        <f t="shared" si="18"/>
        <v/>
      </c>
      <c r="C150" s="99" t="str">
        <f t="shared" si="19"/>
        <v/>
      </c>
      <c r="D150" s="99" t="str">
        <f>IF(UPPER(TRIM(N11))="X",C150,B150)</f>
        <v/>
      </c>
      <c r="E150" s="99" cm="1">
        <f t="array" ref="E150">IF(H149&lt;&gt;"",E149,IF(E149="","",IFERROR(MATCH(TRUE(),INDEX(INDEX(K:K,E149+1):K203&lt;&gt;"",0),0)+E149,"")))</f>
        <v>291</v>
      </c>
      <c r="F150" s="99" cm="1">
        <f t="array" ref="F150">IF(E150="","",IF(H149&lt;&gt;"",H149,INDEX(D:D,E150)))</f>
        <v>0</v>
      </c>
      <c r="G150" s="99" t="str">
        <f t="shared" si="20"/>
        <v>0</v>
      </c>
      <c r="H150" s="109" t="str">
        <f t="shared" si="21"/>
        <v/>
      </c>
      <c r="I150" s="114" t="str">
        <f>IF(AND(F150&lt;&gt;"",N10&gt;0,M150&gt;N10),"Mot &gt; limite","")</f>
        <v/>
      </c>
      <c r="J150" s="110" t="str">
        <f>IF(K150="","",COUNTIF(K18:K150,"&lt;&gt;"))</f>
        <v/>
      </c>
      <c r="K150" s="111"/>
      <c r="L150" s="110" t="str">
        <f t="shared" si="22"/>
        <v/>
      </c>
      <c r="M150" s="80">
        <f>IF(OR(F150="",N10="",N10&lt;=0),"",IF(LEN(F150)&lt;=N10,LEN(F150),IFERROR(FIND("♦",SUBSTITUTE(LEFT(F150,N10)," ","♦",LEN(LEFT(F150,N10))-LEN(SUBSTITUTE(LEFT(F150,N10)," ","")))),FIND(" ",F150&amp;" ",N10+1)-1)))</f>
        <v>1</v>
      </c>
      <c r="N150" s="112">
        <f t="shared" si="23"/>
        <v>133</v>
      </c>
      <c r="O150" s="113" t="str">
        <f t="shared" si="24"/>
        <v>0</v>
      </c>
      <c r="P150" s="112">
        <f t="shared" si="25"/>
        <v>1</v>
      </c>
      <c r="Q150" s="112">
        <f t="shared" si="26"/>
        <v>1</v>
      </c>
      <c r="S150" s="3">
        <v>1</v>
      </c>
    </row>
    <row r="151" spans="2:19" ht="30" customHeight="1">
      <c r="B151" s="99" t="str">
        <f t="shared" si="18"/>
        <v/>
      </c>
      <c r="C151" s="99" t="str">
        <f t="shared" si="19"/>
        <v/>
      </c>
      <c r="D151" s="99" t="str">
        <f>IF(UPPER(TRIM(N11))="X",C151,B151)</f>
        <v/>
      </c>
      <c r="E151" s="99" cm="1">
        <f t="array" ref="E151">IF(H150&lt;&gt;"",E150,IF(E150="","",IFERROR(MATCH(TRUE(),INDEX(INDEX(K:K,E150+1):K203&lt;&gt;"",0),0)+E150,"")))</f>
        <v>292</v>
      </c>
      <c r="F151" s="99" cm="1">
        <f t="array" ref="F151">IF(E151="","",IF(H150&lt;&gt;"",H150,INDEX(D:D,E151)))</f>
        <v>0</v>
      </c>
      <c r="G151" s="99" t="str">
        <f t="shared" si="20"/>
        <v>0</v>
      </c>
      <c r="H151" s="109" t="str">
        <f t="shared" si="21"/>
        <v/>
      </c>
      <c r="I151" s="114" t="str">
        <f>IF(AND(F151&lt;&gt;"",N10&gt;0,M151&gt;N10),"Mot &gt; limite","")</f>
        <v/>
      </c>
      <c r="J151" s="110" t="str">
        <f>IF(K151="","",COUNTIF(K18:K151,"&lt;&gt;"))</f>
        <v/>
      </c>
      <c r="K151" s="111"/>
      <c r="L151" s="110" t="str">
        <f t="shared" si="22"/>
        <v/>
      </c>
      <c r="M151" s="80">
        <f>IF(OR(F151="",N10="",N10&lt;=0),"",IF(LEN(F151)&lt;=N10,LEN(F151),IFERROR(FIND("♦",SUBSTITUTE(LEFT(F151,N10)," ","♦",LEN(LEFT(F151,N10))-LEN(SUBSTITUTE(LEFT(F151,N10)," ","")))),FIND(" ",F151&amp;" ",N10+1)-1)))</f>
        <v>1</v>
      </c>
      <c r="N151" s="112">
        <f t="shared" si="23"/>
        <v>134</v>
      </c>
      <c r="O151" s="113" t="str">
        <f t="shared" si="24"/>
        <v>0</v>
      </c>
      <c r="P151" s="112">
        <f t="shared" si="25"/>
        <v>1</v>
      </c>
      <c r="Q151" s="112">
        <f t="shared" si="26"/>
        <v>1</v>
      </c>
      <c r="S151" s="3">
        <v>1</v>
      </c>
    </row>
    <row r="152" spans="2:19" ht="30" customHeight="1">
      <c r="B152" s="99" t="str">
        <f t="shared" si="18"/>
        <v/>
      </c>
      <c r="C152" s="99" t="str">
        <f t="shared" si="19"/>
        <v/>
      </c>
      <c r="D152" s="99" t="str">
        <f>IF(UPPER(TRIM(N11))="X",C152,B152)</f>
        <v/>
      </c>
      <c r="E152" s="99" cm="1">
        <f t="array" ref="E152">IF(H151&lt;&gt;"",E151,IF(E151="","",IFERROR(MATCH(TRUE(),INDEX(INDEX(K:K,E151+1):K203&lt;&gt;"",0),0)+E151,"")))</f>
        <v>293</v>
      </c>
      <c r="F152" s="99" cm="1">
        <f t="array" ref="F152">IF(E152="","",IF(H151&lt;&gt;"",H151,INDEX(D:D,E152)))</f>
        <v>0</v>
      </c>
      <c r="G152" s="99" t="str">
        <f t="shared" si="20"/>
        <v>0</v>
      </c>
      <c r="H152" s="109" t="str">
        <f t="shared" si="21"/>
        <v/>
      </c>
      <c r="I152" s="114" t="str">
        <f>IF(AND(F152&lt;&gt;"",N10&gt;0,M152&gt;N10),"Mot &gt; limite","")</f>
        <v/>
      </c>
      <c r="J152" s="110" t="str">
        <f>IF(K152="","",COUNTIF(K18:K152,"&lt;&gt;"))</f>
        <v/>
      </c>
      <c r="K152" s="111"/>
      <c r="L152" s="110" t="str">
        <f t="shared" si="22"/>
        <v/>
      </c>
      <c r="M152" s="80">
        <f>IF(OR(F152="",N10="",N10&lt;=0),"",IF(LEN(F152)&lt;=N10,LEN(F152),IFERROR(FIND("♦",SUBSTITUTE(LEFT(F152,N10)," ","♦",LEN(LEFT(F152,N10))-LEN(SUBSTITUTE(LEFT(F152,N10)," ","")))),FIND(" ",F152&amp;" ",N10+1)-1)))</f>
        <v>1</v>
      </c>
      <c r="N152" s="112">
        <f t="shared" si="23"/>
        <v>135</v>
      </c>
      <c r="O152" s="113" t="str">
        <f t="shared" si="24"/>
        <v>0</v>
      </c>
      <c r="P152" s="112">
        <f t="shared" si="25"/>
        <v>1</v>
      </c>
      <c r="Q152" s="112">
        <f t="shared" si="26"/>
        <v>1</v>
      </c>
      <c r="S152" s="3">
        <v>1</v>
      </c>
    </row>
    <row r="153" spans="2:19" ht="30" customHeight="1">
      <c r="B153" s="99" t="str">
        <f t="shared" si="18"/>
        <v/>
      </c>
      <c r="C153" s="99" t="str">
        <f t="shared" si="19"/>
        <v/>
      </c>
      <c r="D153" s="99" t="str">
        <f>IF(UPPER(TRIM(N11))="X",C153,B153)</f>
        <v/>
      </c>
      <c r="E153" s="99" cm="1">
        <f t="array" ref="E153">IF(H152&lt;&gt;"",E152,IF(E152="","",IFERROR(MATCH(TRUE(),INDEX(INDEX(K:K,E152+1):K203&lt;&gt;"",0),0)+E152,"")))</f>
        <v>294</v>
      </c>
      <c r="F153" s="99" cm="1">
        <f t="array" ref="F153">IF(E153="","",IF(H152&lt;&gt;"",H152,INDEX(D:D,E153)))</f>
        <v>0</v>
      </c>
      <c r="G153" s="99" t="str">
        <f t="shared" si="20"/>
        <v>0</v>
      </c>
      <c r="H153" s="109" t="str">
        <f t="shared" si="21"/>
        <v/>
      </c>
      <c r="I153" s="114" t="str">
        <f>IF(AND(F153&lt;&gt;"",N10&gt;0,M153&gt;N10),"Mot &gt; limite","")</f>
        <v/>
      </c>
      <c r="J153" s="110" t="str">
        <f>IF(K153="","",COUNTIF(K18:K153,"&lt;&gt;"))</f>
        <v/>
      </c>
      <c r="K153" s="111"/>
      <c r="L153" s="110" t="str">
        <f t="shared" si="22"/>
        <v/>
      </c>
      <c r="M153" s="80">
        <f>IF(OR(F153="",N10="",N10&lt;=0),"",IF(LEN(F153)&lt;=N10,LEN(F153),IFERROR(FIND("♦",SUBSTITUTE(LEFT(F153,N10)," ","♦",LEN(LEFT(F153,N10))-LEN(SUBSTITUTE(LEFT(F153,N10)," ","")))),FIND(" ",F153&amp;" ",N10+1)-1)))</f>
        <v>1</v>
      </c>
      <c r="N153" s="112">
        <f t="shared" si="23"/>
        <v>136</v>
      </c>
      <c r="O153" s="113" t="str">
        <f t="shared" si="24"/>
        <v>0</v>
      </c>
      <c r="P153" s="112">
        <f t="shared" si="25"/>
        <v>1</v>
      </c>
      <c r="Q153" s="112">
        <f t="shared" si="26"/>
        <v>1</v>
      </c>
      <c r="S153" s="3">
        <v>1</v>
      </c>
    </row>
    <row r="154" spans="2:19" ht="30" customHeight="1">
      <c r="B154" s="99" t="str">
        <f t="shared" si="18"/>
        <v/>
      </c>
      <c r="C154" s="99" t="str">
        <f t="shared" si="19"/>
        <v/>
      </c>
      <c r="D154" s="99" t="str">
        <f>IF(UPPER(TRIM(N11))="X",C154,B154)</f>
        <v/>
      </c>
      <c r="E154" s="99" cm="1">
        <f t="array" ref="E154">IF(H153&lt;&gt;"",E153,IF(E153="","",IFERROR(MATCH(TRUE(),INDEX(INDEX(K:K,E153+1):K203&lt;&gt;"",0),0)+E153,"")))</f>
        <v>295</v>
      </c>
      <c r="F154" s="99" cm="1">
        <f t="array" ref="F154">IF(E154="","",IF(H153&lt;&gt;"",H153,INDEX(D:D,E154)))</f>
        <v>0</v>
      </c>
      <c r="G154" s="99" t="str">
        <f t="shared" si="20"/>
        <v>0</v>
      </c>
      <c r="H154" s="109" t="str">
        <f t="shared" si="21"/>
        <v/>
      </c>
      <c r="I154" s="114" t="str">
        <f>IF(AND(F154&lt;&gt;"",N10&gt;0,M154&gt;N10),"Mot &gt; limite","")</f>
        <v/>
      </c>
      <c r="J154" s="110" t="str">
        <f>IF(K154="","",COUNTIF(K18:K154,"&lt;&gt;"))</f>
        <v/>
      </c>
      <c r="K154" s="111"/>
      <c r="L154" s="110" t="str">
        <f t="shared" si="22"/>
        <v/>
      </c>
      <c r="M154" s="80">
        <f>IF(OR(F154="",N10="",N10&lt;=0),"",IF(LEN(F154)&lt;=N10,LEN(F154),IFERROR(FIND("♦",SUBSTITUTE(LEFT(F154,N10)," ","♦",LEN(LEFT(F154,N10))-LEN(SUBSTITUTE(LEFT(F154,N10)," ","")))),FIND(" ",F154&amp;" ",N10+1)-1)))</f>
        <v>1</v>
      </c>
      <c r="N154" s="112">
        <f t="shared" si="23"/>
        <v>137</v>
      </c>
      <c r="O154" s="113" t="str">
        <f t="shared" si="24"/>
        <v>0</v>
      </c>
      <c r="P154" s="112">
        <f t="shared" si="25"/>
        <v>1</v>
      </c>
      <c r="Q154" s="112">
        <f t="shared" si="26"/>
        <v>1</v>
      </c>
      <c r="S154" s="3">
        <v>1</v>
      </c>
    </row>
    <row r="155" spans="2:19" ht="30" customHeight="1">
      <c r="B155" s="99" t="str">
        <f t="shared" si="18"/>
        <v/>
      </c>
      <c r="C155" s="99" t="str">
        <f t="shared" si="19"/>
        <v/>
      </c>
      <c r="D155" s="99" t="str">
        <f>IF(UPPER(TRIM(N11))="X",C155,B155)</f>
        <v/>
      </c>
      <c r="E155" s="99" cm="1">
        <f t="array" ref="E155">IF(H154&lt;&gt;"",E154,IF(E154="","",IFERROR(MATCH(TRUE(),INDEX(INDEX(K:K,E154+1):K203&lt;&gt;"",0),0)+E154,"")))</f>
        <v>296</v>
      </c>
      <c r="F155" s="99" cm="1">
        <f t="array" ref="F155">IF(E155="","",IF(H154&lt;&gt;"",H154,INDEX(D:D,E155)))</f>
        <v>0</v>
      </c>
      <c r="G155" s="99" t="str">
        <f t="shared" si="20"/>
        <v>0</v>
      </c>
      <c r="H155" s="109" t="str">
        <f t="shared" si="21"/>
        <v/>
      </c>
      <c r="I155" s="114" t="str">
        <f>IF(AND(F155&lt;&gt;"",N10&gt;0,M155&gt;N10),"Mot &gt; limite","")</f>
        <v/>
      </c>
      <c r="J155" s="110" t="str">
        <f>IF(K155="","",COUNTIF(K18:K155,"&lt;&gt;"))</f>
        <v/>
      </c>
      <c r="K155" s="111"/>
      <c r="L155" s="110" t="str">
        <f t="shared" si="22"/>
        <v/>
      </c>
      <c r="M155" s="80">
        <f>IF(OR(F155="",N10="",N10&lt;=0),"",IF(LEN(F155)&lt;=N10,LEN(F155),IFERROR(FIND("♦",SUBSTITUTE(LEFT(F155,N10)," ","♦",LEN(LEFT(F155,N10))-LEN(SUBSTITUTE(LEFT(F155,N10)," ","")))),FIND(" ",F155&amp;" ",N10+1)-1)))</f>
        <v>1</v>
      </c>
      <c r="N155" s="112">
        <f t="shared" si="23"/>
        <v>138</v>
      </c>
      <c r="O155" s="113" t="str">
        <f t="shared" si="24"/>
        <v>0</v>
      </c>
      <c r="P155" s="112">
        <f t="shared" si="25"/>
        <v>1</v>
      </c>
      <c r="Q155" s="112">
        <f t="shared" si="26"/>
        <v>1</v>
      </c>
      <c r="S155" s="3">
        <v>1</v>
      </c>
    </row>
    <row r="156" spans="2:19" ht="30" customHeight="1">
      <c r="B156" s="99" t="str">
        <f t="shared" si="18"/>
        <v/>
      </c>
      <c r="C156" s="99" t="str">
        <f t="shared" si="19"/>
        <v/>
      </c>
      <c r="D156" s="99" t="str">
        <f>IF(UPPER(TRIM(N11))="X",C156,B156)</f>
        <v/>
      </c>
      <c r="E156" s="99" cm="1">
        <f t="array" ref="E156">IF(H155&lt;&gt;"",E155,IF(E155="","",IFERROR(MATCH(TRUE(),INDEX(INDEX(K:K,E155+1):K203&lt;&gt;"",0),0)+E155,"")))</f>
        <v>297</v>
      </c>
      <c r="F156" s="99" cm="1">
        <f t="array" ref="F156">IF(E156="","",IF(H155&lt;&gt;"",H155,INDEX(D:D,E156)))</f>
        <v>0</v>
      </c>
      <c r="G156" s="99" t="str">
        <f t="shared" si="20"/>
        <v>0</v>
      </c>
      <c r="H156" s="109" t="str">
        <f t="shared" si="21"/>
        <v/>
      </c>
      <c r="I156" s="114" t="str">
        <f>IF(AND(F156&lt;&gt;"",N10&gt;0,M156&gt;N10),"Mot &gt; limite","")</f>
        <v/>
      </c>
      <c r="J156" s="110" t="str">
        <f>IF(K156="","",COUNTIF(K18:K156,"&lt;&gt;"))</f>
        <v/>
      </c>
      <c r="K156" s="111"/>
      <c r="L156" s="110" t="str">
        <f t="shared" si="22"/>
        <v/>
      </c>
      <c r="M156" s="80">
        <f>IF(OR(F156="",N10="",N10&lt;=0),"",IF(LEN(F156)&lt;=N10,LEN(F156),IFERROR(FIND("♦",SUBSTITUTE(LEFT(F156,N10)," ","♦",LEN(LEFT(F156,N10))-LEN(SUBSTITUTE(LEFT(F156,N10)," ","")))),FIND(" ",F156&amp;" ",N10+1)-1)))</f>
        <v>1</v>
      </c>
      <c r="N156" s="112">
        <f t="shared" si="23"/>
        <v>139</v>
      </c>
      <c r="O156" s="113" t="str">
        <f t="shared" si="24"/>
        <v>0</v>
      </c>
      <c r="P156" s="112">
        <f t="shared" si="25"/>
        <v>1</v>
      </c>
      <c r="Q156" s="112">
        <f t="shared" si="26"/>
        <v>1</v>
      </c>
      <c r="S156" s="3">
        <v>1</v>
      </c>
    </row>
    <row r="157" spans="2:19" ht="30" customHeight="1">
      <c r="B157" s="99" t="str">
        <f t="shared" si="18"/>
        <v/>
      </c>
      <c r="C157" s="99" t="str">
        <f t="shared" si="19"/>
        <v/>
      </c>
      <c r="D157" s="99" t="str">
        <f>IF(UPPER(TRIM(N11))="X",C157,B157)</f>
        <v/>
      </c>
      <c r="E157" s="99" cm="1">
        <f t="array" ref="E157">IF(H156&lt;&gt;"",E156,IF(E156="","",IFERROR(MATCH(TRUE(),INDEX(INDEX(K:K,E156+1):K203&lt;&gt;"",0),0)+E156,"")))</f>
        <v>298</v>
      </c>
      <c r="F157" s="99" cm="1">
        <f t="array" ref="F157">IF(E157="","",IF(H156&lt;&gt;"",H156,INDEX(D:D,E157)))</f>
        <v>0</v>
      </c>
      <c r="G157" s="99" t="str">
        <f t="shared" si="20"/>
        <v>0</v>
      </c>
      <c r="H157" s="109" t="str">
        <f t="shared" si="21"/>
        <v/>
      </c>
      <c r="I157" s="114" t="str">
        <f>IF(AND(F157&lt;&gt;"",N10&gt;0,M157&gt;N10),"Mot &gt; limite","")</f>
        <v/>
      </c>
      <c r="J157" s="110" t="str">
        <f>IF(K157="","",COUNTIF(K18:K157,"&lt;&gt;"))</f>
        <v/>
      </c>
      <c r="K157" s="111"/>
      <c r="L157" s="110" t="str">
        <f t="shared" si="22"/>
        <v/>
      </c>
      <c r="M157" s="80">
        <f>IF(OR(F157="",N10="",N10&lt;=0),"",IF(LEN(F157)&lt;=N10,LEN(F157),IFERROR(FIND("♦",SUBSTITUTE(LEFT(F157,N10)," ","♦",LEN(LEFT(F157,N10))-LEN(SUBSTITUTE(LEFT(F157,N10)," ","")))),FIND(" ",F157&amp;" ",N10+1)-1)))</f>
        <v>1</v>
      </c>
      <c r="N157" s="112">
        <f t="shared" si="23"/>
        <v>140</v>
      </c>
      <c r="O157" s="113" t="str">
        <f t="shared" si="24"/>
        <v>0</v>
      </c>
      <c r="P157" s="112">
        <f t="shared" si="25"/>
        <v>1</v>
      </c>
      <c r="Q157" s="112">
        <f t="shared" si="26"/>
        <v>1</v>
      </c>
      <c r="S157" s="3">
        <v>1</v>
      </c>
    </row>
    <row r="158" spans="2:19" ht="30" customHeight="1">
      <c r="B158" s="99" t="str">
        <f t="shared" si="18"/>
        <v/>
      </c>
      <c r="C158" s="99" t="str">
        <f t="shared" si="19"/>
        <v/>
      </c>
      <c r="D158" s="99" t="str">
        <f>IF(UPPER(TRIM(N11))="X",C158,B158)</f>
        <v/>
      </c>
      <c r="E158" s="99" cm="1">
        <f t="array" ref="E158">IF(H157&lt;&gt;"",E157,IF(E157="","",IFERROR(MATCH(TRUE(),INDEX(INDEX(K:K,E157+1):K203&lt;&gt;"",0),0)+E157,"")))</f>
        <v>299</v>
      </c>
      <c r="F158" s="99" cm="1">
        <f t="array" ref="F158">IF(E158="","",IF(H157&lt;&gt;"",H157,INDEX(D:D,E158)))</f>
        <v>0</v>
      </c>
      <c r="G158" s="99" t="str">
        <f t="shared" si="20"/>
        <v>0</v>
      </c>
      <c r="H158" s="109" t="str">
        <f t="shared" si="21"/>
        <v/>
      </c>
      <c r="I158" s="114" t="str">
        <f>IF(AND(F158&lt;&gt;"",N10&gt;0,M158&gt;N10),"Mot &gt; limite","")</f>
        <v/>
      </c>
      <c r="J158" s="110" t="str">
        <f>IF(K158="","",COUNTIF(K18:K158,"&lt;&gt;"))</f>
        <v/>
      </c>
      <c r="K158" s="111"/>
      <c r="L158" s="110" t="str">
        <f t="shared" si="22"/>
        <v/>
      </c>
      <c r="M158" s="80">
        <f>IF(OR(F158="",N10="",N10&lt;=0),"",IF(LEN(F158)&lt;=N10,LEN(F158),IFERROR(FIND("♦",SUBSTITUTE(LEFT(F158,N10)," ","♦",LEN(LEFT(F158,N10))-LEN(SUBSTITUTE(LEFT(F158,N10)," ","")))),FIND(" ",F158&amp;" ",N10+1)-1)))</f>
        <v>1</v>
      </c>
      <c r="N158" s="112">
        <f t="shared" si="23"/>
        <v>141</v>
      </c>
      <c r="O158" s="113" t="str">
        <f t="shared" si="24"/>
        <v>0</v>
      </c>
      <c r="P158" s="112">
        <f t="shared" si="25"/>
        <v>1</v>
      </c>
      <c r="Q158" s="112">
        <f t="shared" si="26"/>
        <v>1</v>
      </c>
      <c r="S158" s="3">
        <v>1</v>
      </c>
    </row>
    <row r="159" spans="2:19" ht="30" customHeight="1">
      <c r="B159" s="99" t="str">
        <f t="shared" si="18"/>
        <v/>
      </c>
      <c r="C159" s="99" t="str">
        <f t="shared" si="19"/>
        <v/>
      </c>
      <c r="D159" s="99" t="str">
        <f>IF(UPPER(TRIM(N11))="X",C159,B159)</f>
        <v/>
      </c>
      <c r="E159" s="99" cm="1">
        <f t="array" ref="E159">IF(H158&lt;&gt;"",E158,IF(E158="","",IFERROR(MATCH(TRUE(),INDEX(INDEX(K:K,E158+1):K203&lt;&gt;"",0),0)+E158,"")))</f>
        <v>300</v>
      </c>
      <c r="F159" s="99" cm="1">
        <f t="array" ref="F159">IF(E159="","",IF(H158&lt;&gt;"",H158,INDEX(D:D,E159)))</f>
        <v>0</v>
      </c>
      <c r="G159" s="99" t="str">
        <f t="shared" si="20"/>
        <v>0</v>
      </c>
      <c r="H159" s="109" t="str">
        <f t="shared" si="21"/>
        <v/>
      </c>
      <c r="I159" s="114" t="str">
        <f>IF(AND(F159&lt;&gt;"",N10&gt;0,M159&gt;N10),"Mot &gt; limite","")</f>
        <v/>
      </c>
      <c r="J159" s="110" t="str">
        <f>IF(K159="","",COUNTIF(K18:K159,"&lt;&gt;"))</f>
        <v/>
      </c>
      <c r="K159" s="111"/>
      <c r="L159" s="110" t="str">
        <f t="shared" si="22"/>
        <v/>
      </c>
      <c r="M159" s="80">
        <f>IF(OR(F159="",N10="",N10&lt;=0),"",IF(LEN(F159)&lt;=N10,LEN(F159),IFERROR(FIND("♦",SUBSTITUTE(LEFT(F159,N10)," ","♦",LEN(LEFT(F159,N10))-LEN(SUBSTITUTE(LEFT(F159,N10)," ","")))),FIND(" ",F159&amp;" ",N10+1)-1)))</f>
        <v>1</v>
      </c>
      <c r="N159" s="112">
        <f t="shared" si="23"/>
        <v>142</v>
      </c>
      <c r="O159" s="113" t="str">
        <f t="shared" si="24"/>
        <v>0</v>
      </c>
      <c r="P159" s="112">
        <f t="shared" si="25"/>
        <v>1</v>
      </c>
      <c r="Q159" s="112">
        <f t="shared" si="26"/>
        <v>1</v>
      </c>
      <c r="S159" s="3">
        <v>1</v>
      </c>
    </row>
    <row r="160" spans="2:19" ht="30" customHeight="1">
      <c r="B160" s="99" t="str">
        <f t="shared" si="18"/>
        <v/>
      </c>
      <c r="C160" s="99" t="str">
        <f t="shared" si="19"/>
        <v/>
      </c>
      <c r="D160" s="99" t="str">
        <f>IF(UPPER(TRIM(N11))="X",C160,B160)</f>
        <v/>
      </c>
      <c r="E160" s="99" cm="1">
        <f t="array" ref="E160">IF(H159&lt;&gt;"",E159,IF(E159="","",IFERROR(MATCH(TRUE(),INDEX(INDEX(K:K,E159+1):K203&lt;&gt;"",0),0)+E159,"")))</f>
        <v>301</v>
      </c>
      <c r="F160" s="99" cm="1">
        <f t="array" ref="F160">IF(E160="","",IF(H159&lt;&gt;"",H159,INDEX(D:D,E160)))</f>
        <v>0</v>
      </c>
      <c r="G160" s="99" t="str">
        <f t="shared" si="20"/>
        <v>0</v>
      </c>
      <c r="H160" s="109" t="str">
        <f t="shared" si="21"/>
        <v/>
      </c>
      <c r="I160" s="114" t="str">
        <f>IF(AND(F160&lt;&gt;"",N10&gt;0,M160&gt;N10),"Mot &gt; limite","")</f>
        <v/>
      </c>
      <c r="J160" s="110" t="str">
        <f>IF(K160="","",COUNTIF(K18:K160,"&lt;&gt;"))</f>
        <v/>
      </c>
      <c r="K160" s="111"/>
      <c r="L160" s="110" t="str">
        <f t="shared" si="22"/>
        <v/>
      </c>
      <c r="M160" s="80">
        <f>IF(OR(F160="",N10="",N10&lt;=0),"",IF(LEN(F160)&lt;=N10,LEN(F160),IFERROR(FIND("♦",SUBSTITUTE(LEFT(F160,N10)," ","♦",LEN(LEFT(F160,N10))-LEN(SUBSTITUTE(LEFT(F160,N10)," ","")))),FIND(" ",F160&amp;" ",N10+1)-1)))</f>
        <v>1</v>
      </c>
      <c r="N160" s="112">
        <f t="shared" si="23"/>
        <v>143</v>
      </c>
      <c r="O160" s="113" t="str">
        <f t="shared" si="24"/>
        <v>0</v>
      </c>
      <c r="P160" s="112">
        <f t="shared" si="25"/>
        <v>1</v>
      </c>
      <c r="Q160" s="112">
        <f t="shared" si="26"/>
        <v>1</v>
      </c>
      <c r="S160" s="3">
        <v>1</v>
      </c>
    </row>
    <row r="161" spans="2:19" ht="30" customHeight="1">
      <c r="B161" s="99" t="str">
        <f t="shared" si="18"/>
        <v/>
      </c>
      <c r="C161" s="99" t="str">
        <f t="shared" si="19"/>
        <v/>
      </c>
      <c r="D161" s="99" t="str">
        <f>IF(UPPER(TRIM(N11))="X",C161,B161)</f>
        <v/>
      </c>
      <c r="E161" s="99" cm="1">
        <f t="array" ref="E161">IF(H160&lt;&gt;"",E160,IF(E160="","",IFERROR(MATCH(TRUE(),INDEX(INDEX(K:K,E160+1):K203&lt;&gt;"",0),0)+E160,"")))</f>
        <v>302</v>
      </c>
      <c r="F161" s="99" cm="1">
        <f t="array" ref="F161">IF(E161="","",IF(H160&lt;&gt;"",H160,INDEX(D:D,E161)))</f>
        <v>0</v>
      </c>
      <c r="G161" s="99" t="str">
        <f t="shared" si="20"/>
        <v>0</v>
      </c>
      <c r="H161" s="109" t="str">
        <f t="shared" si="21"/>
        <v/>
      </c>
      <c r="I161" s="114" t="str">
        <f>IF(AND(F161&lt;&gt;"",N10&gt;0,M161&gt;N10),"Mot &gt; limite","")</f>
        <v/>
      </c>
      <c r="J161" s="110" t="str">
        <f>IF(K161="","",COUNTIF(K18:K161,"&lt;&gt;"))</f>
        <v/>
      </c>
      <c r="K161" s="111"/>
      <c r="L161" s="110" t="str">
        <f t="shared" si="22"/>
        <v/>
      </c>
      <c r="M161" s="80">
        <f>IF(OR(F161="",N10="",N10&lt;=0),"",IF(LEN(F161)&lt;=N10,LEN(F161),IFERROR(FIND("♦",SUBSTITUTE(LEFT(F161,N10)," ","♦",LEN(LEFT(F161,N10))-LEN(SUBSTITUTE(LEFT(F161,N10)," ","")))),FIND(" ",F161&amp;" ",N10+1)-1)))</f>
        <v>1</v>
      </c>
      <c r="N161" s="112">
        <f t="shared" si="23"/>
        <v>144</v>
      </c>
      <c r="O161" s="113" t="str">
        <f t="shared" si="24"/>
        <v>0</v>
      </c>
      <c r="P161" s="112">
        <f t="shared" si="25"/>
        <v>1</v>
      </c>
      <c r="Q161" s="112">
        <f t="shared" si="26"/>
        <v>1</v>
      </c>
      <c r="S161" s="3">
        <v>1</v>
      </c>
    </row>
    <row r="162" spans="2:19" ht="30" customHeight="1">
      <c r="B162" s="99" t="str">
        <f t="shared" si="18"/>
        <v/>
      </c>
      <c r="C162" s="99" t="str">
        <f t="shared" si="19"/>
        <v/>
      </c>
      <c r="D162" s="99" t="str">
        <f>IF(UPPER(TRIM(N11))="X",C162,B162)</f>
        <v/>
      </c>
      <c r="E162" s="99" cm="1">
        <f t="array" ref="E162">IF(H161&lt;&gt;"",E161,IF(E161="","",IFERROR(MATCH(TRUE(),INDEX(INDEX(K:K,E161+1):K203&lt;&gt;"",0),0)+E161,"")))</f>
        <v>303</v>
      </c>
      <c r="F162" s="99" cm="1">
        <f t="array" ref="F162">IF(E162="","",IF(H161&lt;&gt;"",H161,INDEX(D:D,E162)))</f>
        <v>0</v>
      </c>
      <c r="G162" s="99" t="str">
        <f t="shared" si="20"/>
        <v>0</v>
      </c>
      <c r="H162" s="109" t="str">
        <f t="shared" si="21"/>
        <v/>
      </c>
      <c r="I162" s="114" t="str">
        <f>IF(AND(F162&lt;&gt;"",N10&gt;0,M162&gt;N10),"Mot &gt; limite","")</f>
        <v/>
      </c>
      <c r="J162" s="110" t="str">
        <f>IF(K162="","",COUNTIF(K18:K162,"&lt;&gt;"))</f>
        <v/>
      </c>
      <c r="K162" s="111"/>
      <c r="L162" s="110" t="str">
        <f t="shared" si="22"/>
        <v/>
      </c>
      <c r="M162" s="80">
        <f>IF(OR(F162="",N10="",N10&lt;=0),"",IF(LEN(F162)&lt;=N10,LEN(F162),IFERROR(FIND("♦",SUBSTITUTE(LEFT(F162,N10)," ","♦",LEN(LEFT(F162,N10))-LEN(SUBSTITUTE(LEFT(F162,N10)," ","")))),FIND(" ",F162&amp;" ",N10+1)-1)))</f>
        <v>1</v>
      </c>
      <c r="N162" s="112">
        <f t="shared" si="23"/>
        <v>145</v>
      </c>
      <c r="O162" s="113" t="str">
        <f t="shared" si="24"/>
        <v>0</v>
      </c>
      <c r="P162" s="112">
        <f t="shared" si="25"/>
        <v>1</v>
      </c>
      <c r="Q162" s="112">
        <f t="shared" si="26"/>
        <v>1</v>
      </c>
      <c r="S162" s="3">
        <v>1</v>
      </c>
    </row>
    <row r="163" spans="2:19" ht="30" customHeight="1">
      <c r="B163" s="99" t="str">
        <f t="shared" si="18"/>
        <v/>
      </c>
      <c r="C163" s="99" t="str">
        <f t="shared" si="19"/>
        <v/>
      </c>
      <c r="D163" s="99" t="str">
        <f>IF(UPPER(TRIM(N11))="X",C163,B163)</f>
        <v/>
      </c>
      <c r="E163" s="99" cm="1">
        <f t="array" ref="E163">IF(H162&lt;&gt;"",E162,IF(E162="","",IFERROR(MATCH(TRUE(),INDEX(INDEX(K:K,E162+1):K203&lt;&gt;"",0),0)+E162,"")))</f>
        <v>304</v>
      </c>
      <c r="F163" s="99" cm="1">
        <f t="array" ref="F163">IF(E163="","",IF(H162&lt;&gt;"",H162,INDEX(D:D,E163)))</f>
        <v>0</v>
      </c>
      <c r="G163" s="99" t="str">
        <f t="shared" si="20"/>
        <v>0</v>
      </c>
      <c r="H163" s="109" t="str">
        <f t="shared" si="21"/>
        <v/>
      </c>
      <c r="I163" s="114" t="str">
        <f>IF(AND(F163&lt;&gt;"",N10&gt;0,M163&gt;N10),"Mot &gt; limite","")</f>
        <v/>
      </c>
      <c r="J163" s="110" t="str">
        <f>IF(K163="","",COUNTIF(K18:K163,"&lt;&gt;"))</f>
        <v/>
      </c>
      <c r="K163" s="111"/>
      <c r="L163" s="110" t="str">
        <f t="shared" si="22"/>
        <v/>
      </c>
      <c r="M163" s="80">
        <f>IF(OR(F163="",N10="",N10&lt;=0),"",IF(LEN(F163)&lt;=N10,LEN(F163),IFERROR(FIND("♦",SUBSTITUTE(LEFT(F163,N10)," ","♦",LEN(LEFT(F163,N10))-LEN(SUBSTITUTE(LEFT(F163,N10)," ","")))),FIND(" ",F163&amp;" ",N10+1)-1)))</f>
        <v>1</v>
      </c>
      <c r="N163" s="112">
        <f t="shared" si="23"/>
        <v>146</v>
      </c>
      <c r="O163" s="113" t="str">
        <f t="shared" si="24"/>
        <v>0</v>
      </c>
      <c r="P163" s="112">
        <f t="shared" si="25"/>
        <v>1</v>
      </c>
      <c r="Q163" s="112">
        <f t="shared" si="26"/>
        <v>1</v>
      </c>
      <c r="S163" s="3">
        <v>1</v>
      </c>
    </row>
    <row r="164" spans="2:19" ht="30" customHeight="1">
      <c r="B164" s="99" t="str">
        <f t="shared" si="18"/>
        <v/>
      </c>
      <c r="C164" s="99" t="str">
        <f t="shared" si="19"/>
        <v/>
      </c>
      <c r="D164" s="99" t="str">
        <f>IF(UPPER(TRIM(N11))="X",C164,B164)</f>
        <v/>
      </c>
      <c r="E164" s="99" cm="1">
        <f t="array" ref="E164">IF(H163&lt;&gt;"",E163,IF(E163="","",IFERROR(MATCH(TRUE(),INDEX(INDEX(K:K,E163+1):K203&lt;&gt;"",0),0)+E163,"")))</f>
        <v>305</v>
      </c>
      <c r="F164" s="99" cm="1">
        <f t="array" ref="F164">IF(E164="","",IF(H163&lt;&gt;"",H163,INDEX(D:D,E164)))</f>
        <v>0</v>
      </c>
      <c r="G164" s="99" t="str">
        <f t="shared" si="20"/>
        <v>0</v>
      </c>
      <c r="H164" s="109" t="str">
        <f t="shared" si="21"/>
        <v/>
      </c>
      <c r="I164" s="114" t="str">
        <f>IF(AND(F164&lt;&gt;"",N10&gt;0,M164&gt;N10),"Mot &gt; limite","")</f>
        <v/>
      </c>
      <c r="J164" s="110" t="str">
        <f>IF(K164="","",COUNTIF(K18:K164,"&lt;&gt;"))</f>
        <v/>
      </c>
      <c r="K164" s="111"/>
      <c r="L164" s="110" t="str">
        <f t="shared" si="22"/>
        <v/>
      </c>
      <c r="M164" s="80">
        <f>IF(OR(F164="",N10="",N10&lt;=0),"",IF(LEN(F164)&lt;=N10,LEN(F164),IFERROR(FIND("♦",SUBSTITUTE(LEFT(F164,N10)," ","♦",LEN(LEFT(F164,N10))-LEN(SUBSTITUTE(LEFT(F164,N10)," ","")))),FIND(" ",F164&amp;" ",N10+1)-1)))</f>
        <v>1</v>
      </c>
      <c r="N164" s="112">
        <f t="shared" si="23"/>
        <v>147</v>
      </c>
      <c r="O164" s="113" t="str">
        <f t="shared" si="24"/>
        <v>0</v>
      </c>
      <c r="P164" s="112">
        <f t="shared" si="25"/>
        <v>1</v>
      </c>
      <c r="Q164" s="112">
        <f t="shared" si="26"/>
        <v>1</v>
      </c>
      <c r="S164" s="3">
        <v>1</v>
      </c>
    </row>
    <row r="165" spans="2:19" ht="30" customHeight="1">
      <c r="B165" s="99" t="str">
        <f t="shared" si="18"/>
        <v/>
      </c>
      <c r="C165" s="99" t="str">
        <f t="shared" si="19"/>
        <v/>
      </c>
      <c r="D165" s="99" t="str">
        <f>IF(UPPER(TRIM(N11))="X",C165,B165)</f>
        <v/>
      </c>
      <c r="E165" s="99" cm="1">
        <f t="array" ref="E165">IF(H164&lt;&gt;"",E164,IF(E164="","",IFERROR(MATCH(TRUE(),INDEX(INDEX(K:K,E164+1):K203&lt;&gt;"",0),0)+E164,"")))</f>
        <v>306</v>
      </c>
      <c r="F165" s="99" cm="1">
        <f t="array" ref="F165">IF(E165="","",IF(H164&lt;&gt;"",H164,INDEX(D:D,E165)))</f>
        <v>0</v>
      </c>
      <c r="G165" s="99" t="str">
        <f t="shared" si="20"/>
        <v>0</v>
      </c>
      <c r="H165" s="109" t="str">
        <f t="shared" si="21"/>
        <v/>
      </c>
      <c r="I165" s="114" t="str">
        <f>IF(AND(F165&lt;&gt;"",N10&gt;0,M165&gt;N10),"Mot &gt; limite","")</f>
        <v/>
      </c>
      <c r="J165" s="110" t="str">
        <f>IF(K165="","",COUNTIF(K18:K165,"&lt;&gt;"))</f>
        <v/>
      </c>
      <c r="K165" s="111"/>
      <c r="L165" s="110" t="str">
        <f t="shared" si="22"/>
        <v/>
      </c>
      <c r="M165" s="80">
        <f>IF(OR(F165="",N10="",N10&lt;=0),"",IF(LEN(F165)&lt;=N10,LEN(F165),IFERROR(FIND("♦",SUBSTITUTE(LEFT(F165,N10)," ","♦",LEN(LEFT(F165,N10))-LEN(SUBSTITUTE(LEFT(F165,N10)," ","")))),FIND(" ",F165&amp;" ",N10+1)-1)))</f>
        <v>1</v>
      </c>
      <c r="N165" s="112">
        <f t="shared" si="23"/>
        <v>148</v>
      </c>
      <c r="O165" s="113" t="str">
        <f t="shared" si="24"/>
        <v>0</v>
      </c>
      <c r="P165" s="112">
        <f t="shared" si="25"/>
        <v>1</v>
      </c>
      <c r="Q165" s="112">
        <f t="shared" si="26"/>
        <v>1</v>
      </c>
      <c r="S165" s="3">
        <v>1</v>
      </c>
    </row>
    <row r="166" spans="2:19" ht="30" customHeight="1">
      <c r="B166" s="99" t="str">
        <f t="shared" si="18"/>
        <v/>
      </c>
      <c r="C166" s="99" t="str">
        <f t="shared" si="19"/>
        <v/>
      </c>
      <c r="D166" s="99" t="str">
        <f>IF(UPPER(TRIM(N11))="X",C166,B166)</f>
        <v/>
      </c>
      <c r="E166" s="99" cm="1">
        <f t="array" ref="E166">IF(H165&lt;&gt;"",E165,IF(E165="","",IFERROR(MATCH(TRUE(),INDEX(INDEX(K:K,E165+1):K203&lt;&gt;"",0),0)+E165,"")))</f>
        <v>307</v>
      </c>
      <c r="F166" s="99" cm="1">
        <f t="array" ref="F166">IF(E166="","",IF(H165&lt;&gt;"",H165,INDEX(D:D,E166)))</f>
        <v>0</v>
      </c>
      <c r="G166" s="99" t="str">
        <f t="shared" si="20"/>
        <v>0</v>
      </c>
      <c r="H166" s="109" t="str">
        <f t="shared" si="21"/>
        <v/>
      </c>
      <c r="I166" s="114" t="str">
        <f>IF(AND(F166&lt;&gt;"",N10&gt;0,M166&gt;N10),"Mot &gt; limite","")</f>
        <v/>
      </c>
      <c r="J166" s="110" t="str">
        <f>IF(K166="","",COUNTIF(K18:K166,"&lt;&gt;"))</f>
        <v/>
      </c>
      <c r="K166" s="111"/>
      <c r="L166" s="110" t="str">
        <f t="shared" si="22"/>
        <v/>
      </c>
      <c r="M166" s="80">
        <f>IF(OR(F166="",N10="",N10&lt;=0),"",IF(LEN(F166)&lt;=N10,LEN(F166),IFERROR(FIND("♦",SUBSTITUTE(LEFT(F166,N10)," ","♦",LEN(LEFT(F166,N10))-LEN(SUBSTITUTE(LEFT(F166,N10)," ","")))),FIND(" ",F166&amp;" ",N10+1)-1)))</f>
        <v>1</v>
      </c>
      <c r="N166" s="112">
        <f t="shared" si="23"/>
        <v>149</v>
      </c>
      <c r="O166" s="113" t="str">
        <f t="shared" si="24"/>
        <v>0</v>
      </c>
      <c r="P166" s="112">
        <f t="shared" si="25"/>
        <v>1</v>
      </c>
      <c r="Q166" s="112">
        <f t="shared" si="26"/>
        <v>1</v>
      </c>
      <c r="S166" s="3">
        <v>1</v>
      </c>
    </row>
    <row r="167" spans="2:19" ht="30" customHeight="1">
      <c r="B167" s="99" t="str">
        <f t="shared" si="18"/>
        <v/>
      </c>
      <c r="C167" s="99" t="str">
        <f t="shared" si="19"/>
        <v/>
      </c>
      <c r="D167" s="99" t="str">
        <f>IF(UPPER(TRIM(N11))="X",C167,B167)</f>
        <v/>
      </c>
      <c r="E167" s="99" cm="1">
        <f t="array" ref="E167">IF(H166&lt;&gt;"",E166,IF(E166="","",IFERROR(MATCH(TRUE(),INDEX(INDEX(K:K,E166+1):K203&lt;&gt;"",0),0)+E166,"")))</f>
        <v>308</v>
      </c>
      <c r="F167" s="99" cm="1">
        <f t="array" ref="F167">IF(E167="","",IF(H166&lt;&gt;"",H166,INDEX(D:D,E167)))</f>
        <v>0</v>
      </c>
      <c r="G167" s="99" t="str">
        <f t="shared" si="20"/>
        <v>0</v>
      </c>
      <c r="H167" s="109" t="str">
        <f t="shared" si="21"/>
        <v/>
      </c>
      <c r="I167" s="114" t="str">
        <f>IF(AND(F167&lt;&gt;"",N10&gt;0,M167&gt;N10),"Mot &gt; limite","")</f>
        <v/>
      </c>
      <c r="J167" s="110" t="str">
        <f>IF(K167="","",COUNTIF(K18:K167,"&lt;&gt;"))</f>
        <v/>
      </c>
      <c r="K167" s="111"/>
      <c r="L167" s="110" t="str">
        <f t="shared" si="22"/>
        <v/>
      </c>
      <c r="M167" s="80">
        <f>IF(OR(F167="",N10="",N10&lt;=0),"",IF(LEN(F167)&lt;=N10,LEN(F167),IFERROR(FIND("♦",SUBSTITUTE(LEFT(F167,N10)," ","♦",LEN(LEFT(F167,N10))-LEN(SUBSTITUTE(LEFT(F167,N10)," ","")))),FIND(" ",F167&amp;" ",N10+1)-1)))</f>
        <v>1</v>
      </c>
      <c r="N167" s="112">
        <f t="shared" si="23"/>
        <v>150</v>
      </c>
      <c r="O167" s="113" t="str">
        <f t="shared" si="24"/>
        <v>0</v>
      </c>
      <c r="P167" s="112">
        <f t="shared" si="25"/>
        <v>1</v>
      </c>
      <c r="Q167" s="112">
        <f t="shared" si="26"/>
        <v>1</v>
      </c>
      <c r="S167" s="3">
        <v>1</v>
      </c>
    </row>
    <row r="168" spans="2:19" ht="30" customHeight="1">
      <c r="B168" s="99" t="str">
        <f t="shared" si="18"/>
        <v/>
      </c>
      <c r="C168" s="99" t="str">
        <f t="shared" si="19"/>
        <v/>
      </c>
      <c r="D168" s="99" t="str">
        <f>IF(UPPER(TRIM(N11))="X",C168,B168)</f>
        <v/>
      </c>
      <c r="E168" s="99" cm="1">
        <f t="array" ref="E168">IF(H167&lt;&gt;"",E167,IF(E167="","",IFERROR(MATCH(TRUE(),INDEX(INDEX(K:K,E167+1):K203&lt;&gt;"",0),0)+E167,"")))</f>
        <v>309</v>
      </c>
      <c r="F168" s="99" cm="1">
        <f t="array" ref="F168">IF(E168="","",IF(H167&lt;&gt;"",H167,INDEX(D:D,E168)))</f>
        <v>0</v>
      </c>
      <c r="G168" s="99" t="str">
        <f t="shared" si="20"/>
        <v>0</v>
      </c>
      <c r="H168" s="109" t="str">
        <f t="shared" si="21"/>
        <v/>
      </c>
      <c r="I168" s="114" t="str">
        <f>IF(AND(F168&lt;&gt;"",N10&gt;0,M168&gt;N10),"Mot &gt; limite","")</f>
        <v/>
      </c>
      <c r="J168" s="110" t="str">
        <f>IF(K168="","",COUNTIF(K18:K168,"&lt;&gt;"))</f>
        <v/>
      </c>
      <c r="K168" s="111"/>
      <c r="L168" s="110" t="str">
        <f t="shared" si="22"/>
        <v/>
      </c>
      <c r="M168" s="80">
        <f>IF(OR(F168="",N10="",N10&lt;=0),"",IF(LEN(F168)&lt;=N10,LEN(F168),IFERROR(FIND("♦",SUBSTITUTE(LEFT(F168,N10)," ","♦",LEN(LEFT(F168,N10))-LEN(SUBSTITUTE(LEFT(F168,N10)," ","")))),FIND(" ",F168&amp;" ",N10+1)-1)))</f>
        <v>1</v>
      </c>
      <c r="N168" s="112">
        <f t="shared" si="23"/>
        <v>151</v>
      </c>
      <c r="O168" s="113" t="str">
        <f t="shared" si="24"/>
        <v>0</v>
      </c>
      <c r="P168" s="112">
        <f t="shared" si="25"/>
        <v>1</v>
      </c>
      <c r="Q168" s="112">
        <f t="shared" si="26"/>
        <v>1</v>
      </c>
      <c r="S168" s="3">
        <v>1</v>
      </c>
    </row>
    <row r="169" spans="2:19" ht="30" customHeight="1">
      <c r="B169" s="99" t="str">
        <f t="shared" si="18"/>
        <v/>
      </c>
      <c r="C169" s="99" t="str">
        <f t="shared" si="19"/>
        <v/>
      </c>
      <c r="D169" s="99" t="str">
        <f>IF(UPPER(TRIM(N11))="X",C169,B169)</f>
        <v/>
      </c>
      <c r="E169" s="99" cm="1">
        <f t="array" ref="E169">IF(H168&lt;&gt;"",E168,IF(E168="","",IFERROR(MATCH(TRUE(),INDEX(INDEX(K:K,E168+1):K203&lt;&gt;"",0),0)+E168,"")))</f>
        <v>310</v>
      </c>
      <c r="F169" s="99" cm="1">
        <f t="array" ref="F169">IF(E169="","",IF(H168&lt;&gt;"",H168,INDEX(D:D,E169)))</f>
        <v>0</v>
      </c>
      <c r="G169" s="99" t="str">
        <f t="shared" si="20"/>
        <v>0</v>
      </c>
      <c r="H169" s="109" t="str">
        <f t="shared" si="21"/>
        <v/>
      </c>
      <c r="I169" s="114" t="str">
        <f>IF(AND(F169&lt;&gt;"",N10&gt;0,M169&gt;N10),"Mot &gt; limite","")</f>
        <v/>
      </c>
      <c r="J169" s="110" t="str">
        <f>IF(K169="","",COUNTIF(K18:K169,"&lt;&gt;"))</f>
        <v/>
      </c>
      <c r="K169" s="111"/>
      <c r="L169" s="110" t="str">
        <f t="shared" si="22"/>
        <v/>
      </c>
      <c r="M169" s="80">
        <f>IF(OR(F169="",N10="",N10&lt;=0),"",IF(LEN(F169)&lt;=N10,LEN(F169),IFERROR(FIND("♦",SUBSTITUTE(LEFT(F169,N10)," ","♦",LEN(LEFT(F169,N10))-LEN(SUBSTITUTE(LEFT(F169,N10)," ","")))),FIND(" ",F169&amp;" ",N10+1)-1)))</f>
        <v>1</v>
      </c>
      <c r="N169" s="112">
        <f t="shared" si="23"/>
        <v>152</v>
      </c>
      <c r="O169" s="113" t="str">
        <f t="shared" si="24"/>
        <v>0</v>
      </c>
      <c r="P169" s="112">
        <f t="shared" si="25"/>
        <v>1</v>
      </c>
      <c r="Q169" s="112">
        <f t="shared" si="26"/>
        <v>1</v>
      </c>
      <c r="S169" s="3">
        <v>1</v>
      </c>
    </row>
    <row r="170" spans="2:19" ht="30" customHeight="1">
      <c r="B170" s="99" t="str">
        <f t="shared" si="18"/>
        <v/>
      </c>
      <c r="C170" s="99" t="str">
        <f t="shared" si="19"/>
        <v/>
      </c>
      <c r="D170" s="99" t="str">
        <f>IF(UPPER(TRIM(N11))="X",C170,B170)</f>
        <v/>
      </c>
      <c r="E170" s="99" cm="1">
        <f t="array" ref="E170">IF(H169&lt;&gt;"",E169,IF(E169="","",IFERROR(MATCH(TRUE(),INDEX(INDEX(K:K,E169+1):K203&lt;&gt;"",0),0)+E169,"")))</f>
        <v>311</v>
      </c>
      <c r="F170" s="99" cm="1">
        <f t="array" ref="F170">IF(E170="","",IF(H169&lt;&gt;"",H169,INDEX(D:D,E170)))</f>
        <v>0</v>
      </c>
      <c r="G170" s="99" t="str">
        <f t="shared" si="20"/>
        <v>0</v>
      </c>
      <c r="H170" s="109" t="str">
        <f t="shared" si="21"/>
        <v/>
      </c>
      <c r="I170" s="114" t="str">
        <f>IF(AND(F170&lt;&gt;"",N10&gt;0,M170&gt;N10),"Mot &gt; limite","")</f>
        <v/>
      </c>
      <c r="J170" s="110" t="str">
        <f>IF(K170="","",COUNTIF(K18:K170,"&lt;&gt;"))</f>
        <v/>
      </c>
      <c r="K170" s="111"/>
      <c r="L170" s="110" t="str">
        <f t="shared" si="22"/>
        <v/>
      </c>
      <c r="M170" s="80">
        <f>IF(OR(F170="",N10="",N10&lt;=0),"",IF(LEN(F170)&lt;=N10,LEN(F170),IFERROR(FIND("♦",SUBSTITUTE(LEFT(F170,N10)," ","♦",LEN(LEFT(F170,N10))-LEN(SUBSTITUTE(LEFT(F170,N10)," ","")))),FIND(" ",F170&amp;" ",N10+1)-1)))</f>
        <v>1</v>
      </c>
      <c r="N170" s="112">
        <f t="shared" si="23"/>
        <v>153</v>
      </c>
      <c r="O170" s="113" t="str">
        <f t="shared" si="24"/>
        <v>0</v>
      </c>
      <c r="P170" s="112">
        <f t="shared" si="25"/>
        <v>1</v>
      </c>
      <c r="Q170" s="112">
        <f t="shared" si="26"/>
        <v>1</v>
      </c>
      <c r="S170" s="3">
        <v>1</v>
      </c>
    </row>
    <row r="171" spans="2:19" ht="30" customHeight="1">
      <c r="B171" s="99" t="str">
        <f t="shared" si="18"/>
        <v/>
      </c>
      <c r="C171" s="99" t="str">
        <f t="shared" si="19"/>
        <v/>
      </c>
      <c r="D171" s="99" t="str">
        <f>IF(UPPER(TRIM(N11))="X",C171,B171)</f>
        <v/>
      </c>
      <c r="E171" s="99" cm="1">
        <f t="array" ref="E171">IF(H170&lt;&gt;"",E170,IF(E170="","",IFERROR(MATCH(TRUE(),INDEX(INDEX(K:K,E170+1):K203&lt;&gt;"",0),0)+E170,"")))</f>
        <v>312</v>
      </c>
      <c r="F171" s="99" cm="1">
        <f t="array" ref="F171">IF(E171="","",IF(H170&lt;&gt;"",H170,INDEX(D:D,E171)))</f>
        <v>0</v>
      </c>
      <c r="G171" s="99" t="str">
        <f t="shared" si="20"/>
        <v>0</v>
      </c>
      <c r="H171" s="109" t="str">
        <f t="shared" si="21"/>
        <v/>
      </c>
      <c r="I171" s="114" t="str">
        <f>IF(AND(F171&lt;&gt;"",N10&gt;0,M171&gt;N10),"Mot &gt; limite","")</f>
        <v/>
      </c>
      <c r="J171" s="110" t="str">
        <f>IF(K171="","",COUNTIF(K18:K171,"&lt;&gt;"))</f>
        <v/>
      </c>
      <c r="K171" s="111"/>
      <c r="L171" s="110" t="str">
        <f t="shared" si="22"/>
        <v/>
      </c>
      <c r="M171" s="80">
        <f>IF(OR(F171="",N10="",N10&lt;=0),"",IF(LEN(F171)&lt;=N10,LEN(F171),IFERROR(FIND("♦",SUBSTITUTE(LEFT(F171,N10)," ","♦",LEN(LEFT(F171,N10))-LEN(SUBSTITUTE(LEFT(F171,N10)," ","")))),FIND(" ",F171&amp;" ",N10+1)-1)))</f>
        <v>1</v>
      </c>
      <c r="N171" s="112">
        <f t="shared" si="23"/>
        <v>154</v>
      </c>
      <c r="O171" s="113" t="str">
        <f t="shared" si="24"/>
        <v>0</v>
      </c>
      <c r="P171" s="112">
        <f t="shared" si="25"/>
        <v>1</v>
      </c>
      <c r="Q171" s="112">
        <f t="shared" si="26"/>
        <v>1</v>
      </c>
      <c r="S171" s="3">
        <v>1</v>
      </c>
    </row>
    <row r="172" spans="2:19" ht="30" customHeight="1">
      <c r="B172" s="99" t="str">
        <f t="shared" si="18"/>
        <v/>
      </c>
      <c r="C172" s="99" t="str">
        <f t="shared" si="19"/>
        <v/>
      </c>
      <c r="D172" s="99" t="str">
        <f>IF(UPPER(TRIM(N11))="X",C172,B172)</f>
        <v/>
      </c>
      <c r="E172" s="99" cm="1">
        <f t="array" ref="E172">IF(H171&lt;&gt;"",E171,IF(E171="","",IFERROR(MATCH(TRUE(),INDEX(INDEX(K:K,E171+1):K203&lt;&gt;"",0),0)+E171,"")))</f>
        <v>313</v>
      </c>
      <c r="F172" s="99" cm="1">
        <f t="array" ref="F172">IF(E172="","",IF(H171&lt;&gt;"",H171,INDEX(D:D,E172)))</f>
        <v>0</v>
      </c>
      <c r="G172" s="99" t="str">
        <f t="shared" si="20"/>
        <v>0</v>
      </c>
      <c r="H172" s="109" t="str">
        <f t="shared" si="21"/>
        <v/>
      </c>
      <c r="I172" s="114" t="str">
        <f>IF(AND(F172&lt;&gt;"",N10&gt;0,M172&gt;N10),"Mot &gt; limite","")</f>
        <v/>
      </c>
      <c r="J172" s="110" t="str">
        <f>IF(K172="","",COUNTIF(K18:K172,"&lt;&gt;"))</f>
        <v/>
      </c>
      <c r="K172" s="111"/>
      <c r="L172" s="110" t="str">
        <f t="shared" si="22"/>
        <v/>
      </c>
      <c r="M172" s="80">
        <f>IF(OR(F172="",N10="",N10&lt;=0),"",IF(LEN(F172)&lt;=N10,LEN(F172),IFERROR(FIND("♦",SUBSTITUTE(LEFT(F172,N10)," ","♦",LEN(LEFT(F172,N10))-LEN(SUBSTITUTE(LEFT(F172,N10)," ","")))),FIND(" ",F172&amp;" ",N10+1)-1)))</f>
        <v>1</v>
      </c>
      <c r="N172" s="112">
        <f t="shared" si="23"/>
        <v>155</v>
      </c>
      <c r="O172" s="113" t="str">
        <f t="shared" si="24"/>
        <v>0</v>
      </c>
      <c r="P172" s="112">
        <f t="shared" si="25"/>
        <v>1</v>
      </c>
      <c r="Q172" s="112">
        <f t="shared" si="26"/>
        <v>1</v>
      </c>
      <c r="S172" s="3">
        <v>1</v>
      </c>
    </row>
    <row r="173" spans="2:19" ht="30" customHeight="1">
      <c r="B173" s="99" t="str">
        <f t="shared" si="18"/>
        <v/>
      </c>
      <c r="C173" s="99" t="str">
        <f t="shared" si="19"/>
        <v/>
      </c>
      <c r="D173" s="99" t="str">
        <f>IF(UPPER(TRIM(N11))="X",C173,B173)</f>
        <v/>
      </c>
      <c r="E173" s="99" cm="1">
        <f t="array" ref="E173">IF(H172&lt;&gt;"",E172,IF(E172="","",IFERROR(MATCH(TRUE(),INDEX(INDEX(K:K,E172+1):K203&lt;&gt;"",0),0)+E172,"")))</f>
        <v>314</v>
      </c>
      <c r="F173" s="99" cm="1">
        <f t="array" ref="F173">IF(E173="","",IF(H172&lt;&gt;"",H172,INDEX(D:D,E173)))</f>
        <v>0</v>
      </c>
      <c r="G173" s="99" t="str">
        <f t="shared" si="20"/>
        <v>0</v>
      </c>
      <c r="H173" s="109" t="str">
        <f t="shared" si="21"/>
        <v/>
      </c>
      <c r="I173" s="114" t="str">
        <f>IF(AND(F173&lt;&gt;"",N10&gt;0,M173&gt;N10),"Mot &gt; limite","")</f>
        <v/>
      </c>
      <c r="J173" s="110" t="str">
        <f>IF(K173="","",COUNTIF(K18:K173,"&lt;&gt;"))</f>
        <v/>
      </c>
      <c r="K173" s="111"/>
      <c r="L173" s="110" t="str">
        <f t="shared" si="22"/>
        <v/>
      </c>
      <c r="M173" s="80">
        <f>IF(OR(F173="",N10="",N10&lt;=0),"",IF(LEN(F173)&lt;=N10,LEN(F173),IFERROR(FIND("♦",SUBSTITUTE(LEFT(F173,N10)," ","♦",LEN(LEFT(F173,N10))-LEN(SUBSTITUTE(LEFT(F173,N10)," ","")))),FIND(" ",F173&amp;" ",N10+1)-1)))</f>
        <v>1</v>
      </c>
      <c r="N173" s="112">
        <f t="shared" si="23"/>
        <v>156</v>
      </c>
      <c r="O173" s="113" t="str">
        <f t="shared" si="24"/>
        <v>0</v>
      </c>
      <c r="P173" s="112">
        <f t="shared" si="25"/>
        <v>1</v>
      </c>
      <c r="Q173" s="112">
        <f t="shared" si="26"/>
        <v>1</v>
      </c>
      <c r="S173" s="3">
        <v>1</v>
      </c>
    </row>
    <row r="174" spans="2:19" ht="30" customHeight="1">
      <c r="B174" s="99" t="str">
        <f t="shared" si="18"/>
        <v/>
      </c>
      <c r="C174" s="99" t="str">
        <f t="shared" si="19"/>
        <v/>
      </c>
      <c r="D174" s="99" t="str">
        <f>IF(UPPER(TRIM(N11))="X",C174,B174)</f>
        <v/>
      </c>
      <c r="E174" s="99" cm="1">
        <f t="array" ref="E174">IF(H173&lt;&gt;"",E173,IF(E173="","",IFERROR(MATCH(TRUE(),INDEX(INDEX(K:K,E173+1):K203&lt;&gt;"",0),0)+E173,"")))</f>
        <v>315</v>
      </c>
      <c r="F174" s="99" cm="1">
        <f t="array" ref="F174">IF(E174="","",IF(H173&lt;&gt;"",H173,INDEX(D:D,E174)))</f>
        <v>0</v>
      </c>
      <c r="G174" s="99" t="str">
        <f t="shared" si="20"/>
        <v>0</v>
      </c>
      <c r="H174" s="109" t="str">
        <f t="shared" si="21"/>
        <v/>
      </c>
      <c r="I174" s="114" t="str">
        <f>IF(AND(F174&lt;&gt;"",N10&gt;0,M174&gt;N10),"Mot &gt; limite","")</f>
        <v/>
      </c>
      <c r="J174" s="110" t="str">
        <f>IF(K174="","",COUNTIF(K18:K174,"&lt;&gt;"))</f>
        <v/>
      </c>
      <c r="K174" s="111"/>
      <c r="L174" s="110" t="str">
        <f t="shared" si="22"/>
        <v/>
      </c>
      <c r="M174" s="80">
        <f>IF(OR(F174="",N10="",N10&lt;=0),"",IF(LEN(F174)&lt;=N10,LEN(F174),IFERROR(FIND("♦",SUBSTITUTE(LEFT(F174,N10)," ","♦",LEN(LEFT(F174,N10))-LEN(SUBSTITUTE(LEFT(F174,N10)," ","")))),FIND(" ",F174&amp;" ",N10+1)-1)))</f>
        <v>1</v>
      </c>
      <c r="N174" s="112">
        <f t="shared" si="23"/>
        <v>157</v>
      </c>
      <c r="O174" s="113" t="str">
        <f t="shared" si="24"/>
        <v>0</v>
      </c>
      <c r="P174" s="112">
        <f t="shared" si="25"/>
        <v>1</v>
      </c>
      <c r="Q174" s="112">
        <f t="shared" si="26"/>
        <v>1</v>
      </c>
      <c r="S174" s="3">
        <v>1</v>
      </c>
    </row>
    <row r="175" spans="2:19" ht="30" customHeight="1">
      <c r="B175" s="99" t="str">
        <f t="shared" si="18"/>
        <v/>
      </c>
      <c r="C175" s="99" t="str">
        <f t="shared" si="19"/>
        <v/>
      </c>
      <c r="D175" s="99" t="str">
        <f>IF(UPPER(TRIM(N11))="X",C175,B175)</f>
        <v/>
      </c>
      <c r="E175" s="99" cm="1">
        <f t="array" ref="E175">IF(H174&lt;&gt;"",E174,IF(E174="","",IFERROR(MATCH(TRUE(),INDEX(INDEX(K:K,E174+1):K203&lt;&gt;"",0),0)+E174,"")))</f>
        <v>316</v>
      </c>
      <c r="F175" s="99" cm="1">
        <f t="array" ref="F175">IF(E175="","",IF(H174&lt;&gt;"",H174,INDEX(D:D,E175)))</f>
        <v>0</v>
      </c>
      <c r="G175" s="99" t="str">
        <f t="shared" si="20"/>
        <v>0</v>
      </c>
      <c r="H175" s="109" t="str">
        <f t="shared" si="21"/>
        <v/>
      </c>
      <c r="I175" s="114" t="str">
        <f>IF(AND(F175&lt;&gt;"",N10&gt;0,M175&gt;N10),"Mot &gt; limite","")</f>
        <v/>
      </c>
      <c r="J175" s="110" t="str">
        <f>IF(K175="","",COUNTIF(K18:K175,"&lt;&gt;"))</f>
        <v/>
      </c>
      <c r="K175" s="111"/>
      <c r="L175" s="110" t="str">
        <f t="shared" si="22"/>
        <v/>
      </c>
      <c r="M175" s="80">
        <f>IF(OR(F175="",N10="",N10&lt;=0),"",IF(LEN(F175)&lt;=N10,LEN(F175),IFERROR(FIND("♦",SUBSTITUTE(LEFT(F175,N10)," ","♦",LEN(LEFT(F175,N10))-LEN(SUBSTITUTE(LEFT(F175,N10)," ","")))),FIND(" ",F175&amp;" ",N10+1)-1)))</f>
        <v>1</v>
      </c>
      <c r="N175" s="112">
        <f t="shared" si="23"/>
        <v>158</v>
      </c>
      <c r="O175" s="113" t="str">
        <f t="shared" si="24"/>
        <v>0</v>
      </c>
      <c r="P175" s="112">
        <f t="shared" si="25"/>
        <v>1</v>
      </c>
      <c r="Q175" s="112">
        <f t="shared" si="26"/>
        <v>1</v>
      </c>
      <c r="S175" s="3">
        <v>1</v>
      </c>
    </row>
    <row r="176" spans="2:19" ht="30" customHeight="1">
      <c r="B176" s="99" t="str">
        <f t="shared" si="18"/>
        <v/>
      </c>
      <c r="C176" s="99" t="str">
        <f t="shared" si="19"/>
        <v/>
      </c>
      <c r="D176" s="99" t="str">
        <f>IF(UPPER(TRIM(N11))="X",C176,B176)</f>
        <v/>
      </c>
      <c r="E176" s="99" cm="1">
        <f t="array" ref="E176">IF(H175&lt;&gt;"",E175,IF(E175="","",IFERROR(MATCH(TRUE(),INDEX(INDEX(K:K,E175+1):K203&lt;&gt;"",0),0)+E175,"")))</f>
        <v>317</v>
      </c>
      <c r="F176" s="99" cm="1">
        <f t="array" ref="F176">IF(E176="","",IF(H175&lt;&gt;"",H175,INDEX(D:D,E176)))</f>
        <v>0</v>
      </c>
      <c r="G176" s="99" t="str">
        <f t="shared" si="20"/>
        <v>0</v>
      </c>
      <c r="H176" s="109" t="str">
        <f t="shared" si="21"/>
        <v/>
      </c>
      <c r="I176" s="114" t="str">
        <f>IF(AND(F176&lt;&gt;"",N10&gt;0,M176&gt;N10),"Mot &gt; limite","")</f>
        <v/>
      </c>
      <c r="J176" s="110" t="str">
        <f>IF(K176="","",COUNTIF(K18:K176,"&lt;&gt;"))</f>
        <v/>
      </c>
      <c r="K176" s="111"/>
      <c r="L176" s="110" t="str">
        <f t="shared" si="22"/>
        <v/>
      </c>
      <c r="M176" s="80">
        <f>IF(OR(F176="",N10="",N10&lt;=0),"",IF(LEN(F176)&lt;=N10,LEN(F176),IFERROR(FIND("♦",SUBSTITUTE(LEFT(F176,N10)," ","♦",LEN(LEFT(F176,N10))-LEN(SUBSTITUTE(LEFT(F176,N10)," ","")))),FIND(" ",F176&amp;" ",N10+1)-1)))</f>
        <v>1</v>
      </c>
      <c r="N176" s="112">
        <f t="shared" si="23"/>
        <v>159</v>
      </c>
      <c r="O176" s="113" t="str">
        <f t="shared" si="24"/>
        <v>0</v>
      </c>
      <c r="P176" s="112">
        <f t="shared" si="25"/>
        <v>1</v>
      </c>
      <c r="Q176" s="112">
        <f t="shared" si="26"/>
        <v>1</v>
      </c>
      <c r="S176" s="3">
        <v>1</v>
      </c>
    </row>
    <row r="177" spans="2:19" ht="30" customHeight="1">
      <c r="B177" s="99" t="str">
        <f t="shared" si="18"/>
        <v/>
      </c>
      <c r="C177" s="99" t="str">
        <f t="shared" si="19"/>
        <v/>
      </c>
      <c r="D177" s="99" t="str">
        <f>IF(UPPER(TRIM(N11))="X",C177,B177)</f>
        <v/>
      </c>
      <c r="E177" s="99" cm="1">
        <f t="array" ref="E177">IF(H176&lt;&gt;"",E176,IF(E176="","",IFERROR(MATCH(TRUE(),INDEX(INDEX(K:K,E176+1):K203&lt;&gt;"",0),0)+E176,"")))</f>
        <v>318</v>
      </c>
      <c r="F177" s="99" cm="1">
        <f t="array" ref="F177">IF(E177="","",IF(H176&lt;&gt;"",H176,INDEX(D:D,E177)))</f>
        <v>0</v>
      </c>
      <c r="G177" s="99" t="str">
        <f t="shared" si="20"/>
        <v>0</v>
      </c>
      <c r="H177" s="109" t="str">
        <f t="shared" si="21"/>
        <v/>
      </c>
      <c r="I177" s="114" t="str">
        <f>IF(AND(F177&lt;&gt;"",N10&gt;0,M177&gt;N10),"Mot &gt; limite","")</f>
        <v/>
      </c>
      <c r="J177" s="110" t="str">
        <f>IF(K177="","",COUNTIF(K18:K177,"&lt;&gt;"))</f>
        <v/>
      </c>
      <c r="K177" s="111"/>
      <c r="L177" s="110" t="str">
        <f t="shared" si="22"/>
        <v/>
      </c>
      <c r="M177" s="80">
        <f>IF(OR(F177="",N10="",N10&lt;=0),"",IF(LEN(F177)&lt;=N10,LEN(F177),IFERROR(FIND("♦",SUBSTITUTE(LEFT(F177,N10)," ","♦",LEN(LEFT(F177,N10))-LEN(SUBSTITUTE(LEFT(F177,N10)," ","")))),FIND(" ",F177&amp;" ",N10+1)-1)))</f>
        <v>1</v>
      </c>
      <c r="N177" s="112">
        <f t="shared" si="23"/>
        <v>160</v>
      </c>
      <c r="O177" s="113" t="str">
        <f t="shared" si="24"/>
        <v>0</v>
      </c>
      <c r="P177" s="112">
        <f t="shared" si="25"/>
        <v>1</v>
      </c>
      <c r="Q177" s="112">
        <f t="shared" si="26"/>
        <v>1</v>
      </c>
      <c r="S177" s="3">
        <v>1</v>
      </c>
    </row>
    <row r="178" spans="2:19" ht="30" customHeight="1">
      <c r="B178" s="99" t="str">
        <f t="shared" si="18"/>
        <v/>
      </c>
      <c r="C178" s="99" t="str">
        <f t="shared" si="19"/>
        <v/>
      </c>
      <c r="D178" s="99" t="str">
        <f>IF(UPPER(TRIM(N11))="X",C178,B178)</f>
        <v/>
      </c>
      <c r="E178" s="99" cm="1">
        <f t="array" ref="E178">IF(H177&lt;&gt;"",E177,IF(E177="","",IFERROR(MATCH(TRUE(),INDEX(INDEX(K:K,E177+1):K203&lt;&gt;"",0),0)+E177,"")))</f>
        <v>319</v>
      </c>
      <c r="F178" s="99" cm="1">
        <f t="array" ref="F178">IF(E178="","",IF(H177&lt;&gt;"",H177,INDEX(D:D,E178)))</f>
        <v>0</v>
      </c>
      <c r="G178" s="99" t="str">
        <f t="shared" si="20"/>
        <v>0</v>
      </c>
      <c r="H178" s="109" t="str">
        <f t="shared" si="21"/>
        <v/>
      </c>
      <c r="I178" s="114" t="str">
        <f>IF(AND(F178&lt;&gt;"",N10&gt;0,M178&gt;N10),"Mot &gt; limite","")</f>
        <v/>
      </c>
      <c r="J178" s="110" t="str">
        <f>IF(K178="","",COUNTIF(K18:K178,"&lt;&gt;"))</f>
        <v/>
      </c>
      <c r="K178" s="111"/>
      <c r="L178" s="110" t="str">
        <f t="shared" si="22"/>
        <v/>
      </c>
      <c r="M178" s="80">
        <f>IF(OR(F178="",N10="",N10&lt;=0),"",IF(LEN(F178)&lt;=N10,LEN(F178),IFERROR(FIND("♦",SUBSTITUTE(LEFT(F178,N10)," ","♦",LEN(LEFT(F178,N10))-LEN(SUBSTITUTE(LEFT(F178,N10)," ","")))),FIND(" ",F178&amp;" ",N10+1)-1)))</f>
        <v>1</v>
      </c>
      <c r="N178" s="112">
        <f t="shared" si="23"/>
        <v>161</v>
      </c>
      <c r="O178" s="113" t="str">
        <f t="shared" si="24"/>
        <v>0</v>
      </c>
      <c r="P178" s="112">
        <f t="shared" si="25"/>
        <v>1</v>
      </c>
      <c r="Q178" s="112">
        <f t="shared" si="26"/>
        <v>1</v>
      </c>
      <c r="S178" s="3">
        <v>1</v>
      </c>
    </row>
    <row r="179" spans="2:19" ht="30" customHeight="1">
      <c r="B179" s="99" t="str">
        <f t="shared" si="18"/>
        <v/>
      </c>
      <c r="C179" s="99" t="str">
        <f t="shared" si="19"/>
        <v/>
      </c>
      <c r="D179" s="99" t="str">
        <f>IF(UPPER(TRIM(N11))="X",C179,B179)</f>
        <v/>
      </c>
      <c r="E179" s="99" cm="1">
        <f t="array" ref="E179">IF(H178&lt;&gt;"",E178,IF(E178="","",IFERROR(MATCH(TRUE(),INDEX(INDEX(K:K,E178+1):K203&lt;&gt;"",0),0)+E178,"")))</f>
        <v>320</v>
      </c>
      <c r="F179" s="99" cm="1">
        <f t="array" ref="F179">IF(E179="","",IF(H178&lt;&gt;"",H178,INDEX(D:D,E179)))</f>
        <v>0</v>
      </c>
      <c r="G179" s="99" t="str">
        <f t="shared" si="20"/>
        <v>0</v>
      </c>
      <c r="H179" s="109" t="str">
        <f t="shared" si="21"/>
        <v/>
      </c>
      <c r="I179" s="114" t="str">
        <f>IF(AND(F179&lt;&gt;"",N10&gt;0,M179&gt;N10),"Mot &gt; limite","")</f>
        <v/>
      </c>
      <c r="J179" s="110" t="str">
        <f>IF(K179="","",COUNTIF(K18:K179,"&lt;&gt;"))</f>
        <v/>
      </c>
      <c r="K179" s="111"/>
      <c r="L179" s="110" t="str">
        <f t="shared" si="22"/>
        <v/>
      </c>
      <c r="M179" s="80">
        <f>IF(OR(F179="",N10="",N10&lt;=0),"",IF(LEN(F179)&lt;=N10,LEN(F179),IFERROR(FIND("♦",SUBSTITUTE(LEFT(F179,N10)," ","♦",LEN(LEFT(F179,N10))-LEN(SUBSTITUTE(LEFT(F179,N10)," ","")))),FIND(" ",F179&amp;" ",N10+1)-1)))</f>
        <v>1</v>
      </c>
      <c r="N179" s="112">
        <f t="shared" si="23"/>
        <v>162</v>
      </c>
      <c r="O179" s="113" t="str">
        <f t="shared" si="24"/>
        <v>0</v>
      </c>
      <c r="P179" s="112">
        <f t="shared" si="25"/>
        <v>1</v>
      </c>
      <c r="Q179" s="112">
        <f t="shared" si="26"/>
        <v>1</v>
      </c>
      <c r="S179" s="3">
        <v>1</v>
      </c>
    </row>
    <row r="180" spans="2:19" ht="30" customHeight="1">
      <c r="B180" s="99" t="str">
        <f t="shared" si="18"/>
        <v/>
      </c>
      <c r="C180" s="99" t="str">
        <f t="shared" si="19"/>
        <v/>
      </c>
      <c r="D180" s="99" t="str">
        <f>IF(UPPER(TRIM(N11))="X",C180,B180)</f>
        <v/>
      </c>
      <c r="E180" s="99" cm="1">
        <f t="array" ref="E180">IF(H179&lt;&gt;"",E179,IF(E179="","",IFERROR(MATCH(TRUE(),INDEX(INDEX(K:K,E179+1):K203&lt;&gt;"",0),0)+E179,"")))</f>
        <v>321</v>
      </c>
      <c r="F180" s="99" cm="1">
        <f t="array" ref="F180">IF(E180="","",IF(H179&lt;&gt;"",H179,INDEX(D:D,E180)))</f>
        <v>0</v>
      </c>
      <c r="G180" s="99" t="str">
        <f t="shared" si="20"/>
        <v>0</v>
      </c>
      <c r="H180" s="109" t="str">
        <f t="shared" si="21"/>
        <v/>
      </c>
      <c r="I180" s="114" t="str">
        <f>IF(AND(F180&lt;&gt;"",N10&gt;0,M180&gt;N10),"Mot &gt; limite","")</f>
        <v/>
      </c>
      <c r="J180" s="110" t="str">
        <f>IF(K180="","",COUNTIF(K18:K180,"&lt;&gt;"))</f>
        <v/>
      </c>
      <c r="K180" s="111"/>
      <c r="L180" s="110" t="str">
        <f t="shared" si="22"/>
        <v/>
      </c>
      <c r="M180" s="80">
        <f>IF(OR(F180="",N10="",N10&lt;=0),"",IF(LEN(F180)&lt;=N10,LEN(F180),IFERROR(FIND("♦",SUBSTITUTE(LEFT(F180,N10)," ","♦",LEN(LEFT(F180,N10))-LEN(SUBSTITUTE(LEFT(F180,N10)," ","")))),FIND(" ",F180&amp;" ",N10+1)-1)))</f>
        <v>1</v>
      </c>
      <c r="N180" s="112">
        <f t="shared" si="23"/>
        <v>163</v>
      </c>
      <c r="O180" s="113" t="str">
        <f t="shared" si="24"/>
        <v>0</v>
      </c>
      <c r="P180" s="112">
        <f t="shared" si="25"/>
        <v>1</v>
      </c>
      <c r="Q180" s="112">
        <f t="shared" si="26"/>
        <v>1</v>
      </c>
      <c r="S180" s="3">
        <v>1</v>
      </c>
    </row>
    <row r="181" spans="2:19" ht="30" customHeight="1">
      <c r="B181" s="99" t="str">
        <f t="shared" si="18"/>
        <v/>
      </c>
      <c r="C181" s="99" t="str">
        <f t="shared" si="19"/>
        <v/>
      </c>
      <c r="D181" s="99" t="str">
        <f>IF(UPPER(TRIM(N11))="X",C181,B181)</f>
        <v/>
      </c>
      <c r="E181" s="99" cm="1">
        <f t="array" ref="E181">IF(H180&lt;&gt;"",E180,IF(E180="","",IFERROR(MATCH(TRUE(),INDEX(INDEX(K:K,E180+1):K203&lt;&gt;"",0),0)+E180,"")))</f>
        <v>322</v>
      </c>
      <c r="F181" s="99" cm="1">
        <f t="array" ref="F181">IF(E181="","",IF(H180&lt;&gt;"",H180,INDEX(D:D,E181)))</f>
        <v>0</v>
      </c>
      <c r="G181" s="99" t="str">
        <f t="shared" si="20"/>
        <v>0</v>
      </c>
      <c r="H181" s="109" t="str">
        <f t="shared" si="21"/>
        <v/>
      </c>
      <c r="I181" s="114" t="str">
        <f>IF(AND(F181&lt;&gt;"",N10&gt;0,M181&gt;N10),"Mot &gt; limite","")</f>
        <v/>
      </c>
      <c r="J181" s="110" t="str">
        <f>IF(K181="","",COUNTIF(K18:K181,"&lt;&gt;"))</f>
        <v/>
      </c>
      <c r="K181" s="111"/>
      <c r="L181" s="110" t="str">
        <f t="shared" si="22"/>
        <v/>
      </c>
      <c r="M181" s="80">
        <f>IF(OR(F181="",N10="",N10&lt;=0),"",IF(LEN(F181)&lt;=N10,LEN(F181),IFERROR(FIND("♦",SUBSTITUTE(LEFT(F181,N10)," ","♦",LEN(LEFT(F181,N10))-LEN(SUBSTITUTE(LEFT(F181,N10)," ","")))),FIND(" ",F181&amp;" ",N10+1)-1)))</f>
        <v>1</v>
      </c>
      <c r="N181" s="112">
        <f t="shared" si="23"/>
        <v>164</v>
      </c>
      <c r="O181" s="113" t="str">
        <f t="shared" si="24"/>
        <v>0</v>
      </c>
      <c r="P181" s="112">
        <f t="shared" si="25"/>
        <v>1</v>
      </c>
      <c r="Q181" s="112">
        <f t="shared" si="26"/>
        <v>1</v>
      </c>
      <c r="S181" s="3">
        <v>1</v>
      </c>
    </row>
    <row r="182" spans="2:19" ht="30" customHeight="1">
      <c r="B182" s="99" t="str">
        <f t="shared" si="18"/>
        <v/>
      </c>
      <c r="C182" s="99" t="str">
        <f t="shared" si="19"/>
        <v/>
      </c>
      <c r="D182" s="99" t="str">
        <f>IF(UPPER(TRIM(N11))="X",C182,B182)</f>
        <v/>
      </c>
      <c r="E182" s="99" cm="1">
        <f t="array" ref="E182">IF(H181&lt;&gt;"",E181,IF(E181="","",IFERROR(MATCH(TRUE(),INDEX(INDEX(K:K,E181+1):K203&lt;&gt;"",0),0)+E181,"")))</f>
        <v>323</v>
      </c>
      <c r="F182" s="99" cm="1">
        <f t="array" ref="F182">IF(E182="","",IF(H181&lt;&gt;"",H181,INDEX(D:D,E182)))</f>
        <v>0</v>
      </c>
      <c r="G182" s="99" t="str">
        <f t="shared" si="20"/>
        <v>0</v>
      </c>
      <c r="H182" s="109" t="str">
        <f t="shared" si="21"/>
        <v/>
      </c>
      <c r="I182" s="114" t="str">
        <f>IF(AND(F182&lt;&gt;"",N10&gt;0,M182&gt;N10),"Mot &gt; limite","")</f>
        <v/>
      </c>
      <c r="J182" s="110" t="str">
        <f>IF(K182="","",COUNTIF(K18:K182,"&lt;&gt;"))</f>
        <v/>
      </c>
      <c r="K182" s="111"/>
      <c r="L182" s="110" t="str">
        <f t="shared" si="22"/>
        <v/>
      </c>
      <c r="M182" s="80">
        <f>IF(OR(F182="",N10="",N10&lt;=0),"",IF(LEN(F182)&lt;=N10,LEN(F182),IFERROR(FIND("♦",SUBSTITUTE(LEFT(F182,N10)," ","♦",LEN(LEFT(F182,N10))-LEN(SUBSTITUTE(LEFT(F182,N10)," ","")))),FIND(" ",F182&amp;" ",N10+1)-1)))</f>
        <v>1</v>
      </c>
      <c r="N182" s="112">
        <f t="shared" si="23"/>
        <v>165</v>
      </c>
      <c r="O182" s="113" t="str">
        <f t="shared" si="24"/>
        <v>0</v>
      </c>
      <c r="P182" s="112">
        <f t="shared" si="25"/>
        <v>1</v>
      </c>
      <c r="Q182" s="112">
        <f t="shared" si="26"/>
        <v>1</v>
      </c>
      <c r="S182" s="3">
        <v>1</v>
      </c>
    </row>
    <row r="183" spans="2:19" ht="30" customHeight="1">
      <c r="B183" s="99" t="str">
        <f t="shared" si="18"/>
        <v/>
      </c>
      <c r="C183" s="99" t="str">
        <f t="shared" si="19"/>
        <v/>
      </c>
      <c r="D183" s="99" t="str">
        <f>IF(UPPER(TRIM(N11))="X",C183,B183)</f>
        <v/>
      </c>
      <c r="E183" s="99" cm="1">
        <f t="array" ref="E183">IF(H182&lt;&gt;"",E182,IF(E182="","",IFERROR(MATCH(TRUE(),INDEX(INDEX(K:K,E182+1):K203&lt;&gt;"",0),0)+E182,"")))</f>
        <v>324</v>
      </c>
      <c r="F183" s="99" cm="1">
        <f t="array" ref="F183">IF(E183="","",IF(H182&lt;&gt;"",H182,INDEX(D:D,E183)))</f>
        <v>0</v>
      </c>
      <c r="G183" s="99" t="str">
        <f t="shared" si="20"/>
        <v>0</v>
      </c>
      <c r="H183" s="109" t="str">
        <f t="shared" si="21"/>
        <v/>
      </c>
      <c r="I183" s="114" t="str">
        <f>IF(AND(F183&lt;&gt;"",N10&gt;0,M183&gt;N10),"Mot &gt; limite","")</f>
        <v/>
      </c>
      <c r="J183" s="110" t="str">
        <f>IF(K183="","",COUNTIF(K18:K183,"&lt;&gt;"))</f>
        <v/>
      </c>
      <c r="K183" s="111"/>
      <c r="L183" s="110" t="str">
        <f t="shared" si="22"/>
        <v/>
      </c>
      <c r="M183" s="80">
        <f>IF(OR(F183="",N10="",N10&lt;=0),"",IF(LEN(F183)&lt;=N10,LEN(F183),IFERROR(FIND("♦",SUBSTITUTE(LEFT(F183,N10)," ","♦",LEN(LEFT(F183,N10))-LEN(SUBSTITUTE(LEFT(F183,N10)," ","")))),FIND(" ",F183&amp;" ",N10+1)-1)))</f>
        <v>1</v>
      </c>
      <c r="N183" s="112">
        <f t="shared" si="23"/>
        <v>166</v>
      </c>
      <c r="O183" s="113" t="str">
        <f t="shared" si="24"/>
        <v>0</v>
      </c>
      <c r="P183" s="112">
        <f t="shared" si="25"/>
        <v>1</v>
      </c>
      <c r="Q183" s="112">
        <f t="shared" si="26"/>
        <v>1</v>
      </c>
      <c r="S183" s="3">
        <v>1</v>
      </c>
    </row>
    <row r="184" spans="2:19" ht="30" customHeight="1">
      <c r="B184" s="99" t="str">
        <f t="shared" si="18"/>
        <v/>
      </c>
      <c r="C184" s="99" t="str">
        <f t="shared" si="19"/>
        <v/>
      </c>
      <c r="D184" s="99" t="str">
        <f>IF(UPPER(TRIM(N11))="X",C184,B184)</f>
        <v/>
      </c>
      <c r="E184" s="99" cm="1">
        <f t="array" ref="E184">IF(H183&lt;&gt;"",E183,IF(E183="","",IFERROR(MATCH(TRUE(),INDEX(INDEX(K:K,E183+1):K203&lt;&gt;"",0),0)+E183,"")))</f>
        <v>325</v>
      </c>
      <c r="F184" s="99" cm="1">
        <f t="array" ref="F184">IF(E184="","",IF(H183&lt;&gt;"",H183,INDEX(D:D,E184)))</f>
        <v>0</v>
      </c>
      <c r="G184" s="99" t="str">
        <f t="shared" si="20"/>
        <v>0</v>
      </c>
      <c r="H184" s="109" t="str">
        <f t="shared" si="21"/>
        <v/>
      </c>
      <c r="I184" s="114" t="str">
        <f>IF(AND(F184&lt;&gt;"",N10&gt;0,M184&gt;N10),"Mot &gt; limite","")</f>
        <v/>
      </c>
      <c r="J184" s="110" t="str">
        <f>IF(K184="","",COUNTIF(K18:K184,"&lt;&gt;"))</f>
        <v/>
      </c>
      <c r="K184" s="111"/>
      <c r="L184" s="110" t="str">
        <f t="shared" si="22"/>
        <v/>
      </c>
      <c r="M184" s="80">
        <f>IF(OR(F184="",N10="",N10&lt;=0),"",IF(LEN(F184)&lt;=N10,LEN(F184),IFERROR(FIND("♦",SUBSTITUTE(LEFT(F184,N10)," ","♦",LEN(LEFT(F184,N10))-LEN(SUBSTITUTE(LEFT(F184,N10)," ","")))),FIND(" ",F184&amp;" ",N10+1)-1)))</f>
        <v>1</v>
      </c>
      <c r="N184" s="112">
        <f t="shared" si="23"/>
        <v>167</v>
      </c>
      <c r="O184" s="113" t="str">
        <f t="shared" si="24"/>
        <v>0</v>
      </c>
      <c r="P184" s="112">
        <f t="shared" si="25"/>
        <v>1</v>
      </c>
      <c r="Q184" s="112">
        <f t="shared" si="26"/>
        <v>1</v>
      </c>
      <c r="S184" s="3">
        <v>1</v>
      </c>
    </row>
    <row r="185" spans="2:19" ht="30" customHeight="1">
      <c r="B185" s="99" t="str">
        <f t="shared" si="18"/>
        <v/>
      </c>
      <c r="C185" s="99" t="str">
        <f t="shared" si="19"/>
        <v/>
      </c>
      <c r="D185" s="99" t="str">
        <f>IF(UPPER(TRIM(N11))="X",C185,B185)</f>
        <v/>
      </c>
      <c r="E185" s="99" cm="1">
        <f t="array" ref="E185">IF(H184&lt;&gt;"",E184,IF(E184="","",IFERROR(MATCH(TRUE(),INDEX(INDEX(K:K,E184+1):K203&lt;&gt;"",0),0)+E184,"")))</f>
        <v>326</v>
      </c>
      <c r="F185" s="99" cm="1">
        <f t="array" ref="F185">IF(E185="","",IF(H184&lt;&gt;"",H184,INDEX(D:D,E185)))</f>
        <v>0</v>
      </c>
      <c r="G185" s="99" t="str">
        <f t="shared" si="20"/>
        <v>0</v>
      </c>
      <c r="H185" s="109" t="str">
        <f t="shared" si="21"/>
        <v/>
      </c>
      <c r="I185" s="114" t="str">
        <f>IF(AND(F185&lt;&gt;"",N10&gt;0,M185&gt;N10),"Mot &gt; limite","")</f>
        <v/>
      </c>
      <c r="J185" s="110" t="str">
        <f>IF(K185="","",COUNTIF(K18:K185,"&lt;&gt;"))</f>
        <v/>
      </c>
      <c r="K185" s="111"/>
      <c r="L185" s="110" t="str">
        <f t="shared" si="22"/>
        <v/>
      </c>
      <c r="M185" s="80">
        <f>IF(OR(F185="",N10="",N10&lt;=0),"",IF(LEN(F185)&lt;=N10,LEN(F185),IFERROR(FIND("♦",SUBSTITUTE(LEFT(F185,N10)," ","♦",LEN(LEFT(F185,N10))-LEN(SUBSTITUTE(LEFT(F185,N10)," ","")))),FIND(" ",F185&amp;" ",N10+1)-1)))</f>
        <v>1</v>
      </c>
      <c r="N185" s="112">
        <f t="shared" si="23"/>
        <v>168</v>
      </c>
      <c r="O185" s="113" t="str">
        <f t="shared" si="24"/>
        <v>0</v>
      </c>
      <c r="P185" s="112">
        <f t="shared" si="25"/>
        <v>1</v>
      </c>
      <c r="Q185" s="112">
        <f t="shared" si="26"/>
        <v>1</v>
      </c>
      <c r="S185" s="3">
        <v>1</v>
      </c>
    </row>
    <row r="186" spans="2:19" ht="30" customHeight="1">
      <c r="B186" s="99" t="str">
        <f t="shared" si="18"/>
        <v/>
      </c>
      <c r="C186" s="99" t="str">
        <f t="shared" si="19"/>
        <v/>
      </c>
      <c r="D186" s="99" t="str">
        <f>IF(UPPER(TRIM(N11))="X",C186,B186)</f>
        <v/>
      </c>
      <c r="E186" s="99" cm="1">
        <f t="array" ref="E186">IF(H185&lt;&gt;"",E185,IF(E185="","",IFERROR(MATCH(TRUE(),INDEX(INDEX(K:K,E185+1):K203&lt;&gt;"",0),0)+E185,"")))</f>
        <v>327</v>
      </c>
      <c r="F186" s="99" cm="1">
        <f t="array" ref="F186">IF(E186="","",IF(H185&lt;&gt;"",H185,INDEX(D:D,E186)))</f>
        <v>0</v>
      </c>
      <c r="G186" s="99" t="str">
        <f t="shared" si="20"/>
        <v>0</v>
      </c>
      <c r="H186" s="109" t="str">
        <f t="shared" si="21"/>
        <v/>
      </c>
      <c r="I186" s="114" t="str">
        <f>IF(AND(F186&lt;&gt;"",N10&gt;0,M186&gt;N10),"Mot &gt; limite","")</f>
        <v/>
      </c>
      <c r="J186" s="110" t="str">
        <f>IF(K186="","",COUNTIF(K18:K186,"&lt;&gt;"))</f>
        <v/>
      </c>
      <c r="K186" s="111"/>
      <c r="L186" s="110" t="str">
        <f t="shared" si="22"/>
        <v/>
      </c>
      <c r="M186" s="80">
        <f>IF(OR(F186="",N10="",N10&lt;=0),"",IF(LEN(F186)&lt;=N10,LEN(F186),IFERROR(FIND("♦",SUBSTITUTE(LEFT(F186,N10)," ","♦",LEN(LEFT(F186,N10))-LEN(SUBSTITUTE(LEFT(F186,N10)," ","")))),FIND(" ",F186&amp;" ",N10+1)-1)))</f>
        <v>1</v>
      </c>
      <c r="N186" s="112">
        <f t="shared" si="23"/>
        <v>169</v>
      </c>
      <c r="O186" s="113" t="str">
        <f t="shared" si="24"/>
        <v>0</v>
      </c>
      <c r="P186" s="112">
        <f t="shared" si="25"/>
        <v>1</v>
      </c>
      <c r="Q186" s="112">
        <f t="shared" si="26"/>
        <v>1</v>
      </c>
      <c r="S186" s="3">
        <v>1</v>
      </c>
    </row>
    <row r="187" spans="2:19" ht="30" customHeight="1">
      <c r="B187" s="99" t="str">
        <f t="shared" si="18"/>
        <v/>
      </c>
      <c r="C187" s="99" t="str">
        <f t="shared" si="19"/>
        <v/>
      </c>
      <c r="D187" s="99" t="str">
        <f>IF(UPPER(TRIM(N11))="X",C187,B187)</f>
        <v/>
      </c>
      <c r="E187" s="99" cm="1">
        <f t="array" ref="E187">IF(H186&lt;&gt;"",E186,IF(E186="","",IFERROR(MATCH(TRUE(),INDEX(INDEX(K:K,E186+1):K203&lt;&gt;"",0),0)+E186,"")))</f>
        <v>328</v>
      </c>
      <c r="F187" s="99" cm="1">
        <f t="array" ref="F187">IF(E187="","",IF(H186&lt;&gt;"",H186,INDEX(D:D,E187)))</f>
        <v>0</v>
      </c>
      <c r="G187" s="99" t="str">
        <f t="shared" si="20"/>
        <v>0</v>
      </c>
      <c r="H187" s="109" t="str">
        <f t="shared" si="21"/>
        <v/>
      </c>
      <c r="I187" s="114" t="str">
        <f>IF(AND(F187&lt;&gt;"",N10&gt;0,M187&gt;N10),"Mot &gt; limite","")</f>
        <v/>
      </c>
      <c r="J187" s="110" t="str">
        <f>IF(K187="","",COUNTIF(K18:K187,"&lt;&gt;"))</f>
        <v/>
      </c>
      <c r="K187" s="111"/>
      <c r="L187" s="110" t="str">
        <f t="shared" si="22"/>
        <v/>
      </c>
      <c r="M187" s="80">
        <f>IF(OR(F187="",N10="",N10&lt;=0),"",IF(LEN(F187)&lt;=N10,LEN(F187),IFERROR(FIND("♦",SUBSTITUTE(LEFT(F187,N10)," ","♦",LEN(LEFT(F187,N10))-LEN(SUBSTITUTE(LEFT(F187,N10)," ","")))),FIND(" ",F187&amp;" ",N10+1)-1)))</f>
        <v>1</v>
      </c>
      <c r="N187" s="112">
        <f t="shared" si="23"/>
        <v>170</v>
      </c>
      <c r="O187" s="113" t="str">
        <f t="shared" si="24"/>
        <v>0</v>
      </c>
      <c r="P187" s="112">
        <f t="shared" si="25"/>
        <v>1</v>
      </c>
      <c r="Q187" s="112">
        <f t="shared" si="26"/>
        <v>1</v>
      </c>
      <c r="S187" s="3">
        <v>1</v>
      </c>
    </row>
    <row r="188" spans="2:19" ht="30" customHeight="1">
      <c r="B188" s="99" t="str">
        <f t="shared" si="18"/>
        <v/>
      </c>
      <c r="C188" s="99" t="str">
        <f t="shared" si="19"/>
        <v/>
      </c>
      <c r="D188" s="99" t="str">
        <f>IF(UPPER(TRIM(N11))="X",C188,B188)</f>
        <v/>
      </c>
      <c r="E188" s="99" cm="1">
        <f t="array" ref="E188">IF(H187&lt;&gt;"",E187,IF(E187="","",IFERROR(MATCH(TRUE(),INDEX(INDEX(K:K,E187+1):K203&lt;&gt;"",0),0)+E187,"")))</f>
        <v>329</v>
      </c>
      <c r="F188" s="99" cm="1">
        <f t="array" ref="F188">IF(E188="","",IF(H187&lt;&gt;"",H187,INDEX(D:D,E188)))</f>
        <v>0</v>
      </c>
      <c r="G188" s="99" t="str">
        <f t="shared" si="20"/>
        <v>0</v>
      </c>
      <c r="H188" s="109" t="str">
        <f t="shared" si="21"/>
        <v/>
      </c>
      <c r="I188" s="114" t="str">
        <f>IF(AND(F188&lt;&gt;"",N10&gt;0,M188&gt;N10),"Mot &gt; limite","")</f>
        <v/>
      </c>
      <c r="J188" s="110" t="str">
        <f>IF(K188="","",COUNTIF(K18:K188,"&lt;&gt;"))</f>
        <v/>
      </c>
      <c r="K188" s="111"/>
      <c r="L188" s="110" t="str">
        <f t="shared" si="22"/>
        <v/>
      </c>
      <c r="M188" s="80">
        <f>IF(OR(F188="",N10="",N10&lt;=0),"",IF(LEN(F188)&lt;=N10,LEN(F188),IFERROR(FIND("♦",SUBSTITUTE(LEFT(F188,N10)," ","♦",LEN(LEFT(F188,N10))-LEN(SUBSTITUTE(LEFT(F188,N10)," ","")))),FIND(" ",F188&amp;" ",N10+1)-1)))</f>
        <v>1</v>
      </c>
      <c r="N188" s="112">
        <f t="shared" si="23"/>
        <v>171</v>
      </c>
      <c r="O188" s="113" t="str">
        <f t="shared" si="24"/>
        <v>0</v>
      </c>
      <c r="P188" s="112">
        <f t="shared" si="25"/>
        <v>1</v>
      </c>
      <c r="Q188" s="112">
        <f t="shared" si="26"/>
        <v>1</v>
      </c>
      <c r="S188" s="3">
        <v>1</v>
      </c>
    </row>
    <row r="189" spans="2:19" ht="30" customHeight="1">
      <c r="B189" s="99" t="str">
        <f t="shared" si="18"/>
        <v/>
      </c>
      <c r="C189" s="99" t="str">
        <f t="shared" si="19"/>
        <v/>
      </c>
      <c r="D189" s="99" t="str">
        <f>IF(UPPER(TRIM(N11))="X",C189,B189)</f>
        <v/>
      </c>
      <c r="E189" s="99" cm="1">
        <f t="array" ref="E189">IF(H188&lt;&gt;"",E188,IF(E188="","",IFERROR(MATCH(TRUE(),INDEX(INDEX(K:K,E188+1):K203&lt;&gt;"",0),0)+E188,"")))</f>
        <v>330</v>
      </c>
      <c r="F189" s="99" cm="1">
        <f t="array" ref="F189">IF(E189="","",IF(H188&lt;&gt;"",H188,INDEX(D:D,E189)))</f>
        <v>0</v>
      </c>
      <c r="G189" s="99" t="str">
        <f t="shared" si="20"/>
        <v>0</v>
      </c>
      <c r="H189" s="109" t="str">
        <f t="shared" si="21"/>
        <v/>
      </c>
      <c r="I189" s="114" t="str">
        <f>IF(AND(F189&lt;&gt;"",N10&gt;0,M189&gt;N10),"Mot &gt; limite","")</f>
        <v/>
      </c>
      <c r="J189" s="110" t="str">
        <f>IF(K189="","",COUNTIF(K18:K189,"&lt;&gt;"))</f>
        <v/>
      </c>
      <c r="K189" s="111"/>
      <c r="L189" s="110" t="str">
        <f t="shared" si="22"/>
        <v/>
      </c>
      <c r="M189" s="80">
        <f>IF(OR(F189="",N10="",N10&lt;=0),"",IF(LEN(F189)&lt;=N10,LEN(F189),IFERROR(FIND("♦",SUBSTITUTE(LEFT(F189,N10)," ","♦",LEN(LEFT(F189,N10))-LEN(SUBSTITUTE(LEFT(F189,N10)," ","")))),FIND(" ",F189&amp;" ",N10+1)-1)))</f>
        <v>1</v>
      </c>
      <c r="N189" s="112">
        <f t="shared" si="23"/>
        <v>172</v>
      </c>
      <c r="O189" s="113" t="str">
        <f t="shared" si="24"/>
        <v>0</v>
      </c>
      <c r="P189" s="112">
        <f t="shared" si="25"/>
        <v>1</v>
      </c>
      <c r="Q189" s="112">
        <f t="shared" si="26"/>
        <v>1</v>
      </c>
      <c r="S189" s="3">
        <v>1</v>
      </c>
    </row>
    <row r="190" spans="2:19" ht="30" customHeight="1">
      <c r="B190" s="99" t="str">
        <f t="shared" si="18"/>
        <v/>
      </c>
      <c r="C190" s="99" t="str">
        <f t="shared" si="19"/>
        <v/>
      </c>
      <c r="D190" s="99" t="str">
        <f>IF(UPPER(TRIM(N11))="X",C190,B190)</f>
        <v/>
      </c>
      <c r="E190" s="99" cm="1">
        <f t="array" ref="E190">IF(H189&lt;&gt;"",E189,IF(E189="","",IFERROR(MATCH(TRUE(),INDEX(INDEX(K:K,E189+1):K203&lt;&gt;"",0),0)+E189,"")))</f>
        <v>331</v>
      </c>
      <c r="F190" s="99" cm="1">
        <f t="array" ref="F190">IF(E190="","",IF(H189&lt;&gt;"",H189,INDEX(D:D,E190)))</f>
        <v>0</v>
      </c>
      <c r="G190" s="99" t="str">
        <f t="shared" si="20"/>
        <v>0</v>
      </c>
      <c r="H190" s="109" t="str">
        <f t="shared" si="21"/>
        <v/>
      </c>
      <c r="I190" s="114" t="str">
        <f>IF(AND(F190&lt;&gt;"",N10&gt;0,M190&gt;N10),"Mot &gt; limite","")</f>
        <v/>
      </c>
      <c r="J190" s="110" t="str">
        <f>IF(K190="","",COUNTIF(K18:K190,"&lt;&gt;"))</f>
        <v/>
      </c>
      <c r="K190" s="111"/>
      <c r="L190" s="110" t="str">
        <f t="shared" si="22"/>
        <v/>
      </c>
      <c r="M190" s="80">
        <f>IF(OR(F190="",N10="",N10&lt;=0),"",IF(LEN(F190)&lt;=N10,LEN(F190),IFERROR(FIND("♦",SUBSTITUTE(LEFT(F190,N10)," ","♦",LEN(LEFT(F190,N10))-LEN(SUBSTITUTE(LEFT(F190,N10)," ","")))),FIND(" ",F190&amp;" ",N10+1)-1)))</f>
        <v>1</v>
      </c>
      <c r="N190" s="112">
        <f t="shared" si="23"/>
        <v>173</v>
      </c>
      <c r="O190" s="113" t="str">
        <f t="shared" si="24"/>
        <v>0</v>
      </c>
      <c r="P190" s="112">
        <f t="shared" si="25"/>
        <v>1</v>
      </c>
      <c r="Q190" s="112">
        <f t="shared" si="26"/>
        <v>1</v>
      </c>
      <c r="S190" s="3">
        <v>1</v>
      </c>
    </row>
    <row r="191" spans="2:19" ht="30" customHeight="1">
      <c r="B191" s="99" t="str">
        <f t="shared" si="18"/>
        <v/>
      </c>
      <c r="C191" s="99" t="str">
        <f t="shared" si="19"/>
        <v/>
      </c>
      <c r="D191" s="99" t="str">
        <f>IF(UPPER(TRIM(N11))="X",C191,B191)</f>
        <v/>
      </c>
      <c r="E191" s="99" cm="1">
        <f t="array" ref="E191">IF(H190&lt;&gt;"",E190,IF(E190="","",IFERROR(MATCH(TRUE(),INDEX(INDEX(K:K,E190+1):K203&lt;&gt;"",0),0)+E190,"")))</f>
        <v>332</v>
      </c>
      <c r="F191" s="99" cm="1">
        <f t="array" ref="F191">IF(E191="","",IF(H190&lt;&gt;"",H190,INDEX(D:D,E191)))</f>
        <v>0</v>
      </c>
      <c r="G191" s="99" t="str">
        <f t="shared" si="20"/>
        <v>0</v>
      </c>
      <c r="H191" s="109" t="str">
        <f t="shared" si="21"/>
        <v/>
      </c>
      <c r="I191" s="114" t="str">
        <f>IF(AND(F191&lt;&gt;"",N10&gt;0,M191&gt;N10),"Mot &gt; limite","")</f>
        <v/>
      </c>
      <c r="J191" s="110" t="str">
        <f>IF(K191="","",COUNTIF(K18:K191,"&lt;&gt;"))</f>
        <v/>
      </c>
      <c r="K191" s="111"/>
      <c r="L191" s="110" t="str">
        <f t="shared" si="22"/>
        <v/>
      </c>
      <c r="M191" s="80">
        <f>IF(OR(F191="",N10="",N10&lt;=0),"",IF(LEN(F191)&lt;=N10,LEN(F191),IFERROR(FIND("♦",SUBSTITUTE(LEFT(F191,N10)," ","♦",LEN(LEFT(F191,N10))-LEN(SUBSTITUTE(LEFT(F191,N10)," ","")))),FIND(" ",F191&amp;" ",N10+1)-1)))</f>
        <v>1</v>
      </c>
      <c r="N191" s="112">
        <f t="shared" si="23"/>
        <v>174</v>
      </c>
      <c r="O191" s="113" t="str">
        <f t="shared" si="24"/>
        <v>0</v>
      </c>
      <c r="P191" s="112">
        <f t="shared" si="25"/>
        <v>1</v>
      </c>
      <c r="Q191" s="112">
        <f t="shared" si="26"/>
        <v>1</v>
      </c>
      <c r="S191" s="3">
        <v>1</v>
      </c>
    </row>
    <row r="192" spans="2:19" ht="30" customHeight="1">
      <c r="B192" s="99" t="str">
        <f t="shared" si="18"/>
        <v/>
      </c>
      <c r="C192" s="99" t="str">
        <f t="shared" si="19"/>
        <v/>
      </c>
      <c r="D192" s="99" t="str">
        <f>IF(UPPER(TRIM(N11))="X",C192,B192)</f>
        <v/>
      </c>
      <c r="E192" s="99" cm="1">
        <f t="array" ref="E192">IF(H191&lt;&gt;"",E191,IF(E191="","",IFERROR(MATCH(TRUE(),INDEX(INDEX(K:K,E191+1):K203&lt;&gt;"",0),0)+E191,"")))</f>
        <v>333</v>
      </c>
      <c r="F192" s="99" cm="1">
        <f t="array" ref="F192">IF(E192="","",IF(H191&lt;&gt;"",H191,INDEX(D:D,E192)))</f>
        <v>0</v>
      </c>
      <c r="G192" s="99" t="str">
        <f t="shared" si="20"/>
        <v>0</v>
      </c>
      <c r="H192" s="109" t="str">
        <f t="shared" si="21"/>
        <v/>
      </c>
      <c r="I192" s="114" t="str">
        <f>IF(AND(F192&lt;&gt;"",N10&gt;0,M192&gt;N10),"Mot &gt; limite","")</f>
        <v/>
      </c>
      <c r="J192" s="110" t="str">
        <f>IF(K192="","",COUNTIF(K18:K192,"&lt;&gt;"))</f>
        <v/>
      </c>
      <c r="K192" s="111"/>
      <c r="L192" s="110" t="str">
        <f t="shared" si="22"/>
        <v/>
      </c>
      <c r="M192" s="80">
        <f>IF(OR(F192="",N10="",N10&lt;=0),"",IF(LEN(F192)&lt;=N10,LEN(F192),IFERROR(FIND("♦",SUBSTITUTE(LEFT(F192,N10)," ","♦",LEN(LEFT(F192,N10))-LEN(SUBSTITUTE(LEFT(F192,N10)," ","")))),FIND(" ",F192&amp;" ",N10+1)-1)))</f>
        <v>1</v>
      </c>
      <c r="N192" s="112">
        <f t="shared" si="23"/>
        <v>175</v>
      </c>
      <c r="O192" s="113" t="str">
        <f t="shared" si="24"/>
        <v>0</v>
      </c>
      <c r="P192" s="112">
        <f t="shared" si="25"/>
        <v>1</v>
      </c>
      <c r="Q192" s="112">
        <f t="shared" si="26"/>
        <v>1</v>
      </c>
      <c r="S192" s="3">
        <v>1</v>
      </c>
    </row>
    <row r="193" spans="2:19" ht="30" customHeight="1">
      <c r="B193" s="99" t="str">
        <f t="shared" si="18"/>
        <v/>
      </c>
      <c r="C193" s="99" t="str">
        <f t="shared" si="19"/>
        <v/>
      </c>
      <c r="D193" s="99" t="str">
        <f>IF(UPPER(TRIM(N11))="X",C193,B193)</f>
        <v/>
      </c>
      <c r="E193" s="99" cm="1">
        <f t="array" ref="E193">IF(H192&lt;&gt;"",E192,IF(E192="","",IFERROR(MATCH(TRUE(),INDEX(INDEX(K:K,E192+1):K203&lt;&gt;"",0),0)+E192,"")))</f>
        <v>334</v>
      </c>
      <c r="F193" s="99" cm="1">
        <f t="array" ref="F193">IF(E193="","",IF(H192&lt;&gt;"",H192,INDEX(D:D,E193)))</f>
        <v>0</v>
      </c>
      <c r="G193" s="99" t="str">
        <f t="shared" si="20"/>
        <v>0</v>
      </c>
      <c r="H193" s="109" t="str">
        <f t="shared" si="21"/>
        <v/>
      </c>
      <c r="I193" s="114" t="str">
        <f>IF(AND(F193&lt;&gt;"",N10&gt;0,M193&gt;N10),"Mot &gt; limite","")</f>
        <v/>
      </c>
      <c r="J193" s="110" t="str">
        <f>IF(K193="","",COUNTIF(K18:K193,"&lt;&gt;"))</f>
        <v/>
      </c>
      <c r="K193" s="111"/>
      <c r="L193" s="110" t="str">
        <f t="shared" si="22"/>
        <v/>
      </c>
      <c r="M193" s="80">
        <f>IF(OR(F193="",N10="",N10&lt;=0),"",IF(LEN(F193)&lt;=N10,LEN(F193),IFERROR(FIND("♦",SUBSTITUTE(LEFT(F193,N10)," ","♦",LEN(LEFT(F193,N10))-LEN(SUBSTITUTE(LEFT(F193,N10)," ","")))),FIND(" ",F193&amp;" ",N10+1)-1)))</f>
        <v>1</v>
      </c>
      <c r="N193" s="112">
        <f t="shared" si="23"/>
        <v>176</v>
      </c>
      <c r="O193" s="113" t="str">
        <f t="shared" si="24"/>
        <v>0</v>
      </c>
      <c r="P193" s="112">
        <f t="shared" si="25"/>
        <v>1</v>
      </c>
      <c r="Q193" s="112">
        <f t="shared" si="26"/>
        <v>1</v>
      </c>
      <c r="S193" s="3">
        <v>1</v>
      </c>
    </row>
    <row r="194" spans="2:19" ht="30" customHeight="1">
      <c r="B194" s="99" t="str">
        <f t="shared" si="18"/>
        <v/>
      </c>
      <c r="C194" s="99" t="str">
        <f t="shared" si="19"/>
        <v/>
      </c>
      <c r="D194" s="99" t="str">
        <f>IF(UPPER(TRIM(N11))="X",C194,B194)</f>
        <v/>
      </c>
      <c r="E194" s="99" cm="1">
        <f t="array" ref="E194">IF(H193&lt;&gt;"",E193,IF(E193="","",IFERROR(MATCH(TRUE(),INDEX(INDEX(K:K,E193+1):K203&lt;&gt;"",0),0)+E193,"")))</f>
        <v>335</v>
      </c>
      <c r="F194" s="99" cm="1">
        <f t="array" ref="F194">IF(E194="","",IF(H193&lt;&gt;"",H193,INDEX(D:D,E194)))</f>
        <v>0</v>
      </c>
      <c r="G194" s="99" t="str">
        <f t="shared" si="20"/>
        <v>0</v>
      </c>
      <c r="H194" s="109" t="str">
        <f t="shared" si="21"/>
        <v/>
      </c>
      <c r="I194" s="114" t="str">
        <f>IF(AND(F194&lt;&gt;"",N10&gt;0,M194&gt;N10),"Mot &gt; limite","")</f>
        <v/>
      </c>
      <c r="J194" s="110" t="str">
        <f>IF(K194="","",COUNTIF(K18:K194,"&lt;&gt;"))</f>
        <v/>
      </c>
      <c r="K194" s="111"/>
      <c r="L194" s="110" t="str">
        <f t="shared" si="22"/>
        <v/>
      </c>
      <c r="M194" s="80">
        <f>IF(OR(F194="",N10="",N10&lt;=0),"",IF(LEN(F194)&lt;=N10,LEN(F194),IFERROR(FIND("♦",SUBSTITUTE(LEFT(F194,N10)," ","♦",LEN(LEFT(F194,N10))-LEN(SUBSTITUTE(LEFT(F194,N10)," ","")))),FIND(" ",F194&amp;" ",N10+1)-1)))</f>
        <v>1</v>
      </c>
      <c r="N194" s="112">
        <f t="shared" si="23"/>
        <v>177</v>
      </c>
      <c r="O194" s="113" t="str">
        <f t="shared" si="24"/>
        <v>0</v>
      </c>
      <c r="P194" s="112">
        <f t="shared" si="25"/>
        <v>1</v>
      </c>
      <c r="Q194" s="112">
        <f t="shared" si="26"/>
        <v>1</v>
      </c>
      <c r="S194" s="3">
        <v>1</v>
      </c>
    </row>
    <row r="195" spans="2:19" ht="30" customHeight="1">
      <c r="B195" s="99" t="str">
        <f t="shared" si="18"/>
        <v/>
      </c>
      <c r="C195" s="99" t="str">
        <f t="shared" si="19"/>
        <v/>
      </c>
      <c r="D195" s="99" t="str">
        <f>IF(UPPER(TRIM(N11))="X",C195,B195)</f>
        <v/>
      </c>
      <c r="E195" s="99" cm="1">
        <f t="array" ref="E195">IF(H194&lt;&gt;"",E194,IF(E194="","",IFERROR(MATCH(TRUE(),INDEX(INDEX(K:K,E194+1):K203&lt;&gt;"",0),0)+E194,"")))</f>
        <v>336</v>
      </c>
      <c r="F195" s="99" cm="1">
        <f t="array" ref="F195">IF(E195="","",IF(H194&lt;&gt;"",H194,INDEX(D:D,E195)))</f>
        <v>0</v>
      </c>
      <c r="G195" s="99" t="str">
        <f t="shared" si="20"/>
        <v>0</v>
      </c>
      <c r="H195" s="109" t="str">
        <f t="shared" si="21"/>
        <v/>
      </c>
      <c r="I195" s="114" t="str">
        <f>IF(AND(F195&lt;&gt;"",N10&gt;0,M195&gt;N10),"Mot &gt; limite","")</f>
        <v/>
      </c>
      <c r="J195" s="110" t="str">
        <f>IF(K195="","",COUNTIF(K18:K195,"&lt;&gt;"))</f>
        <v/>
      </c>
      <c r="K195" s="111"/>
      <c r="L195" s="110" t="str">
        <f t="shared" si="22"/>
        <v/>
      </c>
      <c r="M195" s="80">
        <f>IF(OR(F195="",N10="",N10&lt;=0),"",IF(LEN(F195)&lt;=N10,LEN(F195),IFERROR(FIND("♦",SUBSTITUTE(LEFT(F195,N10)," ","♦",LEN(LEFT(F195,N10))-LEN(SUBSTITUTE(LEFT(F195,N10)," ","")))),FIND(" ",F195&amp;" ",N10+1)-1)))</f>
        <v>1</v>
      </c>
      <c r="N195" s="112">
        <f t="shared" si="23"/>
        <v>178</v>
      </c>
      <c r="O195" s="113" t="str">
        <f t="shared" si="24"/>
        <v>0</v>
      </c>
      <c r="P195" s="112">
        <f t="shared" si="25"/>
        <v>1</v>
      </c>
      <c r="Q195" s="112">
        <f t="shared" si="26"/>
        <v>1</v>
      </c>
      <c r="S195" s="3">
        <v>1</v>
      </c>
    </row>
    <row r="196" spans="2:19" ht="30" customHeight="1">
      <c r="B196" s="99" t="str">
        <f t="shared" si="18"/>
        <v/>
      </c>
      <c r="C196" s="99" t="str">
        <f t="shared" si="19"/>
        <v/>
      </c>
      <c r="D196" s="99" t="str">
        <f>IF(UPPER(TRIM(N11))="X",C196,B196)</f>
        <v/>
      </c>
      <c r="E196" s="99" cm="1">
        <f t="array" ref="E196">IF(H195&lt;&gt;"",E195,IF(E195="","",IFERROR(MATCH(TRUE(),INDEX(INDEX(K:K,E195+1):K203&lt;&gt;"",0),0)+E195,"")))</f>
        <v>337</v>
      </c>
      <c r="F196" s="99" cm="1">
        <f t="array" ref="F196">IF(E196="","",IF(H195&lt;&gt;"",H195,INDEX(D:D,E196)))</f>
        <v>0</v>
      </c>
      <c r="G196" s="99" t="str">
        <f t="shared" si="20"/>
        <v>0</v>
      </c>
      <c r="H196" s="109" t="str">
        <f t="shared" si="21"/>
        <v/>
      </c>
      <c r="I196" s="114" t="str">
        <f>IF(AND(F196&lt;&gt;"",N10&gt;0,M196&gt;N10),"Mot &gt; limite","")</f>
        <v/>
      </c>
      <c r="J196" s="110" t="str">
        <f>IF(K196="","",COUNTIF(K18:K196,"&lt;&gt;"))</f>
        <v/>
      </c>
      <c r="K196" s="111"/>
      <c r="L196" s="110" t="str">
        <f t="shared" si="22"/>
        <v/>
      </c>
      <c r="M196" s="80">
        <f>IF(OR(F196="",N10="",N10&lt;=0),"",IF(LEN(F196)&lt;=N10,LEN(F196),IFERROR(FIND("♦",SUBSTITUTE(LEFT(F196,N10)," ","♦",LEN(LEFT(F196,N10))-LEN(SUBSTITUTE(LEFT(F196,N10)," ","")))),FIND(" ",F196&amp;" ",N10+1)-1)))</f>
        <v>1</v>
      </c>
      <c r="N196" s="112">
        <f t="shared" si="23"/>
        <v>179</v>
      </c>
      <c r="O196" s="113" t="str">
        <f t="shared" si="24"/>
        <v>0</v>
      </c>
      <c r="P196" s="112">
        <f t="shared" si="25"/>
        <v>1</v>
      </c>
      <c r="Q196" s="112">
        <f t="shared" si="26"/>
        <v>1</v>
      </c>
      <c r="S196" s="3">
        <v>1</v>
      </c>
    </row>
    <row r="197" spans="2:19" ht="30" customHeight="1">
      <c r="B197" s="99" t="str">
        <f t="shared" si="18"/>
        <v/>
      </c>
      <c r="C197" s="99" t="str">
        <f t="shared" si="19"/>
        <v/>
      </c>
      <c r="D197" s="99" t="str">
        <f>IF(UPPER(TRIM(N11))="X",C197,B197)</f>
        <v/>
      </c>
      <c r="E197" s="99" cm="1">
        <f t="array" ref="E197">IF(H196&lt;&gt;"",E196,IF(E196="","",IFERROR(MATCH(TRUE(),INDEX(INDEX(K:K,E196+1):K203&lt;&gt;"",0),0)+E196,"")))</f>
        <v>338</v>
      </c>
      <c r="F197" s="99" cm="1">
        <f t="array" ref="F197">IF(E197="","",IF(H196&lt;&gt;"",H196,INDEX(D:D,E197)))</f>
        <v>0</v>
      </c>
      <c r="G197" s="99" t="str">
        <f t="shared" si="20"/>
        <v>0</v>
      </c>
      <c r="H197" s="109" t="str">
        <f t="shared" si="21"/>
        <v/>
      </c>
      <c r="I197" s="114" t="str">
        <f>IF(AND(F197&lt;&gt;"",N10&gt;0,M197&gt;N10),"Mot &gt; limite","")</f>
        <v/>
      </c>
      <c r="J197" s="110" t="str">
        <f>IF(K197="","",COUNTIF(K18:K197,"&lt;&gt;"))</f>
        <v/>
      </c>
      <c r="K197" s="111"/>
      <c r="L197" s="110" t="str">
        <f t="shared" si="22"/>
        <v/>
      </c>
      <c r="M197" s="80">
        <f>IF(OR(F197="",N10="",N10&lt;=0),"",IF(LEN(F197)&lt;=N10,LEN(F197),IFERROR(FIND("♦",SUBSTITUTE(LEFT(F197,N10)," ","♦",LEN(LEFT(F197,N10))-LEN(SUBSTITUTE(LEFT(F197,N10)," ","")))),FIND(" ",F197&amp;" ",N10+1)-1)))</f>
        <v>1</v>
      </c>
      <c r="N197" s="112">
        <f t="shared" si="23"/>
        <v>180</v>
      </c>
      <c r="O197" s="113" t="str">
        <f t="shared" si="24"/>
        <v>0</v>
      </c>
      <c r="P197" s="112">
        <f t="shared" si="25"/>
        <v>1</v>
      </c>
      <c r="Q197" s="112">
        <f t="shared" si="26"/>
        <v>1</v>
      </c>
      <c r="S197" s="3">
        <v>1</v>
      </c>
    </row>
    <row r="198" spans="2:19" ht="30" customHeight="1">
      <c r="B198" s="99" t="str">
        <f t="shared" si="18"/>
        <v/>
      </c>
      <c r="C198" s="99" t="str">
        <f t="shared" si="19"/>
        <v/>
      </c>
      <c r="D198" s="99" t="str">
        <f>IF(UPPER(TRIM(N11))="X",C198,B198)</f>
        <v/>
      </c>
      <c r="E198" s="99" cm="1">
        <f t="array" ref="E198">IF(H197&lt;&gt;"",E197,IF(E197="","",IFERROR(MATCH(TRUE(),INDEX(INDEX(K:K,E197+1):K203&lt;&gt;"",0),0)+E197,"")))</f>
        <v>339</v>
      </c>
      <c r="F198" s="99" cm="1">
        <f t="array" ref="F198">IF(E198="","",IF(H197&lt;&gt;"",H197,INDEX(D:D,E198)))</f>
        <v>0</v>
      </c>
      <c r="G198" s="99" t="str">
        <f t="shared" si="20"/>
        <v>0</v>
      </c>
      <c r="H198" s="109" t="str">
        <f t="shared" si="21"/>
        <v/>
      </c>
      <c r="I198" s="114" t="str">
        <f>IF(AND(F198&lt;&gt;"",N10&gt;0,M198&gt;N10),"Mot &gt; limite","")</f>
        <v/>
      </c>
      <c r="J198" s="110" t="str">
        <f>IF(K198="","",COUNTIF(K18:K198,"&lt;&gt;"))</f>
        <v/>
      </c>
      <c r="K198" s="111"/>
      <c r="L198" s="110" t="str">
        <f t="shared" si="22"/>
        <v/>
      </c>
      <c r="M198" s="80">
        <f>IF(OR(F198="",N10="",N10&lt;=0),"",IF(LEN(F198)&lt;=N10,LEN(F198),IFERROR(FIND("♦",SUBSTITUTE(LEFT(F198,N10)," ","♦",LEN(LEFT(F198,N10))-LEN(SUBSTITUTE(LEFT(F198,N10)," ","")))),FIND(" ",F198&amp;" ",N10+1)-1)))</f>
        <v>1</v>
      </c>
      <c r="N198" s="112">
        <f t="shared" si="23"/>
        <v>181</v>
      </c>
      <c r="O198" s="113" t="str">
        <f t="shared" si="24"/>
        <v>0</v>
      </c>
      <c r="P198" s="112">
        <f t="shared" si="25"/>
        <v>1</v>
      </c>
      <c r="Q198" s="112">
        <f t="shared" si="26"/>
        <v>1</v>
      </c>
      <c r="S198" s="3">
        <v>1</v>
      </c>
    </row>
    <row r="199" spans="2:19" ht="30" customHeight="1">
      <c r="B199" s="99" t="str">
        <f t="shared" si="18"/>
        <v/>
      </c>
      <c r="C199" s="99" t="str">
        <f t="shared" si="19"/>
        <v/>
      </c>
      <c r="D199" s="99" t="str">
        <f>IF(UPPER(TRIM(N11))="X",C199,B199)</f>
        <v/>
      </c>
      <c r="E199" s="99" cm="1">
        <f t="array" ref="E199">IF(H198&lt;&gt;"",E198,IF(E198="","",IFERROR(MATCH(TRUE(),INDEX(INDEX(K:K,E198+1):K203&lt;&gt;"",0),0)+E198,"")))</f>
        <v>340</v>
      </c>
      <c r="F199" s="99" cm="1">
        <f t="array" ref="F199">IF(E199="","",IF(H198&lt;&gt;"",H198,INDEX(D:D,E199)))</f>
        <v>0</v>
      </c>
      <c r="G199" s="99" t="str">
        <f t="shared" si="20"/>
        <v>0</v>
      </c>
      <c r="H199" s="109" t="str">
        <f t="shared" si="21"/>
        <v/>
      </c>
      <c r="I199" s="114" t="str">
        <f>IF(AND(F199&lt;&gt;"",N10&gt;0,M199&gt;N10),"Mot &gt; limite","")</f>
        <v/>
      </c>
      <c r="J199" s="110" t="str">
        <f>IF(K199="","",COUNTIF(K18:K199,"&lt;&gt;"))</f>
        <v/>
      </c>
      <c r="K199" s="111"/>
      <c r="L199" s="110" t="str">
        <f t="shared" si="22"/>
        <v/>
      </c>
      <c r="M199" s="80">
        <f>IF(OR(F199="",N10="",N10&lt;=0),"",IF(LEN(F199)&lt;=N10,LEN(F199),IFERROR(FIND("♦",SUBSTITUTE(LEFT(F199,N10)," ","♦",LEN(LEFT(F199,N10))-LEN(SUBSTITUTE(LEFT(F199,N10)," ","")))),FIND(" ",F199&amp;" ",N10+1)-1)))</f>
        <v>1</v>
      </c>
      <c r="N199" s="112">
        <f t="shared" si="23"/>
        <v>182</v>
      </c>
      <c r="O199" s="113" t="str">
        <f t="shared" si="24"/>
        <v>0</v>
      </c>
      <c r="P199" s="112">
        <f t="shared" si="25"/>
        <v>1</v>
      </c>
      <c r="Q199" s="112">
        <f t="shared" si="26"/>
        <v>1</v>
      </c>
      <c r="S199" s="3">
        <v>1</v>
      </c>
    </row>
    <row r="200" spans="2:19" ht="30" customHeight="1">
      <c r="B200" s="99" t="str">
        <f t="shared" si="18"/>
        <v/>
      </c>
      <c r="C200" s="99" t="str">
        <f t="shared" si="19"/>
        <v/>
      </c>
      <c r="D200" s="99" t="str">
        <f>IF(UPPER(TRIM(N11))="X",C200,B200)</f>
        <v/>
      </c>
      <c r="E200" s="99" cm="1">
        <f t="array" ref="E200">IF(H199&lt;&gt;"",E199,IF(E199="","",IFERROR(MATCH(TRUE(),INDEX(INDEX(K:K,E199+1):K203&lt;&gt;"",0),0)+E199,"")))</f>
        <v>341</v>
      </c>
      <c r="F200" s="99" cm="1">
        <f t="array" ref="F200">IF(E200="","",IF(H199&lt;&gt;"",H199,INDEX(D:D,E200)))</f>
        <v>0</v>
      </c>
      <c r="G200" s="99" t="str">
        <f t="shared" si="20"/>
        <v>0</v>
      </c>
      <c r="H200" s="109" t="str">
        <f t="shared" si="21"/>
        <v/>
      </c>
      <c r="I200" s="114" t="str">
        <f>IF(AND(F200&lt;&gt;"",N10&gt;0,M200&gt;N10),"Mot &gt; limite","")</f>
        <v/>
      </c>
      <c r="J200" s="110" t="str">
        <f>IF(K200="","",COUNTIF(K18:K200,"&lt;&gt;"))</f>
        <v/>
      </c>
      <c r="K200" s="111"/>
      <c r="L200" s="110" t="str">
        <f t="shared" si="22"/>
        <v/>
      </c>
      <c r="M200" s="80">
        <f>IF(OR(F200="",N10="",N10&lt;=0),"",IF(LEN(F200)&lt;=N10,LEN(F200),IFERROR(FIND("♦",SUBSTITUTE(LEFT(F200,N10)," ","♦",LEN(LEFT(F200,N10))-LEN(SUBSTITUTE(LEFT(F200,N10)," ","")))),FIND(" ",F200&amp;" ",N10+1)-1)))</f>
        <v>1</v>
      </c>
      <c r="N200" s="112">
        <f t="shared" si="23"/>
        <v>183</v>
      </c>
      <c r="O200" s="113" t="str">
        <f t="shared" si="24"/>
        <v>0</v>
      </c>
      <c r="P200" s="112">
        <f t="shared" si="25"/>
        <v>1</v>
      </c>
      <c r="Q200" s="112">
        <f t="shared" si="26"/>
        <v>1</v>
      </c>
      <c r="S200" s="3">
        <v>1</v>
      </c>
    </row>
    <row r="201" spans="2:19" ht="30" customHeight="1">
      <c r="B201" s="99" t="str">
        <f t="shared" si="18"/>
        <v/>
      </c>
      <c r="C201" s="99" t="str">
        <f t="shared" si="19"/>
        <v/>
      </c>
      <c r="D201" s="99" t="str">
        <f>IF(UPPER(TRIM(N11))="X",C201,B201)</f>
        <v/>
      </c>
      <c r="E201" s="99" cm="1">
        <f t="array" ref="E201">IF(H200&lt;&gt;"",E200,IF(E200="","",IFERROR(MATCH(TRUE(),INDEX(INDEX(K:K,E200+1):K203&lt;&gt;"",0),0)+E200,"")))</f>
        <v>342</v>
      </c>
      <c r="F201" s="99" cm="1">
        <f t="array" ref="F201">IF(E201="","",IF(H200&lt;&gt;"",H200,INDEX(D:D,E201)))</f>
        <v>0</v>
      </c>
      <c r="G201" s="99" t="str">
        <f t="shared" si="20"/>
        <v>0</v>
      </c>
      <c r="H201" s="109" t="str">
        <f t="shared" si="21"/>
        <v/>
      </c>
      <c r="I201" s="114" t="str">
        <f>IF(AND(F201&lt;&gt;"",N10&gt;0,M201&gt;N10),"Mot &gt; limite","")</f>
        <v/>
      </c>
      <c r="J201" s="110" t="str">
        <f>IF(K201="","",COUNTIF(K18:K201,"&lt;&gt;"))</f>
        <v/>
      </c>
      <c r="K201" s="111"/>
      <c r="L201" s="110" t="str">
        <f t="shared" si="22"/>
        <v/>
      </c>
      <c r="M201" s="80">
        <f>IF(OR(F201="",N10="",N10&lt;=0),"",IF(LEN(F201)&lt;=N10,LEN(F201),IFERROR(FIND("♦",SUBSTITUTE(LEFT(F201,N10)," ","♦",LEN(LEFT(F201,N10))-LEN(SUBSTITUTE(LEFT(F201,N10)," ","")))),FIND(" ",F201&amp;" ",N10+1)-1)))</f>
        <v>1</v>
      </c>
      <c r="N201" s="112">
        <f t="shared" si="23"/>
        <v>184</v>
      </c>
      <c r="O201" s="113" t="str">
        <f t="shared" si="24"/>
        <v>0</v>
      </c>
      <c r="P201" s="112">
        <f t="shared" si="25"/>
        <v>1</v>
      </c>
      <c r="Q201" s="112">
        <f t="shared" si="26"/>
        <v>1</v>
      </c>
      <c r="S201" s="3">
        <v>1</v>
      </c>
    </row>
    <row r="202" spans="2:19" ht="30" customHeight="1">
      <c r="B202" s="99" t="str">
        <f t="shared" si="18"/>
        <v/>
      </c>
      <c r="C202" s="99" t="str">
        <f t="shared" si="19"/>
        <v/>
      </c>
      <c r="D202" s="99" t="str">
        <f>IF(UPPER(TRIM(N11))="X",C202,B202)</f>
        <v/>
      </c>
      <c r="E202" s="99" cm="1">
        <f t="array" ref="E202">IF(H201&lt;&gt;"",E201,IF(E201="","",IFERROR(MATCH(TRUE(),INDEX(INDEX(K:K,E201+1):K203&lt;&gt;"",0),0)+E201,"")))</f>
        <v>343</v>
      </c>
      <c r="F202" s="99" cm="1">
        <f t="array" ref="F202">IF(E202="","",IF(H201&lt;&gt;"",H201,INDEX(D:D,E202)))</f>
        <v>0</v>
      </c>
      <c r="G202" s="99" t="str">
        <f t="shared" si="20"/>
        <v>0</v>
      </c>
      <c r="H202" s="109" t="str">
        <f t="shared" si="21"/>
        <v/>
      </c>
      <c r="I202" s="114" t="str">
        <f>IF(AND(F202&lt;&gt;"",N10&gt;0,M202&gt;N10),"Mot &gt; limite","")</f>
        <v/>
      </c>
      <c r="J202" s="110" t="str">
        <f>IF(K202="","",COUNTIF(K18:K202,"&lt;&gt;"))</f>
        <v/>
      </c>
      <c r="K202" s="111"/>
      <c r="L202" s="110" t="str">
        <f t="shared" si="22"/>
        <v/>
      </c>
      <c r="M202" s="80">
        <f>IF(OR(F202="",N10="",N10&lt;=0),"",IF(LEN(F202)&lt;=N10,LEN(F202),IFERROR(FIND("♦",SUBSTITUTE(LEFT(F202,N10)," ","♦",LEN(LEFT(F202,N10))-LEN(SUBSTITUTE(LEFT(F202,N10)," ","")))),FIND(" ",F202&amp;" ",N10+1)-1)))</f>
        <v>1</v>
      </c>
      <c r="N202" s="112">
        <f t="shared" si="23"/>
        <v>185</v>
      </c>
      <c r="O202" s="113" t="str">
        <f t="shared" si="24"/>
        <v>0</v>
      </c>
      <c r="P202" s="112">
        <f t="shared" si="25"/>
        <v>1</v>
      </c>
      <c r="Q202" s="112">
        <f t="shared" si="26"/>
        <v>1</v>
      </c>
      <c r="S202" s="3">
        <v>1</v>
      </c>
    </row>
    <row r="203" spans="2:19" ht="21" customHeight="1">
      <c r="B203" s="99" t="str">
        <f t="shared" si="18"/>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C203" s="99" t="str">
        <f t="shared" si="19"/>
        <v>Si vous récupérez du texte sur internet collez le d’abord dans la colonne 1️⃣ pour le “nettoyer” cela supprime les espaces insécables tabulations invisibles et autres “pollutions” ◄ 2️⃣ Saisissez la largeur du document dans lequel vous collerez ensuite le texte ◄ 3️⃣ saisissez un nombre de caractères par lignes ◄ 4️⃣ Si vous ne voulez pas de ponctuation saisissez un X dans la cellule Ensuite dans la colonne B copiez le texte nettoyé puis dans votre document faites Collage spécial &gt; 1 2 3 Valeurs pour ne coller que le texte sans formules</v>
      </c>
      <c r="D203" s="99" t="str">
        <f>IF(UPPER(TRIM(N11))="X",C203,B203)</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E203" s="99" cm="1">
        <f t="array" ref="E203">IF(H202&lt;&gt;"",E202,IF(E202="","",IFERROR(MATCH(TRUE(),INDEX(INDEX(K:K,E202+1):K203&lt;&gt;"",0),0)+E202,"")))</f>
        <v>344</v>
      </c>
      <c r="F203" s="99" cm="1">
        <f t="array" ref="F203">IF(E203="","",IF(H202&lt;&gt;"",H202,INDEX(D:D,E203)))</f>
        <v>0</v>
      </c>
      <c r="G203" s="99" t="str">
        <f t="shared" si="20"/>
        <v>0</v>
      </c>
      <c r="H203" s="109" t="str">
        <f t="shared" si="21"/>
        <v/>
      </c>
      <c r="I203" s="114" t="str">
        <f>IF(AND(F203&lt;&gt;"",N10&gt;0,M203&gt;N10),"Mot &gt; limite","")</f>
        <v/>
      </c>
      <c r="J203" s="110">
        <f>IF(K203="","",COUNTIF(K18:K203,"&lt;&gt;"))</f>
        <v>29</v>
      </c>
      <c r="K203" s="111" t="s">
        <v>53</v>
      </c>
      <c r="L203" s="110">
        <f t="shared" si="22"/>
        <v>558</v>
      </c>
      <c r="M203" s="80">
        <f>IF(OR(F203="",N10="",N10&lt;=0),"",IF(LEN(F203)&lt;=N10,LEN(F203),IFERROR(FIND("♦",SUBSTITUTE(LEFT(F203,N10)," ","♦",LEN(LEFT(F203,N10))-LEN(SUBSTITUTE(LEFT(F203,N10)," ","")))),FIND(" ",F203&amp;" ",N10+1)-1)))</f>
        <v>1</v>
      </c>
      <c r="N203" s="112">
        <f t="shared" si="23"/>
        <v>186</v>
      </c>
      <c r="O203" s="113" t="str">
        <f t="shared" si="24"/>
        <v>0</v>
      </c>
      <c r="P203" s="112">
        <f t="shared" si="25"/>
        <v>1</v>
      </c>
      <c r="Q203" s="112">
        <f t="shared" si="26"/>
        <v>1</v>
      </c>
      <c r="S203" s="3">
        <v>1</v>
      </c>
    </row>
    <row r="204" spans="2:19">
      <c r="B204" s="116"/>
      <c r="C204" s="116"/>
      <c r="D204" s="116"/>
      <c r="E204" s="116" cm="1">
        <f t="array" ref="E204">IF(H203&lt;&gt;"",E203,IF(E203="","",IFERROR(MATCH(TRUE(),INDEX(INDEX(K:K,E203+1):K203&lt;&gt;"",0),0)+E203,"")))</f>
        <v>345</v>
      </c>
      <c r="F204" s="117" cm="1">
        <f t="array" ref="F204">IF(E204="","",IF(H203&lt;&gt;"",H203,INDEX(D:D,E204)))</f>
        <v>0</v>
      </c>
      <c r="G204" s="117" t="str">
        <f t="shared" si="20"/>
        <v>0</v>
      </c>
      <c r="H204" s="118" t="str">
        <f t="shared" si="21"/>
        <v/>
      </c>
      <c r="I204" s="116" t="str">
        <f>IF(AND(F204&lt;&gt;"",N10&gt;0,M204&gt;N10),"Mot &gt; limite","")</f>
        <v/>
      </c>
      <c r="J204" s="122"/>
      <c r="K204" s="122"/>
      <c r="L204" s="122"/>
      <c r="M204" s="70">
        <f>IF(OR(F204="",N10="",N10&lt;=0),"",IF(LEN(F204)&lt;=N10,LEN(F204),IFERROR(FIND("♦",SUBSTITUTE(LEFT(F204,N10)," ","♦",LEN(LEFT(F204,N10))-LEN(SUBSTITUTE(LEFT(F204,N10)," ","")))),FIND(" ",F204&amp;" ",N10+1)-1)))</f>
        <v>1</v>
      </c>
      <c r="N204" s="119">
        <f t="shared" si="23"/>
        <v>187</v>
      </c>
      <c r="O204" s="99" t="str">
        <f t="shared" si="24"/>
        <v>0</v>
      </c>
      <c r="P204" s="119">
        <f t="shared" si="25"/>
        <v>1</v>
      </c>
      <c r="Q204" s="119">
        <f t="shared" si="26"/>
        <v>1</v>
      </c>
      <c r="S204" s="3">
        <v>1</v>
      </c>
    </row>
    <row r="205" spans="2:19">
      <c r="B205" s="116"/>
      <c r="C205" s="116"/>
      <c r="D205" s="116"/>
      <c r="E205" s="116" cm="1">
        <f t="array" ref="E205">IF(H204&lt;&gt;"",E204,IF(E204="","",IFERROR(MATCH(TRUE(),INDEX(INDEX(K:K,E204+1):K203&lt;&gt;"",0),0)+E204,"")))</f>
        <v>346</v>
      </c>
      <c r="F205" s="117" cm="1">
        <f t="array" ref="F205">IF(E205="","",IF(H204&lt;&gt;"",H204,INDEX(D:D,E205)))</f>
        <v>0</v>
      </c>
      <c r="G205" s="117" t="str">
        <f t="shared" si="20"/>
        <v>0</v>
      </c>
      <c r="H205" s="118" t="str">
        <f t="shared" si="21"/>
        <v/>
      </c>
      <c r="I205" s="116" t="str">
        <f>IF(AND(F205&lt;&gt;"",N10&gt;0,M205&gt;N10),"Mot &gt; limite","")</f>
        <v/>
      </c>
      <c r="M205" s="70">
        <f>IF(OR(F205="",N10="",N10&lt;=0),"",IF(LEN(F205)&lt;=N10,LEN(F205),IFERROR(FIND("♦",SUBSTITUTE(LEFT(F205,N10)," ","♦",LEN(LEFT(F205,N10))-LEN(SUBSTITUTE(LEFT(F205,N10)," ","")))),FIND(" ",F205&amp;" ",N10+1)-1)))</f>
        <v>1</v>
      </c>
      <c r="N205" s="119">
        <f t="shared" si="23"/>
        <v>188</v>
      </c>
      <c r="O205" s="99" t="str">
        <f t="shared" si="24"/>
        <v>0</v>
      </c>
      <c r="P205" s="119">
        <f t="shared" si="25"/>
        <v>1</v>
      </c>
      <c r="Q205" s="119">
        <f t="shared" si="26"/>
        <v>1</v>
      </c>
      <c r="S205" s="3">
        <v>1</v>
      </c>
    </row>
    <row r="206" spans="2:19">
      <c r="B206" s="116"/>
      <c r="C206" s="116"/>
      <c r="D206" s="116"/>
      <c r="E206" s="116" cm="1">
        <f t="array" ref="E206">IF(H205&lt;&gt;"",E205,IF(E205="","",IFERROR(MATCH(TRUE(),INDEX(INDEX(K:K,E205+1):K203&lt;&gt;"",0),0)+E205,"")))</f>
        <v>347</v>
      </c>
      <c r="F206" s="117" cm="1">
        <f t="array" ref="F206">IF(E206="","",IF(H205&lt;&gt;"",H205,INDEX(D:D,E206)))</f>
        <v>0</v>
      </c>
      <c r="G206" s="117" t="str">
        <f t="shared" si="20"/>
        <v>0</v>
      </c>
      <c r="H206" s="118" t="str">
        <f t="shared" si="21"/>
        <v/>
      </c>
      <c r="I206" s="116" t="str">
        <f>IF(AND(F206&lt;&gt;"",N10&gt;0,M206&gt;N10),"Mot &gt; limite","")</f>
        <v/>
      </c>
      <c r="M206" s="70">
        <f>IF(OR(F206="",N10="",N10&lt;=0),"",IF(LEN(F206)&lt;=N10,LEN(F206),IFERROR(FIND("♦",SUBSTITUTE(LEFT(F206,N10)," ","♦",LEN(LEFT(F206,N10))-LEN(SUBSTITUTE(LEFT(F206,N10)," ","")))),FIND(" ",F206&amp;" ",N10+1)-1)))</f>
        <v>1</v>
      </c>
      <c r="N206" s="119">
        <f t="shared" si="23"/>
        <v>189</v>
      </c>
      <c r="O206" s="99" t="str">
        <f t="shared" si="24"/>
        <v>0</v>
      </c>
      <c r="P206" s="119">
        <f t="shared" si="25"/>
        <v>1</v>
      </c>
      <c r="Q206" s="119">
        <f t="shared" si="26"/>
        <v>1</v>
      </c>
      <c r="S206" s="3">
        <v>1</v>
      </c>
    </row>
    <row r="207" spans="2:19">
      <c r="B207" s="116"/>
      <c r="C207" s="116"/>
      <c r="D207" s="116"/>
      <c r="E207" s="116" cm="1">
        <f t="array" ref="E207">IF(H206&lt;&gt;"",E206,IF(E206="","",IFERROR(MATCH(TRUE(),INDEX(INDEX(K:K,E206+1):K203&lt;&gt;"",0),0)+E206,"")))</f>
        <v>348</v>
      </c>
      <c r="F207" s="117" cm="1">
        <f t="array" ref="F207">IF(E207="","",IF(H206&lt;&gt;"",H206,INDEX(D:D,E207)))</f>
        <v>0</v>
      </c>
      <c r="G207" s="117" t="str">
        <f t="shared" si="20"/>
        <v>0</v>
      </c>
      <c r="H207" s="118" t="str">
        <f t="shared" si="21"/>
        <v/>
      </c>
      <c r="I207" s="116" t="str">
        <f>IF(AND(F207&lt;&gt;"",N10&gt;0,M207&gt;N10),"Mot &gt; limite","")</f>
        <v/>
      </c>
      <c r="M207" s="70">
        <f>IF(OR(F207="",N10="",N10&lt;=0),"",IF(LEN(F207)&lt;=N10,LEN(F207),IFERROR(FIND("♦",SUBSTITUTE(LEFT(F207,N10)," ","♦",LEN(LEFT(F207,N10))-LEN(SUBSTITUTE(LEFT(F207,N10)," ","")))),FIND(" ",F207&amp;" ",N10+1)-1)))</f>
        <v>1</v>
      </c>
      <c r="N207" s="119">
        <f t="shared" si="23"/>
        <v>190</v>
      </c>
      <c r="O207" s="99" t="str">
        <f t="shared" si="24"/>
        <v>0</v>
      </c>
      <c r="P207" s="119">
        <f t="shared" si="25"/>
        <v>1</v>
      </c>
      <c r="Q207" s="119">
        <f t="shared" si="26"/>
        <v>1</v>
      </c>
      <c r="S207" s="3">
        <v>1</v>
      </c>
    </row>
    <row r="208" spans="2:19">
      <c r="B208" s="116"/>
      <c r="C208" s="116"/>
      <c r="D208" s="116"/>
      <c r="E208" s="116" cm="1">
        <f t="array" ref="E208">IF(H207&lt;&gt;"",E207,IF(E207="","",IFERROR(MATCH(TRUE(),INDEX(INDEX(K:K,E207+1):K203&lt;&gt;"",0),0)+E207,"")))</f>
        <v>349</v>
      </c>
      <c r="F208" s="117" cm="1">
        <f t="array" ref="F208">IF(E208="","",IF(H207&lt;&gt;"",H207,INDEX(D:D,E208)))</f>
        <v>0</v>
      </c>
      <c r="G208" s="117" t="str">
        <f t="shared" si="20"/>
        <v>0</v>
      </c>
      <c r="H208" s="118" t="str">
        <f t="shared" si="21"/>
        <v/>
      </c>
      <c r="I208" s="116" t="str">
        <f>IF(AND(F208&lt;&gt;"",N10&gt;0,M208&gt;N10),"Mot &gt; limite","")</f>
        <v/>
      </c>
      <c r="M208" s="70">
        <f>IF(OR(F208="",N10="",N10&lt;=0),"",IF(LEN(F208)&lt;=N10,LEN(F208),IFERROR(FIND("♦",SUBSTITUTE(LEFT(F208,N10)," ","♦",LEN(LEFT(F208,N10))-LEN(SUBSTITUTE(LEFT(F208,N10)," ","")))),FIND(" ",F208&amp;" ",N10+1)-1)))</f>
        <v>1</v>
      </c>
      <c r="N208" s="119">
        <f t="shared" si="23"/>
        <v>191</v>
      </c>
      <c r="O208" s="99" t="str">
        <f t="shared" si="24"/>
        <v>0</v>
      </c>
      <c r="P208" s="119">
        <f t="shared" si="25"/>
        <v>1</v>
      </c>
      <c r="Q208" s="119">
        <f t="shared" si="26"/>
        <v>1</v>
      </c>
      <c r="S208" s="3">
        <v>1</v>
      </c>
    </row>
    <row r="209" spans="2:19">
      <c r="B209" s="116"/>
      <c r="C209" s="116"/>
      <c r="D209" s="116"/>
      <c r="E209" s="116" cm="1">
        <f t="array" ref="E209">IF(H208&lt;&gt;"",E208,IF(E208="","",IFERROR(MATCH(TRUE(),INDEX(INDEX(K:K,E208+1):K203&lt;&gt;"",0),0)+E208,"")))</f>
        <v>350</v>
      </c>
      <c r="F209" s="117" cm="1">
        <f t="array" ref="F209">IF(E209="","",IF(H208&lt;&gt;"",H208,INDEX(D:D,E209)))</f>
        <v>0</v>
      </c>
      <c r="G209" s="117" t="str">
        <f t="shared" si="20"/>
        <v>0</v>
      </c>
      <c r="H209" s="118" t="str">
        <f t="shared" si="21"/>
        <v/>
      </c>
      <c r="I209" s="116" t="str">
        <f>IF(AND(F209&lt;&gt;"",N10&gt;0,M209&gt;N10),"Mot &gt; limite","")</f>
        <v/>
      </c>
      <c r="M209" s="70">
        <f>IF(OR(F209="",N10="",N10&lt;=0),"",IF(LEN(F209)&lt;=N10,LEN(F209),IFERROR(FIND("♦",SUBSTITUTE(LEFT(F209,N10)," ","♦",LEN(LEFT(F209,N10))-LEN(SUBSTITUTE(LEFT(F209,N10)," ","")))),FIND(" ",F209&amp;" ",N10+1)-1)))</f>
        <v>1</v>
      </c>
      <c r="N209" s="119">
        <f t="shared" si="23"/>
        <v>192</v>
      </c>
      <c r="O209" s="99" t="str">
        <f t="shared" si="24"/>
        <v>0</v>
      </c>
      <c r="P209" s="119">
        <f t="shared" si="25"/>
        <v>1</v>
      </c>
      <c r="Q209" s="119">
        <f t="shared" si="26"/>
        <v>1</v>
      </c>
      <c r="S209" s="3">
        <v>1</v>
      </c>
    </row>
    <row r="210" spans="2:19">
      <c r="B210" s="116"/>
      <c r="C210" s="116"/>
      <c r="D210" s="116"/>
      <c r="E210" s="116" cm="1">
        <f t="array" ref="E210">IF(H209&lt;&gt;"",E209,IF(E209="","",IFERROR(MATCH(TRUE(),INDEX(INDEX(K:K,E209+1):K203&lt;&gt;"",0),0)+E209,"")))</f>
        <v>351</v>
      </c>
      <c r="F210" s="117" cm="1">
        <f t="array" ref="F210">IF(E210="","",IF(H209&lt;&gt;"",H209,INDEX(D:D,E210)))</f>
        <v>0</v>
      </c>
      <c r="G210" s="117" t="str">
        <f t="shared" ref="G210:G273" si="27">IF(OR(F210="",M210=""),"",LEFT(F210,M210))</f>
        <v>0</v>
      </c>
      <c r="H210" s="118" t="str">
        <f t="shared" ref="H210:H273" si="28">IF(OR(F210="",M210=""),"",TRIM(MID(F210,M210+1,99999)))</f>
        <v/>
      </c>
      <c r="I210" s="116" t="str">
        <f>IF(AND(F210&lt;&gt;"",N10&gt;0,M210&gt;N10),"Mot &gt; limite","")</f>
        <v/>
      </c>
      <c r="M210" s="70">
        <f>IF(OR(F210="",N10="",N10&lt;=0),"",IF(LEN(F210)&lt;=N10,LEN(F210),IFERROR(FIND("♦",SUBSTITUTE(LEFT(F210,N10)," ","♦",LEN(LEFT(F210,N10))-LEN(SUBSTITUTE(LEFT(F210,N10)," ","")))),FIND(" ",F210&amp;" ",N10+1)-1)))</f>
        <v>1</v>
      </c>
      <c r="N210" s="119">
        <f t="shared" ref="N210:N273" si="29">IF(O210="","",ROW()-17)</f>
        <v>193</v>
      </c>
      <c r="O210" s="99" t="str">
        <f t="shared" ref="O210:O273" si="30">G210</f>
        <v>0</v>
      </c>
      <c r="P210" s="119">
        <f t="shared" ref="P210:P273" si="31">IF(O210="","",LEN(TRIM(O210))-LEN(SUBSTITUTE(TRIM(O210)," ",""))+1)</f>
        <v>1</v>
      </c>
      <c r="Q210" s="119">
        <f t="shared" ref="Q210:Q273" si="32">IF(O210="","",LEN(O210))</f>
        <v>1</v>
      </c>
      <c r="S210" s="3">
        <v>1</v>
      </c>
    </row>
    <row r="211" spans="2:19">
      <c r="B211" s="116"/>
      <c r="C211" s="116"/>
      <c r="D211" s="116"/>
      <c r="E211" s="116" cm="1">
        <f t="array" ref="E211">IF(H210&lt;&gt;"",E210,IF(E210="","",IFERROR(MATCH(TRUE(),INDEX(INDEX(K:K,E210+1):K203&lt;&gt;"",0),0)+E210,"")))</f>
        <v>352</v>
      </c>
      <c r="F211" s="117" cm="1">
        <f t="array" ref="F211">IF(E211="","",IF(H210&lt;&gt;"",H210,INDEX(D:D,E211)))</f>
        <v>0</v>
      </c>
      <c r="G211" s="117" t="str">
        <f t="shared" si="27"/>
        <v>0</v>
      </c>
      <c r="H211" s="118" t="str">
        <f t="shared" si="28"/>
        <v/>
      </c>
      <c r="I211" s="116" t="str">
        <f>IF(AND(F211&lt;&gt;"",N10&gt;0,M211&gt;N10),"Mot &gt; limite","")</f>
        <v/>
      </c>
      <c r="M211" s="70">
        <f>IF(OR(F211="",N10="",N10&lt;=0),"",IF(LEN(F211)&lt;=N10,LEN(F211),IFERROR(FIND("♦",SUBSTITUTE(LEFT(F211,N10)," ","♦",LEN(LEFT(F211,N10))-LEN(SUBSTITUTE(LEFT(F211,N10)," ","")))),FIND(" ",F211&amp;" ",N10+1)-1)))</f>
        <v>1</v>
      </c>
      <c r="N211" s="119">
        <f t="shared" si="29"/>
        <v>194</v>
      </c>
      <c r="O211" s="99" t="str">
        <f t="shared" si="30"/>
        <v>0</v>
      </c>
      <c r="P211" s="119">
        <f t="shared" si="31"/>
        <v>1</v>
      </c>
      <c r="Q211" s="119">
        <f t="shared" si="32"/>
        <v>1</v>
      </c>
      <c r="S211" s="3">
        <v>1</v>
      </c>
    </row>
    <row r="212" spans="2:19">
      <c r="B212" s="116"/>
      <c r="C212" s="116"/>
      <c r="D212" s="116"/>
      <c r="E212" s="116" cm="1">
        <f t="array" ref="E212">IF(H211&lt;&gt;"",E211,IF(E211="","",IFERROR(MATCH(TRUE(),INDEX(INDEX(K:K,E211+1):K203&lt;&gt;"",0),0)+E211,"")))</f>
        <v>353</v>
      </c>
      <c r="F212" s="117" cm="1">
        <f t="array" ref="F212">IF(E212="","",IF(H211&lt;&gt;"",H211,INDEX(D:D,E212)))</f>
        <v>0</v>
      </c>
      <c r="G212" s="117" t="str">
        <f t="shared" si="27"/>
        <v>0</v>
      </c>
      <c r="H212" s="118" t="str">
        <f t="shared" si="28"/>
        <v/>
      </c>
      <c r="I212" s="116" t="str">
        <f>IF(AND(F212&lt;&gt;"",N10&gt;0,M212&gt;N10),"Mot &gt; limite","")</f>
        <v/>
      </c>
      <c r="M212" s="70">
        <f>IF(OR(F212="",N10="",N10&lt;=0),"",IF(LEN(F212)&lt;=N10,LEN(F212),IFERROR(FIND("♦",SUBSTITUTE(LEFT(F212,N10)," ","♦",LEN(LEFT(F212,N10))-LEN(SUBSTITUTE(LEFT(F212,N10)," ","")))),FIND(" ",F212&amp;" ",N10+1)-1)))</f>
        <v>1</v>
      </c>
      <c r="N212" s="119">
        <f t="shared" si="29"/>
        <v>195</v>
      </c>
      <c r="O212" s="99" t="str">
        <f t="shared" si="30"/>
        <v>0</v>
      </c>
      <c r="P212" s="119">
        <f t="shared" si="31"/>
        <v>1</v>
      </c>
      <c r="Q212" s="119">
        <f t="shared" si="32"/>
        <v>1</v>
      </c>
      <c r="S212" s="3">
        <v>1</v>
      </c>
    </row>
    <row r="213" spans="2:19">
      <c r="B213" s="116"/>
      <c r="C213" s="116"/>
      <c r="D213" s="116"/>
      <c r="E213" s="116" cm="1">
        <f t="array" ref="E213">IF(H212&lt;&gt;"",E212,IF(E212="","",IFERROR(MATCH(TRUE(),INDEX(INDEX(K:K,E212+1):K203&lt;&gt;"",0),0)+E212,"")))</f>
        <v>354</v>
      </c>
      <c r="F213" s="117" cm="1">
        <f t="array" ref="F213">IF(E213="","",IF(H212&lt;&gt;"",H212,INDEX(D:D,E213)))</f>
        <v>0</v>
      </c>
      <c r="G213" s="117" t="str">
        <f t="shared" si="27"/>
        <v>0</v>
      </c>
      <c r="H213" s="118" t="str">
        <f t="shared" si="28"/>
        <v/>
      </c>
      <c r="I213" s="116" t="str">
        <f>IF(AND(F213&lt;&gt;"",N10&gt;0,M213&gt;N10),"Mot &gt; limite","")</f>
        <v/>
      </c>
      <c r="M213" s="70">
        <f>IF(OR(F213="",N10="",N10&lt;=0),"",IF(LEN(F213)&lt;=N10,LEN(F213),IFERROR(FIND("♦",SUBSTITUTE(LEFT(F213,N10)," ","♦",LEN(LEFT(F213,N10))-LEN(SUBSTITUTE(LEFT(F213,N10)," ","")))),FIND(" ",F213&amp;" ",N10+1)-1)))</f>
        <v>1</v>
      </c>
      <c r="N213" s="119">
        <f t="shared" si="29"/>
        <v>196</v>
      </c>
      <c r="O213" s="99" t="str">
        <f t="shared" si="30"/>
        <v>0</v>
      </c>
      <c r="P213" s="119">
        <f t="shared" si="31"/>
        <v>1</v>
      </c>
      <c r="Q213" s="119">
        <f t="shared" si="32"/>
        <v>1</v>
      </c>
      <c r="S213" s="3">
        <v>1</v>
      </c>
    </row>
    <row r="214" spans="2:19">
      <c r="B214" s="116"/>
      <c r="C214" s="116"/>
      <c r="D214" s="116"/>
      <c r="E214" s="116" cm="1">
        <f t="array" ref="E214">IF(H213&lt;&gt;"",E213,IF(E213="","",IFERROR(MATCH(TRUE(),INDEX(INDEX(K:K,E213+1):K203&lt;&gt;"",0),0)+E213,"")))</f>
        <v>355</v>
      </c>
      <c r="F214" s="117" cm="1">
        <f t="array" ref="F214">IF(E214="","",IF(H213&lt;&gt;"",H213,INDEX(D:D,E214)))</f>
        <v>0</v>
      </c>
      <c r="G214" s="117" t="str">
        <f t="shared" si="27"/>
        <v>0</v>
      </c>
      <c r="H214" s="118" t="str">
        <f t="shared" si="28"/>
        <v/>
      </c>
      <c r="I214" s="116" t="str">
        <f>IF(AND(F214&lt;&gt;"",N10&gt;0,M214&gt;N10),"Mot &gt; limite","")</f>
        <v/>
      </c>
      <c r="M214" s="70">
        <f>IF(OR(F214="",N10="",N10&lt;=0),"",IF(LEN(F214)&lt;=N10,LEN(F214),IFERROR(FIND("♦",SUBSTITUTE(LEFT(F214,N10)," ","♦",LEN(LEFT(F214,N10))-LEN(SUBSTITUTE(LEFT(F214,N10)," ","")))),FIND(" ",F214&amp;" ",N10+1)-1)))</f>
        <v>1</v>
      </c>
      <c r="N214" s="119">
        <f t="shared" si="29"/>
        <v>197</v>
      </c>
      <c r="O214" s="99" t="str">
        <f t="shared" si="30"/>
        <v>0</v>
      </c>
      <c r="P214" s="119">
        <f t="shared" si="31"/>
        <v>1</v>
      </c>
      <c r="Q214" s="119">
        <f t="shared" si="32"/>
        <v>1</v>
      </c>
      <c r="S214" s="3">
        <v>1</v>
      </c>
    </row>
    <row r="215" spans="2:19">
      <c r="B215" s="116"/>
      <c r="C215" s="116"/>
      <c r="D215" s="116"/>
      <c r="E215" s="116" cm="1">
        <f t="array" ref="E215">IF(H214&lt;&gt;"",E214,IF(E214="","",IFERROR(MATCH(TRUE(),INDEX(INDEX(K:K,E214+1):K203&lt;&gt;"",0),0)+E214,"")))</f>
        <v>356</v>
      </c>
      <c r="F215" s="117" cm="1">
        <f t="array" ref="F215">IF(E215="","",IF(H214&lt;&gt;"",H214,INDEX(D:D,E215)))</f>
        <v>0</v>
      </c>
      <c r="G215" s="117" t="str">
        <f t="shared" si="27"/>
        <v>0</v>
      </c>
      <c r="H215" s="118" t="str">
        <f t="shared" si="28"/>
        <v/>
      </c>
      <c r="I215" s="116" t="str">
        <f>IF(AND(F215&lt;&gt;"",N10&gt;0,M215&gt;N10),"Mot &gt; limite","")</f>
        <v/>
      </c>
      <c r="M215" s="70">
        <f>IF(OR(F215="",N10="",N10&lt;=0),"",IF(LEN(F215)&lt;=N10,LEN(F215),IFERROR(FIND("♦",SUBSTITUTE(LEFT(F215,N10)," ","♦",LEN(LEFT(F215,N10))-LEN(SUBSTITUTE(LEFT(F215,N10)," ","")))),FIND(" ",F215&amp;" ",N10+1)-1)))</f>
        <v>1</v>
      </c>
      <c r="N215" s="119">
        <f t="shared" si="29"/>
        <v>198</v>
      </c>
      <c r="O215" s="99" t="str">
        <f t="shared" si="30"/>
        <v>0</v>
      </c>
      <c r="P215" s="119">
        <f t="shared" si="31"/>
        <v>1</v>
      </c>
      <c r="Q215" s="119">
        <f t="shared" si="32"/>
        <v>1</v>
      </c>
      <c r="S215" s="3">
        <v>1</v>
      </c>
    </row>
    <row r="216" spans="2:19">
      <c r="B216" s="116"/>
      <c r="C216" s="116"/>
      <c r="D216" s="116"/>
      <c r="E216" s="116" cm="1">
        <f t="array" ref="E216">IF(H215&lt;&gt;"",E215,IF(E215="","",IFERROR(MATCH(TRUE(),INDEX(INDEX(K:K,E215+1):K203&lt;&gt;"",0),0)+E215,"")))</f>
        <v>357</v>
      </c>
      <c r="F216" s="117" cm="1">
        <f t="array" ref="F216">IF(E216="","",IF(H215&lt;&gt;"",H215,INDEX(D:D,E216)))</f>
        <v>0</v>
      </c>
      <c r="G216" s="117" t="str">
        <f t="shared" si="27"/>
        <v>0</v>
      </c>
      <c r="H216" s="118" t="str">
        <f t="shared" si="28"/>
        <v/>
      </c>
      <c r="I216" s="116" t="str">
        <f>IF(AND(F216&lt;&gt;"",N10&gt;0,M216&gt;N10),"Mot &gt; limite","")</f>
        <v/>
      </c>
      <c r="M216" s="70">
        <f>IF(OR(F216="",N10="",N10&lt;=0),"",IF(LEN(F216)&lt;=N10,LEN(F216),IFERROR(FIND("♦",SUBSTITUTE(LEFT(F216,N10)," ","♦",LEN(LEFT(F216,N10))-LEN(SUBSTITUTE(LEFT(F216,N10)," ","")))),FIND(" ",F216&amp;" ",N10+1)-1)))</f>
        <v>1</v>
      </c>
      <c r="N216" s="119">
        <f t="shared" si="29"/>
        <v>199</v>
      </c>
      <c r="O216" s="99" t="str">
        <f t="shared" si="30"/>
        <v>0</v>
      </c>
      <c r="P216" s="119">
        <f t="shared" si="31"/>
        <v>1</v>
      </c>
      <c r="Q216" s="119">
        <f t="shared" si="32"/>
        <v>1</v>
      </c>
      <c r="S216" s="3">
        <v>1</v>
      </c>
    </row>
    <row r="217" spans="2:19">
      <c r="B217" s="116"/>
      <c r="C217" s="116"/>
      <c r="D217" s="116"/>
      <c r="E217" s="116" cm="1">
        <f t="array" ref="E217">IF(H216&lt;&gt;"",E216,IF(E216="","",IFERROR(MATCH(TRUE(),INDEX(INDEX(K:K,E216+1):K203&lt;&gt;"",0),0)+E216,"")))</f>
        <v>358</v>
      </c>
      <c r="F217" s="117" cm="1">
        <f t="array" ref="F217">IF(E217="","",IF(H216&lt;&gt;"",H216,INDEX(D:D,E217)))</f>
        <v>0</v>
      </c>
      <c r="G217" s="117" t="str">
        <f t="shared" si="27"/>
        <v>0</v>
      </c>
      <c r="H217" s="118" t="str">
        <f t="shared" si="28"/>
        <v/>
      </c>
      <c r="I217" s="116" t="str">
        <f>IF(AND(F217&lt;&gt;"",N10&gt;0,M217&gt;N10),"Mot &gt; limite","")</f>
        <v/>
      </c>
      <c r="M217" s="70">
        <f>IF(OR(F217="",N10="",N10&lt;=0),"",IF(LEN(F217)&lt;=N10,LEN(F217),IFERROR(FIND("♦",SUBSTITUTE(LEFT(F217,N10)," ","♦",LEN(LEFT(F217,N10))-LEN(SUBSTITUTE(LEFT(F217,N10)," ","")))),FIND(" ",F217&amp;" ",N10+1)-1)))</f>
        <v>1</v>
      </c>
      <c r="N217" s="119">
        <f t="shared" si="29"/>
        <v>200</v>
      </c>
      <c r="O217" s="99" t="str">
        <f t="shared" si="30"/>
        <v>0</v>
      </c>
      <c r="P217" s="119">
        <f t="shared" si="31"/>
        <v>1</v>
      </c>
      <c r="Q217" s="119">
        <f t="shared" si="32"/>
        <v>1</v>
      </c>
      <c r="S217" s="3">
        <v>1</v>
      </c>
    </row>
    <row r="218" spans="2:19">
      <c r="B218" s="116"/>
      <c r="C218" s="116"/>
      <c r="D218" s="116"/>
      <c r="E218" s="116" cm="1">
        <f t="array" ref="E218">IF(H217&lt;&gt;"",E217,IF(E217="","",IFERROR(MATCH(TRUE(),INDEX(INDEX(K:K,E217+1):K203&lt;&gt;"",0),0)+E217,"")))</f>
        <v>359</v>
      </c>
      <c r="F218" s="117" cm="1">
        <f t="array" ref="F218">IF(E218="","",IF(H217&lt;&gt;"",H217,INDEX(D:D,E218)))</f>
        <v>0</v>
      </c>
      <c r="G218" s="117" t="str">
        <f t="shared" si="27"/>
        <v>0</v>
      </c>
      <c r="H218" s="118" t="str">
        <f t="shared" si="28"/>
        <v/>
      </c>
      <c r="I218" s="116" t="str">
        <f>IF(AND(F218&lt;&gt;"",N10&gt;0,M218&gt;N10),"Mot &gt; limite","")</f>
        <v/>
      </c>
      <c r="M218" s="70">
        <f>IF(OR(F218="",N10="",N10&lt;=0),"",IF(LEN(F218)&lt;=N10,LEN(F218),IFERROR(FIND("♦",SUBSTITUTE(LEFT(F218,N10)," ","♦",LEN(LEFT(F218,N10))-LEN(SUBSTITUTE(LEFT(F218,N10)," ","")))),FIND(" ",F218&amp;" ",N10+1)-1)))</f>
        <v>1</v>
      </c>
      <c r="N218" s="119">
        <f t="shared" si="29"/>
        <v>201</v>
      </c>
      <c r="O218" s="99" t="str">
        <f t="shared" si="30"/>
        <v>0</v>
      </c>
      <c r="P218" s="119">
        <f t="shared" si="31"/>
        <v>1</v>
      </c>
      <c r="Q218" s="119">
        <f t="shared" si="32"/>
        <v>1</v>
      </c>
      <c r="S218" s="3">
        <v>1</v>
      </c>
    </row>
    <row r="219" spans="2:19">
      <c r="B219" s="116"/>
      <c r="C219" s="116"/>
      <c r="D219" s="116"/>
      <c r="E219" s="116" cm="1">
        <f t="array" ref="E219">IF(H218&lt;&gt;"",E218,IF(E218="","",IFERROR(MATCH(TRUE(),INDEX(INDEX(K:K,E218+1):K203&lt;&gt;"",0),0)+E218,"")))</f>
        <v>360</v>
      </c>
      <c r="F219" s="117" cm="1">
        <f t="array" ref="F219">IF(E219="","",IF(H218&lt;&gt;"",H218,INDEX(D:D,E219)))</f>
        <v>0</v>
      </c>
      <c r="G219" s="117" t="str">
        <f t="shared" si="27"/>
        <v>0</v>
      </c>
      <c r="H219" s="118" t="str">
        <f t="shared" si="28"/>
        <v/>
      </c>
      <c r="I219" s="116" t="str">
        <f>IF(AND(F219&lt;&gt;"",N10&gt;0,M219&gt;N10),"Mot &gt; limite","")</f>
        <v/>
      </c>
      <c r="M219" s="70">
        <f>IF(OR(F219="",N10="",N10&lt;=0),"",IF(LEN(F219)&lt;=N10,LEN(F219),IFERROR(FIND("♦",SUBSTITUTE(LEFT(F219,N10)," ","♦",LEN(LEFT(F219,N10))-LEN(SUBSTITUTE(LEFT(F219,N10)," ","")))),FIND(" ",F219&amp;" ",N10+1)-1)))</f>
        <v>1</v>
      </c>
      <c r="N219" s="119">
        <f t="shared" si="29"/>
        <v>202</v>
      </c>
      <c r="O219" s="99" t="str">
        <f t="shared" si="30"/>
        <v>0</v>
      </c>
      <c r="P219" s="119">
        <f t="shared" si="31"/>
        <v>1</v>
      </c>
      <c r="Q219" s="119">
        <f t="shared" si="32"/>
        <v>1</v>
      </c>
      <c r="S219" s="3">
        <v>1</v>
      </c>
    </row>
    <row r="220" spans="2:19">
      <c r="B220" s="116"/>
      <c r="C220" s="116"/>
      <c r="D220" s="116"/>
      <c r="E220" s="116" cm="1">
        <f t="array" ref="E220">IF(H219&lt;&gt;"",E219,IF(E219="","",IFERROR(MATCH(TRUE(),INDEX(INDEX(K:K,E219+1):K203&lt;&gt;"",0),0)+E219,"")))</f>
        <v>361</v>
      </c>
      <c r="F220" s="117" cm="1">
        <f t="array" ref="F220">IF(E220="","",IF(H219&lt;&gt;"",H219,INDEX(D:D,E220)))</f>
        <v>0</v>
      </c>
      <c r="G220" s="117" t="str">
        <f t="shared" si="27"/>
        <v>0</v>
      </c>
      <c r="H220" s="118" t="str">
        <f t="shared" si="28"/>
        <v/>
      </c>
      <c r="I220" s="116" t="str">
        <f>IF(AND(F220&lt;&gt;"",N10&gt;0,M220&gt;N10),"Mot &gt; limite","")</f>
        <v/>
      </c>
      <c r="M220" s="70">
        <f>IF(OR(F220="",N10="",N10&lt;=0),"",IF(LEN(F220)&lt;=N10,LEN(F220),IFERROR(FIND("♦",SUBSTITUTE(LEFT(F220,N10)," ","♦",LEN(LEFT(F220,N10))-LEN(SUBSTITUTE(LEFT(F220,N10)," ","")))),FIND(" ",F220&amp;" ",N10+1)-1)))</f>
        <v>1</v>
      </c>
      <c r="N220" s="119">
        <f t="shared" si="29"/>
        <v>203</v>
      </c>
      <c r="O220" s="99" t="str">
        <f t="shared" si="30"/>
        <v>0</v>
      </c>
      <c r="P220" s="119">
        <f t="shared" si="31"/>
        <v>1</v>
      </c>
      <c r="Q220" s="119">
        <f t="shared" si="32"/>
        <v>1</v>
      </c>
      <c r="S220" s="3">
        <v>1</v>
      </c>
    </row>
    <row r="221" spans="2:19">
      <c r="B221" s="116"/>
      <c r="C221" s="116"/>
      <c r="D221" s="116"/>
      <c r="E221" s="116" cm="1">
        <f t="array" ref="E221">IF(H220&lt;&gt;"",E220,IF(E220="","",IFERROR(MATCH(TRUE(),INDEX(INDEX(K:K,E220+1):K203&lt;&gt;"",0),0)+E220,"")))</f>
        <v>362</v>
      </c>
      <c r="F221" s="117" cm="1">
        <f t="array" ref="F221">IF(E221="","",IF(H220&lt;&gt;"",H220,INDEX(D:D,E221)))</f>
        <v>0</v>
      </c>
      <c r="G221" s="117" t="str">
        <f t="shared" si="27"/>
        <v>0</v>
      </c>
      <c r="H221" s="118" t="str">
        <f t="shared" si="28"/>
        <v/>
      </c>
      <c r="I221" s="116" t="str">
        <f>IF(AND(F221&lt;&gt;"",N10&gt;0,M221&gt;N10),"Mot &gt; limite","")</f>
        <v/>
      </c>
      <c r="M221" s="70">
        <f>IF(OR(F221="",N10="",N10&lt;=0),"",IF(LEN(F221)&lt;=N10,LEN(F221),IFERROR(FIND("♦",SUBSTITUTE(LEFT(F221,N10)," ","♦",LEN(LEFT(F221,N10))-LEN(SUBSTITUTE(LEFT(F221,N10)," ","")))),FIND(" ",F221&amp;" ",N10+1)-1)))</f>
        <v>1</v>
      </c>
      <c r="N221" s="119">
        <f t="shared" si="29"/>
        <v>204</v>
      </c>
      <c r="O221" s="99" t="str">
        <f t="shared" si="30"/>
        <v>0</v>
      </c>
      <c r="P221" s="119">
        <f t="shared" si="31"/>
        <v>1</v>
      </c>
      <c r="Q221" s="119">
        <f t="shared" si="32"/>
        <v>1</v>
      </c>
      <c r="S221" s="3">
        <v>1</v>
      </c>
    </row>
    <row r="222" spans="2:19">
      <c r="B222" s="116"/>
      <c r="C222" s="116"/>
      <c r="D222" s="116"/>
      <c r="E222" s="116" cm="1">
        <f t="array" ref="E222">IF(H221&lt;&gt;"",E221,IF(E221="","",IFERROR(MATCH(TRUE(),INDEX(INDEX(K:K,E221+1):K203&lt;&gt;"",0),0)+E221,"")))</f>
        <v>363</v>
      </c>
      <c r="F222" s="117" cm="1">
        <f t="array" ref="F222">IF(E222="","",IF(H221&lt;&gt;"",H221,INDEX(D:D,E222)))</f>
        <v>0</v>
      </c>
      <c r="G222" s="117" t="str">
        <f t="shared" si="27"/>
        <v>0</v>
      </c>
      <c r="H222" s="118" t="str">
        <f t="shared" si="28"/>
        <v/>
      </c>
      <c r="I222" s="116" t="str">
        <f>IF(AND(F222&lt;&gt;"",N10&gt;0,M222&gt;N10),"Mot &gt; limite","")</f>
        <v/>
      </c>
      <c r="M222" s="70">
        <f>IF(OR(F222="",N10="",N10&lt;=0),"",IF(LEN(F222)&lt;=N10,LEN(F222),IFERROR(FIND("♦",SUBSTITUTE(LEFT(F222,N10)," ","♦",LEN(LEFT(F222,N10))-LEN(SUBSTITUTE(LEFT(F222,N10)," ","")))),FIND(" ",F222&amp;" ",N10+1)-1)))</f>
        <v>1</v>
      </c>
      <c r="N222" s="119">
        <f t="shared" si="29"/>
        <v>205</v>
      </c>
      <c r="O222" s="99" t="str">
        <f t="shared" si="30"/>
        <v>0</v>
      </c>
      <c r="P222" s="119">
        <f t="shared" si="31"/>
        <v>1</v>
      </c>
      <c r="Q222" s="119">
        <f t="shared" si="32"/>
        <v>1</v>
      </c>
      <c r="S222" s="3">
        <v>1</v>
      </c>
    </row>
    <row r="223" spans="2:19">
      <c r="B223" s="116"/>
      <c r="C223" s="116"/>
      <c r="D223" s="116"/>
      <c r="E223" s="116" cm="1">
        <f t="array" ref="E223">IF(H222&lt;&gt;"",E222,IF(E222="","",IFERROR(MATCH(TRUE(),INDEX(INDEX(K:K,E222+1):K203&lt;&gt;"",0),0)+E222,"")))</f>
        <v>364</v>
      </c>
      <c r="F223" s="117" cm="1">
        <f t="array" ref="F223">IF(E223="","",IF(H222&lt;&gt;"",H222,INDEX(D:D,E223)))</f>
        <v>0</v>
      </c>
      <c r="G223" s="117" t="str">
        <f t="shared" si="27"/>
        <v>0</v>
      </c>
      <c r="H223" s="118" t="str">
        <f t="shared" si="28"/>
        <v/>
      </c>
      <c r="I223" s="116" t="str">
        <f>IF(AND(F223&lt;&gt;"",N10&gt;0,M223&gt;N10),"Mot &gt; limite","")</f>
        <v/>
      </c>
      <c r="M223" s="70">
        <f>IF(OR(F223="",N10="",N10&lt;=0),"",IF(LEN(F223)&lt;=N10,LEN(F223),IFERROR(FIND("♦",SUBSTITUTE(LEFT(F223,N10)," ","♦",LEN(LEFT(F223,N10))-LEN(SUBSTITUTE(LEFT(F223,N10)," ","")))),FIND(" ",F223&amp;" ",N10+1)-1)))</f>
        <v>1</v>
      </c>
      <c r="N223" s="119">
        <f t="shared" si="29"/>
        <v>206</v>
      </c>
      <c r="O223" s="99" t="str">
        <f t="shared" si="30"/>
        <v>0</v>
      </c>
      <c r="P223" s="119">
        <f t="shared" si="31"/>
        <v>1</v>
      </c>
      <c r="Q223" s="119">
        <f t="shared" si="32"/>
        <v>1</v>
      </c>
      <c r="S223" s="3">
        <v>1</v>
      </c>
    </row>
    <row r="224" spans="2:19">
      <c r="B224" s="116"/>
      <c r="C224" s="116"/>
      <c r="D224" s="116"/>
      <c r="E224" s="116" cm="1">
        <f t="array" ref="E224">IF(H223&lt;&gt;"",E223,IF(E223="","",IFERROR(MATCH(TRUE(),INDEX(INDEX(K:K,E223+1):K203&lt;&gt;"",0),0)+E223,"")))</f>
        <v>365</v>
      </c>
      <c r="F224" s="117" cm="1">
        <f t="array" ref="F224">IF(E224="","",IF(H223&lt;&gt;"",H223,INDEX(D:D,E224)))</f>
        <v>0</v>
      </c>
      <c r="G224" s="117" t="str">
        <f t="shared" si="27"/>
        <v>0</v>
      </c>
      <c r="H224" s="118" t="str">
        <f t="shared" si="28"/>
        <v/>
      </c>
      <c r="I224" s="116" t="str">
        <f>IF(AND(F224&lt;&gt;"",N10&gt;0,M224&gt;N10),"Mot &gt; limite","")</f>
        <v/>
      </c>
      <c r="M224" s="70">
        <f>IF(OR(F224="",N10="",N10&lt;=0),"",IF(LEN(F224)&lt;=N10,LEN(F224),IFERROR(FIND("♦",SUBSTITUTE(LEFT(F224,N10)," ","♦",LEN(LEFT(F224,N10))-LEN(SUBSTITUTE(LEFT(F224,N10)," ","")))),FIND(" ",F224&amp;" ",N10+1)-1)))</f>
        <v>1</v>
      </c>
      <c r="N224" s="119">
        <f t="shared" si="29"/>
        <v>207</v>
      </c>
      <c r="O224" s="99" t="str">
        <f t="shared" si="30"/>
        <v>0</v>
      </c>
      <c r="P224" s="119">
        <f t="shared" si="31"/>
        <v>1</v>
      </c>
      <c r="Q224" s="119">
        <f t="shared" si="32"/>
        <v>1</v>
      </c>
      <c r="S224" s="3">
        <v>1</v>
      </c>
    </row>
    <row r="225" spans="2:19">
      <c r="B225" s="116"/>
      <c r="C225" s="116"/>
      <c r="D225" s="116"/>
      <c r="E225" s="116" cm="1">
        <f t="array" ref="E225">IF(H224&lt;&gt;"",E224,IF(E224="","",IFERROR(MATCH(TRUE(),INDEX(INDEX(K:K,E224+1):K203&lt;&gt;"",0),0)+E224,"")))</f>
        <v>366</v>
      </c>
      <c r="F225" s="117" cm="1">
        <f t="array" ref="F225">IF(E225="","",IF(H224&lt;&gt;"",H224,INDEX(D:D,E225)))</f>
        <v>0</v>
      </c>
      <c r="G225" s="117" t="str">
        <f t="shared" si="27"/>
        <v>0</v>
      </c>
      <c r="H225" s="118" t="str">
        <f t="shared" si="28"/>
        <v/>
      </c>
      <c r="I225" s="116" t="str">
        <f>IF(AND(F225&lt;&gt;"",N10&gt;0,M225&gt;N10),"Mot &gt; limite","")</f>
        <v/>
      </c>
      <c r="M225" s="70">
        <f>IF(OR(F225="",N10="",N10&lt;=0),"",IF(LEN(F225)&lt;=N10,LEN(F225),IFERROR(FIND("♦",SUBSTITUTE(LEFT(F225,N10)," ","♦",LEN(LEFT(F225,N10))-LEN(SUBSTITUTE(LEFT(F225,N10)," ","")))),FIND(" ",F225&amp;" ",N10+1)-1)))</f>
        <v>1</v>
      </c>
      <c r="N225" s="119">
        <f t="shared" si="29"/>
        <v>208</v>
      </c>
      <c r="O225" s="99" t="str">
        <f t="shared" si="30"/>
        <v>0</v>
      </c>
      <c r="P225" s="119">
        <f t="shared" si="31"/>
        <v>1</v>
      </c>
      <c r="Q225" s="119">
        <f t="shared" si="32"/>
        <v>1</v>
      </c>
      <c r="S225" s="3">
        <v>1</v>
      </c>
    </row>
    <row r="226" spans="2:19">
      <c r="B226" s="116"/>
      <c r="C226" s="116"/>
      <c r="D226" s="116"/>
      <c r="E226" s="116" cm="1">
        <f t="array" ref="E226">IF(H225&lt;&gt;"",E225,IF(E225="","",IFERROR(MATCH(TRUE(),INDEX(INDEX(K:K,E225+1):K203&lt;&gt;"",0),0)+E225,"")))</f>
        <v>367</v>
      </c>
      <c r="F226" s="117" cm="1">
        <f t="array" ref="F226">IF(E226="","",IF(H225&lt;&gt;"",H225,INDEX(D:D,E226)))</f>
        <v>0</v>
      </c>
      <c r="G226" s="117" t="str">
        <f t="shared" si="27"/>
        <v>0</v>
      </c>
      <c r="H226" s="118" t="str">
        <f t="shared" si="28"/>
        <v/>
      </c>
      <c r="I226" s="116" t="str">
        <f>IF(AND(F226&lt;&gt;"",N10&gt;0,M226&gt;N10),"Mot &gt; limite","")</f>
        <v/>
      </c>
      <c r="M226" s="70">
        <f>IF(OR(F226="",N10="",N10&lt;=0),"",IF(LEN(F226)&lt;=N10,LEN(F226),IFERROR(FIND("♦",SUBSTITUTE(LEFT(F226,N10)," ","♦",LEN(LEFT(F226,N10))-LEN(SUBSTITUTE(LEFT(F226,N10)," ","")))),FIND(" ",F226&amp;" ",N10+1)-1)))</f>
        <v>1</v>
      </c>
      <c r="N226" s="119">
        <f t="shared" si="29"/>
        <v>209</v>
      </c>
      <c r="O226" s="99" t="str">
        <f t="shared" si="30"/>
        <v>0</v>
      </c>
      <c r="P226" s="119">
        <f t="shared" si="31"/>
        <v>1</v>
      </c>
      <c r="Q226" s="119">
        <f t="shared" si="32"/>
        <v>1</v>
      </c>
      <c r="S226" s="3">
        <v>1</v>
      </c>
    </row>
    <row r="227" spans="2:19">
      <c r="B227" s="116"/>
      <c r="C227" s="116"/>
      <c r="D227" s="116"/>
      <c r="E227" s="116" cm="1">
        <f t="array" ref="E227">IF(H226&lt;&gt;"",E226,IF(E226="","",IFERROR(MATCH(TRUE(),INDEX(INDEX(K:K,E226+1):K203&lt;&gt;"",0),0)+E226,"")))</f>
        <v>368</v>
      </c>
      <c r="F227" s="117" cm="1">
        <f t="array" ref="F227">IF(E227="","",IF(H226&lt;&gt;"",H226,INDEX(D:D,E227)))</f>
        <v>0</v>
      </c>
      <c r="G227" s="117" t="str">
        <f t="shared" si="27"/>
        <v>0</v>
      </c>
      <c r="H227" s="118" t="str">
        <f t="shared" si="28"/>
        <v/>
      </c>
      <c r="I227" s="116" t="str">
        <f>IF(AND(F227&lt;&gt;"",N10&gt;0,M227&gt;N10),"Mot &gt; limite","")</f>
        <v/>
      </c>
      <c r="M227" s="70">
        <f>IF(OR(F227="",N10="",N10&lt;=0),"",IF(LEN(F227)&lt;=N10,LEN(F227),IFERROR(FIND("♦",SUBSTITUTE(LEFT(F227,N10)," ","♦",LEN(LEFT(F227,N10))-LEN(SUBSTITUTE(LEFT(F227,N10)," ","")))),FIND(" ",F227&amp;" ",N10+1)-1)))</f>
        <v>1</v>
      </c>
      <c r="N227" s="119">
        <f t="shared" si="29"/>
        <v>210</v>
      </c>
      <c r="O227" s="99" t="str">
        <f t="shared" si="30"/>
        <v>0</v>
      </c>
      <c r="P227" s="119">
        <f t="shared" si="31"/>
        <v>1</v>
      </c>
      <c r="Q227" s="119">
        <f t="shared" si="32"/>
        <v>1</v>
      </c>
      <c r="S227" s="3">
        <v>1</v>
      </c>
    </row>
    <row r="228" spans="2:19">
      <c r="B228" s="116"/>
      <c r="C228" s="116"/>
      <c r="D228" s="116"/>
      <c r="E228" s="116" cm="1">
        <f t="array" ref="E228">IF(H227&lt;&gt;"",E227,IF(E227="","",IFERROR(MATCH(TRUE(),INDEX(INDEX(K:K,E227+1):K203&lt;&gt;"",0),0)+E227,"")))</f>
        <v>369</v>
      </c>
      <c r="F228" s="117" cm="1">
        <f t="array" ref="F228">IF(E228="","",IF(H227&lt;&gt;"",H227,INDEX(D:D,E228)))</f>
        <v>0</v>
      </c>
      <c r="G228" s="117" t="str">
        <f t="shared" si="27"/>
        <v>0</v>
      </c>
      <c r="H228" s="118" t="str">
        <f t="shared" si="28"/>
        <v/>
      </c>
      <c r="I228" s="116" t="str">
        <f>IF(AND(F228&lt;&gt;"",N10&gt;0,M228&gt;N10),"Mot &gt; limite","")</f>
        <v/>
      </c>
      <c r="M228" s="70">
        <f>IF(OR(F228="",N10="",N10&lt;=0),"",IF(LEN(F228)&lt;=N10,LEN(F228),IFERROR(FIND("♦",SUBSTITUTE(LEFT(F228,N10)," ","♦",LEN(LEFT(F228,N10))-LEN(SUBSTITUTE(LEFT(F228,N10)," ","")))),FIND(" ",F228&amp;" ",N10+1)-1)))</f>
        <v>1</v>
      </c>
      <c r="N228" s="119">
        <f t="shared" si="29"/>
        <v>211</v>
      </c>
      <c r="O228" s="99" t="str">
        <f t="shared" si="30"/>
        <v>0</v>
      </c>
      <c r="P228" s="119">
        <f t="shared" si="31"/>
        <v>1</v>
      </c>
      <c r="Q228" s="119">
        <f t="shared" si="32"/>
        <v>1</v>
      </c>
      <c r="S228" s="3">
        <v>1</v>
      </c>
    </row>
    <row r="229" spans="2:19">
      <c r="B229" s="116"/>
      <c r="C229" s="116"/>
      <c r="D229" s="116"/>
      <c r="E229" s="116" cm="1">
        <f t="array" ref="E229">IF(H228&lt;&gt;"",E228,IF(E228="","",IFERROR(MATCH(TRUE(),INDEX(INDEX(K:K,E228+1):K203&lt;&gt;"",0),0)+E228,"")))</f>
        <v>370</v>
      </c>
      <c r="F229" s="117" cm="1">
        <f t="array" ref="F229">IF(E229="","",IF(H228&lt;&gt;"",H228,INDEX(D:D,E229)))</f>
        <v>0</v>
      </c>
      <c r="G229" s="117" t="str">
        <f t="shared" si="27"/>
        <v>0</v>
      </c>
      <c r="H229" s="118" t="str">
        <f t="shared" si="28"/>
        <v/>
      </c>
      <c r="I229" s="116" t="str">
        <f>IF(AND(F229&lt;&gt;"",N10&gt;0,M229&gt;N10),"Mot &gt; limite","")</f>
        <v/>
      </c>
      <c r="M229" s="70">
        <f>IF(OR(F229="",N10="",N10&lt;=0),"",IF(LEN(F229)&lt;=N10,LEN(F229),IFERROR(FIND("♦",SUBSTITUTE(LEFT(F229,N10)," ","♦",LEN(LEFT(F229,N10))-LEN(SUBSTITUTE(LEFT(F229,N10)," ","")))),FIND(" ",F229&amp;" ",N10+1)-1)))</f>
        <v>1</v>
      </c>
      <c r="N229" s="119">
        <f t="shared" si="29"/>
        <v>212</v>
      </c>
      <c r="O229" s="99" t="str">
        <f t="shared" si="30"/>
        <v>0</v>
      </c>
      <c r="P229" s="119">
        <f t="shared" si="31"/>
        <v>1</v>
      </c>
      <c r="Q229" s="119">
        <f t="shared" si="32"/>
        <v>1</v>
      </c>
      <c r="S229" s="3">
        <v>1</v>
      </c>
    </row>
    <row r="230" spans="2:19">
      <c r="B230" s="116"/>
      <c r="C230" s="116"/>
      <c r="D230" s="116"/>
      <c r="E230" s="116" cm="1">
        <f t="array" ref="E230">IF(H229&lt;&gt;"",E229,IF(E229="","",IFERROR(MATCH(TRUE(),INDEX(INDEX(K:K,E229+1):K203&lt;&gt;"",0),0)+E229,"")))</f>
        <v>371</v>
      </c>
      <c r="F230" s="117" cm="1">
        <f t="array" ref="F230">IF(E230="","",IF(H229&lt;&gt;"",H229,INDEX(D:D,E230)))</f>
        <v>0</v>
      </c>
      <c r="G230" s="117" t="str">
        <f t="shared" si="27"/>
        <v>0</v>
      </c>
      <c r="H230" s="118" t="str">
        <f t="shared" si="28"/>
        <v/>
      </c>
      <c r="I230" s="116" t="str">
        <f>IF(AND(F230&lt;&gt;"",N10&gt;0,M230&gt;N10),"Mot &gt; limite","")</f>
        <v/>
      </c>
      <c r="M230" s="70">
        <f>IF(OR(F230="",N10="",N10&lt;=0),"",IF(LEN(F230)&lt;=N10,LEN(F230),IFERROR(FIND("♦",SUBSTITUTE(LEFT(F230,N10)," ","♦",LEN(LEFT(F230,N10))-LEN(SUBSTITUTE(LEFT(F230,N10)," ","")))),FIND(" ",F230&amp;" ",N10+1)-1)))</f>
        <v>1</v>
      </c>
      <c r="N230" s="119">
        <f t="shared" si="29"/>
        <v>213</v>
      </c>
      <c r="O230" s="99" t="str">
        <f t="shared" si="30"/>
        <v>0</v>
      </c>
      <c r="P230" s="119">
        <f t="shared" si="31"/>
        <v>1</v>
      </c>
      <c r="Q230" s="119">
        <f t="shared" si="32"/>
        <v>1</v>
      </c>
      <c r="S230" s="3">
        <v>1</v>
      </c>
    </row>
    <row r="231" spans="2:19">
      <c r="B231" s="116"/>
      <c r="C231" s="116"/>
      <c r="D231" s="116"/>
      <c r="E231" s="116" cm="1">
        <f t="array" ref="E231">IF(H230&lt;&gt;"",E230,IF(E230="","",IFERROR(MATCH(TRUE(),INDEX(INDEX(K:K,E230+1):K203&lt;&gt;"",0),0)+E230,"")))</f>
        <v>372</v>
      </c>
      <c r="F231" s="117" cm="1">
        <f t="array" ref="F231">IF(E231="","",IF(H230&lt;&gt;"",H230,INDEX(D:D,E231)))</f>
        <v>0</v>
      </c>
      <c r="G231" s="117" t="str">
        <f t="shared" si="27"/>
        <v>0</v>
      </c>
      <c r="H231" s="118" t="str">
        <f t="shared" si="28"/>
        <v/>
      </c>
      <c r="I231" s="116" t="str">
        <f>IF(AND(F231&lt;&gt;"",N10&gt;0,M231&gt;N10),"Mot &gt; limite","")</f>
        <v/>
      </c>
      <c r="M231" s="70">
        <f>IF(OR(F231="",N10="",N10&lt;=0),"",IF(LEN(F231)&lt;=N10,LEN(F231),IFERROR(FIND("♦",SUBSTITUTE(LEFT(F231,N10)," ","♦",LEN(LEFT(F231,N10))-LEN(SUBSTITUTE(LEFT(F231,N10)," ","")))),FIND(" ",F231&amp;" ",N10+1)-1)))</f>
        <v>1</v>
      </c>
      <c r="N231" s="119">
        <f t="shared" si="29"/>
        <v>214</v>
      </c>
      <c r="O231" s="99" t="str">
        <f t="shared" si="30"/>
        <v>0</v>
      </c>
      <c r="P231" s="119">
        <f t="shared" si="31"/>
        <v>1</v>
      </c>
      <c r="Q231" s="119">
        <f t="shared" si="32"/>
        <v>1</v>
      </c>
      <c r="S231" s="3">
        <v>1</v>
      </c>
    </row>
    <row r="232" spans="2:19">
      <c r="B232" s="116"/>
      <c r="C232" s="116"/>
      <c r="D232" s="116"/>
      <c r="E232" s="116" cm="1">
        <f t="array" ref="E232">IF(H231&lt;&gt;"",E231,IF(E231="","",IFERROR(MATCH(TRUE(),INDEX(INDEX(K:K,E231+1):K203&lt;&gt;"",0),0)+E231,"")))</f>
        <v>373</v>
      </c>
      <c r="F232" s="117" cm="1">
        <f t="array" ref="F232">IF(E232="","",IF(H231&lt;&gt;"",H231,INDEX(D:D,E232)))</f>
        <v>0</v>
      </c>
      <c r="G232" s="117" t="str">
        <f t="shared" si="27"/>
        <v>0</v>
      </c>
      <c r="H232" s="118" t="str">
        <f t="shared" si="28"/>
        <v/>
      </c>
      <c r="I232" s="116" t="str">
        <f>IF(AND(F232&lt;&gt;"",N10&gt;0,M232&gt;N10),"Mot &gt; limite","")</f>
        <v/>
      </c>
      <c r="M232" s="70">
        <f>IF(OR(F232="",N10="",N10&lt;=0),"",IF(LEN(F232)&lt;=N10,LEN(F232),IFERROR(FIND("♦",SUBSTITUTE(LEFT(F232,N10)," ","♦",LEN(LEFT(F232,N10))-LEN(SUBSTITUTE(LEFT(F232,N10)," ","")))),FIND(" ",F232&amp;" ",N10+1)-1)))</f>
        <v>1</v>
      </c>
      <c r="N232" s="119">
        <f t="shared" si="29"/>
        <v>215</v>
      </c>
      <c r="O232" s="99" t="str">
        <f t="shared" si="30"/>
        <v>0</v>
      </c>
      <c r="P232" s="119">
        <f t="shared" si="31"/>
        <v>1</v>
      </c>
      <c r="Q232" s="119">
        <f t="shared" si="32"/>
        <v>1</v>
      </c>
      <c r="S232" s="3">
        <v>1</v>
      </c>
    </row>
    <row r="233" spans="2:19">
      <c r="B233" s="116"/>
      <c r="C233" s="116"/>
      <c r="D233" s="116"/>
      <c r="E233" s="116" cm="1">
        <f t="array" ref="E233">IF(H232&lt;&gt;"",E232,IF(E232="","",IFERROR(MATCH(TRUE(),INDEX(INDEX(K:K,E232+1):K203&lt;&gt;"",0),0)+E232,"")))</f>
        <v>374</v>
      </c>
      <c r="F233" s="117" cm="1">
        <f t="array" ref="F233">IF(E233="","",IF(H232&lt;&gt;"",H232,INDEX(D:D,E233)))</f>
        <v>0</v>
      </c>
      <c r="G233" s="117" t="str">
        <f t="shared" si="27"/>
        <v>0</v>
      </c>
      <c r="H233" s="118" t="str">
        <f t="shared" si="28"/>
        <v/>
      </c>
      <c r="I233" s="116" t="str">
        <f>IF(AND(F233&lt;&gt;"",N10&gt;0,M233&gt;N10),"Mot &gt; limite","")</f>
        <v/>
      </c>
      <c r="M233" s="70">
        <f>IF(OR(F233="",N10="",N10&lt;=0),"",IF(LEN(F233)&lt;=N10,LEN(F233),IFERROR(FIND("♦",SUBSTITUTE(LEFT(F233,N10)," ","♦",LEN(LEFT(F233,N10))-LEN(SUBSTITUTE(LEFT(F233,N10)," ","")))),FIND(" ",F233&amp;" ",N10+1)-1)))</f>
        <v>1</v>
      </c>
      <c r="N233" s="119">
        <f t="shared" si="29"/>
        <v>216</v>
      </c>
      <c r="O233" s="99" t="str">
        <f t="shared" si="30"/>
        <v>0</v>
      </c>
      <c r="P233" s="119">
        <f t="shared" si="31"/>
        <v>1</v>
      </c>
      <c r="Q233" s="119">
        <f t="shared" si="32"/>
        <v>1</v>
      </c>
      <c r="S233" s="3">
        <v>1</v>
      </c>
    </row>
    <row r="234" spans="2:19">
      <c r="B234" s="116"/>
      <c r="C234" s="116"/>
      <c r="D234" s="116"/>
      <c r="E234" s="116" cm="1">
        <f t="array" ref="E234">IF(H233&lt;&gt;"",E233,IF(E233="","",IFERROR(MATCH(TRUE(),INDEX(INDEX(K:K,E233+1):K203&lt;&gt;"",0),0)+E233,"")))</f>
        <v>375</v>
      </c>
      <c r="F234" s="117" cm="1">
        <f t="array" ref="F234">IF(E234="","",IF(H233&lt;&gt;"",H233,INDEX(D:D,E234)))</f>
        <v>0</v>
      </c>
      <c r="G234" s="117" t="str">
        <f t="shared" si="27"/>
        <v>0</v>
      </c>
      <c r="H234" s="118" t="str">
        <f t="shared" si="28"/>
        <v/>
      </c>
      <c r="I234" s="116" t="str">
        <f>IF(AND(F234&lt;&gt;"",N10&gt;0,M234&gt;N10),"Mot &gt; limite","")</f>
        <v/>
      </c>
      <c r="M234" s="70">
        <f>IF(OR(F234="",N10="",N10&lt;=0),"",IF(LEN(F234)&lt;=N10,LEN(F234),IFERROR(FIND("♦",SUBSTITUTE(LEFT(F234,N10)," ","♦",LEN(LEFT(F234,N10))-LEN(SUBSTITUTE(LEFT(F234,N10)," ","")))),FIND(" ",F234&amp;" ",N10+1)-1)))</f>
        <v>1</v>
      </c>
      <c r="N234" s="119">
        <f t="shared" si="29"/>
        <v>217</v>
      </c>
      <c r="O234" s="99" t="str">
        <f t="shared" si="30"/>
        <v>0</v>
      </c>
      <c r="P234" s="119">
        <f t="shared" si="31"/>
        <v>1</v>
      </c>
      <c r="Q234" s="119">
        <f t="shared" si="32"/>
        <v>1</v>
      </c>
      <c r="S234" s="3">
        <v>1</v>
      </c>
    </row>
    <row r="235" spans="2:19">
      <c r="B235" s="116"/>
      <c r="C235" s="116"/>
      <c r="D235" s="116"/>
      <c r="E235" s="116" cm="1">
        <f t="array" ref="E235">IF(H234&lt;&gt;"",E234,IF(E234="","",IFERROR(MATCH(TRUE(),INDEX(INDEX(K:K,E234+1):K203&lt;&gt;"",0),0)+E234,"")))</f>
        <v>376</v>
      </c>
      <c r="F235" s="117" cm="1">
        <f t="array" ref="F235">IF(E235="","",IF(H234&lt;&gt;"",H234,INDEX(D:D,E235)))</f>
        <v>0</v>
      </c>
      <c r="G235" s="117" t="str">
        <f t="shared" si="27"/>
        <v>0</v>
      </c>
      <c r="H235" s="118" t="str">
        <f t="shared" si="28"/>
        <v/>
      </c>
      <c r="I235" s="116" t="str">
        <f>IF(AND(F235&lt;&gt;"",N10&gt;0,M235&gt;N10),"Mot &gt; limite","")</f>
        <v/>
      </c>
      <c r="M235" s="70">
        <f>IF(OR(F235="",N10="",N10&lt;=0),"",IF(LEN(F235)&lt;=N10,LEN(F235),IFERROR(FIND("♦",SUBSTITUTE(LEFT(F235,N10)," ","♦",LEN(LEFT(F235,N10))-LEN(SUBSTITUTE(LEFT(F235,N10)," ","")))),FIND(" ",F235&amp;" ",N10+1)-1)))</f>
        <v>1</v>
      </c>
      <c r="N235" s="119">
        <f t="shared" si="29"/>
        <v>218</v>
      </c>
      <c r="O235" s="99" t="str">
        <f t="shared" si="30"/>
        <v>0</v>
      </c>
      <c r="P235" s="119">
        <f t="shared" si="31"/>
        <v>1</v>
      </c>
      <c r="Q235" s="119">
        <f t="shared" si="32"/>
        <v>1</v>
      </c>
      <c r="S235" s="3">
        <v>1</v>
      </c>
    </row>
    <row r="236" spans="2:19">
      <c r="B236" s="116"/>
      <c r="C236" s="116"/>
      <c r="D236" s="116"/>
      <c r="E236" s="116" cm="1">
        <f t="array" ref="E236">IF(H235&lt;&gt;"",E235,IF(E235="","",IFERROR(MATCH(TRUE(),INDEX(INDEX(K:K,E235+1):K203&lt;&gt;"",0),0)+E235,"")))</f>
        <v>377</v>
      </c>
      <c r="F236" s="117" cm="1">
        <f t="array" ref="F236">IF(E236="","",IF(H235&lt;&gt;"",H235,INDEX(D:D,E236)))</f>
        <v>0</v>
      </c>
      <c r="G236" s="117" t="str">
        <f t="shared" si="27"/>
        <v>0</v>
      </c>
      <c r="H236" s="118" t="str">
        <f t="shared" si="28"/>
        <v/>
      </c>
      <c r="I236" s="116" t="str">
        <f>IF(AND(F236&lt;&gt;"",N10&gt;0,M236&gt;N10),"Mot &gt; limite","")</f>
        <v/>
      </c>
      <c r="M236" s="70">
        <f>IF(OR(F236="",N10="",N10&lt;=0),"",IF(LEN(F236)&lt;=N10,LEN(F236),IFERROR(FIND("♦",SUBSTITUTE(LEFT(F236,N10)," ","♦",LEN(LEFT(F236,N10))-LEN(SUBSTITUTE(LEFT(F236,N10)," ","")))),FIND(" ",F236&amp;" ",N10+1)-1)))</f>
        <v>1</v>
      </c>
      <c r="N236" s="119">
        <f t="shared" si="29"/>
        <v>219</v>
      </c>
      <c r="O236" s="99" t="str">
        <f t="shared" si="30"/>
        <v>0</v>
      </c>
      <c r="P236" s="119">
        <f t="shared" si="31"/>
        <v>1</v>
      </c>
      <c r="Q236" s="119">
        <f t="shared" si="32"/>
        <v>1</v>
      </c>
      <c r="S236" s="3">
        <v>1</v>
      </c>
    </row>
    <row r="237" spans="2:19">
      <c r="B237" s="116"/>
      <c r="C237" s="116"/>
      <c r="D237" s="116"/>
      <c r="E237" s="116" cm="1">
        <f t="array" ref="E237">IF(H236&lt;&gt;"",E236,IF(E236="","",IFERROR(MATCH(TRUE(),INDEX(INDEX(K:K,E236+1):K203&lt;&gt;"",0),0)+E236,"")))</f>
        <v>378</v>
      </c>
      <c r="F237" s="117" cm="1">
        <f t="array" ref="F237">IF(E237="","",IF(H236&lt;&gt;"",H236,INDEX(D:D,E237)))</f>
        <v>0</v>
      </c>
      <c r="G237" s="117" t="str">
        <f t="shared" si="27"/>
        <v>0</v>
      </c>
      <c r="H237" s="118" t="str">
        <f t="shared" si="28"/>
        <v/>
      </c>
      <c r="I237" s="116" t="str">
        <f>IF(AND(F237&lt;&gt;"",N10&gt;0,M237&gt;N10),"Mot &gt; limite","")</f>
        <v/>
      </c>
      <c r="M237" s="70">
        <f>IF(OR(F237="",N10="",N10&lt;=0),"",IF(LEN(F237)&lt;=N10,LEN(F237),IFERROR(FIND("♦",SUBSTITUTE(LEFT(F237,N10)," ","♦",LEN(LEFT(F237,N10))-LEN(SUBSTITUTE(LEFT(F237,N10)," ","")))),FIND(" ",F237&amp;" ",N10+1)-1)))</f>
        <v>1</v>
      </c>
      <c r="N237" s="119">
        <f t="shared" si="29"/>
        <v>220</v>
      </c>
      <c r="O237" s="99" t="str">
        <f t="shared" si="30"/>
        <v>0</v>
      </c>
      <c r="P237" s="119">
        <f t="shared" si="31"/>
        <v>1</v>
      </c>
      <c r="Q237" s="119">
        <f t="shared" si="32"/>
        <v>1</v>
      </c>
      <c r="S237" s="3">
        <v>1</v>
      </c>
    </row>
    <row r="238" spans="2:19">
      <c r="B238" s="116"/>
      <c r="C238" s="116"/>
      <c r="D238" s="116"/>
      <c r="E238" s="116" cm="1">
        <f t="array" ref="E238">IF(H237&lt;&gt;"",E237,IF(E237="","",IFERROR(MATCH(TRUE(),INDEX(INDEX(K:K,E237+1):K203&lt;&gt;"",0),0)+E237,"")))</f>
        <v>379</v>
      </c>
      <c r="F238" s="117" cm="1">
        <f t="array" ref="F238">IF(E238="","",IF(H237&lt;&gt;"",H237,INDEX(D:D,E238)))</f>
        <v>0</v>
      </c>
      <c r="G238" s="117" t="str">
        <f t="shared" si="27"/>
        <v>0</v>
      </c>
      <c r="H238" s="118" t="str">
        <f t="shared" si="28"/>
        <v/>
      </c>
      <c r="I238" s="116" t="str">
        <f>IF(AND(F238&lt;&gt;"",N10&gt;0,M238&gt;N10),"Mot &gt; limite","")</f>
        <v/>
      </c>
      <c r="M238" s="70">
        <f>IF(OR(F238="",N10="",N10&lt;=0),"",IF(LEN(F238)&lt;=N10,LEN(F238),IFERROR(FIND("♦",SUBSTITUTE(LEFT(F238,N10)," ","♦",LEN(LEFT(F238,N10))-LEN(SUBSTITUTE(LEFT(F238,N10)," ","")))),FIND(" ",F238&amp;" ",N10+1)-1)))</f>
        <v>1</v>
      </c>
      <c r="N238" s="119">
        <f t="shared" si="29"/>
        <v>221</v>
      </c>
      <c r="O238" s="99" t="str">
        <f t="shared" si="30"/>
        <v>0</v>
      </c>
      <c r="P238" s="119">
        <f t="shared" si="31"/>
        <v>1</v>
      </c>
      <c r="Q238" s="119">
        <f t="shared" si="32"/>
        <v>1</v>
      </c>
      <c r="S238" s="3">
        <v>1</v>
      </c>
    </row>
    <row r="239" spans="2:19">
      <c r="B239" s="116"/>
      <c r="C239" s="116"/>
      <c r="D239" s="116"/>
      <c r="E239" s="116" cm="1">
        <f t="array" ref="E239">IF(H238&lt;&gt;"",E238,IF(E238="","",IFERROR(MATCH(TRUE(),INDEX(INDEX(K:K,E238+1):K203&lt;&gt;"",0),0)+E238,"")))</f>
        <v>380</v>
      </c>
      <c r="F239" s="117" cm="1">
        <f t="array" ref="F239">IF(E239="","",IF(H238&lt;&gt;"",H238,INDEX(D:D,E239)))</f>
        <v>0</v>
      </c>
      <c r="G239" s="117" t="str">
        <f t="shared" si="27"/>
        <v>0</v>
      </c>
      <c r="H239" s="118" t="str">
        <f t="shared" si="28"/>
        <v/>
      </c>
      <c r="I239" s="116" t="str">
        <f>IF(AND(F239&lt;&gt;"",N10&gt;0,M239&gt;N10),"Mot &gt; limite","")</f>
        <v/>
      </c>
      <c r="M239" s="70">
        <f>IF(OR(F239="",N10="",N10&lt;=0),"",IF(LEN(F239)&lt;=N10,LEN(F239),IFERROR(FIND("♦",SUBSTITUTE(LEFT(F239,N10)," ","♦",LEN(LEFT(F239,N10))-LEN(SUBSTITUTE(LEFT(F239,N10)," ","")))),FIND(" ",F239&amp;" ",N10+1)-1)))</f>
        <v>1</v>
      </c>
      <c r="N239" s="119">
        <f t="shared" si="29"/>
        <v>222</v>
      </c>
      <c r="O239" s="99" t="str">
        <f t="shared" si="30"/>
        <v>0</v>
      </c>
      <c r="P239" s="119">
        <f t="shared" si="31"/>
        <v>1</v>
      </c>
      <c r="Q239" s="119">
        <f t="shared" si="32"/>
        <v>1</v>
      </c>
      <c r="S239" s="3">
        <v>1</v>
      </c>
    </row>
    <row r="240" spans="2:19">
      <c r="B240" s="116"/>
      <c r="C240" s="116"/>
      <c r="D240" s="116"/>
      <c r="E240" s="116" cm="1">
        <f t="array" ref="E240">IF(H239&lt;&gt;"",E239,IF(E239="","",IFERROR(MATCH(TRUE(),INDEX(INDEX(K:K,E239+1):K203&lt;&gt;"",0),0)+E239,"")))</f>
        <v>381</v>
      </c>
      <c r="F240" s="117" cm="1">
        <f t="array" ref="F240">IF(E240="","",IF(H239&lt;&gt;"",H239,INDEX(D:D,E240)))</f>
        <v>0</v>
      </c>
      <c r="G240" s="117" t="str">
        <f t="shared" si="27"/>
        <v>0</v>
      </c>
      <c r="H240" s="118" t="str">
        <f t="shared" si="28"/>
        <v/>
      </c>
      <c r="I240" s="116" t="str">
        <f>IF(AND(F240&lt;&gt;"",N10&gt;0,M240&gt;N10),"Mot &gt; limite","")</f>
        <v/>
      </c>
      <c r="M240" s="70">
        <f>IF(OR(F240="",N10="",N10&lt;=0),"",IF(LEN(F240)&lt;=N10,LEN(F240),IFERROR(FIND("♦",SUBSTITUTE(LEFT(F240,N10)," ","♦",LEN(LEFT(F240,N10))-LEN(SUBSTITUTE(LEFT(F240,N10)," ","")))),FIND(" ",F240&amp;" ",N10+1)-1)))</f>
        <v>1</v>
      </c>
      <c r="N240" s="119">
        <f t="shared" si="29"/>
        <v>223</v>
      </c>
      <c r="O240" s="99" t="str">
        <f t="shared" si="30"/>
        <v>0</v>
      </c>
      <c r="P240" s="119">
        <f t="shared" si="31"/>
        <v>1</v>
      </c>
      <c r="Q240" s="119">
        <f t="shared" si="32"/>
        <v>1</v>
      </c>
      <c r="S240" s="3">
        <v>1</v>
      </c>
    </row>
    <row r="241" spans="2:19">
      <c r="B241" s="116"/>
      <c r="C241" s="116"/>
      <c r="D241" s="116"/>
      <c r="E241" s="116" cm="1">
        <f t="array" ref="E241">IF(H240&lt;&gt;"",E240,IF(E240="","",IFERROR(MATCH(TRUE(),INDEX(INDEX(K:K,E240+1):K203&lt;&gt;"",0),0)+E240,"")))</f>
        <v>382</v>
      </c>
      <c r="F241" s="117" cm="1">
        <f t="array" ref="F241">IF(E241="","",IF(H240&lt;&gt;"",H240,INDEX(D:D,E241)))</f>
        <v>0</v>
      </c>
      <c r="G241" s="117" t="str">
        <f t="shared" si="27"/>
        <v>0</v>
      </c>
      <c r="H241" s="118" t="str">
        <f t="shared" si="28"/>
        <v/>
      </c>
      <c r="I241" s="116" t="str">
        <f>IF(AND(F241&lt;&gt;"",N10&gt;0,M241&gt;N10),"Mot &gt; limite","")</f>
        <v/>
      </c>
      <c r="M241" s="70">
        <f>IF(OR(F241="",N10="",N10&lt;=0),"",IF(LEN(F241)&lt;=N10,LEN(F241),IFERROR(FIND("♦",SUBSTITUTE(LEFT(F241,N10)," ","♦",LEN(LEFT(F241,N10))-LEN(SUBSTITUTE(LEFT(F241,N10)," ","")))),FIND(" ",F241&amp;" ",N10+1)-1)))</f>
        <v>1</v>
      </c>
      <c r="N241" s="119">
        <f t="shared" si="29"/>
        <v>224</v>
      </c>
      <c r="O241" s="99" t="str">
        <f t="shared" si="30"/>
        <v>0</v>
      </c>
      <c r="P241" s="119">
        <f t="shared" si="31"/>
        <v>1</v>
      </c>
      <c r="Q241" s="119">
        <f t="shared" si="32"/>
        <v>1</v>
      </c>
      <c r="S241" s="3">
        <v>1</v>
      </c>
    </row>
    <row r="242" spans="2:19">
      <c r="B242" s="116"/>
      <c r="C242" s="116"/>
      <c r="D242" s="116"/>
      <c r="E242" s="116" cm="1">
        <f t="array" ref="E242">IF(H241&lt;&gt;"",E241,IF(E241="","",IFERROR(MATCH(TRUE(),INDEX(INDEX(K:K,E241+1):K203&lt;&gt;"",0),0)+E241,"")))</f>
        <v>383</v>
      </c>
      <c r="F242" s="117" cm="1">
        <f t="array" ref="F242">IF(E242="","",IF(H241&lt;&gt;"",H241,INDEX(D:D,E242)))</f>
        <v>0</v>
      </c>
      <c r="G242" s="117" t="str">
        <f t="shared" si="27"/>
        <v>0</v>
      </c>
      <c r="H242" s="118" t="str">
        <f t="shared" si="28"/>
        <v/>
      </c>
      <c r="I242" s="116" t="str">
        <f>IF(AND(F242&lt;&gt;"",N10&gt;0,M242&gt;N10),"Mot &gt; limite","")</f>
        <v/>
      </c>
      <c r="M242" s="70">
        <f>IF(OR(F242="",N10="",N10&lt;=0),"",IF(LEN(F242)&lt;=N10,LEN(F242),IFERROR(FIND("♦",SUBSTITUTE(LEFT(F242,N10)," ","♦",LEN(LEFT(F242,N10))-LEN(SUBSTITUTE(LEFT(F242,N10)," ","")))),FIND(" ",F242&amp;" ",N10+1)-1)))</f>
        <v>1</v>
      </c>
      <c r="N242" s="119">
        <f t="shared" si="29"/>
        <v>225</v>
      </c>
      <c r="O242" s="99" t="str">
        <f t="shared" si="30"/>
        <v>0</v>
      </c>
      <c r="P242" s="119">
        <f t="shared" si="31"/>
        <v>1</v>
      </c>
      <c r="Q242" s="119">
        <f t="shared" si="32"/>
        <v>1</v>
      </c>
      <c r="S242" s="3">
        <v>1</v>
      </c>
    </row>
    <row r="243" spans="2:19">
      <c r="B243" s="116"/>
      <c r="C243" s="116"/>
      <c r="D243" s="116"/>
      <c r="E243" s="116" cm="1">
        <f t="array" ref="E243">IF(H242&lt;&gt;"",E242,IF(E242="","",IFERROR(MATCH(TRUE(),INDEX(INDEX(K:K,E242+1):K203&lt;&gt;"",0),0)+E242,"")))</f>
        <v>384</v>
      </c>
      <c r="F243" s="117" cm="1">
        <f t="array" ref="F243">IF(E243="","",IF(H242&lt;&gt;"",H242,INDEX(D:D,E243)))</f>
        <v>0</v>
      </c>
      <c r="G243" s="117" t="str">
        <f t="shared" si="27"/>
        <v>0</v>
      </c>
      <c r="H243" s="118" t="str">
        <f t="shared" si="28"/>
        <v/>
      </c>
      <c r="I243" s="116" t="str">
        <f>IF(AND(F243&lt;&gt;"",N10&gt;0,M243&gt;N10),"Mot &gt; limite","")</f>
        <v/>
      </c>
      <c r="M243" s="70">
        <f>IF(OR(F243="",N10="",N10&lt;=0),"",IF(LEN(F243)&lt;=N10,LEN(F243),IFERROR(FIND("♦",SUBSTITUTE(LEFT(F243,N10)," ","♦",LEN(LEFT(F243,N10))-LEN(SUBSTITUTE(LEFT(F243,N10)," ","")))),FIND(" ",F243&amp;" ",N10+1)-1)))</f>
        <v>1</v>
      </c>
      <c r="N243" s="119">
        <f t="shared" si="29"/>
        <v>226</v>
      </c>
      <c r="O243" s="99" t="str">
        <f t="shared" si="30"/>
        <v>0</v>
      </c>
      <c r="P243" s="119">
        <f t="shared" si="31"/>
        <v>1</v>
      </c>
      <c r="Q243" s="119">
        <f t="shared" si="32"/>
        <v>1</v>
      </c>
      <c r="S243" s="3">
        <v>1</v>
      </c>
    </row>
    <row r="244" spans="2:19">
      <c r="B244" s="116"/>
      <c r="C244" s="116"/>
      <c r="D244" s="116"/>
      <c r="E244" s="116" cm="1">
        <f t="array" ref="E244">IF(H243&lt;&gt;"",E243,IF(E243="","",IFERROR(MATCH(TRUE(),INDEX(INDEX(K:K,E243+1):K203&lt;&gt;"",0),0)+E243,"")))</f>
        <v>385</v>
      </c>
      <c r="F244" s="117" cm="1">
        <f t="array" ref="F244">IF(E244="","",IF(H243&lt;&gt;"",H243,INDEX(D:D,E244)))</f>
        <v>0</v>
      </c>
      <c r="G244" s="117" t="str">
        <f t="shared" si="27"/>
        <v>0</v>
      </c>
      <c r="H244" s="118" t="str">
        <f t="shared" si="28"/>
        <v/>
      </c>
      <c r="I244" s="116" t="str">
        <f>IF(AND(F244&lt;&gt;"",N10&gt;0,M244&gt;N10),"Mot &gt; limite","")</f>
        <v/>
      </c>
      <c r="M244" s="70">
        <f>IF(OR(F244="",N10="",N10&lt;=0),"",IF(LEN(F244)&lt;=N10,LEN(F244),IFERROR(FIND("♦",SUBSTITUTE(LEFT(F244,N10)," ","♦",LEN(LEFT(F244,N10))-LEN(SUBSTITUTE(LEFT(F244,N10)," ","")))),FIND(" ",F244&amp;" ",N10+1)-1)))</f>
        <v>1</v>
      </c>
      <c r="N244" s="119">
        <f t="shared" si="29"/>
        <v>227</v>
      </c>
      <c r="O244" s="99" t="str">
        <f t="shared" si="30"/>
        <v>0</v>
      </c>
      <c r="P244" s="119">
        <f t="shared" si="31"/>
        <v>1</v>
      </c>
      <c r="Q244" s="119">
        <f t="shared" si="32"/>
        <v>1</v>
      </c>
      <c r="S244" s="3">
        <v>1</v>
      </c>
    </row>
    <row r="245" spans="2:19">
      <c r="B245" s="116"/>
      <c r="C245" s="116"/>
      <c r="D245" s="116"/>
      <c r="E245" s="116" cm="1">
        <f t="array" ref="E245">IF(H244&lt;&gt;"",E244,IF(E244="","",IFERROR(MATCH(TRUE(),INDEX(INDEX(K:K,E244+1):K203&lt;&gt;"",0),0)+E244,"")))</f>
        <v>386</v>
      </c>
      <c r="F245" s="117" cm="1">
        <f t="array" ref="F245">IF(E245="","",IF(H244&lt;&gt;"",H244,INDEX(D:D,E245)))</f>
        <v>0</v>
      </c>
      <c r="G245" s="117" t="str">
        <f t="shared" si="27"/>
        <v>0</v>
      </c>
      <c r="H245" s="118" t="str">
        <f t="shared" si="28"/>
        <v/>
      </c>
      <c r="I245" s="116" t="str">
        <f>IF(AND(F245&lt;&gt;"",N10&gt;0,M245&gt;N10),"Mot &gt; limite","")</f>
        <v/>
      </c>
      <c r="M245" s="70">
        <f>IF(OR(F245="",N10="",N10&lt;=0),"",IF(LEN(F245)&lt;=N10,LEN(F245),IFERROR(FIND("♦",SUBSTITUTE(LEFT(F245,N10)," ","♦",LEN(LEFT(F245,N10))-LEN(SUBSTITUTE(LEFT(F245,N10)," ","")))),FIND(" ",F245&amp;" ",N10+1)-1)))</f>
        <v>1</v>
      </c>
      <c r="N245" s="119">
        <f t="shared" si="29"/>
        <v>228</v>
      </c>
      <c r="O245" s="99" t="str">
        <f t="shared" si="30"/>
        <v>0</v>
      </c>
      <c r="P245" s="119">
        <f t="shared" si="31"/>
        <v>1</v>
      </c>
      <c r="Q245" s="119">
        <f t="shared" si="32"/>
        <v>1</v>
      </c>
      <c r="S245" s="3">
        <v>1</v>
      </c>
    </row>
    <row r="246" spans="2:19">
      <c r="B246" s="116"/>
      <c r="C246" s="116"/>
      <c r="D246" s="116"/>
      <c r="E246" s="116" cm="1">
        <f t="array" ref="E246">IF(H245&lt;&gt;"",E245,IF(E245="","",IFERROR(MATCH(TRUE(),INDEX(INDEX(K:K,E245+1):K203&lt;&gt;"",0),0)+E245,"")))</f>
        <v>387</v>
      </c>
      <c r="F246" s="117" cm="1">
        <f t="array" ref="F246">IF(E246="","",IF(H245&lt;&gt;"",H245,INDEX(D:D,E246)))</f>
        <v>0</v>
      </c>
      <c r="G246" s="117" t="str">
        <f t="shared" si="27"/>
        <v>0</v>
      </c>
      <c r="H246" s="118" t="str">
        <f t="shared" si="28"/>
        <v/>
      </c>
      <c r="I246" s="116" t="str">
        <f>IF(AND(F246&lt;&gt;"",N10&gt;0,M246&gt;N10),"Mot &gt; limite","")</f>
        <v/>
      </c>
      <c r="M246" s="70">
        <f>IF(OR(F246="",N10="",N10&lt;=0),"",IF(LEN(F246)&lt;=N10,LEN(F246),IFERROR(FIND("♦",SUBSTITUTE(LEFT(F246,N10)," ","♦",LEN(LEFT(F246,N10))-LEN(SUBSTITUTE(LEFT(F246,N10)," ","")))),FIND(" ",F246&amp;" ",N10+1)-1)))</f>
        <v>1</v>
      </c>
      <c r="N246" s="119">
        <f t="shared" si="29"/>
        <v>229</v>
      </c>
      <c r="O246" s="99" t="str">
        <f t="shared" si="30"/>
        <v>0</v>
      </c>
      <c r="P246" s="119">
        <f t="shared" si="31"/>
        <v>1</v>
      </c>
      <c r="Q246" s="119">
        <f t="shared" si="32"/>
        <v>1</v>
      </c>
      <c r="S246" s="3">
        <v>1</v>
      </c>
    </row>
    <row r="247" spans="2:19">
      <c r="B247" s="116"/>
      <c r="C247" s="116"/>
      <c r="D247" s="116"/>
      <c r="E247" s="116" cm="1">
        <f t="array" ref="E247">IF(H246&lt;&gt;"",E246,IF(E246="","",IFERROR(MATCH(TRUE(),INDEX(INDEX(K:K,E246+1):K203&lt;&gt;"",0),0)+E246,"")))</f>
        <v>388</v>
      </c>
      <c r="F247" s="117" cm="1">
        <f t="array" ref="F247">IF(E247="","",IF(H246&lt;&gt;"",H246,INDEX(D:D,E247)))</f>
        <v>0</v>
      </c>
      <c r="G247" s="117" t="str">
        <f t="shared" si="27"/>
        <v>0</v>
      </c>
      <c r="H247" s="118" t="str">
        <f t="shared" si="28"/>
        <v/>
      </c>
      <c r="I247" s="116" t="str">
        <f>IF(AND(F247&lt;&gt;"",N10&gt;0,M247&gt;N10),"Mot &gt; limite","")</f>
        <v/>
      </c>
      <c r="M247" s="70">
        <f>IF(OR(F247="",N10="",N10&lt;=0),"",IF(LEN(F247)&lt;=N10,LEN(F247),IFERROR(FIND("♦",SUBSTITUTE(LEFT(F247,N10)," ","♦",LEN(LEFT(F247,N10))-LEN(SUBSTITUTE(LEFT(F247,N10)," ","")))),FIND(" ",F247&amp;" ",N10+1)-1)))</f>
        <v>1</v>
      </c>
      <c r="N247" s="119">
        <f t="shared" si="29"/>
        <v>230</v>
      </c>
      <c r="O247" s="99" t="str">
        <f t="shared" si="30"/>
        <v>0</v>
      </c>
      <c r="P247" s="119">
        <f t="shared" si="31"/>
        <v>1</v>
      </c>
      <c r="Q247" s="119">
        <f t="shared" si="32"/>
        <v>1</v>
      </c>
      <c r="S247" s="3">
        <v>1</v>
      </c>
    </row>
    <row r="248" spans="2:19">
      <c r="B248" s="116"/>
      <c r="C248" s="116"/>
      <c r="D248" s="116"/>
      <c r="E248" s="116" cm="1">
        <f t="array" ref="E248">IF(H247&lt;&gt;"",E247,IF(E247="","",IFERROR(MATCH(TRUE(),INDEX(INDEX(K:K,E247+1):K203&lt;&gt;"",0),0)+E247,"")))</f>
        <v>389</v>
      </c>
      <c r="F248" s="117" cm="1">
        <f t="array" ref="F248">IF(E248="","",IF(H247&lt;&gt;"",H247,INDEX(D:D,E248)))</f>
        <v>0</v>
      </c>
      <c r="G248" s="117" t="str">
        <f t="shared" si="27"/>
        <v>0</v>
      </c>
      <c r="H248" s="118" t="str">
        <f t="shared" si="28"/>
        <v/>
      </c>
      <c r="I248" s="116" t="str">
        <f>IF(AND(F248&lt;&gt;"",N10&gt;0,M248&gt;N10),"Mot &gt; limite","")</f>
        <v/>
      </c>
      <c r="M248" s="70">
        <f>IF(OR(F248="",N10="",N10&lt;=0),"",IF(LEN(F248)&lt;=N10,LEN(F248),IFERROR(FIND("♦",SUBSTITUTE(LEFT(F248,N10)," ","♦",LEN(LEFT(F248,N10))-LEN(SUBSTITUTE(LEFT(F248,N10)," ","")))),FIND(" ",F248&amp;" ",N10+1)-1)))</f>
        <v>1</v>
      </c>
      <c r="N248" s="119">
        <f t="shared" si="29"/>
        <v>231</v>
      </c>
      <c r="O248" s="99" t="str">
        <f t="shared" si="30"/>
        <v>0</v>
      </c>
      <c r="P248" s="119">
        <f t="shared" si="31"/>
        <v>1</v>
      </c>
      <c r="Q248" s="119">
        <f t="shared" si="32"/>
        <v>1</v>
      </c>
      <c r="S248" s="3">
        <v>1</v>
      </c>
    </row>
    <row r="249" spans="2:19">
      <c r="B249" s="116"/>
      <c r="C249" s="116"/>
      <c r="D249" s="116"/>
      <c r="E249" s="116" cm="1">
        <f t="array" ref="E249">IF(H248&lt;&gt;"",E248,IF(E248="","",IFERROR(MATCH(TRUE(),INDEX(INDEX(K:K,E248+1):K203&lt;&gt;"",0),0)+E248,"")))</f>
        <v>390</v>
      </c>
      <c r="F249" s="117" cm="1">
        <f t="array" ref="F249">IF(E249="","",IF(H248&lt;&gt;"",H248,INDEX(D:D,E249)))</f>
        <v>0</v>
      </c>
      <c r="G249" s="117" t="str">
        <f t="shared" si="27"/>
        <v>0</v>
      </c>
      <c r="H249" s="118" t="str">
        <f t="shared" si="28"/>
        <v/>
      </c>
      <c r="I249" s="116" t="str">
        <f>IF(AND(F249&lt;&gt;"",N10&gt;0,M249&gt;N10),"Mot &gt; limite","")</f>
        <v/>
      </c>
      <c r="M249" s="70">
        <f>IF(OR(F249="",N10="",N10&lt;=0),"",IF(LEN(F249)&lt;=N10,LEN(F249),IFERROR(FIND("♦",SUBSTITUTE(LEFT(F249,N10)," ","♦",LEN(LEFT(F249,N10))-LEN(SUBSTITUTE(LEFT(F249,N10)," ","")))),FIND(" ",F249&amp;" ",N10+1)-1)))</f>
        <v>1</v>
      </c>
      <c r="N249" s="119">
        <f t="shared" si="29"/>
        <v>232</v>
      </c>
      <c r="O249" s="99" t="str">
        <f t="shared" si="30"/>
        <v>0</v>
      </c>
      <c r="P249" s="119">
        <f t="shared" si="31"/>
        <v>1</v>
      </c>
      <c r="Q249" s="119">
        <f t="shared" si="32"/>
        <v>1</v>
      </c>
      <c r="S249" s="3">
        <v>1</v>
      </c>
    </row>
    <row r="250" spans="2:19">
      <c r="B250" s="116"/>
      <c r="C250" s="116"/>
      <c r="D250" s="116"/>
      <c r="E250" s="116" cm="1">
        <f t="array" ref="E250">IF(H249&lt;&gt;"",E249,IF(E249="","",IFERROR(MATCH(TRUE(),INDEX(INDEX(K:K,E249+1):K203&lt;&gt;"",0),0)+E249,"")))</f>
        <v>391</v>
      </c>
      <c r="F250" s="117" cm="1">
        <f t="array" ref="F250">IF(E250="","",IF(H249&lt;&gt;"",H249,INDEX(D:D,E250)))</f>
        <v>0</v>
      </c>
      <c r="G250" s="117" t="str">
        <f t="shared" si="27"/>
        <v>0</v>
      </c>
      <c r="H250" s="118" t="str">
        <f t="shared" si="28"/>
        <v/>
      </c>
      <c r="I250" s="116" t="str">
        <f>IF(AND(F250&lt;&gt;"",N10&gt;0,M250&gt;N10),"Mot &gt; limite","")</f>
        <v/>
      </c>
      <c r="M250" s="70">
        <f>IF(OR(F250="",N10="",N10&lt;=0),"",IF(LEN(F250)&lt;=N10,LEN(F250),IFERROR(FIND("♦",SUBSTITUTE(LEFT(F250,N10)," ","♦",LEN(LEFT(F250,N10))-LEN(SUBSTITUTE(LEFT(F250,N10)," ","")))),FIND(" ",F250&amp;" ",N10+1)-1)))</f>
        <v>1</v>
      </c>
      <c r="N250" s="119">
        <f t="shared" si="29"/>
        <v>233</v>
      </c>
      <c r="O250" s="99" t="str">
        <f t="shared" si="30"/>
        <v>0</v>
      </c>
      <c r="P250" s="119">
        <f t="shared" si="31"/>
        <v>1</v>
      </c>
      <c r="Q250" s="119">
        <f t="shared" si="32"/>
        <v>1</v>
      </c>
      <c r="S250" s="3">
        <v>1</v>
      </c>
    </row>
    <row r="251" spans="2:19">
      <c r="B251" s="116"/>
      <c r="C251" s="116"/>
      <c r="D251" s="116"/>
      <c r="E251" s="116" cm="1">
        <f t="array" ref="E251">IF(H250&lt;&gt;"",E250,IF(E250="","",IFERROR(MATCH(TRUE(),INDEX(INDEX(K:K,E250+1):K203&lt;&gt;"",0),0)+E250,"")))</f>
        <v>392</v>
      </c>
      <c r="F251" s="117" cm="1">
        <f t="array" ref="F251">IF(E251="","",IF(H250&lt;&gt;"",H250,INDEX(D:D,E251)))</f>
        <v>0</v>
      </c>
      <c r="G251" s="117" t="str">
        <f t="shared" si="27"/>
        <v>0</v>
      </c>
      <c r="H251" s="118" t="str">
        <f t="shared" si="28"/>
        <v/>
      </c>
      <c r="I251" s="116" t="str">
        <f>IF(AND(F251&lt;&gt;"",N10&gt;0,M251&gt;N10),"Mot &gt; limite","")</f>
        <v/>
      </c>
      <c r="M251" s="70">
        <f>IF(OR(F251="",N10="",N10&lt;=0),"",IF(LEN(F251)&lt;=N10,LEN(F251),IFERROR(FIND("♦",SUBSTITUTE(LEFT(F251,N10)," ","♦",LEN(LEFT(F251,N10))-LEN(SUBSTITUTE(LEFT(F251,N10)," ","")))),FIND(" ",F251&amp;" ",N10+1)-1)))</f>
        <v>1</v>
      </c>
      <c r="N251" s="119">
        <f t="shared" si="29"/>
        <v>234</v>
      </c>
      <c r="O251" s="99" t="str">
        <f t="shared" si="30"/>
        <v>0</v>
      </c>
      <c r="P251" s="119">
        <f t="shared" si="31"/>
        <v>1</v>
      </c>
      <c r="Q251" s="119">
        <f t="shared" si="32"/>
        <v>1</v>
      </c>
      <c r="S251" s="3">
        <v>1</v>
      </c>
    </row>
    <row r="252" spans="2:19">
      <c r="B252" s="116"/>
      <c r="C252" s="116"/>
      <c r="D252" s="116"/>
      <c r="E252" s="116" cm="1">
        <f t="array" ref="E252">IF(H251&lt;&gt;"",E251,IF(E251="","",IFERROR(MATCH(TRUE(),INDEX(INDEX(K:K,E251+1):K203&lt;&gt;"",0),0)+E251,"")))</f>
        <v>393</v>
      </c>
      <c r="F252" s="117" cm="1">
        <f t="array" ref="F252">IF(E252="","",IF(H251&lt;&gt;"",H251,INDEX(D:D,E252)))</f>
        <v>0</v>
      </c>
      <c r="G252" s="117" t="str">
        <f t="shared" si="27"/>
        <v>0</v>
      </c>
      <c r="H252" s="118" t="str">
        <f t="shared" si="28"/>
        <v/>
      </c>
      <c r="I252" s="116" t="str">
        <f>IF(AND(F252&lt;&gt;"",N10&gt;0,M252&gt;N10),"Mot &gt; limite","")</f>
        <v/>
      </c>
      <c r="M252" s="70">
        <f>IF(OR(F252="",N10="",N10&lt;=0),"",IF(LEN(F252)&lt;=N10,LEN(F252),IFERROR(FIND("♦",SUBSTITUTE(LEFT(F252,N10)," ","♦",LEN(LEFT(F252,N10))-LEN(SUBSTITUTE(LEFT(F252,N10)," ","")))),FIND(" ",F252&amp;" ",N10+1)-1)))</f>
        <v>1</v>
      </c>
      <c r="N252" s="119">
        <f t="shared" si="29"/>
        <v>235</v>
      </c>
      <c r="O252" s="99" t="str">
        <f t="shared" si="30"/>
        <v>0</v>
      </c>
      <c r="P252" s="119">
        <f t="shared" si="31"/>
        <v>1</v>
      </c>
      <c r="Q252" s="119">
        <f t="shared" si="32"/>
        <v>1</v>
      </c>
      <c r="S252" s="3">
        <v>1</v>
      </c>
    </row>
    <row r="253" spans="2:19">
      <c r="B253" s="116"/>
      <c r="C253" s="116"/>
      <c r="D253" s="116"/>
      <c r="E253" s="116" cm="1">
        <f t="array" ref="E253">IF(H252&lt;&gt;"",E252,IF(E252="","",IFERROR(MATCH(TRUE(),INDEX(INDEX(K:K,E252+1):K203&lt;&gt;"",0),0)+E252,"")))</f>
        <v>394</v>
      </c>
      <c r="F253" s="117" cm="1">
        <f t="array" ref="F253">IF(E253="","",IF(H252&lt;&gt;"",H252,INDEX(D:D,E253)))</f>
        <v>0</v>
      </c>
      <c r="G253" s="117" t="str">
        <f t="shared" si="27"/>
        <v>0</v>
      </c>
      <c r="H253" s="118" t="str">
        <f t="shared" si="28"/>
        <v/>
      </c>
      <c r="I253" s="116" t="str">
        <f>IF(AND(F253&lt;&gt;"",N10&gt;0,M253&gt;N10),"Mot &gt; limite","")</f>
        <v/>
      </c>
      <c r="M253" s="70">
        <f>IF(OR(F253="",N10="",N10&lt;=0),"",IF(LEN(F253)&lt;=N10,LEN(F253),IFERROR(FIND("♦",SUBSTITUTE(LEFT(F253,N10)," ","♦",LEN(LEFT(F253,N10))-LEN(SUBSTITUTE(LEFT(F253,N10)," ","")))),FIND(" ",F253&amp;" ",N10+1)-1)))</f>
        <v>1</v>
      </c>
      <c r="N253" s="119">
        <f t="shared" si="29"/>
        <v>236</v>
      </c>
      <c r="O253" s="99" t="str">
        <f t="shared" si="30"/>
        <v>0</v>
      </c>
      <c r="P253" s="119">
        <f t="shared" si="31"/>
        <v>1</v>
      </c>
      <c r="Q253" s="119">
        <f t="shared" si="32"/>
        <v>1</v>
      </c>
      <c r="S253" s="3">
        <v>1</v>
      </c>
    </row>
    <row r="254" spans="2:19">
      <c r="B254" s="116"/>
      <c r="C254" s="116"/>
      <c r="D254" s="116"/>
      <c r="E254" s="116" cm="1">
        <f t="array" ref="E254">IF(H253&lt;&gt;"",E253,IF(E253="","",IFERROR(MATCH(TRUE(),INDEX(INDEX(K:K,E253+1):K203&lt;&gt;"",0),0)+E253,"")))</f>
        <v>395</v>
      </c>
      <c r="F254" s="117" cm="1">
        <f t="array" ref="F254">IF(E254="","",IF(H253&lt;&gt;"",H253,INDEX(D:D,E254)))</f>
        <v>0</v>
      </c>
      <c r="G254" s="117" t="str">
        <f t="shared" si="27"/>
        <v>0</v>
      </c>
      <c r="H254" s="118" t="str">
        <f t="shared" si="28"/>
        <v/>
      </c>
      <c r="I254" s="116" t="str">
        <f>IF(AND(F254&lt;&gt;"",N10&gt;0,M254&gt;N10),"Mot &gt; limite","")</f>
        <v/>
      </c>
      <c r="M254" s="70">
        <f>IF(OR(F254="",N10="",N10&lt;=0),"",IF(LEN(F254)&lt;=N10,LEN(F254),IFERROR(FIND("♦",SUBSTITUTE(LEFT(F254,N10)," ","♦",LEN(LEFT(F254,N10))-LEN(SUBSTITUTE(LEFT(F254,N10)," ","")))),FIND(" ",F254&amp;" ",N10+1)-1)))</f>
        <v>1</v>
      </c>
      <c r="N254" s="119">
        <f t="shared" si="29"/>
        <v>237</v>
      </c>
      <c r="O254" s="99" t="str">
        <f t="shared" si="30"/>
        <v>0</v>
      </c>
      <c r="P254" s="119">
        <f t="shared" si="31"/>
        <v>1</v>
      </c>
      <c r="Q254" s="119">
        <f t="shared" si="32"/>
        <v>1</v>
      </c>
      <c r="S254" s="3">
        <v>1</v>
      </c>
    </row>
    <row r="255" spans="2:19">
      <c r="B255" s="116"/>
      <c r="C255" s="116"/>
      <c r="D255" s="116"/>
      <c r="E255" s="116" cm="1">
        <f t="array" ref="E255">IF(H254&lt;&gt;"",E254,IF(E254="","",IFERROR(MATCH(TRUE(),INDEX(INDEX(K:K,E254+1):K203&lt;&gt;"",0),0)+E254,"")))</f>
        <v>396</v>
      </c>
      <c r="F255" s="117" cm="1">
        <f t="array" ref="F255">IF(E255="","",IF(H254&lt;&gt;"",H254,INDEX(D:D,E255)))</f>
        <v>0</v>
      </c>
      <c r="G255" s="117" t="str">
        <f t="shared" si="27"/>
        <v>0</v>
      </c>
      <c r="H255" s="118" t="str">
        <f t="shared" si="28"/>
        <v/>
      </c>
      <c r="I255" s="116" t="str">
        <f>IF(AND(F255&lt;&gt;"",N10&gt;0,M255&gt;N10),"Mot &gt; limite","")</f>
        <v/>
      </c>
      <c r="M255" s="70">
        <f>IF(OR(F255="",N10="",N10&lt;=0),"",IF(LEN(F255)&lt;=N10,LEN(F255),IFERROR(FIND("♦",SUBSTITUTE(LEFT(F255,N10)," ","♦",LEN(LEFT(F255,N10))-LEN(SUBSTITUTE(LEFT(F255,N10)," ","")))),FIND(" ",F255&amp;" ",N10+1)-1)))</f>
        <v>1</v>
      </c>
      <c r="N255" s="119">
        <f t="shared" si="29"/>
        <v>238</v>
      </c>
      <c r="O255" s="99" t="str">
        <f t="shared" si="30"/>
        <v>0</v>
      </c>
      <c r="P255" s="119">
        <f t="shared" si="31"/>
        <v>1</v>
      </c>
      <c r="Q255" s="119">
        <f t="shared" si="32"/>
        <v>1</v>
      </c>
      <c r="S255" s="3">
        <v>1</v>
      </c>
    </row>
    <row r="256" spans="2:19">
      <c r="B256" s="116"/>
      <c r="C256" s="116"/>
      <c r="D256" s="116"/>
      <c r="E256" s="116" cm="1">
        <f t="array" ref="E256">IF(H255&lt;&gt;"",E255,IF(E255="","",IFERROR(MATCH(TRUE(),INDEX(INDEX(K:K,E255+1):K203&lt;&gt;"",0),0)+E255,"")))</f>
        <v>397</v>
      </c>
      <c r="F256" s="117" cm="1">
        <f t="array" ref="F256">IF(E256="","",IF(H255&lt;&gt;"",H255,INDEX(D:D,E256)))</f>
        <v>0</v>
      </c>
      <c r="G256" s="117" t="str">
        <f t="shared" si="27"/>
        <v>0</v>
      </c>
      <c r="H256" s="118" t="str">
        <f t="shared" si="28"/>
        <v/>
      </c>
      <c r="I256" s="116" t="str">
        <f>IF(AND(F256&lt;&gt;"",N10&gt;0,M256&gt;N10),"Mot &gt; limite","")</f>
        <v/>
      </c>
      <c r="M256" s="70">
        <f>IF(OR(F256="",N10="",N10&lt;=0),"",IF(LEN(F256)&lt;=N10,LEN(F256),IFERROR(FIND("♦",SUBSTITUTE(LEFT(F256,N10)," ","♦",LEN(LEFT(F256,N10))-LEN(SUBSTITUTE(LEFT(F256,N10)," ","")))),FIND(" ",F256&amp;" ",N10+1)-1)))</f>
        <v>1</v>
      </c>
      <c r="N256" s="119">
        <f t="shared" si="29"/>
        <v>239</v>
      </c>
      <c r="O256" s="99" t="str">
        <f t="shared" si="30"/>
        <v>0</v>
      </c>
      <c r="P256" s="119">
        <f t="shared" si="31"/>
        <v>1</v>
      </c>
      <c r="Q256" s="119">
        <f t="shared" si="32"/>
        <v>1</v>
      </c>
      <c r="S256" s="3">
        <v>1</v>
      </c>
    </row>
    <row r="257" spans="2:19">
      <c r="B257" s="116"/>
      <c r="C257" s="116"/>
      <c r="D257" s="116"/>
      <c r="E257" s="116" cm="1">
        <f t="array" ref="E257">IF(H256&lt;&gt;"",E256,IF(E256="","",IFERROR(MATCH(TRUE(),INDEX(INDEX(K:K,E256+1):K203&lt;&gt;"",0),0)+E256,"")))</f>
        <v>398</v>
      </c>
      <c r="F257" s="117" cm="1">
        <f t="array" ref="F257">IF(E257="","",IF(H256&lt;&gt;"",H256,INDEX(D:D,E257)))</f>
        <v>0</v>
      </c>
      <c r="G257" s="117" t="str">
        <f t="shared" si="27"/>
        <v>0</v>
      </c>
      <c r="H257" s="118" t="str">
        <f t="shared" si="28"/>
        <v/>
      </c>
      <c r="I257" s="116" t="str">
        <f>IF(AND(F257&lt;&gt;"",N10&gt;0,M257&gt;N10),"Mot &gt; limite","")</f>
        <v/>
      </c>
      <c r="M257" s="70">
        <f>IF(OR(F257="",N10="",N10&lt;=0),"",IF(LEN(F257)&lt;=N10,LEN(F257),IFERROR(FIND("♦",SUBSTITUTE(LEFT(F257,N10)," ","♦",LEN(LEFT(F257,N10))-LEN(SUBSTITUTE(LEFT(F257,N10)," ","")))),FIND(" ",F257&amp;" ",N10+1)-1)))</f>
        <v>1</v>
      </c>
      <c r="N257" s="119">
        <f t="shared" si="29"/>
        <v>240</v>
      </c>
      <c r="O257" s="99" t="str">
        <f t="shared" si="30"/>
        <v>0</v>
      </c>
      <c r="P257" s="119">
        <f t="shared" si="31"/>
        <v>1</v>
      </c>
      <c r="Q257" s="119">
        <f t="shared" si="32"/>
        <v>1</v>
      </c>
      <c r="S257" s="3">
        <v>1</v>
      </c>
    </row>
    <row r="258" spans="2:19">
      <c r="B258" s="116"/>
      <c r="C258" s="116"/>
      <c r="D258" s="116"/>
      <c r="E258" s="116" cm="1">
        <f t="array" ref="E258">IF(H257&lt;&gt;"",E257,IF(E257="","",IFERROR(MATCH(TRUE(),INDEX(INDEX(K:K,E257+1):K203&lt;&gt;"",0),0)+E257,"")))</f>
        <v>399</v>
      </c>
      <c r="F258" s="117" cm="1">
        <f t="array" ref="F258">IF(E258="","",IF(H257&lt;&gt;"",H257,INDEX(D:D,E258)))</f>
        <v>0</v>
      </c>
      <c r="G258" s="117" t="str">
        <f t="shared" si="27"/>
        <v>0</v>
      </c>
      <c r="H258" s="118" t="str">
        <f t="shared" si="28"/>
        <v/>
      </c>
      <c r="I258" s="116" t="str">
        <f>IF(AND(F258&lt;&gt;"",N10&gt;0,M258&gt;N10),"Mot &gt; limite","")</f>
        <v/>
      </c>
      <c r="M258" s="70">
        <f>IF(OR(F258="",N10="",N10&lt;=0),"",IF(LEN(F258)&lt;=N10,LEN(F258),IFERROR(FIND("♦",SUBSTITUTE(LEFT(F258,N10)," ","♦",LEN(LEFT(F258,N10))-LEN(SUBSTITUTE(LEFT(F258,N10)," ","")))),FIND(" ",F258&amp;" ",N10+1)-1)))</f>
        <v>1</v>
      </c>
      <c r="N258" s="119">
        <f t="shared" si="29"/>
        <v>241</v>
      </c>
      <c r="O258" s="99" t="str">
        <f t="shared" si="30"/>
        <v>0</v>
      </c>
      <c r="P258" s="119">
        <f t="shared" si="31"/>
        <v>1</v>
      </c>
      <c r="Q258" s="119">
        <f t="shared" si="32"/>
        <v>1</v>
      </c>
      <c r="S258" s="3">
        <v>1</v>
      </c>
    </row>
    <row r="259" spans="2:19">
      <c r="B259" s="116"/>
      <c r="C259" s="116"/>
      <c r="D259" s="116"/>
      <c r="E259" s="116" cm="1">
        <f t="array" ref="E259">IF(H258&lt;&gt;"",E258,IF(E258="","",IFERROR(MATCH(TRUE(),INDEX(INDEX(K:K,E258+1):K203&lt;&gt;"",0),0)+E258,"")))</f>
        <v>400</v>
      </c>
      <c r="F259" s="117" cm="1">
        <f t="array" ref="F259">IF(E259="","",IF(H258&lt;&gt;"",H258,INDEX(D:D,E259)))</f>
        <v>0</v>
      </c>
      <c r="G259" s="117" t="str">
        <f t="shared" si="27"/>
        <v>0</v>
      </c>
      <c r="H259" s="118" t="str">
        <f t="shared" si="28"/>
        <v/>
      </c>
      <c r="I259" s="116" t="str">
        <f>IF(AND(F259&lt;&gt;"",N10&gt;0,M259&gt;N10),"Mot &gt; limite","")</f>
        <v/>
      </c>
      <c r="M259" s="70">
        <f>IF(OR(F259="",N10="",N10&lt;=0),"",IF(LEN(F259)&lt;=N10,LEN(F259),IFERROR(FIND("♦",SUBSTITUTE(LEFT(F259,N10)," ","♦",LEN(LEFT(F259,N10))-LEN(SUBSTITUTE(LEFT(F259,N10)," ","")))),FIND(" ",F259&amp;" ",N10+1)-1)))</f>
        <v>1</v>
      </c>
      <c r="N259" s="119">
        <f t="shared" si="29"/>
        <v>242</v>
      </c>
      <c r="O259" s="99" t="str">
        <f t="shared" si="30"/>
        <v>0</v>
      </c>
      <c r="P259" s="119">
        <f t="shared" si="31"/>
        <v>1</v>
      </c>
      <c r="Q259" s="119">
        <f t="shared" si="32"/>
        <v>1</v>
      </c>
      <c r="S259" s="3">
        <v>1</v>
      </c>
    </row>
    <row r="260" spans="2:19">
      <c r="B260" s="116"/>
      <c r="C260" s="116"/>
      <c r="D260" s="116"/>
      <c r="E260" s="116" cm="1">
        <f t="array" ref="E260">IF(H259&lt;&gt;"",E259,IF(E259="","",IFERROR(MATCH(TRUE(),INDEX(INDEX(K:K,E259+1):K203&lt;&gt;"",0),0)+E259,"")))</f>
        <v>401</v>
      </c>
      <c r="F260" s="117" cm="1">
        <f t="array" ref="F260">IF(E260="","",IF(H259&lt;&gt;"",H259,INDEX(D:D,E260)))</f>
        <v>0</v>
      </c>
      <c r="G260" s="117" t="str">
        <f t="shared" si="27"/>
        <v>0</v>
      </c>
      <c r="H260" s="118" t="str">
        <f t="shared" si="28"/>
        <v/>
      </c>
      <c r="I260" s="116" t="str">
        <f>IF(AND(F260&lt;&gt;"",N10&gt;0,M260&gt;N10),"Mot &gt; limite","")</f>
        <v/>
      </c>
      <c r="M260" s="70">
        <f>IF(OR(F260="",N10="",N10&lt;=0),"",IF(LEN(F260)&lt;=N10,LEN(F260),IFERROR(FIND("♦",SUBSTITUTE(LEFT(F260,N10)," ","♦",LEN(LEFT(F260,N10))-LEN(SUBSTITUTE(LEFT(F260,N10)," ","")))),FIND(" ",F260&amp;" ",N10+1)-1)))</f>
        <v>1</v>
      </c>
      <c r="N260" s="119">
        <f t="shared" si="29"/>
        <v>243</v>
      </c>
      <c r="O260" s="99" t="str">
        <f t="shared" si="30"/>
        <v>0</v>
      </c>
      <c r="P260" s="119">
        <f t="shared" si="31"/>
        <v>1</v>
      </c>
      <c r="Q260" s="119">
        <f t="shared" si="32"/>
        <v>1</v>
      </c>
      <c r="S260" s="3">
        <v>1</v>
      </c>
    </row>
    <row r="261" spans="2:19">
      <c r="B261" s="116"/>
      <c r="C261" s="116"/>
      <c r="D261" s="116"/>
      <c r="E261" s="116" cm="1">
        <f t="array" ref="E261">IF(H260&lt;&gt;"",E260,IF(E260="","",IFERROR(MATCH(TRUE(),INDEX(INDEX(K:K,E260+1):K203&lt;&gt;"",0),0)+E260,"")))</f>
        <v>402</v>
      </c>
      <c r="F261" s="117" cm="1">
        <f t="array" ref="F261">IF(E261="","",IF(H260&lt;&gt;"",H260,INDEX(D:D,E261)))</f>
        <v>0</v>
      </c>
      <c r="G261" s="117" t="str">
        <f t="shared" si="27"/>
        <v>0</v>
      </c>
      <c r="H261" s="118" t="str">
        <f t="shared" si="28"/>
        <v/>
      </c>
      <c r="I261" s="116" t="str">
        <f>IF(AND(F261&lt;&gt;"",N10&gt;0,M261&gt;N10),"Mot &gt; limite","")</f>
        <v/>
      </c>
      <c r="M261" s="70">
        <f>IF(OR(F261="",N10="",N10&lt;=0),"",IF(LEN(F261)&lt;=N10,LEN(F261),IFERROR(FIND("♦",SUBSTITUTE(LEFT(F261,N10)," ","♦",LEN(LEFT(F261,N10))-LEN(SUBSTITUTE(LEFT(F261,N10)," ","")))),FIND(" ",F261&amp;" ",N10+1)-1)))</f>
        <v>1</v>
      </c>
      <c r="N261" s="119">
        <f t="shared" si="29"/>
        <v>244</v>
      </c>
      <c r="O261" s="99" t="str">
        <f t="shared" si="30"/>
        <v>0</v>
      </c>
      <c r="P261" s="119">
        <f t="shared" si="31"/>
        <v>1</v>
      </c>
      <c r="Q261" s="119">
        <f t="shared" si="32"/>
        <v>1</v>
      </c>
      <c r="S261" s="3">
        <v>1</v>
      </c>
    </row>
    <row r="262" spans="2:19">
      <c r="B262" s="116"/>
      <c r="C262" s="116"/>
      <c r="D262" s="116"/>
      <c r="E262" s="116" cm="1">
        <f t="array" ref="E262">IF(H261&lt;&gt;"",E261,IF(E261="","",IFERROR(MATCH(TRUE(),INDEX(INDEX(K:K,E261+1):K203&lt;&gt;"",0),0)+E261,"")))</f>
        <v>403</v>
      </c>
      <c r="F262" s="117" cm="1">
        <f t="array" ref="F262">IF(E262="","",IF(H261&lt;&gt;"",H261,INDEX(D:D,E262)))</f>
        <v>0</v>
      </c>
      <c r="G262" s="117" t="str">
        <f t="shared" si="27"/>
        <v>0</v>
      </c>
      <c r="H262" s="118" t="str">
        <f t="shared" si="28"/>
        <v/>
      </c>
      <c r="I262" s="116" t="str">
        <f>IF(AND(F262&lt;&gt;"",N10&gt;0,M262&gt;N10),"Mot &gt; limite","")</f>
        <v/>
      </c>
      <c r="M262" s="70">
        <f>IF(OR(F262="",N10="",N10&lt;=0),"",IF(LEN(F262)&lt;=N10,LEN(F262),IFERROR(FIND("♦",SUBSTITUTE(LEFT(F262,N10)," ","♦",LEN(LEFT(F262,N10))-LEN(SUBSTITUTE(LEFT(F262,N10)," ","")))),FIND(" ",F262&amp;" ",N10+1)-1)))</f>
        <v>1</v>
      </c>
      <c r="N262" s="119">
        <f t="shared" si="29"/>
        <v>245</v>
      </c>
      <c r="O262" s="99" t="str">
        <f t="shared" si="30"/>
        <v>0</v>
      </c>
      <c r="P262" s="119">
        <f t="shared" si="31"/>
        <v>1</v>
      </c>
      <c r="Q262" s="119">
        <f t="shared" si="32"/>
        <v>1</v>
      </c>
      <c r="S262" s="3">
        <v>1</v>
      </c>
    </row>
    <row r="263" spans="2:19">
      <c r="B263" s="116"/>
      <c r="C263" s="116"/>
      <c r="D263" s="116"/>
      <c r="E263" s="116" cm="1">
        <f t="array" ref="E263">IF(H262&lt;&gt;"",E262,IF(E262="","",IFERROR(MATCH(TRUE(),INDEX(INDEX(K:K,E262+1):K203&lt;&gt;"",0),0)+E262,"")))</f>
        <v>404</v>
      </c>
      <c r="F263" s="117" cm="1">
        <f t="array" ref="F263">IF(E263="","",IF(H262&lt;&gt;"",H262,INDEX(D:D,E263)))</f>
        <v>0</v>
      </c>
      <c r="G263" s="117" t="str">
        <f t="shared" si="27"/>
        <v>0</v>
      </c>
      <c r="H263" s="118" t="str">
        <f t="shared" si="28"/>
        <v/>
      </c>
      <c r="I263" s="116" t="str">
        <f>IF(AND(F263&lt;&gt;"",N10&gt;0,M263&gt;N10),"Mot &gt; limite","")</f>
        <v/>
      </c>
      <c r="M263" s="70">
        <f>IF(OR(F263="",N10="",N10&lt;=0),"",IF(LEN(F263)&lt;=N10,LEN(F263),IFERROR(FIND("♦",SUBSTITUTE(LEFT(F263,N10)," ","♦",LEN(LEFT(F263,N10))-LEN(SUBSTITUTE(LEFT(F263,N10)," ","")))),FIND(" ",F263&amp;" ",N10+1)-1)))</f>
        <v>1</v>
      </c>
      <c r="N263" s="119">
        <f t="shared" si="29"/>
        <v>246</v>
      </c>
      <c r="O263" s="99" t="str">
        <f t="shared" si="30"/>
        <v>0</v>
      </c>
      <c r="P263" s="119">
        <f t="shared" si="31"/>
        <v>1</v>
      </c>
      <c r="Q263" s="119">
        <f t="shared" si="32"/>
        <v>1</v>
      </c>
      <c r="S263" s="3">
        <v>1</v>
      </c>
    </row>
    <row r="264" spans="2:19">
      <c r="B264" s="116"/>
      <c r="C264" s="116"/>
      <c r="D264" s="116"/>
      <c r="E264" s="116" cm="1">
        <f t="array" ref="E264">IF(H263&lt;&gt;"",E263,IF(E263="","",IFERROR(MATCH(TRUE(),INDEX(INDEX(K:K,E263+1):K203&lt;&gt;"",0),0)+E263,"")))</f>
        <v>405</v>
      </c>
      <c r="F264" s="117" cm="1">
        <f t="array" ref="F264">IF(E264="","",IF(H263&lt;&gt;"",H263,INDEX(D:D,E264)))</f>
        <v>0</v>
      </c>
      <c r="G264" s="117" t="str">
        <f t="shared" si="27"/>
        <v>0</v>
      </c>
      <c r="H264" s="118" t="str">
        <f t="shared" si="28"/>
        <v/>
      </c>
      <c r="I264" s="116" t="str">
        <f>IF(AND(F264&lt;&gt;"",N10&gt;0,M264&gt;N10),"Mot &gt; limite","")</f>
        <v/>
      </c>
      <c r="M264" s="70">
        <f>IF(OR(F264="",N10="",N10&lt;=0),"",IF(LEN(F264)&lt;=N10,LEN(F264),IFERROR(FIND("♦",SUBSTITUTE(LEFT(F264,N10)," ","♦",LEN(LEFT(F264,N10))-LEN(SUBSTITUTE(LEFT(F264,N10)," ","")))),FIND(" ",F264&amp;" ",N10+1)-1)))</f>
        <v>1</v>
      </c>
      <c r="N264" s="119">
        <f t="shared" si="29"/>
        <v>247</v>
      </c>
      <c r="O264" s="99" t="str">
        <f t="shared" si="30"/>
        <v>0</v>
      </c>
      <c r="P264" s="119">
        <f t="shared" si="31"/>
        <v>1</v>
      </c>
      <c r="Q264" s="119">
        <f t="shared" si="32"/>
        <v>1</v>
      </c>
      <c r="S264" s="3">
        <v>1</v>
      </c>
    </row>
    <row r="265" spans="2:19">
      <c r="B265" s="116"/>
      <c r="C265" s="116"/>
      <c r="D265" s="116"/>
      <c r="E265" s="116" cm="1">
        <f t="array" ref="E265">IF(H264&lt;&gt;"",E264,IF(E264="","",IFERROR(MATCH(TRUE(),INDEX(INDEX(K:K,E264+1):K203&lt;&gt;"",0),0)+E264,"")))</f>
        <v>406</v>
      </c>
      <c r="F265" s="117" cm="1">
        <f t="array" ref="F265">IF(E265="","",IF(H264&lt;&gt;"",H264,INDEX(D:D,E265)))</f>
        <v>0</v>
      </c>
      <c r="G265" s="117" t="str">
        <f t="shared" si="27"/>
        <v>0</v>
      </c>
      <c r="H265" s="118" t="str">
        <f t="shared" si="28"/>
        <v/>
      </c>
      <c r="I265" s="116" t="str">
        <f>IF(AND(F265&lt;&gt;"",N10&gt;0,M265&gt;N10),"Mot &gt; limite","")</f>
        <v/>
      </c>
      <c r="M265" s="70">
        <f>IF(OR(F265="",N10="",N10&lt;=0),"",IF(LEN(F265)&lt;=N10,LEN(F265),IFERROR(FIND("♦",SUBSTITUTE(LEFT(F265,N10)," ","♦",LEN(LEFT(F265,N10))-LEN(SUBSTITUTE(LEFT(F265,N10)," ","")))),FIND(" ",F265&amp;" ",N10+1)-1)))</f>
        <v>1</v>
      </c>
      <c r="N265" s="119">
        <f t="shared" si="29"/>
        <v>248</v>
      </c>
      <c r="O265" s="99" t="str">
        <f t="shared" si="30"/>
        <v>0</v>
      </c>
      <c r="P265" s="119">
        <f t="shared" si="31"/>
        <v>1</v>
      </c>
      <c r="Q265" s="119">
        <f t="shared" si="32"/>
        <v>1</v>
      </c>
      <c r="S265" s="3">
        <v>1</v>
      </c>
    </row>
    <row r="266" spans="2:19">
      <c r="B266" s="116"/>
      <c r="C266" s="116"/>
      <c r="D266" s="116"/>
      <c r="E266" s="116" cm="1">
        <f t="array" ref="E266">IF(H265&lt;&gt;"",E265,IF(E265="","",IFERROR(MATCH(TRUE(),INDEX(INDEX(K:K,E265+1):K203&lt;&gt;"",0),0)+E265,"")))</f>
        <v>407</v>
      </c>
      <c r="F266" s="117" cm="1">
        <f t="array" ref="F266">IF(E266="","",IF(H265&lt;&gt;"",H265,INDEX(D:D,E266)))</f>
        <v>0</v>
      </c>
      <c r="G266" s="117" t="str">
        <f t="shared" si="27"/>
        <v>0</v>
      </c>
      <c r="H266" s="118" t="str">
        <f t="shared" si="28"/>
        <v/>
      </c>
      <c r="I266" s="116" t="str">
        <f>IF(AND(F266&lt;&gt;"",N10&gt;0,M266&gt;N10),"Mot &gt; limite","")</f>
        <v/>
      </c>
      <c r="M266" s="70">
        <f>IF(OR(F266="",N10="",N10&lt;=0),"",IF(LEN(F266)&lt;=N10,LEN(F266),IFERROR(FIND("♦",SUBSTITUTE(LEFT(F266,N10)," ","♦",LEN(LEFT(F266,N10))-LEN(SUBSTITUTE(LEFT(F266,N10)," ","")))),FIND(" ",F266&amp;" ",N10+1)-1)))</f>
        <v>1</v>
      </c>
      <c r="N266" s="119">
        <f t="shared" si="29"/>
        <v>249</v>
      </c>
      <c r="O266" s="99" t="str">
        <f t="shared" si="30"/>
        <v>0</v>
      </c>
      <c r="P266" s="119">
        <f t="shared" si="31"/>
        <v>1</v>
      </c>
      <c r="Q266" s="119">
        <f t="shared" si="32"/>
        <v>1</v>
      </c>
      <c r="S266" s="3">
        <v>1</v>
      </c>
    </row>
    <row r="267" spans="2:19">
      <c r="B267" s="116"/>
      <c r="C267" s="116"/>
      <c r="D267" s="116"/>
      <c r="E267" s="116" cm="1">
        <f t="array" ref="E267">IF(H266&lt;&gt;"",E266,IF(E266="","",IFERROR(MATCH(TRUE(),INDEX(INDEX(K:K,E266+1):K203&lt;&gt;"",0),0)+E266,"")))</f>
        <v>408</v>
      </c>
      <c r="F267" s="117" cm="1">
        <f t="array" ref="F267">IF(E267="","",IF(H266&lt;&gt;"",H266,INDEX(D:D,E267)))</f>
        <v>0</v>
      </c>
      <c r="G267" s="117" t="str">
        <f t="shared" si="27"/>
        <v>0</v>
      </c>
      <c r="H267" s="118" t="str">
        <f t="shared" si="28"/>
        <v/>
      </c>
      <c r="I267" s="116" t="str">
        <f>IF(AND(F267&lt;&gt;"",N10&gt;0,M267&gt;N10),"Mot &gt; limite","")</f>
        <v/>
      </c>
      <c r="M267" s="70">
        <f>IF(OR(F267="",N10="",N10&lt;=0),"",IF(LEN(F267)&lt;=N10,LEN(F267),IFERROR(FIND("♦",SUBSTITUTE(LEFT(F267,N10)," ","♦",LEN(LEFT(F267,N10))-LEN(SUBSTITUTE(LEFT(F267,N10)," ","")))),FIND(" ",F267&amp;" ",N10+1)-1)))</f>
        <v>1</v>
      </c>
      <c r="N267" s="119">
        <f t="shared" si="29"/>
        <v>250</v>
      </c>
      <c r="O267" s="99" t="str">
        <f t="shared" si="30"/>
        <v>0</v>
      </c>
      <c r="P267" s="119">
        <f t="shared" si="31"/>
        <v>1</v>
      </c>
      <c r="Q267" s="119">
        <f t="shared" si="32"/>
        <v>1</v>
      </c>
      <c r="S267" s="3">
        <v>1</v>
      </c>
    </row>
    <row r="268" spans="2:19">
      <c r="B268" s="116"/>
      <c r="C268" s="116"/>
      <c r="D268" s="116"/>
      <c r="E268" s="116" cm="1">
        <f t="array" ref="E268">IF(H267&lt;&gt;"",E267,IF(E267="","",IFERROR(MATCH(TRUE(),INDEX(INDEX(K:K,E267+1):K203&lt;&gt;"",0),0)+E267,"")))</f>
        <v>409</v>
      </c>
      <c r="F268" s="117" cm="1">
        <f t="array" ref="F268">IF(E268="","",IF(H267&lt;&gt;"",H267,INDEX(D:D,E268)))</f>
        <v>0</v>
      </c>
      <c r="G268" s="117" t="str">
        <f t="shared" si="27"/>
        <v>0</v>
      </c>
      <c r="H268" s="118" t="str">
        <f t="shared" si="28"/>
        <v/>
      </c>
      <c r="I268" s="116" t="str">
        <f>IF(AND(F268&lt;&gt;"",N10&gt;0,M268&gt;N10),"Mot &gt; limite","")</f>
        <v/>
      </c>
      <c r="M268" s="70">
        <f>IF(OR(F268="",N10="",N10&lt;=0),"",IF(LEN(F268)&lt;=N10,LEN(F268),IFERROR(FIND("♦",SUBSTITUTE(LEFT(F268,N10)," ","♦",LEN(LEFT(F268,N10))-LEN(SUBSTITUTE(LEFT(F268,N10)," ","")))),FIND(" ",F268&amp;" ",N10+1)-1)))</f>
        <v>1</v>
      </c>
      <c r="N268" s="119">
        <f t="shared" si="29"/>
        <v>251</v>
      </c>
      <c r="O268" s="99" t="str">
        <f t="shared" si="30"/>
        <v>0</v>
      </c>
      <c r="P268" s="119">
        <f t="shared" si="31"/>
        <v>1</v>
      </c>
      <c r="Q268" s="119">
        <f t="shared" si="32"/>
        <v>1</v>
      </c>
      <c r="S268" s="3">
        <v>1</v>
      </c>
    </row>
    <row r="269" spans="2:19">
      <c r="B269" s="116"/>
      <c r="C269" s="116"/>
      <c r="D269" s="116"/>
      <c r="E269" s="116" cm="1">
        <f t="array" ref="E269">IF(H268&lt;&gt;"",E268,IF(E268="","",IFERROR(MATCH(TRUE(),INDEX(INDEX(K:K,E268+1):K203&lt;&gt;"",0),0)+E268,"")))</f>
        <v>410</v>
      </c>
      <c r="F269" s="117" cm="1">
        <f t="array" ref="F269">IF(E269="","",IF(H268&lt;&gt;"",H268,INDEX(D:D,E269)))</f>
        <v>0</v>
      </c>
      <c r="G269" s="117" t="str">
        <f t="shared" si="27"/>
        <v>0</v>
      </c>
      <c r="H269" s="118" t="str">
        <f t="shared" si="28"/>
        <v/>
      </c>
      <c r="I269" s="116" t="str">
        <f>IF(AND(F269&lt;&gt;"",N10&gt;0,M269&gt;N10),"Mot &gt; limite","")</f>
        <v/>
      </c>
      <c r="M269" s="70">
        <f>IF(OR(F269="",N10="",N10&lt;=0),"",IF(LEN(F269)&lt;=N10,LEN(F269),IFERROR(FIND("♦",SUBSTITUTE(LEFT(F269,N10)," ","♦",LEN(LEFT(F269,N10))-LEN(SUBSTITUTE(LEFT(F269,N10)," ","")))),FIND(" ",F269&amp;" ",N10+1)-1)))</f>
        <v>1</v>
      </c>
      <c r="N269" s="119">
        <f t="shared" si="29"/>
        <v>252</v>
      </c>
      <c r="O269" s="99" t="str">
        <f t="shared" si="30"/>
        <v>0</v>
      </c>
      <c r="P269" s="119">
        <f t="shared" si="31"/>
        <v>1</v>
      </c>
      <c r="Q269" s="119">
        <f t="shared" si="32"/>
        <v>1</v>
      </c>
      <c r="S269" s="3">
        <v>1</v>
      </c>
    </row>
    <row r="270" spans="2:19">
      <c r="B270" s="116"/>
      <c r="C270" s="116"/>
      <c r="D270" s="116"/>
      <c r="E270" s="116" cm="1">
        <f t="array" ref="E270">IF(H269&lt;&gt;"",E269,IF(E269="","",IFERROR(MATCH(TRUE(),INDEX(INDEX(K:K,E269+1):K203&lt;&gt;"",0),0)+E269,"")))</f>
        <v>411</v>
      </c>
      <c r="F270" s="117" cm="1">
        <f t="array" ref="F270">IF(E270="","",IF(H269&lt;&gt;"",H269,INDEX(D:D,E270)))</f>
        <v>0</v>
      </c>
      <c r="G270" s="117" t="str">
        <f t="shared" si="27"/>
        <v>0</v>
      </c>
      <c r="H270" s="118" t="str">
        <f t="shared" si="28"/>
        <v/>
      </c>
      <c r="I270" s="116" t="str">
        <f>IF(AND(F270&lt;&gt;"",N10&gt;0,M270&gt;N10),"Mot &gt; limite","")</f>
        <v/>
      </c>
      <c r="M270" s="70">
        <f>IF(OR(F270="",N10="",N10&lt;=0),"",IF(LEN(F270)&lt;=N10,LEN(F270),IFERROR(FIND("♦",SUBSTITUTE(LEFT(F270,N10)," ","♦",LEN(LEFT(F270,N10))-LEN(SUBSTITUTE(LEFT(F270,N10)," ","")))),FIND(" ",F270&amp;" ",N10+1)-1)))</f>
        <v>1</v>
      </c>
      <c r="N270" s="119">
        <f t="shared" si="29"/>
        <v>253</v>
      </c>
      <c r="O270" s="99" t="str">
        <f t="shared" si="30"/>
        <v>0</v>
      </c>
      <c r="P270" s="119">
        <f t="shared" si="31"/>
        <v>1</v>
      </c>
      <c r="Q270" s="119">
        <f t="shared" si="32"/>
        <v>1</v>
      </c>
      <c r="S270" s="3">
        <v>1</v>
      </c>
    </row>
    <row r="271" spans="2:19">
      <c r="B271" s="116"/>
      <c r="C271" s="116"/>
      <c r="D271" s="116"/>
      <c r="E271" s="116" cm="1">
        <f t="array" ref="E271">IF(H270&lt;&gt;"",E270,IF(E270="","",IFERROR(MATCH(TRUE(),INDEX(INDEX(K:K,E270+1):K203&lt;&gt;"",0),0)+E270,"")))</f>
        <v>412</v>
      </c>
      <c r="F271" s="117" cm="1">
        <f t="array" ref="F271">IF(E271="","",IF(H270&lt;&gt;"",H270,INDEX(D:D,E271)))</f>
        <v>0</v>
      </c>
      <c r="G271" s="117" t="str">
        <f t="shared" si="27"/>
        <v>0</v>
      </c>
      <c r="H271" s="118" t="str">
        <f t="shared" si="28"/>
        <v/>
      </c>
      <c r="I271" s="116" t="str">
        <f>IF(AND(F271&lt;&gt;"",N10&gt;0,M271&gt;N10),"Mot &gt; limite","")</f>
        <v/>
      </c>
      <c r="M271" s="70">
        <f>IF(OR(F271="",N10="",N10&lt;=0),"",IF(LEN(F271)&lt;=N10,LEN(F271),IFERROR(FIND("♦",SUBSTITUTE(LEFT(F271,N10)," ","♦",LEN(LEFT(F271,N10))-LEN(SUBSTITUTE(LEFT(F271,N10)," ","")))),FIND(" ",F271&amp;" ",N10+1)-1)))</f>
        <v>1</v>
      </c>
      <c r="N271" s="119">
        <f t="shared" si="29"/>
        <v>254</v>
      </c>
      <c r="O271" s="99" t="str">
        <f t="shared" si="30"/>
        <v>0</v>
      </c>
      <c r="P271" s="119">
        <f t="shared" si="31"/>
        <v>1</v>
      </c>
      <c r="Q271" s="119">
        <f t="shared" si="32"/>
        <v>1</v>
      </c>
      <c r="S271" s="3">
        <v>1</v>
      </c>
    </row>
    <row r="272" spans="2:19">
      <c r="B272" s="116"/>
      <c r="C272" s="116"/>
      <c r="D272" s="116"/>
      <c r="E272" s="116" cm="1">
        <f t="array" ref="E272">IF(H271&lt;&gt;"",E271,IF(E271="","",IFERROR(MATCH(TRUE(),INDEX(INDEX(K:K,E271+1):K203&lt;&gt;"",0),0)+E271,"")))</f>
        <v>413</v>
      </c>
      <c r="F272" s="117" cm="1">
        <f t="array" ref="F272">IF(E272="","",IF(H271&lt;&gt;"",H271,INDEX(D:D,E272)))</f>
        <v>0</v>
      </c>
      <c r="G272" s="117" t="str">
        <f t="shared" si="27"/>
        <v>0</v>
      </c>
      <c r="H272" s="118" t="str">
        <f t="shared" si="28"/>
        <v/>
      </c>
      <c r="I272" s="116" t="str">
        <f>IF(AND(F272&lt;&gt;"",N10&gt;0,M272&gt;N10),"Mot &gt; limite","")</f>
        <v/>
      </c>
      <c r="M272" s="70">
        <f>IF(OR(F272="",N10="",N10&lt;=0),"",IF(LEN(F272)&lt;=N10,LEN(F272),IFERROR(FIND("♦",SUBSTITUTE(LEFT(F272,N10)," ","♦",LEN(LEFT(F272,N10))-LEN(SUBSTITUTE(LEFT(F272,N10)," ","")))),FIND(" ",F272&amp;" ",N10+1)-1)))</f>
        <v>1</v>
      </c>
      <c r="N272" s="119">
        <f t="shared" si="29"/>
        <v>255</v>
      </c>
      <c r="O272" s="99" t="str">
        <f t="shared" si="30"/>
        <v>0</v>
      </c>
      <c r="P272" s="119">
        <f t="shared" si="31"/>
        <v>1</v>
      </c>
      <c r="Q272" s="119">
        <f t="shared" si="32"/>
        <v>1</v>
      </c>
      <c r="S272" s="3">
        <v>1</v>
      </c>
    </row>
    <row r="273" spans="2:19">
      <c r="B273" s="116"/>
      <c r="C273" s="116"/>
      <c r="D273" s="116"/>
      <c r="E273" s="116" cm="1">
        <f t="array" ref="E273">IF(H272&lt;&gt;"",E272,IF(E272="","",IFERROR(MATCH(TRUE(),INDEX(INDEX(K:K,E272+1):K203&lt;&gt;"",0),0)+E272,"")))</f>
        <v>414</v>
      </c>
      <c r="F273" s="117" cm="1">
        <f t="array" ref="F273">IF(E273="","",IF(H272&lt;&gt;"",H272,INDEX(D:D,E273)))</f>
        <v>0</v>
      </c>
      <c r="G273" s="117" t="str">
        <f t="shared" si="27"/>
        <v>0</v>
      </c>
      <c r="H273" s="118" t="str">
        <f t="shared" si="28"/>
        <v/>
      </c>
      <c r="I273" s="116" t="str">
        <f>IF(AND(F273&lt;&gt;"",N10&gt;0,M273&gt;N10),"Mot &gt; limite","")</f>
        <v/>
      </c>
      <c r="M273" s="70">
        <f>IF(OR(F273="",N10="",N10&lt;=0),"",IF(LEN(F273)&lt;=N10,LEN(F273),IFERROR(FIND("♦",SUBSTITUTE(LEFT(F273,N10)," ","♦",LEN(LEFT(F273,N10))-LEN(SUBSTITUTE(LEFT(F273,N10)," ","")))),FIND(" ",F273&amp;" ",N10+1)-1)))</f>
        <v>1</v>
      </c>
      <c r="N273" s="119">
        <f t="shared" si="29"/>
        <v>256</v>
      </c>
      <c r="O273" s="99" t="str">
        <f t="shared" si="30"/>
        <v>0</v>
      </c>
      <c r="P273" s="119">
        <f t="shared" si="31"/>
        <v>1</v>
      </c>
      <c r="Q273" s="119">
        <f t="shared" si="32"/>
        <v>1</v>
      </c>
      <c r="S273" s="3">
        <v>1</v>
      </c>
    </row>
    <row r="274" spans="2:19">
      <c r="B274" s="116"/>
      <c r="C274" s="116"/>
      <c r="D274" s="116"/>
      <c r="E274" s="116" cm="1">
        <f t="array" ref="E274">IF(H273&lt;&gt;"",E273,IF(E273="","",IFERROR(MATCH(TRUE(),INDEX(INDEX(K:K,E273+1):K203&lt;&gt;"",0),0)+E273,"")))</f>
        <v>415</v>
      </c>
      <c r="F274" s="117" cm="1">
        <f t="array" ref="F274">IF(E274="","",IF(H273&lt;&gt;"",H273,INDEX(D:D,E274)))</f>
        <v>0</v>
      </c>
      <c r="G274" s="117" t="str">
        <f t="shared" ref="G274:G337" si="33">IF(OR(F274="",M274=""),"",LEFT(F274,M274))</f>
        <v>0</v>
      </c>
      <c r="H274" s="118" t="str">
        <f t="shared" ref="H274:H337" si="34">IF(OR(F274="",M274=""),"",TRIM(MID(F274,M274+1,99999)))</f>
        <v/>
      </c>
      <c r="I274" s="116" t="str">
        <f>IF(AND(F274&lt;&gt;"",N10&gt;0,M274&gt;N10),"Mot &gt; limite","")</f>
        <v/>
      </c>
      <c r="M274" s="70">
        <f>IF(OR(F274="",N10="",N10&lt;=0),"",IF(LEN(F274)&lt;=N10,LEN(F274),IFERROR(FIND("♦",SUBSTITUTE(LEFT(F274,N10)," ","♦",LEN(LEFT(F274,N10))-LEN(SUBSTITUTE(LEFT(F274,N10)," ","")))),FIND(" ",F274&amp;" ",N10+1)-1)))</f>
        <v>1</v>
      </c>
      <c r="N274" s="119">
        <f t="shared" ref="N274:N337" si="35">IF(O274="","",ROW()-17)</f>
        <v>257</v>
      </c>
      <c r="O274" s="99" t="str">
        <f t="shared" ref="O274:O337" si="36">G274</f>
        <v>0</v>
      </c>
      <c r="P274" s="119">
        <f t="shared" ref="P274:P337" si="37">IF(O274="","",LEN(TRIM(O274))-LEN(SUBSTITUTE(TRIM(O274)," ",""))+1)</f>
        <v>1</v>
      </c>
      <c r="Q274" s="119">
        <f t="shared" ref="Q274:Q337" si="38">IF(O274="","",LEN(O274))</f>
        <v>1</v>
      </c>
      <c r="S274" s="3">
        <v>1</v>
      </c>
    </row>
    <row r="275" spans="2:19">
      <c r="B275" s="116"/>
      <c r="C275" s="116"/>
      <c r="D275" s="116"/>
      <c r="E275" s="116" cm="1">
        <f t="array" ref="E275">IF(H274&lt;&gt;"",E274,IF(E274="","",IFERROR(MATCH(TRUE(),INDEX(INDEX(K:K,E274+1):K203&lt;&gt;"",0),0)+E274,"")))</f>
        <v>416</v>
      </c>
      <c r="F275" s="117" cm="1">
        <f t="array" ref="F275">IF(E275="","",IF(H274&lt;&gt;"",H274,INDEX(D:D,E275)))</f>
        <v>0</v>
      </c>
      <c r="G275" s="117" t="str">
        <f t="shared" si="33"/>
        <v>0</v>
      </c>
      <c r="H275" s="118" t="str">
        <f t="shared" si="34"/>
        <v/>
      </c>
      <c r="I275" s="116" t="str">
        <f>IF(AND(F275&lt;&gt;"",N10&gt;0,M275&gt;N10),"Mot &gt; limite","")</f>
        <v/>
      </c>
      <c r="M275" s="70">
        <f>IF(OR(F275="",N10="",N10&lt;=0),"",IF(LEN(F275)&lt;=N10,LEN(F275),IFERROR(FIND("♦",SUBSTITUTE(LEFT(F275,N10)," ","♦",LEN(LEFT(F275,N10))-LEN(SUBSTITUTE(LEFT(F275,N10)," ","")))),FIND(" ",F275&amp;" ",N10+1)-1)))</f>
        <v>1</v>
      </c>
      <c r="N275" s="119">
        <f t="shared" si="35"/>
        <v>258</v>
      </c>
      <c r="O275" s="99" t="str">
        <f t="shared" si="36"/>
        <v>0</v>
      </c>
      <c r="P275" s="119">
        <f t="shared" si="37"/>
        <v>1</v>
      </c>
      <c r="Q275" s="119">
        <f t="shared" si="38"/>
        <v>1</v>
      </c>
      <c r="S275" s="3">
        <v>1</v>
      </c>
    </row>
    <row r="276" spans="2:19">
      <c r="B276" s="116"/>
      <c r="C276" s="116"/>
      <c r="D276" s="116"/>
      <c r="E276" s="116" cm="1">
        <f t="array" ref="E276">IF(H275&lt;&gt;"",E275,IF(E275="","",IFERROR(MATCH(TRUE(),INDEX(INDEX(K:K,E275+1):K203&lt;&gt;"",0),0)+E275,"")))</f>
        <v>417</v>
      </c>
      <c r="F276" s="117" cm="1">
        <f t="array" ref="F276">IF(E276="","",IF(H275&lt;&gt;"",H275,INDEX(D:D,E276)))</f>
        <v>0</v>
      </c>
      <c r="G276" s="117" t="str">
        <f t="shared" si="33"/>
        <v>0</v>
      </c>
      <c r="H276" s="118" t="str">
        <f t="shared" si="34"/>
        <v/>
      </c>
      <c r="I276" s="116" t="str">
        <f>IF(AND(F276&lt;&gt;"",N10&gt;0,M276&gt;N10),"Mot &gt; limite","")</f>
        <v/>
      </c>
      <c r="M276" s="70">
        <f>IF(OR(F276="",N10="",N10&lt;=0),"",IF(LEN(F276)&lt;=N10,LEN(F276),IFERROR(FIND("♦",SUBSTITUTE(LEFT(F276,N10)," ","♦",LEN(LEFT(F276,N10))-LEN(SUBSTITUTE(LEFT(F276,N10)," ","")))),FIND(" ",F276&amp;" ",N10+1)-1)))</f>
        <v>1</v>
      </c>
      <c r="N276" s="119">
        <f t="shared" si="35"/>
        <v>259</v>
      </c>
      <c r="O276" s="99" t="str">
        <f t="shared" si="36"/>
        <v>0</v>
      </c>
      <c r="P276" s="119">
        <f t="shared" si="37"/>
        <v>1</v>
      </c>
      <c r="Q276" s="119">
        <f t="shared" si="38"/>
        <v>1</v>
      </c>
      <c r="S276" s="3">
        <v>1</v>
      </c>
    </row>
    <row r="277" spans="2:19">
      <c r="B277" s="116"/>
      <c r="C277" s="116"/>
      <c r="D277" s="116"/>
      <c r="E277" s="116" cm="1">
        <f t="array" ref="E277">IF(H276&lt;&gt;"",E276,IF(E276="","",IFERROR(MATCH(TRUE(),INDEX(INDEX(K:K,E276+1):K203&lt;&gt;"",0),0)+E276,"")))</f>
        <v>418</v>
      </c>
      <c r="F277" s="117" cm="1">
        <f t="array" ref="F277">IF(E277="","",IF(H276&lt;&gt;"",H276,INDEX(D:D,E277)))</f>
        <v>0</v>
      </c>
      <c r="G277" s="117" t="str">
        <f t="shared" si="33"/>
        <v>0</v>
      </c>
      <c r="H277" s="118" t="str">
        <f t="shared" si="34"/>
        <v/>
      </c>
      <c r="I277" s="116" t="str">
        <f>IF(AND(F277&lt;&gt;"",N10&gt;0,M277&gt;N10),"Mot &gt; limite","")</f>
        <v/>
      </c>
      <c r="M277" s="70">
        <f>IF(OR(F277="",N10="",N10&lt;=0),"",IF(LEN(F277)&lt;=N10,LEN(F277),IFERROR(FIND("♦",SUBSTITUTE(LEFT(F277,N10)," ","♦",LEN(LEFT(F277,N10))-LEN(SUBSTITUTE(LEFT(F277,N10)," ","")))),FIND(" ",F277&amp;" ",N10+1)-1)))</f>
        <v>1</v>
      </c>
      <c r="N277" s="119">
        <f t="shared" si="35"/>
        <v>260</v>
      </c>
      <c r="O277" s="99" t="str">
        <f t="shared" si="36"/>
        <v>0</v>
      </c>
      <c r="P277" s="119">
        <f t="shared" si="37"/>
        <v>1</v>
      </c>
      <c r="Q277" s="119">
        <f t="shared" si="38"/>
        <v>1</v>
      </c>
      <c r="S277" s="3">
        <v>1</v>
      </c>
    </row>
    <row r="278" spans="2:19">
      <c r="B278" s="116"/>
      <c r="C278" s="116"/>
      <c r="D278" s="116"/>
      <c r="E278" s="116" cm="1">
        <f t="array" ref="E278">IF(H277&lt;&gt;"",E277,IF(E277="","",IFERROR(MATCH(TRUE(),INDEX(INDEX(K:K,E277+1):K203&lt;&gt;"",0),0)+E277,"")))</f>
        <v>419</v>
      </c>
      <c r="F278" s="117" cm="1">
        <f t="array" ref="F278">IF(E278="","",IF(H277&lt;&gt;"",H277,INDEX(D:D,E278)))</f>
        <v>0</v>
      </c>
      <c r="G278" s="117" t="str">
        <f t="shared" si="33"/>
        <v>0</v>
      </c>
      <c r="H278" s="118" t="str">
        <f t="shared" si="34"/>
        <v/>
      </c>
      <c r="I278" s="116" t="str">
        <f>IF(AND(F278&lt;&gt;"",N10&gt;0,M278&gt;N10),"Mot &gt; limite","")</f>
        <v/>
      </c>
      <c r="M278" s="70">
        <f>IF(OR(F278="",N10="",N10&lt;=0),"",IF(LEN(F278)&lt;=N10,LEN(F278),IFERROR(FIND("♦",SUBSTITUTE(LEFT(F278,N10)," ","♦",LEN(LEFT(F278,N10))-LEN(SUBSTITUTE(LEFT(F278,N10)," ","")))),FIND(" ",F278&amp;" ",N10+1)-1)))</f>
        <v>1</v>
      </c>
      <c r="N278" s="119">
        <f t="shared" si="35"/>
        <v>261</v>
      </c>
      <c r="O278" s="99" t="str">
        <f t="shared" si="36"/>
        <v>0</v>
      </c>
      <c r="P278" s="119">
        <f t="shared" si="37"/>
        <v>1</v>
      </c>
      <c r="Q278" s="119">
        <f t="shared" si="38"/>
        <v>1</v>
      </c>
      <c r="S278" s="3">
        <v>1</v>
      </c>
    </row>
    <row r="279" spans="2:19">
      <c r="B279" s="116"/>
      <c r="C279" s="116"/>
      <c r="D279" s="116"/>
      <c r="E279" s="116" cm="1">
        <f t="array" ref="E279">IF(H278&lt;&gt;"",E278,IF(E278="","",IFERROR(MATCH(TRUE(),INDEX(INDEX(K:K,E278+1):K203&lt;&gt;"",0),0)+E278,"")))</f>
        <v>420</v>
      </c>
      <c r="F279" s="117" cm="1">
        <f t="array" ref="F279">IF(E279="","",IF(H278&lt;&gt;"",H278,INDEX(D:D,E279)))</f>
        <v>0</v>
      </c>
      <c r="G279" s="117" t="str">
        <f t="shared" si="33"/>
        <v>0</v>
      </c>
      <c r="H279" s="118" t="str">
        <f t="shared" si="34"/>
        <v/>
      </c>
      <c r="I279" s="116" t="str">
        <f>IF(AND(F279&lt;&gt;"",N10&gt;0,M279&gt;N10),"Mot &gt; limite","")</f>
        <v/>
      </c>
      <c r="M279" s="70">
        <f>IF(OR(F279="",N10="",N10&lt;=0),"",IF(LEN(F279)&lt;=N10,LEN(F279),IFERROR(FIND("♦",SUBSTITUTE(LEFT(F279,N10)," ","♦",LEN(LEFT(F279,N10))-LEN(SUBSTITUTE(LEFT(F279,N10)," ","")))),FIND(" ",F279&amp;" ",N10+1)-1)))</f>
        <v>1</v>
      </c>
      <c r="N279" s="119">
        <f t="shared" si="35"/>
        <v>262</v>
      </c>
      <c r="O279" s="99" t="str">
        <f t="shared" si="36"/>
        <v>0</v>
      </c>
      <c r="P279" s="119">
        <f t="shared" si="37"/>
        <v>1</v>
      </c>
      <c r="Q279" s="119">
        <f t="shared" si="38"/>
        <v>1</v>
      </c>
      <c r="S279" s="3">
        <v>1</v>
      </c>
    </row>
    <row r="280" spans="2:19">
      <c r="B280" s="116"/>
      <c r="C280" s="116"/>
      <c r="D280" s="116"/>
      <c r="E280" s="116" cm="1">
        <f t="array" ref="E280">IF(H279&lt;&gt;"",E279,IF(E279="","",IFERROR(MATCH(TRUE(),INDEX(INDEX(K:K,E279+1):K203&lt;&gt;"",0),0)+E279,"")))</f>
        <v>421</v>
      </c>
      <c r="F280" s="117" cm="1">
        <f t="array" ref="F280">IF(E280="","",IF(H279&lt;&gt;"",H279,INDEX(D:D,E280)))</f>
        <v>0</v>
      </c>
      <c r="G280" s="117" t="str">
        <f t="shared" si="33"/>
        <v>0</v>
      </c>
      <c r="H280" s="118" t="str">
        <f t="shared" si="34"/>
        <v/>
      </c>
      <c r="I280" s="116" t="str">
        <f>IF(AND(F280&lt;&gt;"",N10&gt;0,M280&gt;N10),"Mot &gt; limite","")</f>
        <v/>
      </c>
      <c r="M280" s="70">
        <f>IF(OR(F280="",N10="",N10&lt;=0),"",IF(LEN(F280)&lt;=N10,LEN(F280),IFERROR(FIND("♦",SUBSTITUTE(LEFT(F280,N10)," ","♦",LEN(LEFT(F280,N10))-LEN(SUBSTITUTE(LEFT(F280,N10)," ","")))),FIND(" ",F280&amp;" ",N10+1)-1)))</f>
        <v>1</v>
      </c>
      <c r="N280" s="119">
        <f t="shared" si="35"/>
        <v>263</v>
      </c>
      <c r="O280" s="99" t="str">
        <f t="shared" si="36"/>
        <v>0</v>
      </c>
      <c r="P280" s="119">
        <f t="shared" si="37"/>
        <v>1</v>
      </c>
      <c r="Q280" s="119">
        <f t="shared" si="38"/>
        <v>1</v>
      </c>
      <c r="S280" s="3">
        <v>1</v>
      </c>
    </row>
    <row r="281" spans="2:19">
      <c r="B281" s="116"/>
      <c r="C281" s="116"/>
      <c r="D281" s="116"/>
      <c r="E281" s="116" cm="1">
        <f t="array" ref="E281">IF(H280&lt;&gt;"",E280,IF(E280="","",IFERROR(MATCH(TRUE(),INDEX(INDEX(K:K,E280+1):K203&lt;&gt;"",0),0)+E280,"")))</f>
        <v>422</v>
      </c>
      <c r="F281" s="117" cm="1">
        <f t="array" ref="F281">IF(E281="","",IF(H280&lt;&gt;"",H280,INDEX(D:D,E281)))</f>
        <v>0</v>
      </c>
      <c r="G281" s="117" t="str">
        <f t="shared" si="33"/>
        <v>0</v>
      </c>
      <c r="H281" s="118" t="str">
        <f t="shared" si="34"/>
        <v/>
      </c>
      <c r="I281" s="116" t="str">
        <f>IF(AND(F281&lt;&gt;"",N10&gt;0,M281&gt;N10),"Mot &gt; limite","")</f>
        <v/>
      </c>
      <c r="M281" s="70">
        <f>IF(OR(F281="",N10="",N10&lt;=0),"",IF(LEN(F281)&lt;=N10,LEN(F281),IFERROR(FIND("♦",SUBSTITUTE(LEFT(F281,N10)," ","♦",LEN(LEFT(F281,N10))-LEN(SUBSTITUTE(LEFT(F281,N10)," ","")))),FIND(" ",F281&amp;" ",N10+1)-1)))</f>
        <v>1</v>
      </c>
      <c r="N281" s="119">
        <f t="shared" si="35"/>
        <v>264</v>
      </c>
      <c r="O281" s="99" t="str">
        <f t="shared" si="36"/>
        <v>0</v>
      </c>
      <c r="P281" s="119">
        <f t="shared" si="37"/>
        <v>1</v>
      </c>
      <c r="Q281" s="119">
        <f t="shared" si="38"/>
        <v>1</v>
      </c>
      <c r="S281" s="3">
        <v>1</v>
      </c>
    </row>
    <row r="282" spans="2:19">
      <c r="B282" s="116"/>
      <c r="C282" s="116"/>
      <c r="D282" s="116"/>
      <c r="E282" s="116" cm="1">
        <f t="array" ref="E282">IF(H281&lt;&gt;"",E281,IF(E281="","",IFERROR(MATCH(TRUE(),INDEX(INDEX(K:K,E281+1):K203&lt;&gt;"",0),0)+E281,"")))</f>
        <v>423</v>
      </c>
      <c r="F282" s="117" cm="1">
        <f t="array" ref="F282">IF(E282="","",IF(H281&lt;&gt;"",H281,INDEX(D:D,E282)))</f>
        <v>0</v>
      </c>
      <c r="G282" s="117" t="str">
        <f t="shared" si="33"/>
        <v>0</v>
      </c>
      <c r="H282" s="118" t="str">
        <f t="shared" si="34"/>
        <v/>
      </c>
      <c r="I282" s="116" t="str">
        <f>IF(AND(F282&lt;&gt;"",N10&gt;0,M282&gt;N10),"Mot &gt; limite","")</f>
        <v/>
      </c>
      <c r="M282" s="70">
        <f>IF(OR(F282="",N10="",N10&lt;=0),"",IF(LEN(F282)&lt;=N10,LEN(F282),IFERROR(FIND("♦",SUBSTITUTE(LEFT(F282,N10)," ","♦",LEN(LEFT(F282,N10))-LEN(SUBSTITUTE(LEFT(F282,N10)," ","")))),FIND(" ",F282&amp;" ",N10+1)-1)))</f>
        <v>1</v>
      </c>
      <c r="N282" s="119">
        <f t="shared" si="35"/>
        <v>265</v>
      </c>
      <c r="O282" s="99" t="str">
        <f t="shared" si="36"/>
        <v>0</v>
      </c>
      <c r="P282" s="119">
        <f t="shared" si="37"/>
        <v>1</v>
      </c>
      <c r="Q282" s="119">
        <f t="shared" si="38"/>
        <v>1</v>
      </c>
      <c r="S282" s="3">
        <v>1</v>
      </c>
    </row>
    <row r="283" spans="2:19">
      <c r="B283" s="116"/>
      <c r="C283" s="116"/>
      <c r="D283" s="116"/>
      <c r="E283" s="116" cm="1">
        <f t="array" ref="E283">IF(H282&lt;&gt;"",E282,IF(E282="","",IFERROR(MATCH(TRUE(),INDEX(INDEX(K:K,E282+1):K203&lt;&gt;"",0),0)+E282,"")))</f>
        <v>424</v>
      </c>
      <c r="F283" s="117" cm="1">
        <f t="array" ref="F283">IF(E283="","",IF(H282&lt;&gt;"",H282,INDEX(D:D,E283)))</f>
        <v>0</v>
      </c>
      <c r="G283" s="117" t="str">
        <f t="shared" si="33"/>
        <v>0</v>
      </c>
      <c r="H283" s="118" t="str">
        <f t="shared" si="34"/>
        <v/>
      </c>
      <c r="I283" s="116" t="str">
        <f>IF(AND(F283&lt;&gt;"",N10&gt;0,M283&gt;N10),"Mot &gt; limite","")</f>
        <v/>
      </c>
      <c r="M283" s="70">
        <f>IF(OR(F283="",N10="",N10&lt;=0),"",IF(LEN(F283)&lt;=N10,LEN(F283),IFERROR(FIND("♦",SUBSTITUTE(LEFT(F283,N10)," ","♦",LEN(LEFT(F283,N10))-LEN(SUBSTITUTE(LEFT(F283,N10)," ","")))),FIND(" ",F283&amp;" ",N10+1)-1)))</f>
        <v>1</v>
      </c>
      <c r="N283" s="119">
        <f t="shared" si="35"/>
        <v>266</v>
      </c>
      <c r="O283" s="99" t="str">
        <f t="shared" si="36"/>
        <v>0</v>
      </c>
      <c r="P283" s="119">
        <f t="shared" si="37"/>
        <v>1</v>
      </c>
      <c r="Q283" s="119">
        <f t="shared" si="38"/>
        <v>1</v>
      </c>
      <c r="S283" s="3">
        <v>1</v>
      </c>
    </row>
    <row r="284" spans="2:19">
      <c r="B284" s="116"/>
      <c r="C284" s="116"/>
      <c r="D284" s="116"/>
      <c r="E284" s="116" cm="1">
        <f t="array" ref="E284">IF(H283&lt;&gt;"",E283,IF(E283="","",IFERROR(MATCH(TRUE(),INDEX(INDEX(K:K,E283+1):K203&lt;&gt;"",0),0)+E283,"")))</f>
        <v>425</v>
      </c>
      <c r="F284" s="117" cm="1">
        <f t="array" ref="F284">IF(E284="","",IF(H283&lt;&gt;"",H283,INDEX(D:D,E284)))</f>
        <v>0</v>
      </c>
      <c r="G284" s="117" t="str">
        <f t="shared" si="33"/>
        <v>0</v>
      </c>
      <c r="H284" s="118" t="str">
        <f t="shared" si="34"/>
        <v/>
      </c>
      <c r="I284" s="116" t="str">
        <f>IF(AND(F284&lt;&gt;"",N10&gt;0,M284&gt;N10),"Mot &gt; limite","")</f>
        <v/>
      </c>
      <c r="M284" s="70">
        <f>IF(OR(F284="",N10="",N10&lt;=0),"",IF(LEN(F284)&lt;=N10,LEN(F284),IFERROR(FIND("♦",SUBSTITUTE(LEFT(F284,N10)," ","♦",LEN(LEFT(F284,N10))-LEN(SUBSTITUTE(LEFT(F284,N10)," ","")))),FIND(" ",F284&amp;" ",N10+1)-1)))</f>
        <v>1</v>
      </c>
      <c r="N284" s="119">
        <f t="shared" si="35"/>
        <v>267</v>
      </c>
      <c r="O284" s="99" t="str">
        <f t="shared" si="36"/>
        <v>0</v>
      </c>
      <c r="P284" s="119">
        <f t="shared" si="37"/>
        <v>1</v>
      </c>
      <c r="Q284" s="119">
        <f t="shared" si="38"/>
        <v>1</v>
      </c>
      <c r="S284" s="3">
        <v>1</v>
      </c>
    </row>
    <row r="285" spans="2:19">
      <c r="B285" s="116"/>
      <c r="C285" s="116"/>
      <c r="D285" s="116"/>
      <c r="E285" s="116" cm="1">
        <f t="array" ref="E285">IF(H284&lt;&gt;"",E284,IF(E284="","",IFERROR(MATCH(TRUE(),INDEX(INDEX(K:K,E284+1):K203&lt;&gt;"",0),0)+E284,"")))</f>
        <v>426</v>
      </c>
      <c r="F285" s="117" cm="1">
        <f t="array" ref="F285">IF(E285="","",IF(H284&lt;&gt;"",H284,INDEX(D:D,E285)))</f>
        <v>0</v>
      </c>
      <c r="G285" s="117" t="str">
        <f t="shared" si="33"/>
        <v>0</v>
      </c>
      <c r="H285" s="118" t="str">
        <f t="shared" si="34"/>
        <v/>
      </c>
      <c r="I285" s="116" t="str">
        <f>IF(AND(F285&lt;&gt;"",N10&gt;0,M285&gt;N10),"Mot &gt; limite","")</f>
        <v/>
      </c>
      <c r="M285" s="70">
        <f>IF(OR(F285="",N10="",N10&lt;=0),"",IF(LEN(F285)&lt;=N10,LEN(F285),IFERROR(FIND("♦",SUBSTITUTE(LEFT(F285,N10)," ","♦",LEN(LEFT(F285,N10))-LEN(SUBSTITUTE(LEFT(F285,N10)," ","")))),FIND(" ",F285&amp;" ",N10+1)-1)))</f>
        <v>1</v>
      </c>
      <c r="N285" s="119">
        <f t="shared" si="35"/>
        <v>268</v>
      </c>
      <c r="O285" s="99" t="str">
        <f t="shared" si="36"/>
        <v>0</v>
      </c>
      <c r="P285" s="119">
        <f t="shared" si="37"/>
        <v>1</v>
      </c>
      <c r="Q285" s="119">
        <f t="shared" si="38"/>
        <v>1</v>
      </c>
      <c r="S285" s="3">
        <v>1</v>
      </c>
    </row>
    <row r="286" spans="2:19">
      <c r="B286" s="116"/>
      <c r="C286" s="116"/>
      <c r="D286" s="116"/>
      <c r="E286" s="116" cm="1">
        <f t="array" ref="E286">IF(H285&lt;&gt;"",E285,IF(E285="","",IFERROR(MATCH(TRUE(),INDEX(INDEX(K:K,E285+1):K203&lt;&gt;"",0),0)+E285,"")))</f>
        <v>427</v>
      </c>
      <c r="F286" s="117" cm="1">
        <f t="array" ref="F286">IF(E286="","",IF(H285&lt;&gt;"",H285,INDEX(D:D,E286)))</f>
        <v>0</v>
      </c>
      <c r="G286" s="117" t="str">
        <f t="shared" si="33"/>
        <v>0</v>
      </c>
      <c r="H286" s="118" t="str">
        <f t="shared" si="34"/>
        <v/>
      </c>
      <c r="I286" s="116" t="str">
        <f>IF(AND(F286&lt;&gt;"",N10&gt;0,M286&gt;N10),"Mot &gt; limite","")</f>
        <v/>
      </c>
      <c r="M286" s="70">
        <f>IF(OR(F286="",N10="",N10&lt;=0),"",IF(LEN(F286)&lt;=N10,LEN(F286),IFERROR(FIND("♦",SUBSTITUTE(LEFT(F286,N10)," ","♦",LEN(LEFT(F286,N10))-LEN(SUBSTITUTE(LEFT(F286,N10)," ","")))),FIND(" ",F286&amp;" ",N10+1)-1)))</f>
        <v>1</v>
      </c>
      <c r="N286" s="119">
        <f t="shared" si="35"/>
        <v>269</v>
      </c>
      <c r="O286" s="99" t="str">
        <f t="shared" si="36"/>
        <v>0</v>
      </c>
      <c r="P286" s="119">
        <f t="shared" si="37"/>
        <v>1</v>
      </c>
      <c r="Q286" s="119">
        <f t="shared" si="38"/>
        <v>1</v>
      </c>
      <c r="S286" s="3">
        <v>1</v>
      </c>
    </row>
    <row r="287" spans="2:19">
      <c r="B287" s="116"/>
      <c r="C287" s="116"/>
      <c r="D287" s="116"/>
      <c r="E287" s="116" cm="1">
        <f t="array" ref="E287">IF(H286&lt;&gt;"",E286,IF(E286="","",IFERROR(MATCH(TRUE(),INDEX(INDEX(K:K,E286+1):K203&lt;&gt;"",0),0)+E286,"")))</f>
        <v>428</v>
      </c>
      <c r="F287" s="117" cm="1">
        <f t="array" ref="F287">IF(E287="","",IF(H286&lt;&gt;"",H286,INDEX(D:D,E287)))</f>
        <v>0</v>
      </c>
      <c r="G287" s="117" t="str">
        <f t="shared" si="33"/>
        <v>0</v>
      </c>
      <c r="H287" s="118" t="str">
        <f t="shared" si="34"/>
        <v/>
      </c>
      <c r="I287" s="116" t="str">
        <f>IF(AND(F287&lt;&gt;"",N10&gt;0,M287&gt;N10),"Mot &gt; limite","")</f>
        <v/>
      </c>
      <c r="M287" s="70">
        <f>IF(OR(F287="",N10="",N10&lt;=0),"",IF(LEN(F287)&lt;=N10,LEN(F287),IFERROR(FIND("♦",SUBSTITUTE(LEFT(F287,N10)," ","♦",LEN(LEFT(F287,N10))-LEN(SUBSTITUTE(LEFT(F287,N10)," ","")))),FIND(" ",F287&amp;" ",N10+1)-1)))</f>
        <v>1</v>
      </c>
      <c r="N287" s="119">
        <f t="shared" si="35"/>
        <v>270</v>
      </c>
      <c r="O287" s="99" t="str">
        <f t="shared" si="36"/>
        <v>0</v>
      </c>
      <c r="P287" s="119">
        <f t="shared" si="37"/>
        <v>1</v>
      </c>
      <c r="Q287" s="119">
        <f t="shared" si="38"/>
        <v>1</v>
      </c>
      <c r="S287" s="3">
        <v>1</v>
      </c>
    </row>
    <row r="288" spans="2:19">
      <c r="B288" s="116"/>
      <c r="C288" s="116"/>
      <c r="D288" s="116"/>
      <c r="E288" s="116" cm="1">
        <f t="array" ref="E288">IF(H287&lt;&gt;"",E287,IF(E287="","",IFERROR(MATCH(TRUE(),INDEX(INDEX(K:K,E287+1):K203&lt;&gt;"",0),0)+E287,"")))</f>
        <v>429</v>
      </c>
      <c r="F288" s="117" cm="1">
        <f t="array" ref="F288">IF(E288="","",IF(H287&lt;&gt;"",H287,INDEX(D:D,E288)))</f>
        <v>0</v>
      </c>
      <c r="G288" s="117" t="str">
        <f t="shared" si="33"/>
        <v>0</v>
      </c>
      <c r="H288" s="118" t="str">
        <f t="shared" si="34"/>
        <v/>
      </c>
      <c r="I288" s="116" t="str">
        <f>IF(AND(F288&lt;&gt;"",N10&gt;0,M288&gt;N10),"Mot &gt; limite","")</f>
        <v/>
      </c>
      <c r="M288" s="70">
        <f>IF(OR(F288="",N10="",N10&lt;=0),"",IF(LEN(F288)&lt;=N10,LEN(F288),IFERROR(FIND("♦",SUBSTITUTE(LEFT(F288,N10)," ","♦",LEN(LEFT(F288,N10))-LEN(SUBSTITUTE(LEFT(F288,N10)," ","")))),FIND(" ",F288&amp;" ",N10+1)-1)))</f>
        <v>1</v>
      </c>
      <c r="N288" s="119">
        <f t="shared" si="35"/>
        <v>271</v>
      </c>
      <c r="O288" s="99" t="str">
        <f t="shared" si="36"/>
        <v>0</v>
      </c>
      <c r="P288" s="119">
        <f t="shared" si="37"/>
        <v>1</v>
      </c>
      <c r="Q288" s="119">
        <f t="shared" si="38"/>
        <v>1</v>
      </c>
      <c r="S288" s="3">
        <v>1</v>
      </c>
    </row>
    <row r="289" spans="2:19">
      <c r="B289" s="116"/>
      <c r="C289" s="116"/>
      <c r="D289" s="116"/>
      <c r="E289" s="116" cm="1">
        <f t="array" ref="E289">IF(H288&lt;&gt;"",E288,IF(E288="","",IFERROR(MATCH(TRUE(),INDEX(INDEX(K:K,E288+1):K203&lt;&gt;"",0),0)+E288,"")))</f>
        <v>430</v>
      </c>
      <c r="F289" s="117" cm="1">
        <f t="array" ref="F289">IF(E289="","",IF(H288&lt;&gt;"",H288,INDEX(D:D,E289)))</f>
        <v>0</v>
      </c>
      <c r="G289" s="117" t="str">
        <f t="shared" si="33"/>
        <v>0</v>
      </c>
      <c r="H289" s="118" t="str">
        <f t="shared" si="34"/>
        <v/>
      </c>
      <c r="I289" s="116" t="str">
        <f>IF(AND(F289&lt;&gt;"",N10&gt;0,M289&gt;N10),"Mot &gt; limite","")</f>
        <v/>
      </c>
      <c r="M289" s="70">
        <f>IF(OR(F289="",N10="",N10&lt;=0),"",IF(LEN(F289)&lt;=N10,LEN(F289),IFERROR(FIND("♦",SUBSTITUTE(LEFT(F289,N10)," ","♦",LEN(LEFT(F289,N10))-LEN(SUBSTITUTE(LEFT(F289,N10)," ","")))),FIND(" ",F289&amp;" ",N10+1)-1)))</f>
        <v>1</v>
      </c>
      <c r="N289" s="119">
        <f t="shared" si="35"/>
        <v>272</v>
      </c>
      <c r="O289" s="99" t="str">
        <f t="shared" si="36"/>
        <v>0</v>
      </c>
      <c r="P289" s="119">
        <f t="shared" si="37"/>
        <v>1</v>
      </c>
      <c r="Q289" s="119">
        <f t="shared" si="38"/>
        <v>1</v>
      </c>
      <c r="S289" s="3">
        <v>1</v>
      </c>
    </row>
    <row r="290" spans="2:19">
      <c r="B290" s="116"/>
      <c r="C290" s="116"/>
      <c r="D290" s="116"/>
      <c r="E290" s="116" cm="1">
        <f t="array" ref="E290">IF(H289&lt;&gt;"",E289,IF(E289="","",IFERROR(MATCH(TRUE(),INDEX(INDEX(K:K,E289+1):K203&lt;&gt;"",0),0)+E289,"")))</f>
        <v>431</v>
      </c>
      <c r="F290" s="117" cm="1">
        <f t="array" ref="F290">IF(E290="","",IF(H289&lt;&gt;"",H289,INDEX(D:D,E290)))</f>
        <v>0</v>
      </c>
      <c r="G290" s="117" t="str">
        <f t="shared" si="33"/>
        <v>0</v>
      </c>
      <c r="H290" s="118" t="str">
        <f t="shared" si="34"/>
        <v/>
      </c>
      <c r="I290" s="116" t="str">
        <f>IF(AND(F290&lt;&gt;"",N10&gt;0,M290&gt;N10),"Mot &gt; limite","")</f>
        <v/>
      </c>
      <c r="M290" s="70">
        <f>IF(OR(F290="",N10="",N10&lt;=0),"",IF(LEN(F290)&lt;=N10,LEN(F290),IFERROR(FIND("♦",SUBSTITUTE(LEFT(F290,N10)," ","♦",LEN(LEFT(F290,N10))-LEN(SUBSTITUTE(LEFT(F290,N10)," ","")))),FIND(" ",F290&amp;" ",N10+1)-1)))</f>
        <v>1</v>
      </c>
      <c r="N290" s="119">
        <f t="shared" si="35"/>
        <v>273</v>
      </c>
      <c r="O290" s="99" t="str">
        <f t="shared" si="36"/>
        <v>0</v>
      </c>
      <c r="P290" s="119">
        <f t="shared" si="37"/>
        <v>1</v>
      </c>
      <c r="Q290" s="119">
        <f t="shared" si="38"/>
        <v>1</v>
      </c>
      <c r="S290" s="3">
        <v>1</v>
      </c>
    </row>
    <row r="291" spans="2:19">
      <c r="B291" s="116"/>
      <c r="C291" s="116"/>
      <c r="D291" s="116"/>
      <c r="E291" s="116" cm="1">
        <f t="array" ref="E291">IF(H290&lt;&gt;"",E290,IF(E290="","",IFERROR(MATCH(TRUE(),INDEX(INDEX(K:K,E290+1):K203&lt;&gt;"",0),0)+E290,"")))</f>
        <v>432</v>
      </c>
      <c r="F291" s="117" cm="1">
        <f t="array" ref="F291">IF(E291="","",IF(H290&lt;&gt;"",H290,INDEX(D:D,E291)))</f>
        <v>0</v>
      </c>
      <c r="G291" s="117" t="str">
        <f t="shared" si="33"/>
        <v>0</v>
      </c>
      <c r="H291" s="118" t="str">
        <f t="shared" si="34"/>
        <v/>
      </c>
      <c r="I291" s="116" t="str">
        <f>IF(AND(F291&lt;&gt;"",N10&gt;0,M291&gt;N10),"Mot &gt; limite","")</f>
        <v/>
      </c>
      <c r="M291" s="70">
        <f>IF(OR(F291="",N10="",N10&lt;=0),"",IF(LEN(F291)&lt;=N10,LEN(F291),IFERROR(FIND("♦",SUBSTITUTE(LEFT(F291,N10)," ","♦",LEN(LEFT(F291,N10))-LEN(SUBSTITUTE(LEFT(F291,N10)," ","")))),FIND(" ",F291&amp;" ",N10+1)-1)))</f>
        <v>1</v>
      </c>
      <c r="N291" s="119">
        <f t="shared" si="35"/>
        <v>274</v>
      </c>
      <c r="O291" s="99" t="str">
        <f t="shared" si="36"/>
        <v>0</v>
      </c>
      <c r="P291" s="119">
        <f t="shared" si="37"/>
        <v>1</v>
      </c>
      <c r="Q291" s="119">
        <f t="shared" si="38"/>
        <v>1</v>
      </c>
      <c r="S291" s="3">
        <v>1</v>
      </c>
    </row>
    <row r="292" spans="2:19">
      <c r="B292" s="116"/>
      <c r="C292" s="116"/>
      <c r="D292" s="116"/>
      <c r="E292" s="116" cm="1">
        <f t="array" ref="E292">IF(H291&lt;&gt;"",E291,IF(E291="","",IFERROR(MATCH(TRUE(),INDEX(INDEX(K:K,E291+1):K203&lt;&gt;"",0),0)+E291,"")))</f>
        <v>433</v>
      </c>
      <c r="F292" s="117" cm="1">
        <f t="array" ref="F292">IF(E292="","",IF(H291&lt;&gt;"",H291,INDEX(D:D,E292)))</f>
        <v>0</v>
      </c>
      <c r="G292" s="117" t="str">
        <f t="shared" si="33"/>
        <v>0</v>
      </c>
      <c r="H292" s="118" t="str">
        <f t="shared" si="34"/>
        <v/>
      </c>
      <c r="I292" s="116" t="str">
        <f>IF(AND(F292&lt;&gt;"",N10&gt;0,M292&gt;N10),"Mot &gt; limite","")</f>
        <v/>
      </c>
      <c r="M292" s="70">
        <f>IF(OR(F292="",N10="",N10&lt;=0),"",IF(LEN(F292)&lt;=N10,LEN(F292),IFERROR(FIND("♦",SUBSTITUTE(LEFT(F292,N10)," ","♦",LEN(LEFT(F292,N10))-LEN(SUBSTITUTE(LEFT(F292,N10)," ","")))),FIND(" ",F292&amp;" ",N10+1)-1)))</f>
        <v>1</v>
      </c>
      <c r="N292" s="119">
        <f t="shared" si="35"/>
        <v>275</v>
      </c>
      <c r="O292" s="99" t="str">
        <f t="shared" si="36"/>
        <v>0</v>
      </c>
      <c r="P292" s="119">
        <f t="shared" si="37"/>
        <v>1</v>
      </c>
      <c r="Q292" s="119">
        <f t="shared" si="38"/>
        <v>1</v>
      </c>
      <c r="S292" s="3">
        <v>1</v>
      </c>
    </row>
    <row r="293" spans="2:19">
      <c r="B293" s="116"/>
      <c r="C293" s="116"/>
      <c r="D293" s="116"/>
      <c r="E293" s="116" cm="1">
        <f t="array" ref="E293">IF(H292&lt;&gt;"",E292,IF(E292="","",IFERROR(MATCH(TRUE(),INDEX(INDEX(K:K,E292+1):K203&lt;&gt;"",0),0)+E292,"")))</f>
        <v>434</v>
      </c>
      <c r="F293" s="117" cm="1">
        <f t="array" ref="F293">IF(E293="","",IF(H292&lt;&gt;"",H292,INDEX(D:D,E293)))</f>
        <v>0</v>
      </c>
      <c r="G293" s="117" t="str">
        <f t="shared" si="33"/>
        <v>0</v>
      </c>
      <c r="H293" s="118" t="str">
        <f t="shared" si="34"/>
        <v/>
      </c>
      <c r="I293" s="116" t="str">
        <f>IF(AND(F293&lt;&gt;"",N10&gt;0,M293&gt;N10),"Mot &gt; limite","")</f>
        <v/>
      </c>
      <c r="M293" s="70">
        <f>IF(OR(F293="",N10="",N10&lt;=0),"",IF(LEN(F293)&lt;=N10,LEN(F293),IFERROR(FIND("♦",SUBSTITUTE(LEFT(F293,N10)," ","♦",LEN(LEFT(F293,N10))-LEN(SUBSTITUTE(LEFT(F293,N10)," ","")))),FIND(" ",F293&amp;" ",N10+1)-1)))</f>
        <v>1</v>
      </c>
      <c r="N293" s="119">
        <f t="shared" si="35"/>
        <v>276</v>
      </c>
      <c r="O293" s="99" t="str">
        <f t="shared" si="36"/>
        <v>0</v>
      </c>
      <c r="P293" s="119">
        <f t="shared" si="37"/>
        <v>1</v>
      </c>
      <c r="Q293" s="119">
        <f t="shared" si="38"/>
        <v>1</v>
      </c>
      <c r="S293" s="3">
        <v>1</v>
      </c>
    </row>
    <row r="294" spans="2:19">
      <c r="B294" s="116"/>
      <c r="C294" s="116"/>
      <c r="D294" s="116"/>
      <c r="E294" s="116" cm="1">
        <f t="array" ref="E294">IF(H293&lt;&gt;"",E293,IF(E293="","",IFERROR(MATCH(TRUE(),INDEX(INDEX(K:K,E293+1):K203&lt;&gt;"",0),0)+E293,"")))</f>
        <v>435</v>
      </c>
      <c r="F294" s="117" cm="1">
        <f t="array" ref="F294">IF(E294="","",IF(H293&lt;&gt;"",H293,INDEX(D:D,E294)))</f>
        <v>0</v>
      </c>
      <c r="G294" s="117" t="str">
        <f t="shared" si="33"/>
        <v>0</v>
      </c>
      <c r="H294" s="118" t="str">
        <f t="shared" si="34"/>
        <v/>
      </c>
      <c r="I294" s="116" t="str">
        <f>IF(AND(F294&lt;&gt;"",N10&gt;0,M294&gt;N10),"Mot &gt; limite","")</f>
        <v/>
      </c>
      <c r="M294" s="70">
        <f>IF(OR(F294="",N10="",N10&lt;=0),"",IF(LEN(F294)&lt;=N10,LEN(F294),IFERROR(FIND("♦",SUBSTITUTE(LEFT(F294,N10)," ","♦",LEN(LEFT(F294,N10))-LEN(SUBSTITUTE(LEFT(F294,N10)," ","")))),FIND(" ",F294&amp;" ",N10+1)-1)))</f>
        <v>1</v>
      </c>
      <c r="N294" s="119">
        <f t="shared" si="35"/>
        <v>277</v>
      </c>
      <c r="O294" s="99" t="str">
        <f t="shared" si="36"/>
        <v>0</v>
      </c>
      <c r="P294" s="119">
        <f t="shared" si="37"/>
        <v>1</v>
      </c>
      <c r="Q294" s="119">
        <f t="shared" si="38"/>
        <v>1</v>
      </c>
      <c r="S294" s="3">
        <v>1</v>
      </c>
    </row>
    <row r="295" spans="2:19">
      <c r="B295" s="116"/>
      <c r="C295" s="116"/>
      <c r="D295" s="116"/>
      <c r="E295" s="116" cm="1">
        <f t="array" ref="E295">IF(H294&lt;&gt;"",E294,IF(E294="","",IFERROR(MATCH(TRUE(),INDEX(INDEX(K:K,E294+1):K203&lt;&gt;"",0),0)+E294,"")))</f>
        <v>436</v>
      </c>
      <c r="F295" s="117" cm="1">
        <f t="array" ref="F295">IF(E295="","",IF(H294&lt;&gt;"",H294,INDEX(D:D,E295)))</f>
        <v>0</v>
      </c>
      <c r="G295" s="117" t="str">
        <f t="shared" si="33"/>
        <v>0</v>
      </c>
      <c r="H295" s="118" t="str">
        <f t="shared" si="34"/>
        <v/>
      </c>
      <c r="I295" s="116" t="str">
        <f>IF(AND(F295&lt;&gt;"",N10&gt;0,M295&gt;N10),"Mot &gt; limite","")</f>
        <v/>
      </c>
      <c r="M295" s="70">
        <f>IF(OR(F295="",N10="",N10&lt;=0),"",IF(LEN(F295)&lt;=N10,LEN(F295),IFERROR(FIND("♦",SUBSTITUTE(LEFT(F295,N10)," ","♦",LEN(LEFT(F295,N10))-LEN(SUBSTITUTE(LEFT(F295,N10)," ","")))),FIND(" ",F295&amp;" ",N10+1)-1)))</f>
        <v>1</v>
      </c>
      <c r="N295" s="119">
        <f t="shared" si="35"/>
        <v>278</v>
      </c>
      <c r="O295" s="99" t="str">
        <f t="shared" si="36"/>
        <v>0</v>
      </c>
      <c r="P295" s="119">
        <f t="shared" si="37"/>
        <v>1</v>
      </c>
      <c r="Q295" s="119">
        <f t="shared" si="38"/>
        <v>1</v>
      </c>
      <c r="S295" s="3">
        <v>1</v>
      </c>
    </row>
    <row r="296" spans="2:19">
      <c r="B296" s="116"/>
      <c r="C296" s="116"/>
      <c r="D296" s="116"/>
      <c r="E296" s="116" cm="1">
        <f t="array" ref="E296">IF(H295&lt;&gt;"",E295,IF(E295="","",IFERROR(MATCH(TRUE(),INDEX(INDEX(K:K,E295+1):K203&lt;&gt;"",0),0)+E295,"")))</f>
        <v>437</v>
      </c>
      <c r="F296" s="117" cm="1">
        <f t="array" ref="F296">IF(E296="","",IF(H295&lt;&gt;"",H295,INDEX(D:D,E296)))</f>
        <v>0</v>
      </c>
      <c r="G296" s="117" t="str">
        <f t="shared" si="33"/>
        <v>0</v>
      </c>
      <c r="H296" s="118" t="str">
        <f t="shared" si="34"/>
        <v/>
      </c>
      <c r="I296" s="116" t="str">
        <f>IF(AND(F296&lt;&gt;"",N10&gt;0,M296&gt;N10),"Mot &gt; limite","")</f>
        <v/>
      </c>
      <c r="M296" s="70">
        <f>IF(OR(F296="",N10="",N10&lt;=0),"",IF(LEN(F296)&lt;=N10,LEN(F296),IFERROR(FIND("♦",SUBSTITUTE(LEFT(F296,N10)," ","♦",LEN(LEFT(F296,N10))-LEN(SUBSTITUTE(LEFT(F296,N10)," ","")))),FIND(" ",F296&amp;" ",N10+1)-1)))</f>
        <v>1</v>
      </c>
      <c r="N296" s="119">
        <f t="shared" si="35"/>
        <v>279</v>
      </c>
      <c r="O296" s="99" t="str">
        <f t="shared" si="36"/>
        <v>0</v>
      </c>
      <c r="P296" s="119">
        <f t="shared" si="37"/>
        <v>1</v>
      </c>
      <c r="Q296" s="119">
        <f t="shared" si="38"/>
        <v>1</v>
      </c>
      <c r="S296" s="3">
        <v>1</v>
      </c>
    </row>
    <row r="297" spans="2:19">
      <c r="B297" s="116"/>
      <c r="C297" s="116"/>
      <c r="D297" s="116"/>
      <c r="E297" s="116" cm="1">
        <f t="array" ref="E297">IF(H296&lt;&gt;"",E296,IF(E296="","",IFERROR(MATCH(TRUE(),INDEX(INDEX(K:K,E296+1):K203&lt;&gt;"",0),0)+E296,"")))</f>
        <v>438</v>
      </c>
      <c r="F297" s="117" cm="1">
        <f t="array" ref="F297">IF(E297="","",IF(H296&lt;&gt;"",H296,INDEX(D:D,E297)))</f>
        <v>0</v>
      </c>
      <c r="G297" s="117" t="str">
        <f t="shared" si="33"/>
        <v>0</v>
      </c>
      <c r="H297" s="118" t="str">
        <f t="shared" si="34"/>
        <v/>
      </c>
      <c r="I297" s="116" t="str">
        <f>IF(AND(F297&lt;&gt;"",N10&gt;0,M297&gt;N10),"Mot &gt; limite","")</f>
        <v/>
      </c>
      <c r="M297" s="70">
        <f>IF(OR(F297="",N10="",N10&lt;=0),"",IF(LEN(F297)&lt;=N10,LEN(F297),IFERROR(FIND("♦",SUBSTITUTE(LEFT(F297,N10)," ","♦",LEN(LEFT(F297,N10))-LEN(SUBSTITUTE(LEFT(F297,N10)," ","")))),FIND(" ",F297&amp;" ",N10+1)-1)))</f>
        <v>1</v>
      </c>
      <c r="N297" s="119">
        <f t="shared" si="35"/>
        <v>280</v>
      </c>
      <c r="O297" s="99" t="str">
        <f t="shared" si="36"/>
        <v>0</v>
      </c>
      <c r="P297" s="119">
        <f t="shared" si="37"/>
        <v>1</v>
      </c>
      <c r="Q297" s="119">
        <f t="shared" si="38"/>
        <v>1</v>
      </c>
      <c r="S297" s="3">
        <v>1</v>
      </c>
    </row>
    <row r="298" spans="2:19">
      <c r="B298" s="116"/>
      <c r="C298" s="116"/>
      <c r="D298" s="116"/>
      <c r="E298" s="116" cm="1">
        <f t="array" ref="E298">IF(H297&lt;&gt;"",E297,IF(E297="","",IFERROR(MATCH(TRUE(),INDEX(INDEX(K:K,E297+1):K203&lt;&gt;"",0),0)+E297,"")))</f>
        <v>439</v>
      </c>
      <c r="F298" s="117" cm="1">
        <f t="array" ref="F298">IF(E298="","",IF(H297&lt;&gt;"",H297,INDEX(D:D,E298)))</f>
        <v>0</v>
      </c>
      <c r="G298" s="117" t="str">
        <f t="shared" si="33"/>
        <v>0</v>
      </c>
      <c r="H298" s="118" t="str">
        <f t="shared" si="34"/>
        <v/>
      </c>
      <c r="I298" s="116" t="str">
        <f>IF(AND(F298&lt;&gt;"",N10&gt;0,M298&gt;N10),"Mot &gt; limite","")</f>
        <v/>
      </c>
      <c r="M298" s="70">
        <f>IF(OR(F298="",N10="",N10&lt;=0),"",IF(LEN(F298)&lt;=N10,LEN(F298),IFERROR(FIND("♦",SUBSTITUTE(LEFT(F298,N10)," ","♦",LEN(LEFT(F298,N10))-LEN(SUBSTITUTE(LEFT(F298,N10)," ","")))),FIND(" ",F298&amp;" ",N10+1)-1)))</f>
        <v>1</v>
      </c>
      <c r="N298" s="119">
        <f t="shared" si="35"/>
        <v>281</v>
      </c>
      <c r="O298" s="99" t="str">
        <f t="shared" si="36"/>
        <v>0</v>
      </c>
      <c r="P298" s="119">
        <f t="shared" si="37"/>
        <v>1</v>
      </c>
      <c r="Q298" s="119">
        <f t="shared" si="38"/>
        <v>1</v>
      </c>
      <c r="S298" s="3">
        <v>1</v>
      </c>
    </row>
    <row r="299" spans="2:19">
      <c r="B299" s="116"/>
      <c r="C299" s="116"/>
      <c r="D299" s="116"/>
      <c r="E299" s="116" cm="1">
        <f t="array" ref="E299">IF(H298&lt;&gt;"",E298,IF(E298="","",IFERROR(MATCH(TRUE(),INDEX(INDEX(K:K,E298+1):K203&lt;&gt;"",0),0)+E298,"")))</f>
        <v>440</v>
      </c>
      <c r="F299" s="117" cm="1">
        <f t="array" ref="F299">IF(E299="","",IF(H298&lt;&gt;"",H298,INDEX(D:D,E299)))</f>
        <v>0</v>
      </c>
      <c r="G299" s="117" t="str">
        <f t="shared" si="33"/>
        <v>0</v>
      </c>
      <c r="H299" s="118" t="str">
        <f t="shared" si="34"/>
        <v/>
      </c>
      <c r="I299" s="116" t="str">
        <f>IF(AND(F299&lt;&gt;"",N10&gt;0,M299&gt;N10),"Mot &gt; limite","")</f>
        <v/>
      </c>
      <c r="M299" s="70">
        <f>IF(OR(F299="",N10="",N10&lt;=0),"",IF(LEN(F299)&lt;=N10,LEN(F299),IFERROR(FIND("♦",SUBSTITUTE(LEFT(F299,N10)," ","♦",LEN(LEFT(F299,N10))-LEN(SUBSTITUTE(LEFT(F299,N10)," ","")))),FIND(" ",F299&amp;" ",N10+1)-1)))</f>
        <v>1</v>
      </c>
      <c r="N299" s="119">
        <f t="shared" si="35"/>
        <v>282</v>
      </c>
      <c r="O299" s="99" t="str">
        <f t="shared" si="36"/>
        <v>0</v>
      </c>
      <c r="P299" s="119">
        <f t="shared" si="37"/>
        <v>1</v>
      </c>
      <c r="Q299" s="119">
        <f t="shared" si="38"/>
        <v>1</v>
      </c>
      <c r="S299" s="3">
        <v>1</v>
      </c>
    </row>
    <row r="300" spans="2:19">
      <c r="B300" s="116"/>
      <c r="C300" s="116"/>
      <c r="D300" s="116"/>
      <c r="E300" s="116" cm="1">
        <f t="array" ref="E300">IF(H299&lt;&gt;"",E299,IF(E299="","",IFERROR(MATCH(TRUE(),INDEX(INDEX(K:K,E299+1):K203&lt;&gt;"",0),0)+E299,"")))</f>
        <v>441</v>
      </c>
      <c r="F300" s="117" cm="1">
        <f t="array" ref="F300">IF(E300="","",IF(H299&lt;&gt;"",H299,INDEX(D:D,E300)))</f>
        <v>0</v>
      </c>
      <c r="G300" s="117" t="str">
        <f t="shared" si="33"/>
        <v>0</v>
      </c>
      <c r="H300" s="118" t="str">
        <f t="shared" si="34"/>
        <v/>
      </c>
      <c r="I300" s="116" t="str">
        <f>IF(AND(F300&lt;&gt;"",N10&gt;0,M300&gt;N10),"Mot &gt; limite","")</f>
        <v/>
      </c>
      <c r="M300" s="70">
        <f>IF(OR(F300="",N10="",N10&lt;=0),"",IF(LEN(F300)&lt;=N10,LEN(F300),IFERROR(FIND("♦",SUBSTITUTE(LEFT(F300,N10)," ","♦",LEN(LEFT(F300,N10))-LEN(SUBSTITUTE(LEFT(F300,N10)," ","")))),FIND(" ",F300&amp;" ",N10+1)-1)))</f>
        <v>1</v>
      </c>
      <c r="N300" s="119">
        <f t="shared" si="35"/>
        <v>283</v>
      </c>
      <c r="O300" s="99" t="str">
        <f t="shared" si="36"/>
        <v>0</v>
      </c>
      <c r="P300" s="119">
        <f t="shared" si="37"/>
        <v>1</v>
      </c>
      <c r="Q300" s="119">
        <f t="shared" si="38"/>
        <v>1</v>
      </c>
      <c r="S300" s="3">
        <v>1</v>
      </c>
    </row>
    <row r="301" spans="2:19">
      <c r="B301" s="116"/>
      <c r="C301" s="116"/>
      <c r="D301" s="116"/>
      <c r="E301" s="116" cm="1">
        <f t="array" ref="E301">IF(H300&lt;&gt;"",E300,IF(E300="","",IFERROR(MATCH(TRUE(),INDEX(INDEX(K:K,E300+1):K203&lt;&gt;"",0),0)+E300,"")))</f>
        <v>442</v>
      </c>
      <c r="F301" s="117" cm="1">
        <f t="array" ref="F301">IF(E301="","",IF(H300&lt;&gt;"",H300,INDEX(D:D,E301)))</f>
        <v>0</v>
      </c>
      <c r="G301" s="117" t="str">
        <f t="shared" si="33"/>
        <v>0</v>
      </c>
      <c r="H301" s="118" t="str">
        <f t="shared" si="34"/>
        <v/>
      </c>
      <c r="I301" s="116" t="str">
        <f>IF(AND(F301&lt;&gt;"",N10&gt;0,M301&gt;N10),"Mot &gt; limite","")</f>
        <v/>
      </c>
      <c r="M301" s="70">
        <f>IF(OR(F301="",N10="",N10&lt;=0),"",IF(LEN(F301)&lt;=N10,LEN(F301),IFERROR(FIND("♦",SUBSTITUTE(LEFT(F301,N10)," ","♦",LEN(LEFT(F301,N10))-LEN(SUBSTITUTE(LEFT(F301,N10)," ","")))),FIND(" ",F301&amp;" ",N10+1)-1)))</f>
        <v>1</v>
      </c>
      <c r="N301" s="119">
        <f t="shared" si="35"/>
        <v>284</v>
      </c>
      <c r="O301" s="99" t="str">
        <f t="shared" si="36"/>
        <v>0</v>
      </c>
      <c r="P301" s="119">
        <f t="shared" si="37"/>
        <v>1</v>
      </c>
      <c r="Q301" s="119">
        <f t="shared" si="38"/>
        <v>1</v>
      </c>
      <c r="S301" s="3">
        <v>1</v>
      </c>
    </row>
    <row r="302" spans="2:19">
      <c r="B302" s="116"/>
      <c r="C302" s="116"/>
      <c r="D302" s="116"/>
      <c r="E302" s="116" cm="1">
        <f t="array" ref="E302">IF(H301&lt;&gt;"",E301,IF(E301="","",IFERROR(MATCH(TRUE(),INDEX(INDEX(K:K,E301+1):K203&lt;&gt;"",0),0)+E301,"")))</f>
        <v>443</v>
      </c>
      <c r="F302" s="117" cm="1">
        <f t="array" ref="F302">IF(E302="","",IF(H301&lt;&gt;"",H301,INDEX(D:D,E302)))</f>
        <v>0</v>
      </c>
      <c r="G302" s="117" t="str">
        <f t="shared" si="33"/>
        <v>0</v>
      </c>
      <c r="H302" s="118" t="str">
        <f t="shared" si="34"/>
        <v/>
      </c>
      <c r="I302" s="116" t="str">
        <f>IF(AND(F302&lt;&gt;"",N10&gt;0,M302&gt;N10),"Mot &gt; limite","")</f>
        <v/>
      </c>
      <c r="M302" s="70">
        <f>IF(OR(F302="",N10="",N10&lt;=0),"",IF(LEN(F302)&lt;=N10,LEN(F302),IFERROR(FIND("♦",SUBSTITUTE(LEFT(F302,N10)," ","♦",LEN(LEFT(F302,N10))-LEN(SUBSTITUTE(LEFT(F302,N10)," ","")))),FIND(" ",F302&amp;" ",N10+1)-1)))</f>
        <v>1</v>
      </c>
      <c r="N302" s="119">
        <f t="shared" si="35"/>
        <v>285</v>
      </c>
      <c r="O302" s="99" t="str">
        <f t="shared" si="36"/>
        <v>0</v>
      </c>
      <c r="P302" s="119">
        <f t="shared" si="37"/>
        <v>1</v>
      </c>
      <c r="Q302" s="119">
        <f t="shared" si="38"/>
        <v>1</v>
      </c>
      <c r="S302" s="3">
        <v>1</v>
      </c>
    </row>
    <row r="303" spans="2:19">
      <c r="B303" s="116"/>
      <c r="C303" s="116"/>
      <c r="D303" s="116"/>
      <c r="E303" s="116" cm="1">
        <f t="array" ref="E303">IF(H302&lt;&gt;"",E302,IF(E302="","",IFERROR(MATCH(TRUE(),INDEX(INDEX(K:K,E302+1):K203&lt;&gt;"",0),0)+E302,"")))</f>
        <v>444</v>
      </c>
      <c r="F303" s="117" cm="1">
        <f t="array" ref="F303">IF(E303="","",IF(H302&lt;&gt;"",H302,INDEX(D:D,E303)))</f>
        <v>0</v>
      </c>
      <c r="G303" s="117" t="str">
        <f t="shared" si="33"/>
        <v>0</v>
      </c>
      <c r="H303" s="118" t="str">
        <f t="shared" si="34"/>
        <v/>
      </c>
      <c r="I303" s="116" t="str">
        <f>IF(AND(F303&lt;&gt;"",N10&gt;0,M303&gt;N10),"Mot &gt; limite","")</f>
        <v/>
      </c>
      <c r="M303" s="70">
        <f>IF(OR(F303="",N10="",N10&lt;=0),"",IF(LEN(F303)&lt;=N10,LEN(F303),IFERROR(FIND("♦",SUBSTITUTE(LEFT(F303,N10)," ","♦",LEN(LEFT(F303,N10))-LEN(SUBSTITUTE(LEFT(F303,N10)," ","")))),FIND(" ",F303&amp;" ",N10+1)-1)))</f>
        <v>1</v>
      </c>
      <c r="N303" s="119">
        <f t="shared" si="35"/>
        <v>286</v>
      </c>
      <c r="O303" s="99" t="str">
        <f t="shared" si="36"/>
        <v>0</v>
      </c>
      <c r="P303" s="119">
        <f t="shared" si="37"/>
        <v>1</v>
      </c>
      <c r="Q303" s="119">
        <f t="shared" si="38"/>
        <v>1</v>
      </c>
      <c r="S303" s="3">
        <v>1</v>
      </c>
    </row>
    <row r="304" spans="2:19">
      <c r="B304" s="116"/>
      <c r="C304" s="116"/>
      <c r="D304" s="116"/>
      <c r="E304" s="116" cm="1">
        <f t="array" ref="E304">IF(H303&lt;&gt;"",E303,IF(E303="","",IFERROR(MATCH(TRUE(),INDEX(INDEX(K:K,E303+1):K203&lt;&gt;"",0),0)+E303,"")))</f>
        <v>445</v>
      </c>
      <c r="F304" s="117" cm="1">
        <f t="array" ref="F304">IF(E304="","",IF(H303&lt;&gt;"",H303,INDEX(D:D,E304)))</f>
        <v>0</v>
      </c>
      <c r="G304" s="117" t="str">
        <f t="shared" si="33"/>
        <v>0</v>
      </c>
      <c r="H304" s="118" t="str">
        <f t="shared" si="34"/>
        <v/>
      </c>
      <c r="I304" s="116" t="str">
        <f>IF(AND(F304&lt;&gt;"",N10&gt;0,M304&gt;N10),"Mot &gt; limite","")</f>
        <v/>
      </c>
      <c r="M304" s="70">
        <f>IF(OR(F304="",N10="",N10&lt;=0),"",IF(LEN(F304)&lt;=N10,LEN(F304),IFERROR(FIND("♦",SUBSTITUTE(LEFT(F304,N10)," ","♦",LEN(LEFT(F304,N10))-LEN(SUBSTITUTE(LEFT(F304,N10)," ","")))),FIND(" ",F304&amp;" ",N10+1)-1)))</f>
        <v>1</v>
      </c>
      <c r="N304" s="119">
        <f t="shared" si="35"/>
        <v>287</v>
      </c>
      <c r="O304" s="99" t="str">
        <f t="shared" si="36"/>
        <v>0</v>
      </c>
      <c r="P304" s="119">
        <f t="shared" si="37"/>
        <v>1</v>
      </c>
      <c r="Q304" s="119">
        <f t="shared" si="38"/>
        <v>1</v>
      </c>
      <c r="S304" s="3">
        <v>1</v>
      </c>
    </row>
    <row r="305" spans="2:19">
      <c r="B305" s="116"/>
      <c r="C305" s="116"/>
      <c r="D305" s="116"/>
      <c r="E305" s="116" cm="1">
        <f t="array" ref="E305">IF(H304&lt;&gt;"",E304,IF(E304="","",IFERROR(MATCH(TRUE(),INDEX(INDEX(K:K,E304+1):K203&lt;&gt;"",0),0)+E304,"")))</f>
        <v>446</v>
      </c>
      <c r="F305" s="117" cm="1">
        <f t="array" ref="F305">IF(E305="","",IF(H304&lt;&gt;"",H304,INDEX(D:D,E305)))</f>
        <v>0</v>
      </c>
      <c r="G305" s="117" t="str">
        <f t="shared" si="33"/>
        <v>0</v>
      </c>
      <c r="H305" s="118" t="str">
        <f t="shared" si="34"/>
        <v/>
      </c>
      <c r="I305" s="116" t="str">
        <f>IF(AND(F305&lt;&gt;"",N10&gt;0,M305&gt;N10),"Mot &gt; limite","")</f>
        <v/>
      </c>
      <c r="M305" s="70">
        <f>IF(OR(F305="",N10="",N10&lt;=0),"",IF(LEN(F305)&lt;=N10,LEN(F305),IFERROR(FIND("♦",SUBSTITUTE(LEFT(F305,N10)," ","♦",LEN(LEFT(F305,N10))-LEN(SUBSTITUTE(LEFT(F305,N10)," ","")))),FIND(" ",F305&amp;" ",N10+1)-1)))</f>
        <v>1</v>
      </c>
      <c r="N305" s="119">
        <f t="shared" si="35"/>
        <v>288</v>
      </c>
      <c r="O305" s="99" t="str">
        <f t="shared" si="36"/>
        <v>0</v>
      </c>
      <c r="P305" s="119">
        <f t="shared" si="37"/>
        <v>1</v>
      </c>
      <c r="Q305" s="119">
        <f t="shared" si="38"/>
        <v>1</v>
      </c>
      <c r="S305" s="3">
        <v>1</v>
      </c>
    </row>
    <row r="306" spans="2:19">
      <c r="B306" s="116"/>
      <c r="C306" s="116"/>
      <c r="D306" s="116"/>
      <c r="E306" s="116" cm="1">
        <f t="array" ref="E306">IF(H305&lt;&gt;"",E305,IF(E305="","",IFERROR(MATCH(TRUE(),INDEX(INDEX(K:K,E305+1):K203&lt;&gt;"",0),0)+E305,"")))</f>
        <v>447</v>
      </c>
      <c r="F306" s="117" cm="1">
        <f t="array" ref="F306">IF(E306="","",IF(H305&lt;&gt;"",H305,INDEX(D:D,E306)))</f>
        <v>0</v>
      </c>
      <c r="G306" s="117" t="str">
        <f t="shared" si="33"/>
        <v>0</v>
      </c>
      <c r="H306" s="118" t="str">
        <f t="shared" si="34"/>
        <v/>
      </c>
      <c r="I306" s="116" t="str">
        <f>IF(AND(F306&lt;&gt;"",N10&gt;0,M306&gt;N10),"Mot &gt; limite","")</f>
        <v/>
      </c>
      <c r="M306" s="70">
        <f>IF(OR(F306="",N10="",N10&lt;=0),"",IF(LEN(F306)&lt;=N10,LEN(F306),IFERROR(FIND("♦",SUBSTITUTE(LEFT(F306,N10)," ","♦",LEN(LEFT(F306,N10))-LEN(SUBSTITUTE(LEFT(F306,N10)," ","")))),FIND(" ",F306&amp;" ",N10+1)-1)))</f>
        <v>1</v>
      </c>
      <c r="N306" s="119">
        <f t="shared" si="35"/>
        <v>289</v>
      </c>
      <c r="O306" s="99" t="str">
        <f t="shared" si="36"/>
        <v>0</v>
      </c>
      <c r="P306" s="119">
        <f t="shared" si="37"/>
        <v>1</v>
      </c>
      <c r="Q306" s="119">
        <f t="shared" si="38"/>
        <v>1</v>
      </c>
      <c r="S306" s="3">
        <v>1</v>
      </c>
    </row>
    <row r="307" spans="2:19">
      <c r="B307" s="116"/>
      <c r="C307" s="116"/>
      <c r="D307" s="116"/>
      <c r="E307" s="116" cm="1">
        <f t="array" ref="E307">IF(H306&lt;&gt;"",E306,IF(E306="","",IFERROR(MATCH(TRUE(),INDEX(INDEX(K:K,E306+1):K203&lt;&gt;"",0),0)+E306,"")))</f>
        <v>448</v>
      </c>
      <c r="F307" s="117" cm="1">
        <f t="array" ref="F307">IF(E307="","",IF(H306&lt;&gt;"",H306,INDEX(D:D,E307)))</f>
        <v>0</v>
      </c>
      <c r="G307" s="117" t="str">
        <f t="shared" si="33"/>
        <v>0</v>
      </c>
      <c r="H307" s="118" t="str">
        <f t="shared" si="34"/>
        <v/>
      </c>
      <c r="I307" s="116" t="str">
        <f>IF(AND(F307&lt;&gt;"",N10&gt;0,M307&gt;N10),"Mot &gt; limite","")</f>
        <v/>
      </c>
      <c r="M307" s="70">
        <f>IF(OR(F307="",N10="",N10&lt;=0),"",IF(LEN(F307)&lt;=N10,LEN(F307),IFERROR(FIND("♦",SUBSTITUTE(LEFT(F307,N10)," ","♦",LEN(LEFT(F307,N10))-LEN(SUBSTITUTE(LEFT(F307,N10)," ","")))),FIND(" ",F307&amp;" ",N10+1)-1)))</f>
        <v>1</v>
      </c>
      <c r="N307" s="119">
        <f t="shared" si="35"/>
        <v>290</v>
      </c>
      <c r="O307" s="99" t="str">
        <f t="shared" si="36"/>
        <v>0</v>
      </c>
      <c r="P307" s="119">
        <f t="shared" si="37"/>
        <v>1</v>
      </c>
      <c r="Q307" s="119">
        <f t="shared" si="38"/>
        <v>1</v>
      </c>
      <c r="S307" s="3">
        <v>1</v>
      </c>
    </row>
    <row r="308" spans="2:19">
      <c r="B308" s="116"/>
      <c r="C308" s="116"/>
      <c r="D308" s="116"/>
      <c r="E308" s="116" cm="1">
        <f t="array" ref="E308">IF(H307&lt;&gt;"",E307,IF(E307="","",IFERROR(MATCH(TRUE(),INDEX(INDEX(K:K,E307+1):K203&lt;&gt;"",0),0)+E307,"")))</f>
        <v>449</v>
      </c>
      <c r="F308" s="117" cm="1">
        <f t="array" ref="F308">IF(E308="","",IF(H307&lt;&gt;"",H307,INDEX(D:D,E308)))</f>
        <v>0</v>
      </c>
      <c r="G308" s="117" t="str">
        <f t="shared" si="33"/>
        <v>0</v>
      </c>
      <c r="H308" s="118" t="str">
        <f t="shared" si="34"/>
        <v/>
      </c>
      <c r="I308" s="116" t="str">
        <f>IF(AND(F308&lt;&gt;"",N10&gt;0,M308&gt;N10),"Mot &gt; limite","")</f>
        <v/>
      </c>
      <c r="M308" s="70">
        <f>IF(OR(F308="",N10="",N10&lt;=0),"",IF(LEN(F308)&lt;=N10,LEN(F308),IFERROR(FIND("♦",SUBSTITUTE(LEFT(F308,N10)," ","♦",LEN(LEFT(F308,N10))-LEN(SUBSTITUTE(LEFT(F308,N10)," ","")))),FIND(" ",F308&amp;" ",N10+1)-1)))</f>
        <v>1</v>
      </c>
      <c r="N308" s="119">
        <f t="shared" si="35"/>
        <v>291</v>
      </c>
      <c r="O308" s="99" t="str">
        <f t="shared" si="36"/>
        <v>0</v>
      </c>
      <c r="P308" s="119">
        <f t="shared" si="37"/>
        <v>1</v>
      </c>
      <c r="Q308" s="119">
        <f t="shared" si="38"/>
        <v>1</v>
      </c>
      <c r="S308" s="3">
        <v>1</v>
      </c>
    </row>
    <row r="309" spans="2:19">
      <c r="B309" s="116"/>
      <c r="C309" s="116"/>
      <c r="D309" s="116"/>
      <c r="E309" s="116" cm="1">
        <f t="array" ref="E309">IF(H308&lt;&gt;"",E308,IF(E308="","",IFERROR(MATCH(TRUE(),INDEX(INDEX(K:K,E308+1):K203&lt;&gt;"",0),0)+E308,"")))</f>
        <v>450</v>
      </c>
      <c r="F309" s="117" cm="1">
        <f t="array" ref="F309">IF(E309="","",IF(H308&lt;&gt;"",H308,INDEX(D:D,E309)))</f>
        <v>0</v>
      </c>
      <c r="G309" s="117" t="str">
        <f t="shared" si="33"/>
        <v>0</v>
      </c>
      <c r="H309" s="118" t="str">
        <f t="shared" si="34"/>
        <v/>
      </c>
      <c r="I309" s="116" t="str">
        <f>IF(AND(F309&lt;&gt;"",N10&gt;0,M309&gt;N10),"Mot &gt; limite","")</f>
        <v/>
      </c>
      <c r="M309" s="70">
        <f>IF(OR(F309="",N10="",N10&lt;=0),"",IF(LEN(F309)&lt;=N10,LEN(F309),IFERROR(FIND("♦",SUBSTITUTE(LEFT(F309,N10)," ","♦",LEN(LEFT(F309,N10))-LEN(SUBSTITUTE(LEFT(F309,N10)," ","")))),FIND(" ",F309&amp;" ",N10+1)-1)))</f>
        <v>1</v>
      </c>
      <c r="N309" s="119">
        <f t="shared" si="35"/>
        <v>292</v>
      </c>
      <c r="O309" s="99" t="str">
        <f t="shared" si="36"/>
        <v>0</v>
      </c>
      <c r="P309" s="119">
        <f t="shared" si="37"/>
        <v>1</v>
      </c>
      <c r="Q309" s="119">
        <f t="shared" si="38"/>
        <v>1</v>
      </c>
      <c r="S309" s="3">
        <v>1</v>
      </c>
    </row>
    <row r="310" spans="2:19">
      <c r="B310" s="116"/>
      <c r="C310" s="116"/>
      <c r="D310" s="116"/>
      <c r="E310" s="116" cm="1">
        <f t="array" ref="E310">IF(H309&lt;&gt;"",E309,IF(E309="","",IFERROR(MATCH(TRUE(),INDEX(INDEX(K:K,E309+1):K203&lt;&gt;"",0),0)+E309,"")))</f>
        <v>451</v>
      </c>
      <c r="F310" s="117" cm="1">
        <f t="array" ref="F310">IF(E310="","",IF(H309&lt;&gt;"",H309,INDEX(D:D,E310)))</f>
        <v>0</v>
      </c>
      <c r="G310" s="117" t="str">
        <f t="shared" si="33"/>
        <v>0</v>
      </c>
      <c r="H310" s="118" t="str">
        <f t="shared" si="34"/>
        <v/>
      </c>
      <c r="I310" s="116" t="str">
        <f>IF(AND(F310&lt;&gt;"",N10&gt;0,M310&gt;N10),"Mot &gt; limite","")</f>
        <v/>
      </c>
      <c r="M310" s="70">
        <f>IF(OR(F310="",N10="",N10&lt;=0),"",IF(LEN(F310)&lt;=N10,LEN(F310),IFERROR(FIND("♦",SUBSTITUTE(LEFT(F310,N10)," ","♦",LEN(LEFT(F310,N10))-LEN(SUBSTITUTE(LEFT(F310,N10)," ","")))),FIND(" ",F310&amp;" ",N10+1)-1)))</f>
        <v>1</v>
      </c>
      <c r="N310" s="119">
        <f t="shared" si="35"/>
        <v>293</v>
      </c>
      <c r="O310" s="99" t="str">
        <f t="shared" si="36"/>
        <v>0</v>
      </c>
      <c r="P310" s="119">
        <f t="shared" si="37"/>
        <v>1</v>
      </c>
      <c r="Q310" s="119">
        <f t="shared" si="38"/>
        <v>1</v>
      </c>
      <c r="S310" s="3">
        <v>1</v>
      </c>
    </row>
    <row r="311" spans="2:19">
      <c r="B311" s="116"/>
      <c r="C311" s="116"/>
      <c r="D311" s="116"/>
      <c r="E311" s="116" cm="1">
        <f t="array" ref="E311">IF(H310&lt;&gt;"",E310,IF(E310="","",IFERROR(MATCH(TRUE(),INDEX(INDEX(K:K,E310+1):K203&lt;&gt;"",0),0)+E310,"")))</f>
        <v>452</v>
      </c>
      <c r="F311" s="117" cm="1">
        <f t="array" ref="F311">IF(E311="","",IF(H310&lt;&gt;"",H310,INDEX(D:D,E311)))</f>
        <v>0</v>
      </c>
      <c r="G311" s="117" t="str">
        <f t="shared" si="33"/>
        <v>0</v>
      </c>
      <c r="H311" s="118" t="str">
        <f t="shared" si="34"/>
        <v/>
      </c>
      <c r="I311" s="116" t="str">
        <f>IF(AND(F311&lt;&gt;"",N10&gt;0,M311&gt;N10),"Mot &gt; limite","")</f>
        <v/>
      </c>
      <c r="M311" s="70">
        <f>IF(OR(F311="",N10="",N10&lt;=0),"",IF(LEN(F311)&lt;=N10,LEN(F311),IFERROR(FIND("♦",SUBSTITUTE(LEFT(F311,N10)," ","♦",LEN(LEFT(F311,N10))-LEN(SUBSTITUTE(LEFT(F311,N10)," ","")))),FIND(" ",F311&amp;" ",N10+1)-1)))</f>
        <v>1</v>
      </c>
      <c r="N311" s="119">
        <f t="shared" si="35"/>
        <v>294</v>
      </c>
      <c r="O311" s="99" t="str">
        <f t="shared" si="36"/>
        <v>0</v>
      </c>
      <c r="P311" s="119">
        <f t="shared" si="37"/>
        <v>1</v>
      </c>
      <c r="Q311" s="119">
        <f t="shared" si="38"/>
        <v>1</v>
      </c>
      <c r="S311" s="3">
        <v>1</v>
      </c>
    </row>
    <row r="312" spans="2:19">
      <c r="B312" s="116"/>
      <c r="C312" s="116"/>
      <c r="D312" s="116"/>
      <c r="E312" s="116" cm="1">
        <f t="array" ref="E312">IF(H311&lt;&gt;"",E311,IF(E311="","",IFERROR(MATCH(TRUE(),INDEX(INDEX(K:K,E311+1):K203&lt;&gt;"",0),0)+E311,"")))</f>
        <v>453</v>
      </c>
      <c r="F312" s="117" cm="1">
        <f t="array" ref="F312">IF(E312="","",IF(H311&lt;&gt;"",H311,INDEX(D:D,E312)))</f>
        <v>0</v>
      </c>
      <c r="G312" s="117" t="str">
        <f t="shared" si="33"/>
        <v>0</v>
      </c>
      <c r="H312" s="118" t="str">
        <f t="shared" si="34"/>
        <v/>
      </c>
      <c r="I312" s="116" t="str">
        <f>IF(AND(F312&lt;&gt;"",N10&gt;0,M312&gt;N10),"Mot &gt; limite","")</f>
        <v/>
      </c>
      <c r="M312" s="70">
        <f>IF(OR(F312="",N10="",N10&lt;=0),"",IF(LEN(F312)&lt;=N10,LEN(F312),IFERROR(FIND("♦",SUBSTITUTE(LEFT(F312,N10)," ","♦",LEN(LEFT(F312,N10))-LEN(SUBSTITUTE(LEFT(F312,N10)," ","")))),FIND(" ",F312&amp;" ",N10+1)-1)))</f>
        <v>1</v>
      </c>
      <c r="N312" s="119">
        <f t="shared" si="35"/>
        <v>295</v>
      </c>
      <c r="O312" s="99" t="str">
        <f t="shared" si="36"/>
        <v>0</v>
      </c>
      <c r="P312" s="119">
        <f t="shared" si="37"/>
        <v>1</v>
      </c>
      <c r="Q312" s="119">
        <f t="shared" si="38"/>
        <v>1</v>
      </c>
      <c r="S312" s="3">
        <v>1</v>
      </c>
    </row>
    <row r="313" spans="2:19">
      <c r="B313" s="116"/>
      <c r="C313" s="116"/>
      <c r="D313" s="116"/>
      <c r="E313" s="116" cm="1">
        <f t="array" ref="E313">IF(H312&lt;&gt;"",E312,IF(E312="","",IFERROR(MATCH(TRUE(),INDEX(INDEX(K:K,E312+1):K203&lt;&gt;"",0),0)+E312,"")))</f>
        <v>454</v>
      </c>
      <c r="F313" s="117" cm="1">
        <f t="array" ref="F313">IF(E313="","",IF(H312&lt;&gt;"",H312,INDEX(D:D,E313)))</f>
        <v>0</v>
      </c>
      <c r="G313" s="117" t="str">
        <f t="shared" si="33"/>
        <v>0</v>
      </c>
      <c r="H313" s="118" t="str">
        <f t="shared" si="34"/>
        <v/>
      </c>
      <c r="I313" s="116" t="str">
        <f>IF(AND(F313&lt;&gt;"",N10&gt;0,M313&gt;N10),"Mot &gt; limite","")</f>
        <v/>
      </c>
      <c r="M313" s="70">
        <f>IF(OR(F313="",N10="",N10&lt;=0),"",IF(LEN(F313)&lt;=N10,LEN(F313),IFERROR(FIND("♦",SUBSTITUTE(LEFT(F313,N10)," ","♦",LEN(LEFT(F313,N10))-LEN(SUBSTITUTE(LEFT(F313,N10)," ","")))),FIND(" ",F313&amp;" ",N10+1)-1)))</f>
        <v>1</v>
      </c>
      <c r="N313" s="119">
        <f t="shared" si="35"/>
        <v>296</v>
      </c>
      <c r="O313" s="99" t="str">
        <f t="shared" si="36"/>
        <v>0</v>
      </c>
      <c r="P313" s="119">
        <f t="shared" si="37"/>
        <v>1</v>
      </c>
      <c r="Q313" s="119">
        <f t="shared" si="38"/>
        <v>1</v>
      </c>
      <c r="S313" s="3">
        <v>1</v>
      </c>
    </row>
    <row r="314" spans="2:19">
      <c r="B314" s="116"/>
      <c r="C314" s="116"/>
      <c r="D314" s="116"/>
      <c r="E314" s="116" cm="1">
        <f t="array" ref="E314">IF(H313&lt;&gt;"",E313,IF(E313="","",IFERROR(MATCH(TRUE(),INDEX(INDEX(K:K,E313+1):K203&lt;&gt;"",0),0)+E313,"")))</f>
        <v>455</v>
      </c>
      <c r="F314" s="117" cm="1">
        <f t="array" ref="F314">IF(E314="","",IF(H313&lt;&gt;"",H313,INDEX(D:D,E314)))</f>
        <v>0</v>
      </c>
      <c r="G314" s="117" t="str">
        <f t="shared" si="33"/>
        <v>0</v>
      </c>
      <c r="H314" s="118" t="str">
        <f t="shared" si="34"/>
        <v/>
      </c>
      <c r="I314" s="116" t="str">
        <f>IF(AND(F314&lt;&gt;"",N10&gt;0,M314&gt;N10),"Mot &gt; limite","")</f>
        <v/>
      </c>
      <c r="M314" s="70">
        <f>IF(OR(F314="",N10="",N10&lt;=0),"",IF(LEN(F314)&lt;=N10,LEN(F314),IFERROR(FIND("♦",SUBSTITUTE(LEFT(F314,N10)," ","♦",LEN(LEFT(F314,N10))-LEN(SUBSTITUTE(LEFT(F314,N10)," ","")))),FIND(" ",F314&amp;" ",N10+1)-1)))</f>
        <v>1</v>
      </c>
      <c r="N314" s="119">
        <f t="shared" si="35"/>
        <v>297</v>
      </c>
      <c r="O314" s="99" t="str">
        <f t="shared" si="36"/>
        <v>0</v>
      </c>
      <c r="P314" s="119">
        <f t="shared" si="37"/>
        <v>1</v>
      </c>
      <c r="Q314" s="119">
        <f t="shared" si="38"/>
        <v>1</v>
      </c>
      <c r="S314" s="3">
        <v>1</v>
      </c>
    </row>
    <row r="315" spans="2:19">
      <c r="B315" s="116"/>
      <c r="C315" s="116"/>
      <c r="D315" s="116"/>
      <c r="E315" s="116" cm="1">
        <f t="array" ref="E315">IF(H314&lt;&gt;"",E314,IF(E314="","",IFERROR(MATCH(TRUE(),INDEX(INDEX(K:K,E314+1):K203&lt;&gt;"",0),0)+E314,"")))</f>
        <v>456</v>
      </c>
      <c r="F315" s="117" cm="1">
        <f t="array" ref="F315">IF(E315="","",IF(H314&lt;&gt;"",H314,INDEX(D:D,E315)))</f>
        <v>0</v>
      </c>
      <c r="G315" s="117" t="str">
        <f t="shared" si="33"/>
        <v>0</v>
      </c>
      <c r="H315" s="118" t="str">
        <f t="shared" si="34"/>
        <v/>
      </c>
      <c r="I315" s="116" t="str">
        <f>IF(AND(F315&lt;&gt;"",N10&gt;0,M315&gt;N10),"Mot &gt; limite","")</f>
        <v/>
      </c>
      <c r="M315" s="70">
        <f>IF(OR(F315="",N10="",N10&lt;=0),"",IF(LEN(F315)&lt;=N10,LEN(F315),IFERROR(FIND("♦",SUBSTITUTE(LEFT(F315,N10)," ","♦",LEN(LEFT(F315,N10))-LEN(SUBSTITUTE(LEFT(F315,N10)," ","")))),FIND(" ",F315&amp;" ",N10+1)-1)))</f>
        <v>1</v>
      </c>
      <c r="N315" s="119">
        <f t="shared" si="35"/>
        <v>298</v>
      </c>
      <c r="O315" s="99" t="str">
        <f t="shared" si="36"/>
        <v>0</v>
      </c>
      <c r="P315" s="119">
        <f t="shared" si="37"/>
        <v>1</v>
      </c>
      <c r="Q315" s="119">
        <f t="shared" si="38"/>
        <v>1</v>
      </c>
      <c r="S315" s="3">
        <v>1</v>
      </c>
    </row>
    <row r="316" spans="2:19">
      <c r="B316" s="116"/>
      <c r="C316" s="116"/>
      <c r="D316" s="116"/>
      <c r="E316" s="116" cm="1">
        <f t="array" ref="E316">IF(H315&lt;&gt;"",E315,IF(E315="","",IFERROR(MATCH(TRUE(),INDEX(INDEX(K:K,E315+1):K203&lt;&gt;"",0),0)+E315,"")))</f>
        <v>457</v>
      </c>
      <c r="F316" s="117" cm="1">
        <f t="array" ref="F316">IF(E316="","",IF(H315&lt;&gt;"",H315,INDEX(D:D,E316)))</f>
        <v>0</v>
      </c>
      <c r="G316" s="117" t="str">
        <f t="shared" si="33"/>
        <v>0</v>
      </c>
      <c r="H316" s="118" t="str">
        <f t="shared" si="34"/>
        <v/>
      </c>
      <c r="I316" s="116" t="str">
        <f>IF(AND(F316&lt;&gt;"",N10&gt;0,M316&gt;N10),"Mot &gt; limite","")</f>
        <v/>
      </c>
      <c r="M316" s="70">
        <f>IF(OR(F316="",N10="",N10&lt;=0),"",IF(LEN(F316)&lt;=N10,LEN(F316),IFERROR(FIND("♦",SUBSTITUTE(LEFT(F316,N10)," ","♦",LEN(LEFT(F316,N10))-LEN(SUBSTITUTE(LEFT(F316,N10)," ","")))),FIND(" ",F316&amp;" ",N10+1)-1)))</f>
        <v>1</v>
      </c>
      <c r="N316" s="119">
        <f t="shared" si="35"/>
        <v>299</v>
      </c>
      <c r="O316" s="99" t="str">
        <f t="shared" si="36"/>
        <v>0</v>
      </c>
      <c r="P316" s="119">
        <f t="shared" si="37"/>
        <v>1</v>
      </c>
      <c r="Q316" s="119">
        <f t="shared" si="38"/>
        <v>1</v>
      </c>
      <c r="S316" s="3">
        <v>1</v>
      </c>
    </row>
    <row r="317" spans="2:19">
      <c r="B317" s="116"/>
      <c r="C317" s="116"/>
      <c r="D317" s="116"/>
      <c r="E317" s="116" cm="1">
        <f t="array" ref="E317">IF(H316&lt;&gt;"",E316,IF(E316="","",IFERROR(MATCH(TRUE(),INDEX(INDEX(K:K,E316+1):K203&lt;&gt;"",0),0)+E316,"")))</f>
        <v>458</v>
      </c>
      <c r="F317" s="117" cm="1">
        <f t="array" ref="F317">IF(E317="","",IF(H316&lt;&gt;"",H316,INDEX(D:D,E317)))</f>
        <v>0</v>
      </c>
      <c r="G317" s="117" t="str">
        <f t="shared" si="33"/>
        <v>0</v>
      </c>
      <c r="H317" s="118" t="str">
        <f t="shared" si="34"/>
        <v/>
      </c>
      <c r="I317" s="116" t="str">
        <f>IF(AND(F317&lt;&gt;"",N10&gt;0,M317&gt;N10),"Mot &gt; limite","")</f>
        <v/>
      </c>
      <c r="M317" s="70">
        <f>IF(OR(F317="",N10="",N10&lt;=0),"",IF(LEN(F317)&lt;=N10,LEN(F317),IFERROR(FIND("♦",SUBSTITUTE(LEFT(F317,N10)," ","♦",LEN(LEFT(F317,N10))-LEN(SUBSTITUTE(LEFT(F317,N10)," ","")))),FIND(" ",F317&amp;" ",N10+1)-1)))</f>
        <v>1</v>
      </c>
      <c r="N317" s="119">
        <f t="shared" si="35"/>
        <v>300</v>
      </c>
      <c r="O317" s="99" t="str">
        <f t="shared" si="36"/>
        <v>0</v>
      </c>
      <c r="P317" s="119">
        <f t="shared" si="37"/>
        <v>1</v>
      </c>
      <c r="Q317" s="119">
        <f t="shared" si="38"/>
        <v>1</v>
      </c>
      <c r="S317" s="3">
        <v>1</v>
      </c>
    </row>
    <row r="318" spans="2:19">
      <c r="B318" s="116"/>
      <c r="C318" s="116"/>
      <c r="D318" s="116"/>
      <c r="E318" s="116" cm="1">
        <f t="array" ref="E318">IF(H317&lt;&gt;"",E317,IF(E317="","",IFERROR(MATCH(TRUE(),INDEX(INDEX(K:K,E317+1):K203&lt;&gt;"",0),0)+E317,"")))</f>
        <v>459</v>
      </c>
      <c r="F318" s="117" cm="1">
        <f t="array" ref="F318">IF(E318="","",IF(H317&lt;&gt;"",H317,INDEX(D:D,E318)))</f>
        <v>0</v>
      </c>
      <c r="G318" s="117" t="str">
        <f t="shared" si="33"/>
        <v>0</v>
      </c>
      <c r="H318" s="118" t="str">
        <f t="shared" si="34"/>
        <v/>
      </c>
      <c r="I318" s="116" t="str">
        <f>IF(AND(F318&lt;&gt;"",N10&gt;0,M318&gt;N10),"Mot &gt; limite","")</f>
        <v/>
      </c>
      <c r="M318" s="70">
        <f>IF(OR(F318="",N10="",N10&lt;=0),"",IF(LEN(F318)&lt;=N10,LEN(F318),IFERROR(FIND("♦",SUBSTITUTE(LEFT(F318,N10)," ","♦",LEN(LEFT(F318,N10))-LEN(SUBSTITUTE(LEFT(F318,N10)," ","")))),FIND(" ",F318&amp;" ",N10+1)-1)))</f>
        <v>1</v>
      </c>
      <c r="N318" s="119">
        <f t="shared" si="35"/>
        <v>301</v>
      </c>
      <c r="O318" s="99" t="str">
        <f t="shared" si="36"/>
        <v>0</v>
      </c>
      <c r="P318" s="119">
        <f t="shared" si="37"/>
        <v>1</v>
      </c>
      <c r="Q318" s="119">
        <f t="shared" si="38"/>
        <v>1</v>
      </c>
      <c r="S318" s="3">
        <v>1</v>
      </c>
    </row>
    <row r="319" spans="2:19">
      <c r="B319" s="116"/>
      <c r="C319" s="116"/>
      <c r="D319" s="116"/>
      <c r="E319" s="116" cm="1">
        <f t="array" ref="E319">IF(H318&lt;&gt;"",E318,IF(E318="","",IFERROR(MATCH(TRUE(),INDEX(INDEX(K:K,E318+1):K203&lt;&gt;"",0),0)+E318,"")))</f>
        <v>460</v>
      </c>
      <c r="F319" s="117" cm="1">
        <f t="array" ref="F319">IF(E319="","",IF(H318&lt;&gt;"",H318,INDEX(D:D,E319)))</f>
        <v>0</v>
      </c>
      <c r="G319" s="117" t="str">
        <f t="shared" si="33"/>
        <v>0</v>
      </c>
      <c r="H319" s="118" t="str">
        <f t="shared" si="34"/>
        <v/>
      </c>
      <c r="I319" s="116" t="str">
        <f>IF(AND(F319&lt;&gt;"",N10&gt;0,M319&gt;N10),"Mot &gt; limite","")</f>
        <v/>
      </c>
      <c r="M319" s="70">
        <f>IF(OR(F319="",N10="",N10&lt;=0),"",IF(LEN(F319)&lt;=N10,LEN(F319),IFERROR(FIND("♦",SUBSTITUTE(LEFT(F319,N10)," ","♦",LEN(LEFT(F319,N10))-LEN(SUBSTITUTE(LEFT(F319,N10)," ","")))),FIND(" ",F319&amp;" ",N10+1)-1)))</f>
        <v>1</v>
      </c>
      <c r="N319" s="119">
        <f t="shared" si="35"/>
        <v>302</v>
      </c>
      <c r="O319" s="99" t="str">
        <f t="shared" si="36"/>
        <v>0</v>
      </c>
      <c r="P319" s="119">
        <f t="shared" si="37"/>
        <v>1</v>
      </c>
      <c r="Q319" s="119">
        <f t="shared" si="38"/>
        <v>1</v>
      </c>
      <c r="S319" s="3">
        <v>1</v>
      </c>
    </row>
    <row r="320" spans="2:19">
      <c r="B320" s="116"/>
      <c r="C320" s="116"/>
      <c r="D320" s="116"/>
      <c r="E320" s="116" cm="1">
        <f t="array" ref="E320">IF(H319&lt;&gt;"",E319,IF(E319="","",IFERROR(MATCH(TRUE(),INDEX(INDEX(K:K,E319+1):K203&lt;&gt;"",0),0)+E319,"")))</f>
        <v>461</v>
      </c>
      <c r="F320" s="117" cm="1">
        <f t="array" ref="F320">IF(E320="","",IF(H319&lt;&gt;"",H319,INDEX(D:D,E320)))</f>
        <v>0</v>
      </c>
      <c r="G320" s="117" t="str">
        <f t="shared" si="33"/>
        <v>0</v>
      </c>
      <c r="H320" s="118" t="str">
        <f t="shared" si="34"/>
        <v/>
      </c>
      <c r="I320" s="116" t="str">
        <f>IF(AND(F320&lt;&gt;"",N10&gt;0,M320&gt;N10),"Mot &gt; limite","")</f>
        <v/>
      </c>
      <c r="M320" s="70">
        <f>IF(OR(F320="",N10="",N10&lt;=0),"",IF(LEN(F320)&lt;=N10,LEN(F320),IFERROR(FIND("♦",SUBSTITUTE(LEFT(F320,N10)," ","♦",LEN(LEFT(F320,N10))-LEN(SUBSTITUTE(LEFT(F320,N10)," ","")))),FIND(" ",F320&amp;" ",N10+1)-1)))</f>
        <v>1</v>
      </c>
      <c r="N320" s="119">
        <f t="shared" si="35"/>
        <v>303</v>
      </c>
      <c r="O320" s="99" t="str">
        <f t="shared" si="36"/>
        <v>0</v>
      </c>
      <c r="P320" s="119">
        <f t="shared" si="37"/>
        <v>1</v>
      </c>
      <c r="Q320" s="119">
        <f t="shared" si="38"/>
        <v>1</v>
      </c>
      <c r="S320" s="3">
        <v>1</v>
      </c>
    </row>
    <row r="321" spans="2:19">
      <c r="B321" s="116"/>
      <c r="C321" s="116"/>
      <c r="D321" s="116"/>
      <c r="E321" s="116" cm="1">
        <f t="array" ref="E321">IF(H320&lt;&gt;"",E320,IF(E320="","",IFERROR(MATCH(TRUE(),INDEX(INDEX(K:K,E320+1):K203&lt;&gt;"",0),0)+E320,"")))</f>
        <v>462</v>
      </c>
      <c r="F321" s="117" cm="1">
        <f t="array" ref="F321">IF(E321="","",IF(H320&lt;&gt;"",H320,INDEX(D:D,E321)))</f>
        <v>0</v>
      </c>
      <c r="G321" s="117" t="str">
        <f t="shared" si="33"/>
        <v>0</v>
      </c>
      <c r="H321" s="118" t="str">
        <f t="shared" si="34"/>
        <v/>
      </c>
      <c r="I321" s="116" t="str">
        <f>IF(AND(F321&lt;&gt;"",N10&gt;0,M321&gt;N10),"Mot &gt; limite","")</f>
        <v/>
      </c>
      <c r="M321" s="70">
        <f>IF(OR(F321="",N10="",N10&lt;=0),"",IF(LEN(F321)&lt;=N10,LEN(F321),IFERROR(FIND("♦",SUBSTITUTE(LEFT(F321,N10)," ","♦",LEN(LEFT(F321,N10))-LEN(SUBSTITUTE(LEFT(F321,N10)," ","")))),FIND(" ",F321&amp;" ",N10+1)-1)))</f>
        <v>1</v>
      </c>
      <c r="N321" s="119">
        <f t="shared" si="35"/>
        <v>304</v>
      </c>
      <c r="O321" s="99" t="str">
        <f t="shared" si="36"/>
        <v>0</v>
      </c>
      <c r="P321" s="119">
        <f t="shared" si="37"/>
        <v>1</v>
      </c>
      <c r="Q321" s="119">
        <f t="shared" si="38"/>
        <v>1</v>
      </c>
      <c r="S321" s="3">
        <v>1</v>
      </c>
    </row>
    <row r="322" spans="2:19">
      <c r="B322" s="116"/>
      <c r="C322" s="116"/>
      <c r="D322" s="116"/>
      <c r="E322" s="116" cm="1">
        <f t="array" ref="E322">IF(H321&lt;&gt;"",E321,IF(E321="","",IFERROR(MATCH(TRUE(),INDEX(INDEX(K:K,E321+1):K203&lt;&gt;"",0),0)+E321,"")))</f>
        <v>463</v>
      </c>
      <c r="F322" s="117" cm="1">
        <f t="array" ref="F322">IF(E322="","",IF(H321&lt;&gt;"",H321,INDEX(D:D,E322)))</f>
        <v>0</v>
      </c>
      <c r="G322" s="117" t="str">
        <f t="shared" si="33"/>
        <v>0</v>
      </c>
      <c r="H322" s="118" t="str">
        <f t="shared" si="34"/>
        <v/>
      </c>
      <c r="I322" s="116" t="str">
        <f>IF(AND(F322&lt;&gt;"",N10&gt;0,M322&gt;N10),"Mot &gt; limite","")</f>
        <v/>
      </c>
      <c r="M322" s="70">
        <f>IF(OR(F322="",N10="",N10&lt;=0),"",IF(LEN(F322)&lt;=N10,LEN(F322),IFERROR(FIND("♦",SUBSTITUTE(LEFT(F322,N10)," ","♦",LEN(LEFT(F322,N10))-LEN(SUBSTITUTE(LEFT(F322,N10)," ","")))),FIND(" ",F322&amp;" ",N10+1)-1)))</f>
        <v>1</v>
      </c>
      <c r="N322" s="119">
        <f t="shared" si="35"/>
        <v>305</v>
      </c>
      <c r="O322" s="99" t="str">
        <f t="shared" si="36"/>
        <v>0</v>
      </c>
      <c r="P322" s="119">
        <f t="shared" si="37"/>
        <v>1</v>
      </c>
      <c r="Q322" s="119">
        <f t="shared" si="38"/>
        <v>1</v>
      </c>
      <c r="S322" s="3">
        <v>1</v>
      </c>
    </row>
    <row r="323" spans="2:19">
      <c r="B323" s="116"/>
      <c r="C323" s="116"/>
      <c r="D323" s="116"/>
      <c r="E323" s="116" cm="1">
        <f t="array" ref="E323">IF(H322&lt;&gt;"",E322,IF(E322="","",IFERROR(MATCH(TRUE(),INDEX(INDEX(K:K,E322+1):K203&lt;&gt;"",0),0)+E322,"")))</f>
        <v>464</v>
      </c>
      <c r="F323" s="117" cm="1">
        <f t="array" ref="F323">IF(E323="","",IF(H322&lt;&gt;"",H322,INDEX(D:D,E323)))</f>
        <v>0</v>
      </c>
      <c r="G323" s="117" t="str">
        <f t="shared" si="33"/>
        <v>0</v>
      </c>
      <c r="H323" s="118" t="str">
        <f t="shared" si="34"/>
        <v/>
      </c>
      <c r="I323" s="116" t="str">
        <f>IF(AND(F323&lt;&gt;"",N10&gt;0,M323&gt;N10),"Mot &gt; limite","")</f>
        <v/>
      </c>
      <c r="M323" s="70">
        <f>IF(OR(F323="",N10="",N10&lt;=0),"",IF(LEN(F323)&lt;=N10,LEN(F323),IFERROR(FIND("♦",SUBSTITUTE(LEFT(F323,N10)," ","♦",LEN(LEFT(F323,N10))-LEN(SUBSTITUTE(LEFT(F323,N10)," ","")))),FIND(" ",F323&amp;" ",N10+1)-1)))</f>
        <v>1</v>
      </c>
      <c r="N323" s="119">
        <f t="shared" si="35"/>
        <v>306</v>
      </c>
      <c r="O323" s="99" t="str">
        <f t="shared" si="36"/>
        <v>0</v>
      </c>
      <c r="P323" s="119">
        <f t="shared" si="37"/>
        <v>1</v>
      </c>
      <c r="Q323" s="119">
        <f t="shared" si="38"/>
        <v>1</v>
      </c>
      <c r="S323" s="3">
        <v>1</v>
      </c>
    </row>
    <row r="324" spans="2:19">
      <c r="B324" s="116"/>
      <c r="C324" s="116"/>
      <c r="D324" s="116"/>
      <c r="E324" s="116" cm="1">
        <f t="array" ref="E324">IF(H323&lt;&gt;"",E323,IF(E323="","",IFERROR(MATCH(TRUE(),INDEX(INDEX(K:K,E323+1):K203&lt;&gt;"",0),0)+E323,"")))</f>
        <v>465</v>
      </c>
      <c r="F324" s="117" cm="1">
        <f t="array" ref="F324">IF(E324="","",IF(H323&lt;&gt;"",H323,INDEX(D:D,E324)))</f>
        <v>0</v>
      </c>
      <c r="G324" s="117" t="str">
        <f t="shared" si="33"/>
        <v>0</v>
      </c>
      <c r="H324" s="118" t="str">
        <f t="shared" si="34"/>
        <v/>
      </c>
      <c r="I324" s="116" t="str">
        <f>IF(AND(F324&lt;&gt;"",N10&gt;0,M324&gt;N10),"Mot &gt; limite","")</f>
        <v/>
      </c>
      <c r="M324" s="70">
        <f>IF(OR(F324="",N10="",N10&lt;=0),"",IF(LEN(F324)&lt;=N10,LEN(F324),IFERROR(FIND("♦",SUBSTITUTE(LEFT(F324,N10)," ","♦",LEN(LEFT(F324,N10))-LEN(SUBSTITUTE(LEFT(F324,N10)," ","")))),FIND(" ",F324&amp;" ",N10+1)-1)))</f>
        <v>1</v>
      </c>
      <c r="N324" s="119">
        <f t="shared" si="35"/>
        <v>307</v>
      </c>
      <c r="O324" s="99" t="str">
        <f t="shared" si="36"/>
        <v>0</v>
      </c>
      <c r="P324" s="119">
        <f t="shared" si="37"/>
        <v>1</v>
      </c>
      <c r="Q324" s="119">
        <f t="shared" si="38"/>
        <v>1</v>
      </c>
      <c r="S324" s="3">
        <v>1</v>
      </c>
    </row>
    <row r="325" spans="2:19">
      <c r="B325" s="116"/>
      <c r="C325" s="116"/>
      <c r="D325" s="116"/>
      <c r="E325" s="116" cm="1">
        <f t="array" ref="E325">IF(H324&lt;&gt;"",E324,IF(E324="","",IFERROR(MATCH(TRUE(),INDEX(INDEX(K:K,E324+1):K203&lt;&gt;"",0),0)+E324,"")))</f>
        <v>466</v>
      </c>
      <c r="F325" s="117" cm="1">
        <f t="array" ref="F325">IF(E325="","",IF(H324&lt;&gt;"",H324,INDEX(D:D,E325)))</f>
        <v>0</v>
      </c>
      <c r="G325" s="117" t="str">
        <f t="shared" si="33"/>
        <v>0</v>
      </c>
      <c r="H325" s="118" t="str">
        <f t="shared" si="34"/>
        <v/>
      </c>
      <c r="I325" s="116" t="str">
        <f>IF(AND(F325&lt;&gt;"",N10&gt;0,M325&gt;N10),"Mot &gt; limite","")</f>
        <v/>
      </c>
      <c r="M325" s="70">
        <f>IF(OR(F325="",N10="",N10&lt;=0),"",IF(LEN(F325)&lt;=N10,LEN(F325),IFERROR(FIND("♦",SUBSTITUTE(LEFT(F325,N10)," ","♦",LEN(LEFT(F325,N10))-LEN(SUBSTITUTE(LEFT(F325,N10)," ","")))),FIND(" ",F325&amp;" ",N10+1)-1)))</f>
        <v>1</v>
      </c>
      <c r="N325" s="119">
        <f t="shared" si="35"/>
        <v>308</v>
      </c>
      <c r="O325" s="99" t="str">
        <f t="shared" si="36"/>
        <v>0</v>
      </c>
      <c r="P325" s="119">
        <f t="shared" si="37"/>
        <v>1</v>
      </c>
      <c r="Q325" s="119">
        <f t="shared" si="38"/>
        <v>1</v>
      </c>
      <c r="S325" s="3">
        <v>1</v>
      </c>
    </row>
    <row r="326" spans="2:19">
      <c r="B326" s="116"/>
      <c r="C326" s="116"/>
      <c r="D326" s="116"/>
      <c r="E326" s="116" cm="1">
        <f t="array" ref="E326">IF(H325&lt;&gt;"",E325,IF(E325="","",IFERROR(MATCH(TRUE(),INDEX(INDEX(K:K,E325+1):K203&lt;&gt;"",0),0)+E325,"")))</f>
        <v>467</v>
      </c>
      <c r="F326" s="117" cm="1">
        <f t="array" ref="F326">IF(E326="","",IF(H325&lt;&gt;"",H325,INDEX(D:D,E326)))</f>
        <v>0</v>
      </c>
      <c r="G326" s="117" t="str">
        <f t="shared" si="33"/>
        <v>0</v>
      </c>
      <c r="H326" s="118" t="str">
        <f t="shared" si="34"/>
        <v/>
      </c>
      <c r="I326" s="116" t="str">
        <f>IF(AND(F326&lt;&gt;"",N10&gt;0,M326&gt;N10),"Mot &gt; limite","")</f>
        <v/>
      </c>
      <c r="M326" s="70">
        <f>IF(OR(F326="",N10="",N10&lt;=0),"",IF(LEN(F326)&lt;=N10,LEN(F326),IFERROR(FIND("♦",SUBSTITUTE(LEFT(F326,N10)," ","♦",LEN(LEFT(F326,N10))-LEN(SUBSTITUTE(LEFT(F326,N10)," ","")))),FIND(" ",F326&amp;" ",N10+1)-1)))</f>
        <v>1</v>
      </c>
      <c r="N326" s="119">
        <f t="shared" si="35"/>
        <v>309</v>
      </c>
      <c r="O326" s="99" t="str">
        <f t="shared" si="36"/>
        <v>0</v>
      </c>
      <c r="P326" s="119">
        <f t="shared" si="37"/>
        <v>1</v>
      </c>
      <c r="Q326" s="119">
        <f t="shared" si="38"/>
        <v>1</v>
      </c>
      <c r="S326" s="3">
        <v>1</v>
      </c>
    </row>
    <row r="327" spans="2:19">
      <c r="B327" s="116"/>
      <c r="C327" s="116"/>
      <c r="D327" s="116"/>
      <c r="E327" s="116" cm="1">
        <f t="array" ref="E327">IF(H326&lt;&gt;"",E326,IF(E326="","",IFERROR(MATCH(TRUE(),INDEX(INDEX(K:K,E326+1):K203&lt;&gt;"",0),0)+E326,"")))</f>
        <v>468</v>
      </c>
      <c r="F327" s="117" cm="1">
        <f t="array" ref="F327">IF(E327="","",IF(H326&lt;&gt;"",H326,INDEX(D:D,E327)))</f>
        <v>0</v>
      </c>
      <c r="G327" s="117" t="str">
        <f t="shared" si="33"/>
        <v>0</v>
      </c>
      <c r="H327" s="118" t="str">
        <f t="shared" si="34"/>
        <v/>
      </c>
      <c r="I327" s="116" t="str">
        <f>IF(AND(F327&lt;&gt;"",N10&gt;0,M327&gt;N10),"Mot &gt; limite","")</f>
        <v/>
      </c>
      <c r="M327" s="70">
        <f>IF(OR(F327="",N10="",N10&lt;=0),"",IF(LEN(F327)&lt;=N10,LEN(F327),IFERROR(FIND("♦",SUBSTITUTE(LEFT(F327,N10)," ","♦",LEN(LEFT(F327,N10))-LEN(SUBSTITUTE(LEFT(F327,N10)," ","")))),FIND(" ",F327&amp;" ",N10+1)-1)))</f>
        <v>1</v>
      </c>
      <c r="N327" s="119">
        <f t="shared" si="35"/>
        <v>310</v>
      </c>
      <c r="O327" s="99" t="str">
        <f t="shared" si="36"/>
        <v>0</v>
      </c>
      <c r="P327" s="119">
        <f t="shared" si="37"/>
        <v>1</v>
      </c>
      <c r="Q327" s="119">
        <f t="shared" si="38"/>
        <v>1</v>
      </c>
      <c r="S327" s="3">
        <v>1</v>
      </c>
    </row>
    <row r="328" spans="2:19">
      <c r="B328" s="116"/>
      <c r="C328" s="116"/>
      <c r="D328" s="116"/>
      <c r="E328" s="116" cm="1">
        <f t="array" ref="E328">IF(H327&lt;&gt;"",E327,IF(E327="","",IFERROR(MATCH(TRUE(),INDEX(INDEX(K:K,E327+1):K203&lt;&gt;"",0),0)+E327,"")))</f>
        <v>469</v>
      </c>
      <c r="F328" s="117" cm="1">
        <f t="array" ref="F328">IF(E328="","",IF(H327&lt;&gt;"",H327,INDEX(D:D,E328)))</f>
        <v>0</v>
      </c>
      <c r="G328" s="117" t="str">
        <f t="shared" si="33"/>
        <v>0</v>
      </c>
      <c r="H328" s="118" t="str">
        <f t="shared" si="34"/>
        <v/>
      </c>
      <c r="I328" s="116" t="str">
        <f>IF(AND(F328&lt;&gt;"",N10&gt;0,M328&gt;N10),"Mot &gt; limite","")</f>
        <v/>
      </c>
      <c r="M328" s="70">
        <f>IF(OR(F328="",N10="",N10&lt;=0),"",IF(LEN(F328)&lt;=N10,LEN(F328),IFERROR(FIND("♦",SUBSTITUTE(LEFT(F328,N10)," ","♦",LEN(LEFT(F328,N10))-LEN(SUBSTITUTE(LEFT(F328,N10)," ","")))),FIND(" ",F328&amp;" ",N10+1)-1)))</f>
        <v>1</v>
      </c>
      <c r="N328" s="119">
        <f t="shared" si="35"/>
        <v>311</v>
      </c>
      <c r="O328" s="99" t="str">
        <f t="shared" si="36"/>
        <v>0</v>
      </c>
      <c r="P328" s="119">
        <f t="shared" si="37"/>
        <v>1</v>
      </c>
      <c r="Q328" s="119">
        <f t="shared" si="38"/>
        <v>1</v>
      </c>
      <c r="S328" s="3">
        <v>1</v>
      </c>
    </row>
    <row r="329" spans="2:19">
      <c r="B329" s="116"/>
      <c r="C329" s="116"/>
      <c r="D329" s="116"/>
      <c r="E329" s="116" cm="1">
        <f t="array" ref="E329">IF(H328&lt;&gt;"",E328,IF(E328="","",IFERROR(MATCH(TRUE(),INDEX(INDEX(K:K,E328+1):K203&lt;&gt;"",0),0)+E328,"")))</f>
        <v>470</v>
      </c>
      <c r="F329" s="117" cm="1">
        <f t="array" ref="F329">IF(E329="","",IF(H328&lt;&gt;"",H328,INDEX(D:D,E329)))</f>
        <v>0</v>
      </c>
      <c r="G329" s="117" t="str">
        <f t="shared" si="33"/>
        <v>0</v>
      </c>
      <c r="H329" s="118" t="str">
        <f t="shared" si="34"/>
        <v/>
      </c>
      <c r="I329" s="116" t="str">
        <f>IF(AND(F329&lt;&gt;"",N10&gt;0,M329&gt;N10),"Mot &gt; limite","")</f>
        <v/>
      </c>
      <c r="M329" s="70">
        <f>IF(OR(F329="",N10="",N10&lt;=0),"",IF(LEN(F329)&lt;=N10,LEN(F329),IFERROR(FIND("♦",SUBSTITUTE(LEFT(F329,N10)," ","♦",LEN(LEFT(F329,N10))-LEN(SUBSTITUTE(LEFT(F329,N10)," ","")))),FIND(" ",F329&amp;" ",N10+1)-1)))</f>
        <v>1</v>
      </c>
      <c r="N329" s="119">
        <f t="shared" si="35"/>
        <v>312</v>
      </c>
      <c r="O329" s="99" t="str">
        <f t="shared" si="36"/>
        <v>0</v>
      </c>
      <c r="P329" s="119">
        <f t="shared" si="37"/>
        <v>1</v>
      </c>
      <c r="Q329" s="119">
        <f t="shared" si="38"/>
        <v>1</v>
      </c>
      <c r="S329" s="3">
        <v>1</v>
      </c>
    </row>
    <row r="330" spans="2:19">
      <c r="B330" s="116"/>
      <c r="C330" s="116"/>
      <c r="D330" s="116"/>
      <c r="E330" s="116" cm="1">
        <f t="array" ref="E330">IF(H329&lt;&gt;"",E329,IF(E329="","",IFERROR(MATCH(TRUE(),INDEX(INDEX(K:K,E329+1):K203&lt;&gt;"",0),0)+E329,"")))</f>
        <v>471</v>
      </c>
      <c r="F330" s="117" cm="1">
        <f t="array" ref="F330">IF(E330="","",IF(H329&lt;&gt;"",H329,INDEX(D:D,E330)))</f>
        <v>0</v>
      </c>
      <c r="G330" s="117" t="str">
        <f t="shared" si="33"/>
        <v>0</v>
      </c>
      <c r="H330" s="118" t="str">
        <f t="shared" si="34"/>
        <v/>
      </c>
      <c r="I330" s="116" t="str">
        <f>IF(AND(F330&lt;&gt;"",N10&gt;0,M330&gt;N10),"Mot &gt; limite","")</f>
        <v/>
      </c>
      <c r="M330" s="70">
        <f>IF(OR(F330="",N10="",N10&lt;=0),"",IF(LEN(F330)&lt;=N10,LEN(F330),IFERROR(FIND("♦",SUBSTITUTE(LEFT(F330,N10)," ","♦",LEN(LEFT(F330,N10))-LEN(SUBSTITUTE(LEFT(F330,N10)," ","")))),FIND(" ",F330&amp;" ",N10+1)-1)))</f>
        <v>1</v>
      </c>
      <c r="N330" s="119">
        <f t="shared" si="35"/>
        <v>313</v>
      </c>
      <c r="O330" s="99" t="str">
        <f t="shared" si="36"/>
        <v>0</v>
      </c>
      <c r="P330" s="119">
        <f t="shared" si="37"/>
        <v>1</v>
      </c>
      <c r="Q330" s="119">
        <f t="shared" si="38"/>
        <v>1</v>
      </c>
      <c r="S330" s="3">
        <v>1</v>
      </c>
    </row>
    <row r="331" spans="2:19">
      <c r="B331" s="116"/>
      <c r="C331" s="116"/>
      <c r="D331" s="116"/>
      <c r="E331" s="116" cm="1">
        <f t="array" ref="E331">IF(H330&lt;&gt;"",E330,IF(E330="","",IFERROR(MATCH(TRUE(),INDEX(INDEX(K:K,E330+1):K203&lt;&gt;"",0),0)+E330,"")))</f>
        <v>472</v>
      </c>
      <c r="F331" s="117" cm="1">
        <f t="array" ref="F331">IF(E331="","",IF(H330&lt;&gt;"",H330,INDEX(D:D,E331)))</f>
        <v>0</v>
      </c>
      <c r="G331" s="117" t="str">
        <f t="shared" si="33"/>
        <v>0</v>
      </c>
      <c r="H331" s="118" t="str">
        <f t="shared" si="34"/>
        <v/>
      </c>
      <c r="I331" s="116" t="str">
        <f>IF(AND(F331&lt;&gt;"",N10&gt;0,M331&gt;N10),"Mot &gt; limite","")</f>
        <v/>
      </c>
      <c r="M331" s="70">
        <f>IF(OR(F331="",N10="",N10&lt;=0),"",IF(LEN(F331)&lt;=N10,LEN(F331),IFERROR(FIND("♦",SUBSTITUTE(LEFT(F331,N10)," ","♦",LEN(LEFT(F331,N10))-LEN(SUBSTITUTE(LEFT(F331,N10)," ","")))),FIND(" ",F331&amp;" ",N10+1)-1)))</f>
        <v>1</v>
      </c>
      <c r="N331" s="119">
        <f t="shared" si="35"/>
        <v>314</v>
      </c>
      <c r="O331" s="99" t="str">
        <f t="shared" si="36"/>
        <v>0</v>
      </c>
      <c r="P331" s="119">
        <f t="shared" si="37"/>
        <v>1</v>
      </c>
      <c r="Q331" s="119">
        <f t="shared" si="38"/>
        <v>1</v>
      </c>
      <c r="S331" s="3">
        <v>1</v>
      </c>
    </row>
    <row r="332" spans="2:19">
      <c r="B332" s="116"/>
      <c r="C332" s="116"/>
      <c r="D332" s="116"/>
      <c r="E332" s="116" cm="1">
        <f t="array" ref="E332">IF(H331&lt;&gt;"",E331,IF(E331="","",IFERROR(MATCH(TRUE(),INDEX(INDEX(K:K,E331+1):K203&lt;&gt;"",0),0)+E331,"")))</f>
        <v>473</v>
      </c>
      <c r="F332" s="117" cm="1">
        <f t="array" ref="F332">IF(E332="","",IF(H331&lt;&gt;"",H331,INDEX(D:D,E332)))</f>
        <v>0</v>
      </c>
      <c r="G332" s="117" t="str">
        <f t="shared" si="33"/>
        <v>0</v>
      </c>
      <c r="H332" s="118" t="str">
        <f t="shared" si="34"/>
        <v/>
      </c>
      <c r="I332" s="116" t="str">
        <f>IF(AND(F332&lt;&gt;"",N10&gt;0,M332&gt;N10),"Mot &gt; limite","")</f>
        <v/>
      </c>
      <c r="M332" s="70">
        <f>IF(OR(F332="",N10="",N10&lt;=0),"",IF(LEN(F332)&lt;=N10,LEN(F332),IFERROR(FIND("♦",SUBSTITUTE(LEFT(F332,N10)," ","♦",LEN(LEFT(F332,N10))-LEN(SUBSTITUTE(LEFT(F332,N10)," ","")))),FIND(" ",F332&amp;" ",N10+1)-1)))</f>
        <v>1</v>
      </c>
      <c r="N332" s="119">
        <f t="shared" si="35"/>
        <v>315</v>
      </c>
      <c r="O332" s="99" t="str">
        <f t="shared" si="36"/>
        <v>0</v>
      </c>
      <c r="P332" s="119">
        <f t="shared" si="37"/>
        <v>1</v>
      </c>
      <c r="Q332" s="119">
        <f t="shared" si="38"/>
        <v>1</v>
      </c>
      <c r="S332" s="3">
        <v>1</v>
      </c>
    </row>
    <row r="333" spans="2:19">
      <c r="B333" s="116"/>
      <c r="C333" s="116"/>
      <c r="D333" s="116"/>
      <c r="E333" s="116" cm="1">
        <f t="array" ref="E333">IF(H332&lt;&gt;"",E332,IF(E332="","",IFERROR(MATCH(TRUE(),INDEX(INDEX(K:K,E332+1):K203&lt;&gt;"",0),0)+E332,"")))</f>
        <v>474</v>
      </c>
      <c r="F333" s="117" cm="1">
        <f t="array" ref="F333">IF(E333="","",IF(H332&lt;&gt;"",H332,INDEX(D:D,E333)))</f>
        <v>0</v>
      </c>
      <c r="G333" s="117" t="str">
        <f t="shared" si="33"/>
        <v>0</v>
      </c>
      <c r="H333" s="118" t="str">
        <f t="shared" si="34"/>
        <v/>
      </c>
      <c r="I333" s="116" t="str">
        <f>IF(AND(F333&lt;&gt;"",N10&gt;0,M333&gt;N10),"Mot &gt; limite","")</f>
        <v/>
      </c>
      <c r="M333" s="70">
        <f>IF(OR(F333="",N10="",N10&lt;=0),"",IF(LEN(F333)&lt;=N10,LEN(F333),IFERROR(FIND("♦",SUBSTITUTE(LEFT(F333,N10)," ","♦",LEN(LEFT(F333,N10))-LEN(SUBSTITUTE(LEFT(F333,N10)," ","")))),FIND(" ",F333&amp;" ",N10+1)-1)))</f>
        <v>1</v>
      </c>
      <c r="N333" s="119">
        <f t="shared" si="35"/>
        <v>316</v>
      </c>
      <c r="O333" s="99" t="str">
        <f t="shared" si="36"/>
        <v>0</v>
      </c>
      <c r="P333" s="119">
        <f t="shared" si="37"/>
        <v>1</v>
      </c>
      <c r="Q333" s="119">
        <f t="shared" si="38"/>
        <v>1</v>
      </c>
      <c r="S333" s="3">
        <v>1</v>
      </c>
    </row>
    <row r="334" spans="2:19">
      <c r="B334" s="116"/>
      <c r="C334" s="116"/>
      <c r="D334" s="116"/>
      <c r="E334" s="116" cm="1">
        <f t="array" ref="E334">IF(H333&lt;&gt;"",E333,IF(E333="","",IFERROR(MATCH(TRUE(),INDEX(INDEX(K:K,E333+1):K203&lt;&gt;"",0),0)+E333,"")))</f>
        <v>475</v>
      </c>
      <c r="F334" s="117" cm="1">
        <f t="array" ref="F334">IF(E334="","",IF(H333&lt;&gt;"",H333,INDEX(D:D,E334)))</f>
        <v>0</v>
      </c>
      <c r="G334" s="117" t="str">
        <f t="shared" si="33"/>
        <v>0</v>
      </c>
      <c r="H334" s="118" t="str">
        <f t="shared" si="34"/>
        <v/>
      </c>
      <c r="I334" s="116" t="str">
        <f>IF(AND(F334&lt;&gt;"",N10&gt;0,M334&gt;N10),"Mot &gt; limite","")</f>
        <v/>
      </c>
      <c r="M334" s="70">
        <f>IF(OR(F334="",N10="",N10&lt;=0),"",IF(LEN(F334)&lt;=N10,LEN(F334),IFERROR(FIND("♦",SUBSTITUTE(LEFT(F334,N10)," ","♦",LEN(LEFT(F334,N10))-LEN(SUBSTITUTE(LEFT(F334,N10)," ","")))),FIND(" ",F334&amp;" ",N10+1)-1)))</f>
        <v>1</v>
      </c>
      <c r="N334" s="119">
        <f t="shared" si="35"/>
        <v>317</v>
      </c>
      <c r="O334" s="99" t="str">
        <f t="shared" si="36"/>
        <v>0</v>
      </c>
      <c r="P334" s="119">
        <f t="shared" si="37"/>
        <v>1</v>
      </c>
      <c r="Q334" s="119">
        <f t="shared" si="38"/>
        <v>1</v>
      </c>
      <c r="S334" s="3">
        <v>1</v>
      </c>
    </row>
    <row r="335" spans="2:19">
      <c r="B335" s="116"/>
      <c r="C335" s="116"/>
      <c r="D335" s="116"/>
      <c r="E335" s="116" cm="1">
        <f t="array" ref="E335">IF(H334&lt;&gt;"",E334,IF(E334="","",IFERROR(MATCH(TRUE(),INDEX(INDEX(K:K,E334+1):K203&lt;&gt;"",0),0)+E334,"")))</f>
        <v>476</v>
      </c>
      <c r="F335" s="117" cm="1">
        <f t="array" ref="F335">IF(E335="","",IF(H334&lt;&gt;"",H334,INDEX(D:D,E335)))</f>
        <v>0</v>
      </c>
      <c r="G335" s="117" t="str">
        <f t="shared" si="33"/>
        <v>0</v>
      </c>
      <c r="H335" s="118" t="str">
        <f t="shared" si="34"/>
        <v/>
      </c>
      <c r="I335" s="116" t="str">
        <f>IF(AND(F335&lt;&gt;"",N10&gt;0,M335&gt;N10),"Mot &gt; limite","")</f>
        <v/>
      </c>
      <c r="M335" s="70">
        <f>IF(OR(F335="",N10="",N10&lt;=0),"",IF(LEN(F335)&lt;=N10,LEN(F335),IFERROR(FIND("♦",SUBSTITUTE(LEFT(F335,N10)," ","♦",LEN(LEFT(F335,N10))-LEN(SUBSTITUTE(LEFT(F335,N10)," ","")))),FIND(" ",F335&amp;" ",N10+1)-1)))</f>
        <v>1</v>
      </c>
      <c r="N335" s="119">
        <f t="shared" si="35"/>
        <v>318</v>
      </c>
      <c r="O335" s="99" t="str">
        <f t="shared" si="36"/>
        <v>0</v>
      </c>
      <c r="P335" s="119">
        <f t="shared" si="37"/>
        <v>1</v>
      </c>
      <c r="Q335" s="119">
        <f t="shared" si="38"/>
        <v>1</v>
      </c>
      <c r="S335" s="3">
        <v>1</v>
      </c>
    </row>
    <row r="336" spans="2:19">
      <c r="B336" s="116"/>
      <c r="C336" s="116"/>
      <c r="D336" s="116"/>
      <c r="E336" s="116" cm="1">
        <f t="array" ref="E336">IF(H335&lt;&gt;"",E335,IF(E335="","",IFERROR(MATCH(TRUE(),INDEX(INDEX(K:K,E335+1):K203&lt;&gt;"",0),0)+E335,"")))</f>
        <v>477</v>
      </c>
      <c r="F336" s="117" cm="1">
        <f t="array" ref="F336">IF(E336="","",IF(H335&lt;&gt;"",H335,INDEX(D:D,E336)))</f>
        <v>0</v>
      </c>
      <c r="G336" s="117" t="str">
        <f t="shared" si="33"/>
        <v>0</v>
      </c>
      <c r="H336" s="118" t="str">
        <f t="shared" si="34"/>
        <v/>
      </c>
      <c r="I336" s="116" t="str">
        <f>IF(AND(F336&lt;&gt;"",N10&gt;0,M336&gt;N10),"Mot &gt; limite","")</f>
        <v/>
      </c>
      <c r="M336" s="70">
        <f>IF(OR(F336="",N10="",N10&lt;=0),"",IF(LEN(F336)&lt;=N10,LEN(F336),IFERROR(FIND("♦",SUBSTITUTE(LEFT(F336,N10)," ","♦",LEN(LEFT(F336,N10))-LEN(SUBSTITUTE(LEFT(F336,N10)," ","")))),FIND(" ",F336&amp;" ",N10+1)-1)))</f>
        <v>1</v>
      </c>
      <c r="N336" s="119">
        <f t="shared" si="35"/>
        <v>319</v>
      </c>
      <c r="O336" s="99" t="str">
        <f t="shared" si="36"/>
        <v>0</v>
      </c>
      <c r="P336" s="119">
        <f t="shared" si="37"/>
        <v>1</v>
      </c>
      <c r="Q336" s="119">
        <f t="shared" si="38"/>
        <v>1</v>
      </c>
      <c r="S336" s="3">
        <v>1</v>
      </c>
    </row>
    <row r="337" spans="2:19">
      <c r="B337" s="116"/>
      <c r="C337" s="116"/>
      <c r="D337" s="116"/>
      <c r="E337" s="116" cm="1">
        <f t="array" ref="E337">IF(H336&lt;&gt;"",E336,IF(E336="","",IFERROR(MATCH(TRUE(),INDEX(INDEX(K:K,E336+1):K203&lt;&gt;"",0),0)+E336,"")))</f>
        <v>478</v>
      </c>
      <c r="F337" s="117" cm="1">
        <f t="array" ref="F337">IF(E337="","",IF(H336&lt;&gt;"",H336,INDEX(D:D,E337)))</f>
        <v>0</v>
      </c>
      <c r="G337" s="117" t="str">
        <f t="shared" si="33"/>
        <v>0</v>
      </c>
      <c r="H337" s="118" t="str">
        <f t="shared" si="34"/>
        <v/>
      </c>
      <c r="I337" s="116" t="str">
        <f>IF(AND(F337&lt;&gt;"",N10&gt;0,M337&gt;N10),"Mot &gt; limite","")</f>
        <v/>
      </c>
      <c r="M337" s="70">
        <f>IF(OR(F337="",N10="",N10&lt;=0),"",IF(LEN(F337)&lt;=N10,LEN(F337),IFERROR(FIND("♦",SUBSTITUTE(LEFT(F337,N10)," ","♦",LEN(LEFT(F337,N10))-LEN(SUBSTITUTE(LEFT(F337,N10)," ","")))),FIND(" ",F337&amp;" ",N10+1)-1)))</f>
        <v>1</v>
      </c>
      <c r="N337" s="119">
        <f t="shared" si="35"/>
        <v>320</v>
      </c>
      <c r="O337" s="99" t="str">
        <f t="shared" si="36"/>
        <v>0</v>
      </c>
      <c r="P337" s="119">
        <f t="shared" si="37"/>
        <v>1</v>
      </c>
      <c r="Q337" s="119">
        <f t="shared" si="38"/>
        <v>1</v>
      </c>
      <c r="S337" s="3">
        <v>1</v>
      </c>
    </row>
    <row r="338" spans="2:19">
      <c r="B338" s="116"/>
      <c r="C338" s="116"/>
      <c r="D338" s="116"/>
      <c r="E338" s="116" cm="1">
        <f t="array" ref="E338">IF(H337&lt;&gt;"",E337,IF(E337="","",IFERROR(MATCH(TRUE(),INDEX(INDEX(K:K,E337+1):K203&lt;&gt;"",0),0)+E337,"")))</f>
        <v>479</v>
      </c>
      <c r="F338" s="117" cm="1">
        <f t="array" ref="F338">IF(E338="","",IF(H337&lt;&gt;"",H337,INDEX(D:D,E338)))</f>
        <v>0</v>
      </c>
      <c r="G338" s="117" t="str">
        <f t="shared" ref="G338:G401" si="39">IF(OR(F338="",M338=""),"",LEFT(F338,M338))</f>
        <v>0</v>
      </c>
      <c r="H338" s="118" t="str">
        <f t="shared" ref="H338:H401" si="40">IF(OR(F338="",M338=""),"",TRIM(MID(F338,M338+1,99999)))</f>
        <v/>
      </c>
      <c r="I338" s="116" t="str">
        <f>IF(AND(F338&lt;&gt;"",N10&gt;0,M338&gt;N10),"Mot &gt; limite","")</f>
        <v/>
      </c>
      <c r="M338" s="70">
        <f>IF(OR(F338="",N10="",N10&lt;=0),"",IF(LEN(F338)&lt;=N10,LEN(F338),IFERROR(FIND("♦",SUBSTITUTE(LEFT(F338,N10)," ","♦",LEN(LEFT(F338,N10))-LEN(SUBSTITUTE(LEFT(F338,N10)," ","")))),FIND(" ",F338&amp;" ",N10+1)-1)))</f>
        <v>1</v>
      </c>
      <c r="N338" s="119">
        <f t="shared" ref="N338:N401" si="41">IF(O338="","",ROW()-17)</f>
        <v>321</v>
      </c>
      <c r="O338" s="99" t="str">
        <f t="shared" ref="O338:O401" si="42">G338</f>
        <v>0</v>
      </c>
      <c r="P338" s="119">
        <f t="shared" ref="P338:P401" si="43">IF(O338="","",LEN(TRIM(O338))-LEN(SUBSTITUTE(TRIM(O338)," ",""))+1)</f>
        <v>1</v>
      </c>
      <c r="Q338" s="119">
        <f t="shared" ref="Q338:Q401" si="44">IF(O338="","",LEN(O338))</f>
        <v>1</v>
      </c>
      <c r="S338" s="3">
        <v>1</v>
      </c>
    </row>
    <row r="339" spans="2:19">
      <c r="B339" s="116"/>
      <c r="C339" s="116"/>
      <c r="D339" s="116"/>
      <c r="E339" s="116" cm="1">
        <f t="array" ref="E339">IF(H338&lt;&gt;"",E338,IF(E338="","",IFERROR(MATCH(TRUE(),INDEX(INDEX(K:K,E338+1):K203&lt;&gt;"",0),0)+E338,"")))</f>
        <v>480</v>
      </c>
      <c r="F339" s="117" cm="1">
        <f t="array" ref="F339">IF(E339="","",IF(H338&lt;&gt;"",H338,INDEX(D:D,E339)))</f>
        <v>0</v>
      </c>
      <c r="G339" s="117" t="str">
        <f t="shared" si="39"/>
        <v>0</v>
      </c>
      <c r="H339" s="118" t="str">
        <f t="shared" si="40"/>
        <v/>
      </c>
      <c r="I339" s="116" t="str">
        <f>IF(AND(F339&lt;&gt;"",N10&gt;0,M339&gt;N10),"Mot &gt; limite","")</f>
        <v/>
      </c>
      <c r="M339" s="70">
        <f>IF(OR(F339="",N10="",N10&lt;=0),"",IF(LEN(F339)&lt;=N10,LEN(F339),IFERROR(FIND("♦",SUBSTITUTE(LEFT(F339,N10)," ","♦",LEN(LEFT(F339,N10))-LEN(SUBSTITUTE(LEFT(F339,N10)," ","")))),FIND(" ",F339&amp;" ",N10+1)-1)))</f>
        <v>1</v>
      </c>
      <c r="N339" s="119">
        <f t="shared" si="41"/>
        <v>322</v>
      </c>
      <c r="O339" s="99" t="str">
        <f t="shared" si="42"/>
        <v>0</v>
      </c>
      <c r="P339" s="119">
        <f t="shared" si="43"/>
        <v>1</v>
      </c>
      <c r="Q339" s="119">
        <f t="shared" si="44"/>
        <v>1</v>
      </c>
      <c r="S339" s="3">
        <v>1</v>
      </c>
    </row>
    <row r="340" spans="2:19">
      <c r="B340" s="116"/>
      <c r="C340" s="116"/>
      <c r="D340" s="116"/>
      <c r="E340" s="116" cm="1">
        <f t="array" ref="E340">IF(H339&lt;&gt;"",E339,IF(E339="","",IFERROR(MATCH(TRUE(),INDEX(INDEX(K:K,E339+1):K203&lt;&gt;"",0),0)+E339,"")))</f>
        <v>481</v>
      </c>
      <c r="F340" s="117" cm="1">
        <f t="array" ref="F340">IF(E340="","",IF(H339&lt;&gt;"",H339,INDEX(D:D,E340)))</f>
        <v>0</v>
      </c>
      <c r="G340" s="117" t="str">
        <f t="shared" si="39"/>
        <v>0</v>
      </c>
      <c r="H340" s="118" t="str">
        <f t="shared" si="40"/>
        <v/>
      </c>
      <c r="I340" s="116" t="str">
        <f>IF(AND(F340&lt;&gt;"",N10&gt;0,M340&gt;N10),"Mot &gt; limite","")</f>
        <v/>
      </c>
      <c r="M340" s="70">
        <f>IF(OR(F340="",N10="",N10&lt;=0),"",IF(LEN(F340)&lt;=N10,LEN(F340),IFERROR(FIND("♦",SUBSTITUTE(LEFT(F340,N10)," ","♦",LEN(LEFT(F340,N10))-LEN(SUBSTITUTE(LEFT(F340,N10)," ","")))),FIND(" ",F340&amp;" ",N10+1)-1)))</f>
        <v>1</v>
      </c>
      <c r="N340" s="119">
        <f t="shared" si="41"/>
        <v>323</v>
      </c>
      <c r="O340" s="99" t="str">
        <f t="shared" si="42"/>
        <v>0</v>
      </c>
      <c r="P340" s="119">
        <f t="shared" si="43"/>
        <v>1</v>
      </c>
      <c r="Q340" s="119">
        <f t="shared" si="44"/>
        <v>1</v>
      </c>
      <c r="S340" s="3">
        <v>1</v>
      </c>
    </row>
    <row r="341" spans="2:19">
      <c r="B341" s="116"/>
      <c r="C341" s="116"/>
      <c r="D341" s="116"/>
      <c r="E341" s="116" cm="1">
        <f t="array" ref="E341">IF(H340&lt;&gt;"",E340,IF(E340="","",IFERROR(MATCH(TRUE(),INDEX(INDEX(K:K,E340+1):K203&lt;&gt;"",0),0)+E340,"")))</f>
        <v>482</v>
      </c>
      <c r="F341" s="117" cm="1">
        <f t="array" ref="F341">IF(E341="","",IF(H340&lt;&gt;"",H340,INDEX(D:D,E341)))</f>
        <v>0</v>
      </c>
      <c r="G341" s="117" t="str">
        <f t="shared" si="39"/>
        <v>0</v>
      </c>
      <c r="H341" s="118" t="str">
        <f t="shared" si="40"/>
        <v/>
      </c>
      <c r="I341" s="116" t="str">
        <f>IF(AND(F341&lt;&gt;"",N10&gt;0,M341&gt;N10),"Mot &gt; limite","")</f>
        <v/>
      </c>
      <c r="M341" s="70">
        <f>IF(OR(F341="",N10="",N10&lt;=0),"",IF(LEN(F341)&lt;=N10,LEN(F341),IFERROR(FIND("♦",SUBSTITUTE(LEFT(F341,N10)," ","♦",LEN(LEFT(F341,N10))-LEN(SUBSTITUTE(LEFT(F341,N10)," ","")))),FIND(" ",F341&amp;" ",N10+1)-1)))</f>
        <v>1</v>
      </c>
      <c r="N341" s="119">
        <f t="shared" si="41"/>
        <v>324</v>
      </c>
      <c r="O341" s="99" t="str">
        <f t="shared" si="42"/>
        <v>0</v>
      </c>
      <c r="P341" s="119">
        <f t="shared" si="43"/>
        <v>1</v>
      </c>
      <c r="Q341" s="119">
        <f t="shared" si="44"/>
        <v>1</v>
      </c>
      <c r="S341" s="3">
        <v>1</v>
      </c>
    </row>
    <row r="342" spans="2:19">
      <c r="B342" s="116"/>
      <c r="C342" s="116"/>
      <c r="D342" s="116"/>
      <c r="E342" s="116" cm="1">
        <f t="array" ref="E342">IF(H341&lt;&gt;"",E341,IF(E341="","",IFERROR(MATCH(TRUE(),INDEX(INDEX(K:K,E341+1):K203&lt;&gt;"",0),0)+E341,"")))</f>
        <v>483</v>
      </c>
      <c r="F342" s="117" cm="1">
        <f t="array" ref="F342">IF(E342="","",IF(H341&lt;&gt;"",H341,INDEX(D:D,E342)))</f>
        <v>0</v>
      </c>
      <c r="G342" s="117" t="str">
        <f t="shared" si="39"/>
        <v>0</v>
      </c>
      <c r="H342" s="118" t="str">
        <f t="shared" si="40"/>
        <v/>
      </c>
      <c r="I342" s="116" t="str">
        <f>IF(AND(F342&lt;&gt;"",N10&gt;0,M342&gt;N10),"Mot &gt; limite","")</f>
        <v/>
      </c>
      <c r="M342" s="70">
        <f>IF(OR(F342="",N10="",N10&lt;=0),"",IF(LEN(F342)&lt;=N10,LEN(F342),IFERROR(FIND("♦",SUBSTITUTE(LEFT(F342,N10)," ","♦",LEN(LEFT(F342,N10))-LEN(SUBSTITUTE(LEFT(F342,N10)," ","")))),FIND(" ",F342&amp;" ",N10+1)-1)))</f>
        <v>1</v>
      </c>
      <c r="N342" s="119">
        <f t="shared" si="41"/>
        <v>325</v>
      </c>
      <c r="O342" s="99" t="str">
        <f t="shared" si="42"/>
        <v>0</v>
      </c>
      <c r="P342" s="119">
        <f t="shared" si="43"/>
        <v>1</v>
      </c>
      <c r="Q342" s="119">
        <f t="shared" si="44"/>
        <v>1</v>
      </c>
      <c r="S342" s="3">
        <v>1</v>
      </c>
    </row>
    <row r="343" spans="2:19">
      <c r="B343" s="116"/>
      <c r="C343" s="116"/>
      <c r="D343" s="116"/>
      <c r="E343" s="116" cm="1">
        <f t="array" ref="E343">IF(H342&lt;&gt;"",E342,IF(E342="","",IFERROR(MATCH(TRUE(),INDEX(INDEX(K:K,E342+1):K203&lt;&gt;"",0),0)+E342,"")))</f>
        <v>484</v>
      </c>
      <c r="F343" s="117" cm="1">
        <f t="array" ref="F343">IF(E343="","",IF(H342&lt;&gt;"",H342,INDEX(D:D,E343)))</f>
        <v>0</v>
      </c>
      <c r="G343" s="117" t="str">
        <f t="shared" si="39"/>
        <v>0</v>
      </c>
      <c r="H343" s="118" t="str">
        <f t="shared" si="40"/>
        <v/>
      </c>
      <c r="I343" s="116" t="str">
        <f>IF(AND(F343&lt;&gt;"",N10&gt;0,M343&gt;N10),"Mot &gt; limite","")</f>
        <v/>
      </c>
      <c r="M343" s="70">
        <f>IF(OR(F343="",N10="",N10&lt;=0),"",IF(LEN(F343)&lt;=N10,LEN(F343),IFERROR(FIND("♦",SUBSTITUTE(LEFT(F343,N10)," ","♦",LEN(LEFT(F343,N10))-LEN(SUBSTITUTE(LEFT(F343,N10)," ","")))),FIND(" ",F343&amp;" ",N10+1)-1)))</f>
        <v>1</v>
      </c>
      <c r="N343" s="119">
        <f t="shared" si="41"/>
        <v>326</v>
      </c>
      <c r="O343" s="99" t="str">
        <f t="shared" si="42"/>
        <v>0</v>
      </c>
      <c r="P343" s="119">
        <f t="shared" si="43"/>
        <v>1</v>
      </c>
      <c r="Q343" s="119">
        <f t="shared" si="44"/>
        <v>1</v>
      </c>
      <c r="S343" s="3">
        <v>1</v>
      </c>
    </row>
    <row r="344" spans="2:19">
      <c r="B344" s="116"/>
      <c r="C344" s="116"/>
      <c r="D344" s="116"/>
      <c r="E344" s="116" cm="1">
        <f t="array" ref="E344">IF(H343&lt;&gt;"",E343,IF(E343="","",IFERROR(MATCH(TRUE(),INDEX(INDEX(K:K,E343+1):K203&lt;&gt;"",0),0)+E343,"")))</f>
        <v>485</v>
      </c>
      <c r="F344" s="117" cm="1">
        <f t="array" ref="F344">IF(E344="","",IF(H343&lt;&gt;"",H343,INDEX(D:D,E344)))</f>
        <v>0</v>
      </c>
      <c r="G344" s="117" t="str">
        <f t="shared" si="39"/>
        <v>0</v>
      </c>
      <c r="H344" s="118" t="str">
        <f t="shared" si="40"/>
        <v/>
      </c>
      <c r="I344" s="116" t="str">
        <f>IF(AND(F344&lt;&gt;"",N10&gt;0,M344&gt;N10),"Mot &gt; limite","")</f>
        <v/>
      </c>
      <c r="M344" s="70">
        <f>IF(OR(F344="",N10="",N10&lt;=0),"",IF(LEN(F344)&lt;=N10,LEN(F344),IFERROR(FIND("♦",SUBSTITUTE(LEFT(F344,N10)," ","♦",LEN(LEFT(F344,N10))-LEN(SUBSTITUTE(LEFT(F344,N10)," ","")))),FIND(" ",F344&amp;" ",N10+1)-1)))</f>
        <v>1</v>
      </c>
      <c r="N344" s="119">
        <f t="shared" si="41"/>
        <v>327</v>
      </c>
      <c r="O344" s="99" t="str">
        <f t="shared" si="42"/>
        <v>0</v>
      </c>
      <c r="P344" s="119">
        <f t="shared" si="43"/>
        <v>1</v>
      </c>
      <c r="Q344" s="119">
        <f t="shared" si="44"/>
        <v>1</v>
      </c>
      <c r="S344" s="3">
        <v>1</v>
      </c>
    </row>
    <row r="345" spans="2:19">
      <c r="B345" s="116"/>
      <c r="C345" s="116"/>
      <c r="D345" s="116"/>
      <c r="E345" s="116" cm="1">
        <f t="array" ref="E345">IF(H344&lt;&gt;"",E344,IF(E344="","",IFERROR(MATCH(TRUE(),INDEX(INDEX(K:K,E344+1):K203&lt;&gt;"",0),0)+E344,"")))</f>
        <v>486</v>
      </c>
      <c r="F345" s="117" cm="1">
        <f t="array" ref="F345">IF(E345="","",IF(H344&lt;&gt;"",H344,INDEX(D:D,E345)))</f>
        <v>0</v>
      </c>
      <c r="G345" s="117" t="str">
        <f t="shared" si="39"/>
        <v>0</v>
      </c>
      <c r="H345" s="118" t="str">
        <f t="shared" si="40"/>
        <v/>
      </c>
      <c r="I345" s="116" t="str">
        <f>IF(AND(F345&lt;&gt;"",N10&gt;0,M345&gt;N10),"Mot &gt; limite","")</f>
        <v/>
      </c>
      <c r="M345" s="70">
        <f>IF(OR(F345="",N10="",N10&lt;=0),"",IF(LEN(F345)&lt;=N10,LEN(F345),IFERROR(FIND("♦",SUBSTITUTE(LEFT(F345,N10)," ","♦",LEN(LEFT(F345,N10))-LEN(SUBSTITUTE(LEFT(F345,N10)," ","")))),FIND(" ",F345&amp;" ",N10+1)-1)))</f>
        <v>1</v>
      </c>
      <c r="N345" s="119">
        <f t="shared" si="41"/>
        <v>328</v>
      </c>
      <c r="O345" s="99" t="str">
        <f t="shared" si="42"/>
        <v>0</v>
      </c>
      <c r="P345" s="119">
        <f t="shared" si="43"/>
        <v>1</v>
      </c>
      <c r="Q345" s="119">
        <f t="shared" si="44"/>
        <v>1</v>
      </c>
      <c r="S345" s="3">
        <v>1</v>
      </c>
    </row>
    <row r="346" spans="2:19">
      <c r="B346" s="116"/>
      <c r="C346" s="116"/>
      <c r="D346" s="116"/>
      <c r="E346" s="116" cm="1">
        <f t="array" ref="E346">IF(H345&lt;&gt;"",E345,IF(E345="","",IFERROR(MATCH(TRUE(),INDEX(INDEX(K:K,E345+1):K203&lt;&gt;"",0),0)+E345,"")))</f>
        <v>487</v>
      </c>
      <c r="F346" s="117" cm="1">
        <f t="array" ref="F346">IF(E346="","",IF(H345&lt;&gt;"",H345,INDEX(D:D,E346)))</f>
        <v>0</v>
      </c>
      <c r="G346" s="117" t="str">
        <f t="shared" si="39"/>
        <v>0</v>
      </c>
      <c r="H346" s="118" t="str">
        <f t="shared" si="40"/>
        <v/>
      </c>
      <c r="I346" s="116" t="str">
        <f>IF(AND(F346&lt;&gt;"",N10&gt;0,M346&gt;N10),"Mot &gt; limite","")</f>
        <v/>
      </c>
      <c r="M346" s="70">
        <f>IF(OR(F346="",N10="",N10&lt;=0),"",IF(LEN(F346)&lt;=N10,LEN(F346),IFERROR(FIND("♦",SUBSTITUTE(LEFT(F346,N10)," ","♦",LEN(LEFT(F346,N10))-LEN(SUBSTITUTE(LEFT(F346,N10)," ","")))),FIND(" ",F346&amp;" ",N10+1)-1)))</f>
        <v>1</v>
      </c>
      <c r="N346" s="119">
        <f t="shared" si="41"/>
        <v>329</v>
      </c>
      <c r="O346" s="99" t="str">
        <f t="shared" si="42"/>
        <v>0</v>
      </c>
      <c r="P346" s="119">
        <f t="shared" si="43"/>
        <v>1</v>
      </c>
      <c r="Q346" s="119">
        <f t="shared" si="44"/>
        <v>1</v>
      </c>
      <c r="S346" s="3">
        <v>1</v>
      </c>
    </row>
    <row r="347" spans="2:19">
      <c r="B347" s="116"/>
      <c r="C347" s="116"/>
      <c r="D347" s="116"/>
      <c r="E347" s="116" cm="1">
        <f t="array" ref="E347">IF(H346&lt;&gt;"",E346,IF(E346="","",IFERROR(MATCH(TRUE(),INDEX(INDEX(K:K,E346+1):K203&lt;&gt;"",0),0)+E346,"")))</f>
        <v>488</v>
      </c>
      <c r="F347" s="117" cm="1">
        <f t="array" ref="F347">IF(E347="","",IF(H346&lt;&gt;"",H346,INDEX(D:D,E347)))</f>
        <v>0</v>
      </c>
      <c r="G347" s="117" t="str">
        <f t="shared" si="39"/>
        <v>0</v>
      </c>
      <c r="H347" s="118" t="str">
        <f t="shared" si="40"/>
        <v/>
      </c>
      <c r="I347" s="116" t="str">
        <f>IF(AND(F347&lt;&gt;"",N10&gt;0,M347&gt;N10),"Mot &gt; limite","")</f>
        <v/>
      </c>
      <c r="M347" s="70">
        <f>IF(OR(F347="",N10="",N10&lt;=0),"",IF(LEN(F347)&lt;=N10,LEN(F347),IFERROR(FIND("♦",SUBSTITUTE(LEFT(F347,N10)," ","♦",LEN(LEFT(F347,N10))-LEN(SUBSTITUTE(LEFT(F347,N10)," ","")))),FIND(" ",F347&amp;" ",N10+1)-1)))</f>
        <v>1</v>
      </c>
      <c r="N347" s="119">
        <f t="shared" si="41"/>
        <v>330</v>
      </c>
      <c r="O347" s="99" t="str">
        <f t="shared" si="42"/>
        <v>0</v>
      </c>
      <c r="P347" s="119">
        <f t="shared" si="43"/>
        <v>1</v>
      </c>
      <c r="Q347" s="119">
        <f t="shared" si="44"/>
        <v>1</v>
      </c>
      <c r="S347" s="3">
        <v>1</v>
      </c>
    </row>
    <row r="348" spans="2:19">
      <c r="B348" s="116"/>
      <c r="C348" s="116"/>
      <c r="D348" s="116"/>
      <c r="E348" s="116" cm="1">
        <f t="array" ref="E348">IF(H347&lt;&gt;"",E347,IF(E347="","",IFERROR(MATCH(TRUE(),INDEX(INDEX(K:K,E347+1):K203&lt;&gt;"",0),0)+E347,"")))</f>
        <v>489</v>
      </c>
      <c r="F348" s="117" cm="1">
        <f t="array" ref="F348">IF(E348="","",IF(H347&lt;&gt;"",H347,INDEX(D:D,E348)))</f>
        <v>0</v>
      </c>
      <c r="G348" s="117" t="str">
        <f t="shared" si="39"/>
        <v>0</v>
      </c>
      <c r="H348" s="118" t="str">
        <f t="shared" si="40"/>
        <v/>
      </c>
      <c r="I348" s="116" t="str">
        <f>IF(AND(F348&lt;&gt;"",N10&gt;0,M348&gt;N10),"Mot &gt; limite","")</f>
        <v/>
      </c>
      <c r="M348" s="70">
        <f>IF(OR(F348="",N10="",N10&lt;=0),"",IF(LEN(F348)&lt;=N10,LEN(F348),IFERROR(FIND("♦",SUBSTITUTE(LEFT(F348,N10)," ","♦",LEN(LEFT(F348,N10))-LEN(SUBSTITUTE(LEFT(F348,N10)," ","")))),FIND(" ",F348&amp;" ",N10+1)-1)))</f>
        <v>1</v>
      </c>
      <c r="N348" s="119">
        <f t="shared" si="41"/>
        <v>331</v>
      </c>
      <c r="O348" s="99" t="str">
        <f t="shared" si="42"/>
        <v>0</v>
      </c>
      <c r="P348" s="119">
        <f t="shared" si="43"/>
        <v>1</v>
      </c>
      <c r="Q348" s="119">
        <f t="shared" si="44"/>
        <v>1</v>
      </c>
      <c r="S348" s="3">
        <v>1</v>
      </c>
    </row>
    <row r="349" spans="2:19">
      <c r="B349" s="116"/>
      <c r="C349" s="116"/>
      <c r="D349" s="116"/>
      <c r="E349" s="116" cm="1">
        <f t="array" ref="E349">IF(H348&lt;&gt;"",E348,IF(E348="","",IFERROR(MATCH(TRUE(),INDEX(INDEX(K:K,E348+1):K203&lt;&gt;"",0),0)+E348,"")))</f>
        <v>490</v>
      </c>
      <c r="F349" s="117" cm="1">
        <f t="array" ref="F349">IF(E349="","",IF(H348&lt;&gt;"",H348,INDEX(D:D,E349)))</f>
        <v>0</v>
      </c>
      <c r="G349" s="117" t="str">
        <f t="shared" si="39"/>
        <v>0</v>
      </c>
      <c r="H349" s="118" t="str">
        <f t="shared" si="40"/>
        <v/>
      </c>
      <c r="I349" s="116" t="str">
        <f>IF(AND(F349&lt;&gt;"",N10&gt;0,M349&gt;N10),"Mot &gt; limite","")</f>
        <v/>
      </c>
      <c r="M349" s="70">
        <f>IF(OR(F349="",N10="",N10&lt;=0),"",IF(LEN(F349)&lt;=N10,LEN(F349),IFERROR(FIND("♦",SUBSTITUTE(LEFT(F349,N10)," ","♦",LEN(LEFT(F349,N10))-LEN(SUBSTITUTE(LEFT(F349,N10)," ","")))),FIND(" ",F349&amp;" ",N10+1)-1)))</f>
        <v>1</v>
      </c>
      <c r="N349" s="119">
        <f t="shared" si="41"/>
        <v>332</v>
      </c>
      <c r="O349" s="99" t="str">
        <f t="shared" si="42"/>
        <v>0</v>
      </c>
      <c r="P349" s="119">
        <f t="shared" si="43"/>
        <v>1</v>
      </c>
      <c r="Q349" s="119">
        <f t="shared" si="44"/>
        <v>1</v>
      </c>
      <c r="S349" s="3">
        <v>1</v>
      </c>
    </row>
    <row r="350" spans="2:19">
      <c r="B350" s="116"/>
      <c r="C350" s="116"/>
      <c r="D350" s="116"/>
      <c r="E350" s="116" cm="1">
        <f t="array" ref="E350">IF(H349&lt;&gt;"",E349,IF(E349="","",IFERROR(MATCH(TRUE(),INDEX(INDEX(K:K,E349+1):K203&lt;&gt;"",0),0)+E349,"")))</f>
        <v>491</v>
      </c>
      <c r="F350" s="117" cm="1">
        <f t="array" ref="F350">IF(E350="","",IF(H349&lt;&gt;"",H349,INDEX(D:D,E350)))</f>
        <v>0</v>
      </c>
      <c r="G350" s="117" t="str">
        <f t="shared" si="39"/>
        <v>0</v>
      </c>
      <c r="H350" s="118" t="str">
        <f t="shared" si="40"/>
        <v/>
      </c>
      <c r="I350" s="116" t="str">
        <f>IF(AND(F350&lt;&gt;"",N10&gt;0,M350&gt;N10),"Mot &gt; limite","")</f>
        <v/>
      </c>
      <c r="M350" s="70">
        <f>IF(OR(F350="",N10="",N10&lt;=0),"",IF(LEN(F350)&lt;=N10,LEN(F350),IFERROR(FIND("♦",SUBSTITUTE(LEFT(F350,N10)," ","♦",LEN(LEFT(F350,N10))-LEN(SUBSTITUTE(LEFT(F350,N10)," ","")))),FIND(" ",F350&amp;" ",N10+1)-1)))</f>
        <v>1</v>
      </c>
      <c r="N350" s="119">
        <f t="shared" si="41"/>
        <v>333</v>
      </c>
      <c r="O350" s="99" t="str">
        <f t="shared" si="42"/>
        <v>0</v>
      </c>
      <c r="P350" s="119">
        <f t="shared" si="43"/>
        <v>1</v>
      </c>
      <c r="Q350" s="119">
        <f t="shared" si="44"/>
        <v>1</v>
      </c>
      <c r="S350" s="3">
        <v>1</v>
      </c>
    </row>
    <row r="351" spans="2:19">
      <c r="B351" s="116"/>
      <c r="C351" s="116"/>
      <c r="D351" s="116"/>
      <c r="E351" s="116" cm="1">
        <f t="array" ref="E351">IF(H350&lt;&gt;"",E350,IF(E350="","",IFERROR(MATCH(TRUE(),INDEX(INDEX(K:K,E350+1):K203&lt;&gt;"",0),0)+E350,"")))</f>
        <v>492</v>
      </c>
      <c r="F351" s="117" cm="1">
        <f t="array" ref="F351">IF(E351="","",IF(H350&lt;&gt;"",H350,INDEX(D:D,E351)))</f>
        <v>0</v>
      </c>
      <c r="G351" s="117" t="str">
        <f t="shared" si="39"/>
        <v>0</v>
      </c>
      <c r="H351" s="118" t="str">
        <f t="shared" si="40"/>
        <v/>
      </c>
      <c r="I351" s="116" t="str">
        <f>IF(AND(F351&lt;&gt;"",N10&gt;0,M351&gt;N10),"Mot &gt; limite","")</f>
        <v/>
      </c>
      <c r="M351" s="70">
        <f>IF(OR(F351="",N10="",N10&lt;=0),"",IF(LEN(F351)&lt;=N10,LEN(F351),IFERROR(FIND("♦",SUBSTITUTE(LEFT(F351,N10)," ","♦",LEN(LEFT(F351,N10))-LEN(SUBSTITUTE(LEFT(F351,N10)," ","")))),FIND(" ",F351&amp;" ",N10+1)-1)))</f>
        <v>1</v>
      </c>
      <c r="N351" s="119">
        <f t="shared" si="41"/>
        <v>334</v>
      </c>
      <c r="O351" s="99" t="str">
        <f t="shared" si="42"/>
        <v>0</v>
      </c>
      <c r="P351" s="119">
        <f t="shared" si="43"/>
        <v>1</v>
      </c>
      <c r="Q351" s="119">
        <f t="shared" si="44"/>
        <v>1</v>
      </c>
      <c r="S351" s="3">
        <v>1</v>
      </c>
    </row>
    <row r="352" spans="2:19">
      <c r="B352" s="116"/>
      <c r="C352" s="116"/>
      <c r="D352" s="116"/>
      <c r="E352" s="116" cm="1">
        <f t="array" ref="E352">IF(H351&lt;&gt;"",E351,IF(E351="","",IFERROR(MATCH(TRUE(),INDEX(INDEX(K:K,E351+1):K203&lt;&gt;"",0),0)+E351,"")))</f>
        <v>493</v>
      </c>
      <c r="F352" s="117" cm="1">
        <f t="array" ref="F352">IF(E352="","",IF(H351&lt;&gt;"",H351,INDEX(D:D,E352)))</f>
        <v>0</v>
      </c>
      <c r="G352" s="117" t="str">
        <f t="shared" si="39"/>
        <v>0</v>
      </c>
      <c r="H352" s="118" t="str">
        <f t="shared" si="40"/>
        <v/>
      </c>
      <c r="I352" s="116" t="str">
        <f>IF(AND(F352&lt;&gt;"",N10&gt;0,M352&gt;N10),"Mot &gt; limite","")</f>
        <v/>
      </c>
      <c r="M352" s="70">
        <f>IF(OR(F352="",N10="",N10&lt;=0),"",IF(LEN(F352)&lt;=N10,LEN(F352),IFERROR(FIND("♦",SUBSTITUTE(LEFT(F352,N10)," ","♦",LEN(LEFT(F352,N10))-LEN(SUBSTITUTE(LEFT(F352,N10)," ","")))),FIND(" ",F352&amp;" ",N10+1)-1)))</f>
        <v>1</v>
      </c>
      <c r="N352" s="119">
        <f t="shared" si="41"/>
        <v>335</v>
      </c>
      <c r="O352" s="99" t="str">
        <f t="shared" si="42"/>
        <v>0</v>
      </c>
      <c r="P352" s="119">
        <f t="shared" si="43"/>
        <v>1</v>
      </c>
      <c r="Q352" s="119">
        <f t="shared" si="44"/>
        <v>1</v>
      </c>
      <c r="S352" s="3">
        <v>1</v>
      </c>
    </row>
    <row r="353" spans="2:19">
      <c r="B353" s="116"/>
      <c r="C353" s="116"/>
      <c r="D353" s="116"/>
      <c r="E353" s="116" cm="1">
        <f t="array" ref="E353">IF(H352&lt;&gt;"",E352,IF(E352="","",IFERROR(MATCH(TRUE(),INDEX(INDEX(K:K,E352+1):K203&lt;&gt;"",0),0)+E352,"")))</f>
        <v>494</v>
      </c>
      <c r="F353" s="117" cm="1">
        <f t="array" ref="F353">IF(E353="","",IF(H352&lt;&gt;"",H352,INDEX(D:D,E353)))</f>
        <v>0</v>
      </c>
      <c r="G353" s="117" t="str">
        <f t="shared" si="39"/>
        <v>0</v>
      </c>
      <c r="H353" s="118" t="str">
        <f t="shared" si="40"/>
        <v/>
      </c>
      <c r="I353" s="116" t="str">
        <f>IF(AND(F353&lt;&gt;"",N10&gt;0,M353&gt;N10),"Mot &gt; limite","")</f>
        <v/>
      </c>
      <c r="M353" s="70">
        <f>IF(OR(F353="",N10="",N10&lt;=0),"",IF(LEN(F353)&lt;=N10,LEN(F353),IFERROR(FIND("♦",SUBSTITUTE(LEFT(F353,N10)," ","♦",LEN(LEFT(F353,N10))-LEN(SUBSTITUTE(LEFT(F353,N10)," ","")))),FIND(" ",F353&amp;" ",N10+1)-1)))</f>
        <v>1</v>
      </c>
      <c r="N353" s="119">
        <f t="shared" si="41"/>
        <v>336</v>
      </c>
      <c r="O353" s="99" t="str">
        <f t="shared" si="42"/>
        <v>0</v>
      </c>
      <c r="P353" s="119">
        <f t="shared" si="43"/>
        <v>1</v>
      </c>
      <c r="Q353" s="119">
        <f t="shared" si="44"/>
        <v>1</v>
      </c>
      <c r="S353" s="3">
        <v>1</v>
      </c>
    </row>
    <row r="354" spans="2:19">
      <c r="B354" s="116"/>
      <c r="C354" s="116"/>
      <c r="D354" s="116"/>
      <c r="E354" s="116" cm="1">
        <f t="array" ref="E354">IF(H353&lt;&gt;"",E353,IF(E353="","",IFERROR(MATCH(TRUE(),INDEX(INDEX(K:K,E353+1):K203&lt;&gt;"",0),0)+E353,"")))</f>
        <v>495</v>
      </c>
      <c r="F354" s="117" cm="1">
        <f t="array" ref="F354">IF(E354="","",IF(H353&lt;&gt;"",H353,INDEX(D:D,E354)))</f>
        <v>0</v>
      </c>
      <c r="G354" s="117" t="str">
        <f t="shared" si="39"/>
        <v>0</v>
      </c>
      <c r="H354" s="118" t="str">
        <f t="shared" si="40"/>
        <v/>
      </c>
      <c r="I354" s="116" t="str">
        <f>IF(AND(F354&lt;&gt;"",N10&gt;0,M354&gt;N10),"Mot &gt; limite","")</f>
        <v/>
      </c>
      <c r="M354" s="70">
        <f>IF(OR(F354="",N10="",N10&lt;=0),"",IF(LEN(F354)&lt;=N10,LEN(F354),IFERROR(FIND("♦",SUBSTITUTE(LEFT(F354,N10)," ","♦",LEN(LEFT(F354,N10))-LEN(SUBSTITUTE(LEFT(F354,N10)," ","")))),FIND(" ",F354&amp;" ",N10+1)-1)))</f>
        <v>1</v>
      </c>
      <c r="N354" s="119">
        <f t="shared" si="41"/>
        <v>337</v>
      </c>
      <c r="O354" s="99" t="str">
        <f t="shared" si="42"/>
        <v>0</v>
      </c>
      <c r="P354" s="119">
        <f t="shared" si="43"/>
        <v>1</v>
      </c>
      <c r="Q354" s="119">
        <f t="shared" si="44"/>
        <v>1</v>
      </c>
      <c r="S354" s="3">
        <v>1</v>
      </c>
    </row>
    <row r="355" spans="2:19">
      <c r="B355" s="116"/>
      <c r="C355" s="116"/>
      <c r="D355" s="116"/>
      <c r="E355" s="116" cm="1">
        <f t="array" ref="E355">IF(H354&lt;&gt;"",E354,IF(E354="","",IFERROR(MATCH(TRUE(),INDEX(INDEX(K:K,E354+1):K203&lt;&gt;"",0),0)+E354,"")))</f>
        <v>496</v>
      </c>
      <c r="F355" s="117" cm="1">
        <f t="array" ref="F355">IF(E355="","",IF(H354&lt;&gt;"",H354,INDEX(D:D,E355)))</f>
        <v>0</v>
      </c>
      <c r="G355" s="117" t="str">
        <f t="shared" si="39"/>
        <v>0</v>
      </c>
      <c r="H355" s="118" t="str">
        <f t="shared" si="40"/>
        <v/>
      </c>
      <c r="I355" s="116" t="str">
        <f>IF(AND(F355&lt;&gt;"",N10&gt;0,M355&gt;N10),"Mot &gt; limite","")</f>
        <v/>
      </c>
      <c r="M355" s="70">
        <f>IF(OR(F355="",N10="",N10&lt;=0),"",IF(LEN(F355)&lt;=N10,LEN(F355),IFERROR(FIND("♦",SUBSTITUTE(LEFT(F355,N10)," ","♦",LEN(LEFT(F355,N10))-LEN(SUBSTITUTE(LEFT(F355,N10)," ","")))),FIND(" ",F355&amp;" ",N10+1)-1)))</f>
        <v>1</v>
      </c>
      <c r="N355" s="119">
        <f t="shared" si="41"/>
        <v>338</v>
      </c>
      <c r="O355" s="99" t="str">
        <f t="shared" si="42"/>
        <v>0</v>
      </c>
      <c r="P355" s="119">
        <f t="shared" si="43"/>
        <v>1</v>
      </c>
      <c r="Q355" s="119">
        <f t="shared" si="44"/>
        <v>1</v>
      </c>
      <c r="S355" s="3">
        <v>1</v>
      </c>
    </row>
    <row r="356" spans="2:19">
      <c r="B356" s="116"/>
      <c r="C356" s="116"/>
      <c r="D356" s="116"/>
      <c r="E356" s="116" cm="1">
        <f t="array" ref="E356">IF(H355&lt;&gt;"",E355,IF(E355="","",IFERROR(MATCH(TRUE(),INDEX(INDEX(K:K,E355+1):K203&lt;&gt;"",0),0)+E355,"")))</f>
        <v>497</v>
      </c>
      <c r="F356" s="117" cm="1">
        <f t="array" ref="F356">IF(E356="","",IF(H355&lt;&gt;"",H355,INDEX(D:D,E356)))</f>
        <v>0</v>
      </c>
      <c r="G356" s="117" t="str">
        <f t="shared" si="39"/>
        <v>0</v>
      </c>
      <c r="H356" s="118" t="str">
        <f t="shared" si="40"/>
        <v/>
      </c>
      <c r="I356" s="116" t="str">
        <f>IF(AND(F356&lt;&gt;"",N10&gt;0,M356&gt;N10),"Mot &gt; limite","")</f>
        <v/>
      </c>
      <c r="M356" s="70">
        <f>IF(OR(F356="",N10="",N10&lt;=0),"",IF(LEN(F356)&lt;=N10,LEN(F356),IFERROR(FIND("♦",SUBSTITUTE(LEFT(F356,N10)," ","♦",LEN(LEFT(F356,N10))-LEN(SUBSTITUTE(LEFT(F356,N10)," ","")))),FIND(" ",F356&amp;" ",N10+1)-1)))</f>
        <v>1</v>
      </c>
      <c r="N356" s="119">
        <f t="shared" si="41"/>
        <v>339</v>
      </c>
      <c r="O356" s="99" t="str">
        <f t="shared" si="42"/>
        <v>0</v>
      </c>
      <c r="P356" s="119">
        <f t="shared" si="43"/>
        <v>1</v>
      </c>
      <c r="Q356" s="119">
        <f t="shared" si="44"/>
        <v>1</v>
      </c>
      <c r="S356" s="3">
        <v>1</v>
      </c>
    </row>
    <row r="357" spans="2:19">
      <c r="B357" s="116"/>
      <c r="C357" s="116"/>
      <c r="D357" s="116"/>
      <c r="E357" s="116" cm="1">
        <f t="array" ref="E357">IF(H356&lt;&gt;"",E356,IF(E356="","",IFERROR(MATCH(TRUE(),INDEX(INDEX(K:K,E356+1):K203&lt;&gt;"",0),0)+E356,"")))</f>
        <v>498</v>
      </c>
      <c r="F357" s="117" cm="1">
        <f t="array" ref="F357">IF(E357="","",IF(H356&lt;&gt;"",H356,INDEX(D:D,E357)))</f>
        <v>0</v>
      </c>
      <c r="G357" s="117" t="str">
        <f t="shared" si="39"/>
        <v>0</v>
      </c>
      <c r="H357" s="118" t="str">
        <f t="shared" si="40"/>
        <v/>
      </c>
      <c r="I357" s="116" t="str">
        <f>IF(AND(F357&lt;&gt;"",N10&gt;0,M357&gt;N10),"Mot &gt; limite","")</f>
        <v/>
      </c>
      <c r="M357" s="70">
        <f>IF(OR(F357="",N10="",N10&lt;=0),"",IF(LEN(F357)&lt;=N10,LEN(F357),IFERROR(FIND("♦",SUBSTITUTE(LEFT(F357,N10)," ","♦",LEN(LEFT(F357,N10))-LEN(SUBSTITUTE(LEFT(F357,N10)," ","")))),FIND(" ",F357&amp;" ",N10+1)-1)))</f>
        <v>1</v>
      </c>
      <c r="N357" s="119">
        <f t="shared" si="41"/>
        <v>340</v>
      </c>
      <c r="O357" s="99" t="str">
        <f t="shared" si="42"/>
        <v>0</v>
      </c>
      <c r="P357" s="119">
        <f t="shared" si="43"/>
        <v>1</v>
      </c>
      <c r="Q357" s="119">
        <f t="shared" si="44"/>
        <v>1</v>
      </c>
      <c r="S357" s="3">
        <v>1</v>
      </c>
    </row>
    <row r="358" spans="2:19">
      <c r="B358" s="116"/>
      <c r="C358" s="116"/>
      <c r="D358" s="116"/>
      <c r="E358" s="116" cm="1">
        <f t="array" ref="E358">IF(H357&lt;&gt;"",E357,IF(E357="","",IFERROR(MATCH(TRUE(),INDEX(INDEX(K:K,E357+1):K203&lt;&gt;"",0),0)+E357,"")))</f>
        <v>499</v>
      </c>
      <c r="F358" s="117" cm="1">
        <f t="array" ref="F358">IF(E358="","",IF(H357&lt;&gt;"",H357,INDEX(D:D,E358)))</f>
        <v>0</v>
      </c>
      <c r="G358" s="117" t="str">
        <f t="shared" si="39"/>
        <v>0</v>
      </c>
      <c r="H358" s="118" t="str">
        <f t="shared" si="40"/>
        <v/>
      </c>
      <c r="I358" s="116" t="str">
        <f>IF(AND(F358&lt;&gt;"",N10&gt;0,M358&gt;N10),"Mot &gt; limite","")</f>
        <v/>
      </c>
      <c r="M358" s="70">
        <f>IF(OR(F358="",N10="",N10&lt;=0),"",IF(LEN(F358)&lt;=N10,LEN(F358),IFERROR(FIND("♦",SUBSTITUTE(LEFT(F358,N10)," ","♦",LEN(LEFT(F358,N10))-LEN(SUBSTITUTE(LEFT(F358,N10)," ","")))),FIND(" ",F358&amp;" ",N10+1)-1)))</f>
        <v>1</v>
      </c>
      <c r="N358" s="119">
        <f t="shared" si="41"/>
        <v>341</v>
      </c>
      <c r="O358" s="99" t="str">
        <f t="shared" si="42"/>
        <v>0</v>
      </c>
      <c r="P358" s="119">
        <f t="shared" si="43"/>
        <v>1</v>
      </c>
      <c r="Q358" s="119">
        <f t="shared" si="44"/>
        <v>1</v>
      </c>
      <c r="S358" s="3">
        <v>1</v>
      </c>
    </row>
    <row r="359" spans="2:19">
      <c r="B359" s="116"/>
      <c r="C359" s="116"/>
      <c r="D359" s="116"/>
      <c r="E359" s="116" cm="1">
        <f t="array" ref="E359">IF(H358&lt;&gt;"",E358,IF(E358="","",IFERROR(MATCH(TRUE(),INDEX(INDEX(K:K,E358+1):K203&lt;&gt;"",0),0)+E358,"")))</f>
        <v>500</v>
      </c>
      <c r="F359" s="117" cm="1">
        <f t="array" ref="F359">IF(E359="","",IF(H358&lt;&gt;"",H358,INDEX(D:D,E359)))</f>
        <v>0</v>
      </c>
      <c r="G359" s="117" t="str">
        <f t="shared" si="39"/>
        <v>0</v>
      </c>
      <c r="H359" s="118" t="str">
        <f t="shared" si="40"/>
        <v/>
      </c>
      <c r="I359" s="116" t="str">
        <f>IF(AND(F359&lt;&gt;"",N10&gt;0,M359&gt;N10),"Mot &gt; limite","")</f>
        <v/>
      </c>
      <c r="M359" s="70">
        <f>IF(OR(F359="",N10="",N10&lt;=0),"",IF(LEN(F359)&lt;=N10,LEN(F359),IFERROR(FIND("♦",SUBSTITUTE(LEFT(F359,N10)," ","♦",LEN(LEFT(F359,N10))-LEN(SUBSTITUTE(LEFT(F359,N10)," ","")))),FIND(" ",F359&amp;" ",N10+1)-1)))</f>
        <v>1</v>
      </c>
      <c r="N359" s="119">
        <f t="shared" si="41"/>
        <v>342</v>
      </c>
      <c r="O359" s="99" t="str">
        <f t="shared" si="42"/>
        <v>0</v>
      </c>
      <c r="P359" s="119">
        <f t="shared" si="43"/>
        <v>1</v>
      </c>
      <c r="Q359" s="119">
        <f t="shared" si="44"/>
        <v>1</v>
      </c>
      <c r="S359" s="3">
        <v>1</v>
      </c>
    </row>
    <row r="360" spans="2:19">
      <c r="B360" s="116"/>
      <c r="C360" s="116"/>
      <c r="D360" s="116"/>
      <c r="E360" s="116" cm="1">
        <f t="array" ref="E360">IF(H359&lt;&gt;"",E359,IF(E359="","",IFERROR(MATCH(TRUE(),INDEX(INDEX(K:K,E359+1):K203&lt;&gt;"",0),0)+E359,"")))</f>
        <v>501</v>
      </c>
      <c r="F360" s="117" cm="1">
        <f t="array" ref="F360">IF(E360="","",IF(H359&lt;&gt;"",H359,INDEX(D:D,E360)))</f>
        <v>0</v>
      </c>
      <c r="G360" s="117" t="str">
        <f t="shared" si="39"/>
        <v>0</v>
      </c>
      <c r="H360" s="118" t="str">
        <f t="shared" si="40"/>
        <v/>
      </c>
      <c r="I360" s="116" t="str">
        <f>IF(AND(F360&lt;&gt;"",N10&gt;0,M360&gt;N10),"Mot &gt; limite","")</f>
        <v/>
      </c>
      <c r="M360" s="70">
        <f>IF(OR(F360="",N10="",N10&lt;=0),"",IF(LEN(F360)&lt;=N10,LEN(F360),IFERROR(FIND("♦",SUBSTITUTE(LEFT(F360,N10)," ","♦",LEN(LEFT(F360,N10))-LEN(SUBSTITUTE(LEFT(F360,N10)," ","")))),FIND(" ",F360&amp;" ",N10+1)-1)))</f>
        <v>1</v>
      </c>
      <c r="N360" s="119">
        <f t="shared" si="41"/>
        <v>343</v>
      </c>
      <c r="O360" s="99" t="str">
        <f t="shared" si="42"/>
        <v>0</v>
      </c>
      <c r="P360" s="119">
        <f t="shared" si="43"/>
        <v>1</v>
      </c>
      <c r="Q360" s="119">
        <f t="shared" si="44"/>
        <v>1</v>
      </c>
      <c r="S360" s="3">
        <v>1</v>
      </c>
    </row>
    <row r="361" spans="2:19">
      <c r="B361" s="116"/>
      <c r="C361" s="116"/>
      <c r="D361" s="116"/>
      <c r="E361" s="116" cm="1">
        <f t="array" ref="E361">IF(H360&lt;&gt;"",E360,IF(E360="","",IFERROR(MATCH(TRUE(),INDEX(INDEX(K:K,E360+1):K203&lt;&gt;"",0),0)+E360,"")))</f>
        <v>502</v>
      </c>
      <c r="F361" s="117" cm="1">
        <f t="array" ref="F361">IF(E361="","",IF(H360&lt;&gt;"",H360,INDEX(D:D,E361)))</f>
        <v>0</v>
      </c>
      <c r="G361" s="117" t="str">
        <f t="shared" si="39"/>
        <v>0</v>
      </c>
      <c r="H361" s="118" t="str">
        <f t="shared" si="40"/>
        <v/>
      </c>
      <c r="I361" s="116" t="str">
        <f>IF(AND(F361&lt;&gt;"",N10&gt;0,M361&gt;N10),"Mot &gt; limite","")</f>
        <v/>
      </c>
      <c r="M361" s="70">
        <f>IF(OR(F361="",N10="",N10&lt;=0),"",IF(LEN(F361)&lt;=N10,LEN(F361),IFERROR(FIND("♦",SUBSTITUTE(LEFT(F361,N10)," ","♦",LEN(LEFT(F361,N10))-LEN(SUBSTITUTE(LEFT(F361,N10)," ","")))),FIND(" ",F361&amp;" ",N10+1)-1)))</f>
        <v>1</v>
      </c>
      <c r="N361" s="119">
        <f t="shared" si="41"/>
        <v>344</v>
      </c>
      <c r="O361" s="99" t="str">
        <f t="shared" si="42"/>
        <v>0</v>
      </c>
      <c r="P361" s="119">
        <f t="shared" si="43"/>
        <v>1</v>
      </c>
      <c r="Q361" s="119">
        <f t="shared" si="44"/>
        <v>1</v>
      </c>
      <c r="S361" s="3">
        <v>1</v>
      </c>
    </row>
    <row r="362" spans="2:19">
      <c r="B362" s="116"/>
      <c r="C362" s="116"/>
      <c r="D362" s="116"/>
      <c r="E362" s="116" cm="1">
        <f t="array" ref="E362">IF(H361&lt;&gt;"",E361,IF(E361="","",IFERROR(MATCH(TRUE(),INDEX(INDEX(K:K,E361+1):K203&lt;&gt;"",0),0)+E361,"")))</f>
        <v>503</v>
      </c>
      <c r="F362" s="117" cm="1">
        <f t="array" ref="F362">IF(E362="","",IF(H361&lt;&gt;"",H361,INDEX(D:D,E362)))</f>
        <v>0</v>
      </c>
      <c r="G362" s="117" t="str">
        <f t="shared" si="39"/>
        <v>0</v>
      </c>
      <c r="H362" s="118" t="str">
        <f t="shared" si="40"/>
        <v/>
      </c>
      <c r="I362" s="116" t="str">
        <f>IF(AND(F362&lt;&gt;"",N10&gt;0,M362&gt;N10),"Mot &gt; limite","")</f>
        <v/>
      </c>
      <c r="M362" s="70">
        <f>IF(OR(F362="",N10="",N10&lt;=0),"",IF(LEN(F362)&lt;=N10,LEN(F362),IFERROR(FIND("♦",SUBSTITUTE(LEFT(F362,N10)," ","♦",LEN(LEFT(F362,N10))-LEN(SUBSTITUTE(LEFT(F362,N10)," ","")))),FIND(" ",F362&amp;" ",N10+1)-1)))</f>
        <v>1</v>
      </c>
      <c r="N362" s="119">
        <f t="shared" si="41"/>
        <v>345</v>
      </c>
      <c r="O362" s="99" t="str">
        <f t="shared" si="42"/>
        <v>0</v>
      </c>
      <c r="P362" s="119">
        <f t="shared" si="43"/>
        <v>1</v>
      </c>
      <c r="Q362" s="119">
        <f t="shared" si="44"/>
        <v>1</v>
      </c>
      <c r="S362" s="3">
        <v>1</v>
      </c>
    </row>
    <row r="363" spans="2:19">
      <c r="B363" s="116"/>
      <c r="C363" s="116"/>
      <c r="D363" s="116"/>
      <c r="E363" s="116" cm="1">
        <f t="array" ref="E363">IF(H362&lt;&gt;"",E362,IF(E362="","",IFERROR(MATCH(TRUE(),INDEX(INDEX(K:K,E362+1):K203&lt;&gt;"",0),0)+E362,"")))</f>
        <v>504</v>
      </c>
      <c r="F363" s="117" cm="1">
        <f t="array" ref="F363">IF(E363="","",IF(H362&lt;&gt;"",H362,INDEX(D:D,E363)))</f>
        <v>0</v>
      </c>
      <c r="G363" s="117" t="str">
        <f t="shared" si="39"/>
        <v>0</v>
      </c>
      <c r="H363" s="118" t="str">
        <f t="shared" si="40"/>
        <v/>
      </c>
      <c r="I363" s="116" t="str">
        <f>IF(AND(F363&lt;&gt;"",N10&gt;0,M363&gt;N10),"Mot &gt; limite","")</f>
        <v/>
      </c>
      <c r="M363" s="70">
        <f>IF(OR(F363="",N10="",N10&lt;=0),"",IF(LEN(F363)&lt;=N10,LEN(F363),IFERROR(FIND("♦",SUBSTITUTE(LEFT(F363,N10)," ","♦",LEN(LEFT(F363,N10))-LEN(SUBSTITUTE(LEFT(F363,N10)," ","")))),FIND(" ",F363&amp;" ",N10+1)-1)))</f>
        <v>1</v>
      </c>
      <c r="N363" s="119">
        <f t="shared" si="41"/>
        <v>346</v>
      </c>
      <c r="O363" s="99" t="str">
        <f t="shared" si="42"/>
        <v>0</v>
      </c>
      <c r="P363" s="119">
        <f t="shared" si="43"/>
        <v>1</v>
      </c>
      <c r="Q363" s="119">
        <f t="shared" si="44"/>
        <v>1</v>
      </c>
      <c r="S363" s="3">
        <v>1</v>
      </c>
    </row>
    <row r="364" spans="2:19">
      <c r="B364" s="116"/>
      <c r="C364" s="116"/>
      <c r="D364" s="116"/>
      <c r="E364" s="116" cm="1">
        <f t="array" ref="E364">IF(H363&lt;&gt;"",E363,IF(E363="","",IFERROR(MATCH(TRUE(),INDEX(INDEX(K:K,E363+1):K203&lt;&gt;"",0),0)+E363,"")))</f>
        <v>505</v>
      </c>
      <c r="F364" s="117" cm="1">
        <f t="array" ref="F364">IF(E364="","",IF(H363&lt;&gt;"",H363,INDEX(D:D,E364)))</f>
        <v>0</v>
      </c>
      <c r="G364" s="117" t="str">
        <f t="shared" si="39"/>
        <v>0</v>
      </c>
      <c r="H364" s="118" t="str">
        <f t="shared" si="40"/>
        <v/>
      </c>
      <c r="I364" s="116" t="str">
        <f>IF(AND(F364&lt;&gt;"",N10&gt;0,M364&gt;N10),"Mot &gt; limite","")</f>
        <v/>
      </c>
      <c r="M364" s="70">
        <f>IF(OR(F364="",N10="",N10&lt;=0),"",IF(LEN(F364)&lt;=N10,LEN(F364),IFERROR(FIND("♦",SUBSTITUTE(LEFT(F364,N10)," ","♦",LEN(LEFT(F364,N10))-LEN(SUBSTITUTE(LEFT(F364,N10)," ","")))),FIND(" ",F364&amp;" ",N10+1)-1)))</f>
        <v>1</v>
      </c>
      <c r="N364" s="119">
        <f t="shared" si="41"/>
        <v>347</v>
      </c>
      <c r="O364" s="99" t="str">
        <f t="shared" si="42"/>
        <v>0</v>
      </c>
      <c r="P364" s="119">
        <f t="shared" si="43"/>
        <v>1</v>
      </c>
      <c r="Q364" s="119">
        <f t="shared" si="44"/>
        <v>1</v>
      </c>
      <c r="S364" s="3">
        <v>1</v>
      </c>
    </row>
    <row r="365" spans="2:19">
      <c r="B365" s="116"/>
      <c r="C365" s="116"/>
      <c r="D365" s="116"/>
      <c r="E365" s="116" cm="1">
        <f t="array" ref="E365">IF(H364&lt;&gt;"",E364,IF(E364="","",IFERROR(MATCH(TRUE(),INDEX(INDEX(K:K,E364+1):K203&lt;&gt;"",0),0)+E364,"")))</f>
        <v>506</v>
      </c>
      <c r="F365" s="117" cm="1">
        <f t="array" ref="F365">IF(E365="","",IF(H364&lt;&gt;"",H364,INDEX(D:D,E365)))</f>
        <v>0</v>
      </c>
      <c r="G365" s="117" t="str">
        <f t="shared" si="39"/>
        <v>0</v>
      </c>
      <c r="H365" s="118" t="str">
        <f t="shared" si="40"/>
        <v/>
      </c>
      <c r="I365" s="116" t="str">
        <f>IF(AND(F365&lt;&gt;"",N10&gt;0,M365&gt;N10),"Mot &gt; limite","")</f>
        <v/>
      </c>
      <c r="M365" s="70">
        <f>IF(OR(F365="",N10="",N10&lt;=0),"",IF(LEN(F365)&lt;=N10,LEN(F365),IFERROR(FIND("♦",SUBSTITUTE(LEFT(F365,N10)," ","♦",LEN(LEFT(F365,N10))-LEN(SUBSTITUTE(LEFT(F365,N10)," ","")))),FIND(" ",F365&amp;" ",N10+1)-1)))</f>
        <v>1</v>
      </c>
      <c r="N365" s="119">
        <f t="shared" si="41"/>
        <v>348</v>
      </c>
      <c r="O365" s="99" t="str">
        <f t="shared" si="42"/>
        <v>0</v>
      </c>
      <c r="P365" s="119">
        <f t="shared" si="43"/>
        <v>1</v>
      </c>
      <c r="Q365" s="119">
        <f t="shared" si="44"/>
        <v>1</v>
      </c>
      <c r="S365" s="3">
        <v>1</v>
      </c>
    </row>
    <row r="366" spans="2:19">
      <c r="B366" s="116"/>
      <c r="C366" s="116"/>
      <c r="D366" s="116"/>
      <c r="E366" s="116" cm="1">
        <f t="array" ref="E366">IF(H365&lt;&gt;"",E365,IF(E365="","",IFERROR(MATCH(TRUE(),INDEX(INDEX(K:K,E365+1):K203&lt;&gt;"",0),0)+E365,"")))</f>
        <v>507</v>
      </c>
      <c r="F366" s="117" cm="1">
        <f t="array" ref="F366">IF(E366="","",IF(H365&lt;&gt;"",H365,INDEX(D:D,E366)))</f>
        <v>0</v>
      </c>
      <c r="G366" s="117" t="str">
        <f t="shared" si="39"/>
        <v>0</v>
      </c>
      <c r="H366" s="118" t="str">
        <f t="shared" si="40"/>
        <v/>
      </c>
      <c r="I366" s="116" t="str">
        <f>IF(AND(F366&lt;&gt;"",N10&gt;0,M366&gt;N10),"Mot &gt; limite","")</f>
        <v/>
      </c>
      <c r="M366" s="70">
        <f>IF(OR(F366="",N10="",N10&lt;=0),"",IF(LEN(F366)&lt;=N10,LEN(F366),IFERROR(FIND("♦",SUBSTITUTE(LEFT(F366,N10)," ","♦",LEN(LEFT(F366,N10))-LEN(SUBSTITUTE(LEFT(F366,N10)," ","")))),FIND(" ",F366&amp;" ",N10+1)-1)))</f>
        <v>1</v>
      </c>
      <c r="N366" s="119">
        <f t="shared" si="41"/>
        <v>349</v>
      </c>
      <c r="O366" s="99" t="str">
        <f t="shared" si="42"/>
        <v>0</v>
      </c>
      <c r="P366" s="119">
        <f t="shared" si="43"/>
        <v>1</v>
      </c>
      <c r="Q366" s="119">
        <f t="shared" si="44"/>
        <v>1</v>
      </c>
      <c r="S366" s="3">
        <v>1</v>
      </c>
    </row>
    <row r="367" spans="2:19">
      <c r="B367" s="116"/>
      <c r="C367" s="116"/>
      <c r="D367" s="116"/>
      <c r="E367" s="116" cm="1">
        <f t="array" ref="E367">IF(H366&lt;&gt;"",E366,IF(E366="","",IFERROR(MATCH(TRUE(),INDEX(INDEX(K:K,E366+1):K203&lt;&gt;"",0),0)+E366,"")))</f>
        <v>508</v>
      </c>
      <c r="F367" s="117" cm="1">
        <f t="array" ref="F367">IF(E367="","",IF(H366&lt;&gt;"",H366,INDEX(D:D,E367)))</f>
        <v>0</v>
      </c>
      <c r="G367" s="117" t="str">
        <f t="shared" si="39"/>
        <v>0</v>
      </c>
      <c r="H367" s="118" t="str">
        <f t="shared" si="40"/>
        <v/>
      </c>
      <c r="I367" s="116" t="str">
        <f>IF(AND(F367&lt;&gt;"",N10&gt;0,M367&gt;N10),"Mot &gt; limite","")</f>
        <v/>
      </c>
      <c r="M367" s="70">
        <f>IF(OR(F367="",N10="",N10&lt;=0),"",IF(LEN(F367)&lt;=N10,LEN(F367),IFERROR(FIND("♦",SUBSTITUTE(LEFT(F367,N10)," ","♦",LEN(LEFT(F367,N10))-LEN(SUBSTITUTE(LEFT(F367,N10)," ","")))),FIND(" ",F367&amp;" ",N10+1)-1)))</f>
        <v>1</v>
      </c>
      <c r="N367" s="119">
        <f t="shared" si="41"/>
        <v>350</v>
      </c>
      <c r="O367" s="99" t="str">
        <f t="shared" si="42"/>
        <v>0</v>
      </c>
      <c r="P367" s="119">
        <f t="shared" si="43"/>
        <v>1</v>
      </c>
      <c r="Q367" s="119">
        <f t="shared" si="44"/>
        <v>1</v>
      </c>
      <c r="S367" s="3">
        <v>1</v>
      </c>
    </row>
    <row r="368" spans="2:19">
      <c r="B368" s="116"/>
      <c r="C368" s="116"/>
      <c r="D368" s="116"/>
      <c r="E368" s="116" cm="1">
        <f t="array" ref="E368">IF(H367&lt;&gt;"",E367,IF(E367="","",IFERROR(MATCH(TRUE(),INDEX(INDEX(K:K,E367+1):K203&lt;&gt;"",0),0)+E367,"")))</f>
        <v>509</v>
      </c>
      <c r="F368" s="117" cm="1">
        <f t="array" ref="F368">IF(E368="","",IF(H367&lt;&gt;"",H367,INDEX(D:D,E368)))</f>
        <v>0</v>
      </c>
      <c r="G368" s="117" t="str">
        <f t="shared" si="39"/>
        <v>0</v>
      </c>
      <c r="H368" s="118" t="str">
        <f t="shared" si="40"/>
        <v/>
      </c>
      <c r="I368" s="116" t="str">
        <f>IF(AND(F368&lt;&gt;"",N10&gt;0,M368&gt;N10),"Mot &gt; limite","")</f>
        <v/>
      </c>
      <c r="M368" s="70">
        <f>IF(OR(F368="",N10="",N10&lt;=0),"",IF(LEN(F368)&lt;=N10,LEN(F368),IFERROR(FIND("♦",SUBSTITUTE(LEFT(F368,N10)," ","♦",LEN(LEFT(F368,N10))-LEN(SUBSTITUTE(LEFT(F368,N10)," ","")))),FIND(" ",F368&amp;" ",N10+1)-1)))</f>
        <v>1</v>
      </c>
      <c r="N368" s="119">
        <f t="shared" si="41"/>
        <v>351</v>
      </c>
      <c r="O368" s="99" t="str">
        <f t="shared" si="42"/>
        <v>0</v>
      </c>
      <c r="P368" s="119">
        <f t="shared" si="43"/>
        <v>1</v>
      </c>
      <c r="Q368" s="119">
        <f t="shared" si="44"/>
        <v>1</v>
      </c>
      <c r="S368" s="3">
        <v>1</v>
      </c>
    </row>
    <row r="369" spans="2:19">
      <c r="B369" s="116"/>
      <c r="C369" s="116"/>
      <c r="D369" s="116"/>
      <c r="E369" s="116" cm="1">
        <f t="array" ref="E369">IF(H368&lt;&gt;"",E368,IF(E368="","",IFERROR(MATCH(TRUE(),INDEX(INDEX(K:K,E368+1):K203&lt;&gt;"",0),0)+E368,"")))</f>
        <v>510</v>
      </c>
      <c r="F369" s="117" cm="1">
        <f t="array" ref="F369">IF(E369="","",IF(H368&lt;&gt;"",H368,INDEX(D:D,E369)))</f>
        <v>0</v>
      </c>
      <c r="G369" s="117" t="str">
        <f t="shared" si="39"/>
        <v>0</v>
      </c>
      <c r="H369" s="118" t="str">
        <f t="shared" si="40"/>
        <v/>
      </c>
      <c r="I369" s="116" t="str">
        <f>IF(AND(F369&lt;&gt;"",N10&gt;0,M369&gt;N10),"Mot &gt; limite","")</f>
        <v/>
      </c>
      <c r="M369" s="70">
        <f>IF(OR(F369="",N10="",N10&lt;=0),"",IF(LEN(F369)&lt;=N10,LEN(F369),IFERROR(FIND("♦",SUBSTITUTE(LEFT(F369,N10)," ","♦",LEN(LEFT(F369,N10))-LEN(SUBSTITUTE(LEFT(F369,N10)," ","")))),FIND(" ",F369&amp;" ",N10+1)-1)))</f>
        <v>1</v>
      </c>
      <c r="N369" s="119">
        <f t="shared" si="41"/>
        <v>352</v>
      </c>
      <c r="O369" s="99" t="str">
        <f t="shared" si="42"/>
        <v>0</v>
      </c>
      <c r="P369" s="119">
        <f t="shared" si="43"/>
        <v>1</v>
      </c>
      <c r="Q369" s="119">
        <f t="shared" si="44"/>
        <v>1</v>
      </c>
      <c r="S369" s="3">
        <v>1</v>
      </c>
    </row>
    <row r="370" spans="2:19">
      <c r="B370" s="116"/>
      <c r="C370" s="116"/>
      <c r="D370" s="116"/>
      <c r="E370" s="116" cm="1">
        <f t="array" ref="E370">IF(H369&lt;&gt;"",E369,IF(E369="","",IFERROR(MATCH(TRUE(),INDEX(INDEX(K:K,E369+1):K203&lt;&gt;"",0),0)+E369,"")))</f>
        <v>511</v>
      </c>
      <c r="F370" s="117" cm="1">
        <f t="array" ref="F370">IF(E370="","",IF(H369&lt;&gt;"",H369,INDEX(D:D,E370)))</f>
        <v>0</v>
      </c>
      <c r="G370" s="117" t="str">
        <f t="shared" si="39"/>
        <v>0</v>
      </c>
      <c r="H370" s="118" t="str">
        <f t="shared" si="40"/>
        <v/>
      </c>
      <c r="I370" s="116" t="str">
        <f>IF(AND(F370&lt;&gt;"",N10&gt;0,M370&gt;N10),"Mot &gt; limite","")</f>
        <v/>
      </c>
      <c r="M370" s="70">
        <f>IF(OR(F370="",N10="",N10&lt;=0),"",IF(LEN(F370)&lt;=N10,LEN(F370),IFERROR(FIND("♦",SUBSTITUTE(LEFT(F370,N10)," ","♦",LEN(LEFT(F370,N10))-LEN(SUBSTITUTE(LEFT(F370,N10)," ","")))),FIND(" ",F370&amp;" ",N10+1)-1)))</f>
        <v>1</v>
      </c>
      <c r="N370" s="119">
        <f t="shared" si="41"/>
        <v>353</v>
      </c>
      <c r="O370" s="99" t="str">
        <f t="shared" si="42"/>
        <v>0</v>
      </c>
      <c r="P370" s="119">
        <f t="shared" si="43"/>
        <v>1</v>
      </c>
      <c r="Q370" s="119">
        <f t="shared" si="44"/>
        <v>1</v>
      </c>
      <c r="S370" s="3">
        <v>1</v>
      </c>
    </row>
    <row r="371" spans="2:19">
      <c r="B371" s="116"/>
      <c r="C371" s="116"/>
      <c r="D371" s="116"/>
      <c r="E371" s="116" cm="1">
        <f t="array" ref="E371">IF(H370&lt;&gt;"",E370,IF(E370="","",IFERROR(MATCH(TRUE(),INDEX(INDEX(K:K,E370+1):K203&lt;&gt;"",0),0)+E370,"")))</f>
        <v>512</v>
      </c>
      <c r="F371" s="117" cm="1">
        <f t="array" ref="F371">IF(E371="","",IF(H370&lt;&gt;"",H370,INDEX(D:D,E371)))</f>
        <v>0</v>
      </c>
      <c r="G371" s="117" t="str">
        <f t="shared" si="39"/>
        <v>0</v>
      </c>
      <c r="H371" s="118" t="str">
        <f t="shared" si="40"/>
        <v/>
      </c>
      <c r="I371" s="116" t="str">
        <f>IF(AND(F371&lt;&gt;"",N10&gt;0,M371&gt;N10),"Mot &gt; limite","")</f>
        <v/>
      </c>
      <c r="M371" s="70">
        <f>IF(OR(F371="",N10="",N10&lt;=0),"",IF(LEN(F371)&lt;=N10,LEN(F371),IFERROR(FIND("♦",SUBSTITUTE(LEFT(F371,N10)," ","♦",LEN(LEFT(F371,N10))-LEN(SUBSTITUTE(LEFT(F371,N10)," ","")))),FIND(" ",F371&amp;" ",N10+1)-1)))</f>
        <v>1</v>
      </c>
      <c r="N371" s="119">
        <f t="shared" si="41"/>
        <v>354</v>
      </c>
      <c r="O371" s="99" t="str">
        <f t="shared" si="42"/>
        <v>0</v>
      </c>
      <c r="P371" s="119">
        <f t="shared" si="43"/>
        <v>1</v>
      </c>
      <c r="Q371" s="119">
        <f t="shared" si="44"/>
        <v>1</v>
      </c>
      <c r="S371" s="3">
        <v>1</v>
      </c>
    </row>
    <row r="372" spans="2:19">
      <c r="B372" s="116"/>
      <c r="C372" s="116"/>
      <c r="D372" s="116"/>
      <c r="E372" s="116" cm="1">
        <f t="array" ref="E372">IF(H371&lt;&gt;"",E371,IF(E371="","",IFERROR(MATCH(TRUE(),INDEX(INDEX(K:K,E371+1):K203&lt;&gt;"",0),0)+E371,"")))</f>
        <v>513</v>
      </c>
      <c r="F372" s="117" cm="1">
        <f t="array" ref="F372">IF(E372="","",IF(H371&lt;&gt;"",H371,INDEX(D:D,E372)))</f>
        <v>0</v>
      </c>
      <c r="G372" s="117" t="str">
        <f t="shared" si="39"/>
        <v>0</v>
      </c>
      <c r="H372" s="118" t="str">
        <f t="shared" si="40"/>
        <v/>
      </c>
      <c r="I372" s="116" t="str">
        <f>IF(AND(F372&lt;&gt;"",N10&gt;0,M372&gt;N10),"Mot &gt; limite","")</f>
        <v/>
      </c>
      <c r="M372" s="70">
        <f>IF(OR(F372="",N10="",N10&lt;=0),"",IF(LEN(F372)&lt;=N10,LEN(F372),IFERROR(FIND("♦",SUBSTITUTE(LEFT(F372,N10)," ","♦",LEN(LEFT(F372,N10))-LEN(SUBSTITUTE(LEFT(F372,N10)," ","")))),FIND(" ",F372&amp;" ",N10+1)-1)))</f>
        <v>1</v>
      </c>
      <c r="N372" s="119">
        <f t="shared" si="41"/>
        <v>355</v>
      </c>
      <c r="O372" s="99" t="str">
        <f t="shared" si="42"/>
        <v>0</v>
      </c>
      <c r="P372" s="119">
        <f t="shared" si="43"/>
        <v>1</v>
      </c>
      <c r="Q372" s="119">
        <f t="shared" si="44"/>
        <v>1</v>
      </c>
      <c r="S372" s="3">
        <v>1</v>
      </c>
    </row>
    <row r="373" spans="2:19">
      <c r="B373" s="116"/>
      <c r="C373" s="116"/>
      <c r="D373" s="116"/>
      <c r="E373" s="116" cm="1">
        <f t="array" ref="E373">IF(H372&lt;&gt;"",E372,IF(E372="","",IFERROR(MATCH(TRUE(),INDEX(INDEX(K:K,E372+1):K203&lt;&gt;"",0),0)+E372,"")))</f>
        <v>514</v>
      </c>
      <c r="F373" s="117" cm="1">
        <f t="array" ref="F373">IF(E373="","",IF(H372&lt;&gt;"",H372,INDEX(D:D,E373)))</f>
        <v>0</v>
      </c>
      <c r="G373" s="117" t="str">
        <f t="shared" si="39"/>
        <v>0</v>
      </c>
      <c r="H373" s="118" t="str">
        <f t="shared" si="40"/>
        <v/>
      </c>
      <c r="I373" s="116" t="str">
        <f>IF(AND(F373&lt;&gt;"",N10&gt;0,M373&gt;N10),"Mot &gt; limite","")</f>
        <v/>
      </c>
      <c r="M373" s="70">
        <f>IF(OR(F373="",N10="",N10&lt;=0),"",IF(LEN(F373)&lt;=N10,LEN(F373),IFERROR(FIND("♦",SUBSTITUTE(LEFT(F373,N10)," ","♦",LEN(LEFT(F373,N10))-LEN(SUBSTITUTE(LEFT(F373,N10)," ","")))),FIND(" ",F373&amp;" ",N10+1)-1)))</f>
        <v>1</v>
      </c>
      <c r="N373" s="119">
        <f t="shared" si="41"/>
        <v>356</v>
      </c>
      <c r="O373" s="99" t="str">
        <f t="shared" si="42"/>
        <v>0</v>
      </c>
      <c r="P373" s="119">
        <f t="shared" si="43"/>
        <v>1</v>
      </c>
      <c r="Q373" s="119">
        <f t="shared" si="44"/>
        <v>1</v>
      </c>
      <c r="S373" s="3">
        <v>1</v>
      </c>
    </row>
    <row r="374" spans="2:19">
      <c r="B374" s="116"/>
      <c r="C374" s="116"/>
      <c r="D374" s="116"/>
      <c r="E374" s="116" cm="1">
        <f t="array" ref="E374">IF(H373&lt;&gt;"",E373,IF(E373="","",IFERROR(MATCH(TRUE(),INDEX(INDEX(K:K,E373+1):K203&lt;&gt;"",0),0)+E373,"")))</f>
        <v>515</v>
      </c>
      <c r="F374" s="117" cm="1">
        <f t="array" ref="F374">IF(E374="","",IF(H373&lt;&gt;"",H373,INDEX(D:D,E374)))</f>
        <v>0</v>
      </c>
      <c r="G374" s="117" t="str">
        <f t="shared" si="39"/>
        <v>0</v>
      </c>
      <c r="H374" s="118" t="str">
        <f t="shared" si="40"/>
        <v/>
      </c>
      <c r="I374" s="116" t="str">
        <f>IF(AND(F374&lt;&gt;"",N10&gt;0,M374&gt;N10),"Mot &gt; limite","")</f>
        <v/>
      </c>
      <c r="M374" s="70">
        <f>IF(OR(F374="",N10="",N10&lt;=0),"",IF(LEN(F374)&lt;=N10,LEN(F374),IFERROR(FIND("♦",SUBSTITUTE(LEFT(F374,N10)," ","♦",LEN(LEFT(F374,N10))-LEN(SUBSTITUTE(LEFT(F374,N10)," ","")))),FIND(" ",F374&amp;" ",N10+1)-1)))</f>
        <v>1</v>
      </c>
      <c r="N374" s="119">
        <f t="shared" si="41"/>
        <v>357</v>
      </c>
      <c r="O374" s="99" t="str">
        <f t="shared" si="42"/>
        <v>0</v>
      </c>
      <c r="P374" s="119">
        <f t="shared" si="43"/>
        <v>1</v>
      </c>
      <c r="Q374" s="119">
        <f t="shared" si="44"/>
        <v>1</v>
      </c>
      <c r="S374" s="3">
        <v>1</v>
      </c>
    </row>
    <row r="375" spans="2:19">
      <c r="B375" s="116"/>
      <c r="C375" s="116"/>
      <c r="D375" s="116"/>
      <c r="E375" s="116" cm="1">
        <f t="array" ref="E375">IF(H374&lt;&gt;"",E374,IF(E374="","",IFERROR(MATCH(TRUE(),INDEX(INDEX(K:K,E374+1):K203&lt;&gt;"",0),0)+E374,"")))</f>
        <v>516</v>
      </c>
      <c r="F375" s="117" cm="1">
        <f t="array" ref="F375">IF(E375="","",IF(H374&lt;&gt;"",H374,INDEX(D:D,E375)))</f>
        <v>0</v>
      </c>
      <c r="G375" s="117" t="str">
        <f t="shared" si="39"/>
        <v>0</v>
      </c>
      <c r="H375" s="118" t="str">
        <f t="shared" si="40"/>
        <v/>
      </c>
      <c r="I375" s="116" t="str">
        <f>IF(AND(F375&lt;&gt;"",N10&gt;0,M375&gt;N10),"Mot &gt; limite","")</f>
        <v/>
      </c>
      <c r="M375" s="70">
        <f>IF(OR(F375="",N10="",N10&lt;=0),"",IF(LEN(F375)&lt;=N10,LEN(F375),IFERROR(FIND("♦",SUBSTITUTE(LEFT(F375,N10)," ","♦",LEN(LEFT(F375,N10))-LEN(SUBSTITUTE(LEFT(F375,N10)," ","")))),FIND(" ",F375&amp;" ",N10+1)-1)))</f>
        <v>1</v>
      </c>
      <c r="N375" s="119">
        <f t="shared" si="41"/>
        <v>358</v>
      </c>
      <c r="O375" s="99" t="str">
        <f t="shared" si="42"/>
        <v>0</v>
      </c>
      <c r="P375" s="119">
        <f t="shared" si="43"/>
        <v>1</v>
      </c>
      <c r="Q375" s="119">
        <f t="shared" si="44"/>
        <v>1</v>
      </c>
      <c r="S375" s="3">
        <v>1</v>
      </c>
    </row>
    <row r="376" spans="2:19">
      <c r="B376" s="116"/>
      <c r="C376" s="116"/>
      <c r="D376" s="116"/>
      <c r="E376" s="116" cm="1">
        <f t="array" ref="E376">IF(H375&lt;&gt;"",E375,IF(E375="","",IFERROR(MATCH(TRUE(),INDEX(INDEX(K:K,E375+1):K203&lt;&gt;"",0),0)+E375,"")))</f>
        <v>517</v>
      </c>
      <c r="F376" s="117" cm="1">
        <f t="array" ref="F376">IF(E376="","",IF(H375&lt;&gt;"",H375,INDEX(D:D,E376)))</f>
        <v>0</v>
      </c>
      <c r="G376" s="117" t="str">
        <f t="shared" si="39"/>
        <v>0</v>
      </c>
      <c r="H376" s="118" t="str">
        <f t="shared" si="40"/>
        <v/>
      </c>
      <c r="I376" s="116" t="str">
        <f>IF(AND(F376&lt;&gt;"",N10&gt;0,M376&gt;N10),"Mot &gt; limite","")</f>
        <v/>
      </c>
      <c r="M376" s="70">
        <f>IF(OR(F376="",N10="",N10&lt;=0),"",IF(LEN(F376)&lt;=N10,LEN(F376),IFERROR(FIND("♦",SUBSTITUTE(LEFT(F376,N10)," ","♦",LEN(LEFT(F376,N10))-LEN(SUBSTITUTE(LEFT(F376,N10)," ","")))),FIND(" ",F376&amp;" ",N10+1)-1)))</f>
        <v>1</v>
      </c>
      <c r="N376" s="119">
        <f t="shared" si="41"/>
        <v>359</v>
      </c>
      <c r="O376" s="99" t="str">
        <f t="shared" si="42"/>
        <v>0</v>
      </c>
      <c r="P376" s="119">
        <f t="shared" si="43"/>
        <v>1</v>
      </c>
      <c r="Q376" s="119">
        <f t="shared" si="44"/>
        <v>1</v>
      </c>
      <c r="S376" s="3">
        <v>1</v>
      </c>
    </row>
    <row r="377" spans="2:19">
      <c r="B377" s="116"/>
      <c r="C377" s="116"/>
      <c r="D377" s="116"/>
      <c r="E377" s="116" cm="1">
        <f t="array" ref="E377">IF(H376&lt;&gt;"",E376,IF(E376="","",IFERROR(MATCH(TRUE(),INDEX(INDEX(K:K,E376+1):K203&lt;&gt;"",0),0)+E376,"")))</f>
        <v>518</v>
      </c>
      <c r="F377" s="117" cm="1">
        <f t="array" ref="F377">IF(E377="","",IF(H376&lt;&gt;"",H376,INDEX(D:D,E377)))</f>
        <v>0</v>
      </c>
      <c r="G377" s="117" t="str">
        <f t="shared" si="39"/>
        <v>0</v>
      </c>
      <c r="H377" s="118" t="str">
        <f t="shared" si="40"/>
        <v/>
      </c>
      <c r="I377" s="116" t="str">
        <f>IF(AND(F377&lt;&gt;"",N10&gt;0,M377&gt;N10),"Mot &gt; limite","")</f>
        <v/>
      </c>
      <c r="M377" s="70">
        <f>IF(OR(F377="",N10="",N10&lt;=0),"",IF(LEN(F377)&lt;=N10,LEN(F377),IFERROR(FIND("♦",SUBSTITUTE(LEFT(F377,N10)," ","♦",LEN(LEFT(F377,N10))-LEN(SUBSTITUTE(LEFT(F377,N10)," ","")))),FIND(" ",F377&amp;" ",N10+1)-1)))</f>
        <v>1</v>
      </c>
      <c r="N377" s="119">
        <f t="shared" si="41"/>
        <v>360</v>
      </c>
      <c r="O377" s="99" t="str">
        <f t="shared" si="42"/>
        <v>0</v>
      </c>
      <c r="P377" s="119">
        <f t="shared" si="43"/>
        <v>1</v>
      </c>
      <c r="Q377" s="119">
        <f t="shared" si="44"/>
        <v>1</v>
      </c>
      <c r="S377" s="3">
        <v>1</v>
      </c>
    </row>
    <row r="378" spans="2:19">
      <c r="B378" s="116"/>
      <c r="C378" s="116"/>
      <c r="D378" s="116"/>
      <c r="E378" s="116" cm="1">
        <f t="array" ref="E378">IF(H377&lt;&gt;"",E377,IF(E377="","",IFERROR(MATCH(TRUE(),INDEX(INDEX(K:K,E377+1):K203&lt;&gt;"",0),0)+E377,"")))</f>
        <v>519</v>
      </c>
      <c r="F378" s="117" cm="1">
        <f t="array" ref="F378">IF(E378="","",IF(H377&lt;&gt;"",H377,INDEX(D:D,E378)))</f>
        <v>0</v>
      </c>
      <c r="G378" s="117" t="str">
        <f t="shared" si="39"/>
        <v>0</v>
      </c>
      <c r="H378" s="118" t="str">
        <f t="shared" si="40"/>
        <v/>
      </c>
      <c r="I378" s="116" t="str">
        <f>IF(AND(F378&lt;&gt;"",N10&gt;0,M378&gt;N10),"Mot &gt; limite","")</f>
        <v/>
      </c>
      <c r="M378" s="70">
        <f>IF(OR(F378="",N10="",N10&lt;=0),"",IF(LEN(F378)&lt;=N10,LEN(F378),IFERROR(FIND("♦",SUBSTITUTE(LEFT(F378,N10)," ","♦",LEN(LEFT(F378,N10))-LEN(SUBSTITUTE(LEFT(F378,N10)," ","")))),FIND(" ",F378&amp;" ",N10+1)-1)))</f>
        <v>1</v>
      </c>
      <c r="N378" s="119">
        <f t="shared" si="41"/>
        <v>361</v>
      </c>
      <c r="O378" s="99" t="str">
        <f t="shared" si="42"/>
        <v>0</v>
      </c>
      <c r="P378" s="119">
        <f t="shared" si="43"/>
        <v>1</v>
      </c>
      <c r="Q378" s="119">
        <f t="shared" si="44"/>
        <v>1</v>
      </c>
      <c r="S378" s="3">
        <v>1</v>
      </c>
    </row>
    <row r="379" spans="2:19">
      <c r="B379" s="116"/>
      <c r="C379" s="116"/>
      <c r="D379" s="116"/>
      <c r="E379" s="116" cm="1">
        <f t="array" ref="E379">IF(H378&lt;&gt;"",E378,IF(E378="","",IFERROR(MATCH(TRUE(),INDEX(INDEX(K:K,E378+1):K203&lt;&gt;"",0),0)+E378,"")))</f>
        <v>520</v>
      </c>
      <c r="F379" s="117" cm="1">
        <f t="array" ref="F379">IF(E379="","",IF(H378&lt;&gt;"",H378,INDEX(D:D,E379)))</f>
        <v>0</v>
      </c>
      <c r="G379" s="117" t="str">
        <f t="shared" si="39"/>
        <v>0</v>
      </c>
      <c r="H379" s="118" t="str">
        <f t="shared" si="40"/>
        <v/>
      </c>
      <c r="I379" s="116" t="str">
        <f>IF(AND(F379&lt;&gt;"",N10&gt;0,M379&gt;N10),"Mot &gt; limite","")</f>
        <v/>
      </c>
      <c r="M379" s="70">
        <f>IF(OR(F379="",N10="",N10&lt;=0),"",IF(LEN(F379)&lt;=N10,LEN(F379),IFERROR(FIND("♦",SUBSTITUTE(LEFT(F379,N10)," ","♦",LEN(LEFT(F379,N10))-LEN(SUBSTITUTE(LEFT(F379,N10)," ","")))),FIND(" ",F379&amp;" ",N10+1)-1)))</f>
        <v>1</v>
      </c>
      <c r="N379" s="119">
        <f t="shared" si="41"/>
        <v>362</v>
      </c>
      <c r="O379" s="99" t="str">
        <f t="shared" si="42"/>
        <v>0</v>
      </c>
      <c r="P379" s="119">
        <f t="shared" si="43"/>
        <v>1</v>
      </c>
      <c r="Q379" s="119">
        <f t="shared" si="44"/>
        <v>1</v>
      </c>
      <c r="S379" s="3">
        <v>1</v>
      </c>
    </row>
    <row r="380" spans="2:19">
      <c r="B380" s="116"/>
      <c r="C380" s="116"/>
      <c r="D380" s="116"/>
      <c r="E380" s="116" cm="1">
        <f t="array" ref="E380">IF(H379&lt;&gt;"",E379,IF(E379="","",IFERROR(MATCH(TRUE(),INDEX(INDEX(K:K,E379+1):K203&lt;&gt;"",0),0)+E379,"")))</f>
        <v>521</v>
      </c>
      <c r="F380" s="117" cm="1">
        <f t="array" ref="F380">IF(E380="","",IF(H379&lt;&gt;"",H379,INDEX(D:D,E380)))</f>
        <v>0</v>
      </c>
      <c r="G380" s="117" t="str">
        <f t="shared" si="39"/>
        <v>0</v>
      </c>
      <c r="H380" s="118" t="str">
        <f t="shared" si="40"/>
        <v/>
      </c>
      <c r="I380" s="116" t="str">
        <f>IF(AND(F380&lt;&gt;"",N10&gt;0,M380&gt;N10),"Mot &gt; limite","")</f>
        <v/>
      </c>
      <c r="M380" s="70">
        <f>IF(OR(F380="",N10="",N10&lt;=0),"",IF(LEN(F380)&lt;=N10,LEN(F380),IFERROR(FIND("♦",SUBSTITUTE(LEFT(F380,N10)," ","♦",LEN(LEFT(F380,N10))-LEN(SUBSTITUTE(LEFT(F380,N10)," ","")))),FIND(" ",F380&amp;" ",N10+1)-1)))</f>
        <v>1</v>
      </c>
      <c r="N380" s="119">
        <f t="shared" si="41"/>
        <v>363</v>
      </c>
      <c r="O380" s="99" t="str">
        <f t="shared" si="42"/>
        <v>0</v>
      </c>
      <c r="P380" s="119">
        <f t="shared" si="43"/>
        <v>1</v>
      </c>
      <c r="Q380" s="119">
        <f t="shared" si="44"/>
        <v>1</v>
      </c>
      <c r="S380" s="3">
        <v>1</v>
      </c>
    </row>
    <row r="381" spans="2:19">
      <c r="B381" s="116"/>
      <c r="C381" s="116"/>
      <c r="D381" s="116"/>
      <c r="E381" s="116" cm="1">
        <f t="array" ref="E381">IF(H380&lt;&gt;"",E380,IF(E380="","",IFERROR(MATCH(TRUE(),INDEX(INDEX(K:K,E380+1):K203&lt;&gt;"",0),0)+E380,"")))</f>
        <v>522</v>
      </c>
      <c r="F381" s="117" cm="1">
        <f t="array" ref="F381">IF(E381="","",IF(H380&lt;&gt;"",H380,INDEX(D:D,E381)))</f>
        <v>0</v>
      </c>
      <c r="G381" s="117" t="str">
        <f t="shared" si="39"/>
        <v>0</v>
      </c>
      <c r="H381" s="118" t="str">
        <f t="shared" si="40"/>
        <v/>
      </c>
      <c r="I381" s="116" t="str">
        <f>IF(AND(F381&lt;&gt;"",N10&gt;0,M381&gt;N10),"Mot &gt; limite","")</f>
        <v/>
      </c>
      <c r="M381" s="70">
        <f>IF(OR(F381="",N10="",N10&lt;=0),"",IF(LEN(F381)&lt;=N10,LEN(F381),IFERROR(FIND("♦",SUBSTITUTE(LEFT(F381,N10)," ","♦",LEN(LEFT(F381,N10))-LEN(SUBSTITUTE(LEFT(F381,N10)," ","")))),FIND(" ",F381&amp;" ",N10+1)-1)))</f>
        <v>1</v>
      </c>
      <c r="N381" s="119">
        <f t="shared" si="41"/>
        <v>364</v>
      </c>
      <c r="O381" s="99" t="str">
        <f t="shared" si="42"/>
        <v>0</v>
      </c>
      <c r="P381" s="119">
        <f t="shared" si="43"/>
        <v>1</v>
      </c>
      <c r="Q381" s="119">
        <f t="shared" si="44"/>
        <v>1</v>
      </c>
      <c r="S381" s="3">
        <v>1</v>
      </c>
    </row>
    <row r="382" spans="2:19">
      <c r="B382" s="116"/>
      <c r="C382" s="116"/>
      <c r="D382" s="116"/>
      <c r="E382" s="116" cm="1">
        <f t="array" ref="E382">IF(H381&lt;&gt;"",E381,IF(E381="","",IFERROR(MATCH(TRUE(),INDEX(INDEX(K:K,E381+1):K203&lt;&gt;"",0),0)+E381,"")))</f>
        <v>523</v>
      </c>
      <c r="F382" s="117" cm="1">
        <f t="array" ref="F382">IF(E382="","",IF(H381&lt;&gt;"",H381,INDEX(D:D,E382)))</f>
        <v>0</v>
      </c>
      <c r="G382" s="117" t="str">
        <f t="shared" si="39"/>
        <v>0</v>
      </c>
      <c r="H382" s="118" t="str">
        <f t="shared" si="40"/>
        <v/>
      </c>
      <c r="I382" s="116" t="str">
        <f>IF(AND(F382&lt;&gt;"",N10&gt;0,M382&gt;N10),"Mot &gt; limite","")</f>
        <v/>
      </c>
      <c r="M382" s="70">
        <f>IF(OR(F382="",N10="",N10&lt;=0),"",IF(LEN(F382)&lt;=N10,LEN(F382),IFERROR(FIND("♦",SUBSTITUTE(LEFT(F382,N10)," ","♦",LEN(LEFT(F382,N10))-LEN(SUBSTITUTE(LEFT(F382,N10)," ","")))),FIND(" ",F382&amp;" ",N10+1)-1)))</f>
        <v>1</v>
      </c>
      <c r="N382" s="119">
        <f t="shared" si="41"/>
        <v>365</v>
      </c>
      <c r="O382" s="99" t="str">
        <f t="shared" si="42"/>
        <v>0</v>
      </c>
      <c r="P382" s="119">
        <f t="shared" si="43"/>
        <v>1</v>
      </c>
      <c r="Q382" s="119">
        <f t="shared" si="44"/>
        <v>1</v>
      </c>
      <c r="S382" s="3">
        <v>1</v>
      </c>
    </row>
    <row r="383" spans="2:19">
      <c r="B383" s="116"/>
      <c r="C383" s="116"/>
      <c r="D383" s="116"/>
      <c r="E383" s="116" cm="1">
        <f t="array" ref="E383">IF(H382&lt;&gt;"",E382,IF(E382="","",IFERROR(MATCH(TRUE(),INDEX(INDEX(K:K,E382+1):K203&lt;&gt;"",0),0)+E382,"")))</f>
        <v>524</v>
      </c>
      <c r="F383" s="117" cm="1">
        <f t="array" ref="F383">IF(E383="","",IF(H382&lt;&gt;"",H382,INDEX(D:D,E383)))</f>
        <v>0</v>
      </c>
      <c r="G383" s="117" t="str">
        <f t="shared" si="39"/>
        <v>0</v>
      </c>
      <c r="H383" s="118" t="str">
        <f t="shared" si="40"/>
        <v/>
      </c>
      <c r="I383" s="116" t="str">
        <f>IF(AND(F383&lt;&gt;"",N10&gt;0,M383&gt;N10),"Mot &gt; limite","")</f>
        <v/>
      </c>
      <c r="M383" s="70">
        <f>IF(OR(F383="",N10="",N10&lt;=0),"",IF(LEN(F383)&lt;=N10,LEN(F383),IFERROR(FIND("♦",SUBSTITUTE(LEFT(F383,N10)," ","♦",LEN(LEFT(F383,N10))-LEN(SUBSTITUTE(LEFT(F383,N10)," ","")))),FIND(" ",F383&amp;" ",N10+1)-1)))</f>
        <v>1</v>
      </c>
      <c r="N383" s="119">
        <f t="shared" si="41"/>
        <v>366</v>
      </c>
      <c r="O383" s="99" t="str">
        <f t="shared" si="42"/>
        <v>0</v>
      </c>
      <c r="P383" s="119">
        <f t="shared" si="43"/>
        <v>1</v>
      </c>
      <c r="Q383" s="119">
        <f t="shared" si="44"/>
        <v>1</v>
      </c>
      <c r="S383" s="3">
        <v>1</v>
      </c>
    </row>
    <row r="384" spans="2:19">
      <c r="B384" s="116"/>
      <c r="C384" s="116"/>
      <c r="D384" s="116"/>
      <c r="E384" s="116" cm="1">
        <f t="array" ref="E384">IF(H383&lt;&gt;"",E383,IF(E383="","",IFERROR(MATCH(TRUE(),INDEX(INDEX(K:K,E383+1):K203&lt;&gt;"",0),0)+E383,"")))</f>
        <v>525</v>
      </c>
      <c r="F384" s="117" cm="1">
        <f t="array" ref="F384">IF(E384="","",IF(H383&lt;&gt;"",H383,INDEX(D:D,E384)))</f>
        <v>0</v>
      </c>
      <c r="G384" s="117" t="str">
        <f t="shared" si="39"/>
        <v>0</v>
      </c>
      <c r="H384" s="118" t="str">
        <f t="shared" si="40"/>
        <v/>
      </c>
      <c r="I384" s="116" t="str">
        <f>IF(AND(F384&lt;&gt;"",N10&gt;0,M384&gt;N10),"Mot &gt; limite","")</f>
        <v/>
      </c>
      <c r="M384" s="70">
        <f>IF(OR(F384="",N10="",N10&lt;=0),"",IF(LEN(F384)&lt;=N10,LEN(F384),IFERROR(FIND("♦",SUBSTITUTE(LEFT(F384,N10)," ","♦",LEN(LEFT(F384,N10))-LEN(SUBSTITUTE(LEFT(F384,N10)," ","")))),FIND(" ",F384&amp;" ",N10+1)-1)))</f>
        <v>1</v>
      </c>
      <c r="N384" s="119">
        <f t="shared" si="41"/>
        <v>367</v>
      </c>
      <c r="O384" s="99" t="str">
        <f t="shared" si="42"/>
        <v>0</v>
      </c>
      <c r="P384" s="119">
        <f t="shared" si="43"/>
        <v>1</v>
      </c>
      <c r="Q384" s="119">
        <f t="shared" si="44"/>
        <v>1</v>
      </c>
      <c r="S384" s="3">
        <v>1</v>
      </c>
    </row>
    <row r="385" spans="2:19">
      <c r="B385" s="116"/>
      <c r="C385" s="116"/>
      <c r="D385" s="116"/>
      <c r="E385" s="116" cm="1">
        <f t="array" ref="E385">IF(H384&lt;&gt;"",E384,IF(E384="","",IFERROR(MATCH(TRUE(),INDEX(INDEX(K:K,E384+1):K203&lt;&gt;"",0),0)+E384,"")))</f>
        <v>526</v>
      </c>
      <c r="F385" s="117" cm="1">
        <f t="array" ref="F385">IF(E385="","",IF(H384&lt;&gt;"",H384,INDEX(D:D,E385)))</f>
        <v>0</v>
      </c>
      <c r="G385" s="117" t="str">
        <f t="shared" si="39"/>
        <v>0</v>
      </c>
      <c r="H385" s="118" t="str">
        <f t="shared" si="40"/>
        <v/>
      </c>
      <c r="I385" s="116" t="str">
        <f>IF(AND(F385&lt;&gt;"",N10&gt;0,M385&gt;N10),"Mot &gt; limite","")</f>
        <v/>
      </c>
      <c r="M385" s="70">
        <f>IF(OR(F385="",N10="",N10&lt;=0),"",IF(LEN(F385)&lt;=N10,LEN(F385),IFERROR(FIND("♦",SUBSTITUTE(LEFT(F385,N10)," ","♦",LEN(LEFT(F385,N10))-LEN(SUBSTITUTE(LEFT(F385,N10)," ","")))),FIND(" ",F385&amp;" ",N10+1)-1)))</f>
        <v>1</v>
      </c>
      <c r="N385" s="119">
        <f t="shared" si="41"/>
        <v>368</v>
      </c>
      <c r="O385" s="99" t="str">
        <f t="shared" si="42"/>
        <v>0</v>
      </c>
      <c r="P385" s="119">
        <f t="shared" si="43"/>
        <v>1</v>
      </c>
      <c r="Q385" s="119">
        <f t="shared" si="44"/>
        <v>1</v>
      </c>
      <c r="S385" s="3">
        <v>1</v>
      </c>
    </row>
    <row r="386" spans="2:19">
      <c r="B386" s="116"/>
      <c r="C386" s="116"/>
      <c r="D386" s="116"/>
      <c r="E386" s="116" cm="1">
        <f t="array" ref="E386">IF(H385&lt;&gt;"",E385,IF(E385="","",IFERROR(MATCH(TRUE(),INDEX(INDEX(K:K,E385+1):K203&lt;&gt;"",0),0)+E385,"")))</f>
        <v>527</v>
      </c>
      <c r="F386" s="117" cm="1">
        <f t="array" ref="F386">IF(E386="","",IF(H385&lt;&gt;"",H385,INDEX(D:D,E386)))</f>
        <v>0</v>
      </c>
      <c r="G386" s="117" t="str">
        <f t="shared" si="39"/>
        <v>0</v>
      </c>
      <c r="H386" s="118" t="str">
        <f t="shared" si="40"/>
        <v/>
      </c>
      <c r="I386" s="116" t="str">
        <f>IF(AND(F386&lt;&gt;"",N10&gt;0,M386&gt;N10),"Mot &gt; limite","")</f>
        <v/>
      </c>
      <c r="M386" s="70">
        <f>IF(OR(F386="",N10="",N10&lt;=0),"",IF(LEN(F386)&lt;=N10,LEN(F386),IFERROR(FIND("♦",SUBSTITUTE(LEFT(F386,N10)," ","♦",LEN(LEFT(F386,N10))-LEN(SUBSTITUTE(LEFT(F386,N10)," ","")))),FIND(" ",F386&amp;" ",N10+1)-1)))</f>
        <v>1</v>
      </c>
      <c r="N386" s="119">
        <f t="shared" si="41"/>
        <v>369</v>
      </c>
      <c r="O386" s="99" t="str">
        <f t="shared" si="42"/>
        <v>0</v>
      </c>
      <c r="P386" s="119">
        <f t="shared" si="43"/>
        <v>1</v>
      </c>
      <c r="Q386" s="119">
        <f t="shared" si="44"/>
        <v>1</v>
      </c>
      <c r="S386" s="3">
        <v>1</v>
      </c>
    </row>
    <row r="387" spans="2:19">
      <c r="B387" s="116"/>
      <c r="C387" s="116"/>
      <c r="D387" s="116"/>
      <c r="E387" s="116" cm="1">
        <f t="array" ref="E387">IF(H386&lt;&gt;"",E386,IF(E386="","",IFERROR(MATCH(TRUE(),INDEX(INDEX(K:K,E386+1):K203&lt;&gt;"",0),0)+E386,"")))</f>
        <v>528</v>
      </c>
      <c r="F387" s="117" cm="1">
        <f t="array" ref="F387">IF(E387="","",IF(H386&lt;&gt;"",H386,INDEX(D:D,E387)))</f>
        <v>0</v>
      </c>
      <c r="G387" s="117" t="str">
        <f t="shared" si="39"/>
        <v>0</v>
      </c>
      <c r="H387" s="118" t="str">
        <f t="shared" si="40"/>
        <v/>
      </c>
      <c r="I387" s="116" t="str">
        <f>IF(AND(F387&lt;&gt;"",N10&gt;0,M387&gt;N10),"Mot &gt; limite","")</f>
        <v/>
      </c>
      <c r="M387" s="70">
        <f>IF(OR(F387="",N10="",N10&lt;=0),"",IF(LEN(F387)&lt;=N10,LEN(F387),IFERROR(FIND("♦",SUBSTITUTE(LEFT(F387,N10)," ","♦",LEN(LEFT(F387,N10))-LEN(SUBSTITUTE(LEFT(F387,N10)," ","")))),FIND(" ",F387&amp;" ",N10+1)-1)))</f>
        <v>1</v>
      </c>
      <c r="N387" s="119">
        <f t="shared" si="41"/>
        <v>370</v>
      </c>
      <c r="O387" s="99" t="str">
        <f t="shared" si="42"/>
        <v>0</v>
      </c>
      <c r="P387" s="119">
        <f t="shared" si="43"/>
        <v>1</v>
      </c>
      <c r="Q387" s="119">
        <f t="shared" si="44"/>
        <v>1</v>
      </c>
      <c r="S387" s="3">
        <v>1</v>
      </c>
    </row>
    <row r="388" spans="2:19">
      <c r="B388" s="116"/>
      <c r="C388" s="116"/>
      <c r="D388" s="116"/>
      <c r="E388" s="116" cm="1">
        <f t="array" ref="E388">IF(H387&lt;&gt;"",E387,IF(E387="","",IFERROR(MATCH(TRUE(),INDEX(INDEX(K:K,E387+1):K203&lt;&gt;"",0),0)+E387,"")))</f>
        <v>529</v>
      </c>
      <c r="F388" s="117" cm="1">
        <f t="array" ref="F388">IF(E388="","",IF(H387&lt;&gt;"",H387,INDEX(D:D,E388)))</f>
        <v>0</v>
      </c>
      <c r="G388" s="117" t="str">
        <f t="shared" si="39"/>
        <v>0</v>
      </c>
      <c r="H388" s="118" t="str">
        <f t="shared" si="40"/>
        <v/>
      </c>
      <c r="I388" s="116" t="str">
        <f>IF(AND(F388&lt;&gt;"",N10&gt;0,M388&gt;N10),"Mot &gt; limite","")</f>
        <v/>
      </c>
      <c r="M388" s="70">
        <f>IF(OR(F388="",N10="",N10&lt;=0),"",IF(LEN(F388)&lt;=N10,LEN(F388),IFERROR(FIND("♦",SUBSTITUTE(LEFT(F388,N10)," ","♦",LEN(LEFT(F388,N10))-LEN(SUBSTITUTE(LEFT(F388,N10)," ","")))),FIND(" ",F388&amp;" ",N10+1)-1)))</f>
        <v>1</v>
      </c>
      <c r="N388" s="119">
        <f t="shared" si="41"/>
        <v>371</v>
      </c>
      <c r="O388" s="99" t="str">
        <f t="shared" si="42"/>
        <v>0</v>
      </c>
      <c r="P388" s="119">
        <f t="shared" si="43"/>
        <v>1</v>
      </c>
      <c r="Q388" s="119">
        <f t="shared" si="44"/>
        <v>1</v>
      </c>
      <c r="S388" s="3">
        <v>1</v>
      </c>
    </row>
    <row r="389" spans="2:19">
      <c r="B389" s="116"/>
      <c r="C389" s="116"/>
      <c r="D389" s="116"/>
      <c r="E389" s="116" cm="1">
        <f t="array" ref="E389">IF(H388&lt;&gt;"",E388,IF(E388="","",IFERROR(MATCH(TRUE(),INDEX(INDEX(K:K,E388+1):K203&lt;&gt;"",0),0)+E388,"")))</f>
        <v>530</v>
      </c>
      <c r="F389" s="117" cm="1">
        <f t="array" ref="F389">IF(E389="","",IF(H388&lt;&gt;"",H388,INDEX(D:D,E389)))</f>
        <v>0</v>
      </c>
      <c r="G389" s="117" t="str">
        <f t="shared" si="39"/>
        <v>0</v>
      </c>
      <c r="H389" s="118" t="str">
        <f t="shared" si="40"/>
        <v/>
      </c>
      <c r="I389" s="116" t="str">
        <f>IF(AND(F389&lt;&gt;"",N10&gt;0,M389&gt;N10),"Mot &gt; limite","")</f>
        <v/>
      </c>
      <c r="M389" s="70">
        <f>IF(OR(F389="",N10="",N10&lt;=0),"",IF(LEN(F389)&lt;=N10,LEN(F389),IFERROR(FIND("♦",SUBSTITUTE(LEFT(F389,N10)," ","♦",LEN(LEFT(F389,N10))-LEN(SUBSTITUTE(LEFT(F389,N10)," ","")))),FIND(" ",F389&amp;" ",N10+1)-1)))</f>
        <v>1</v>
      </c>
      <c r="N389" s="119">
        <f t="shared" si="41"/>
        <v>372</v>
      </c>
      <c r="O389" s="99" t="str">
        <f t="shared" si="42"/>
        <v>0</v>
      </c>
      <c r="P389" s="119">
        <f t="shared" si="43"/>
        <v>1</v>
      </c>
      <c r="Q389" s="119">
        <f t="shared" si="44"/>
        <v>1</v>
      </c>
      <c r="S389" s="3">
        <v>1</v>
      </c>
    </row>
    <row r="390" spans="2:19">
      <c r="B390" s="116"/>
      <c r="C390" s="116"/>
      <c r="D390" s="116"/>
      <c r="E390" s="116" cm="1">
        <f t="array" ref="E390">IF(H389&lt;&gt;"",E389,IF(E389="","",IFERROR(MATCH(TRUE(),INDEX(INDEX(K:K,E389+1):K203&lt;&gt;"",0),0)+E389,"")))</f>
        <v>531</v>
      </c>
      <c r="F390" s="117" cm="1">
        <f t="array" ref="F390">IF(E390="","",IF(H389&lt;&gt;"",H389,INDEX(D:D,E390)))</f>
        <v>0</v>
      </c>
      <c r="G390" s="117" t="str">
        <f t="shared" si="39"/>
        <v>0</v>
      </c>
      <c r="H390" s="118" t="str">
        <f t="shared" si="40"/>
        <v/>
      </c>
      <c r="I390" s="116" t="str">
        <f>IF(AND(F390&lt;&gt;"",N10&gt;0,M390&gt;N10),"Mot &gt; limite","")</f>
        <v/>
      </c>
      <c r="M390" s="70">
        <f>IF(OR(F390="",N10="",N10&lt;=0),"",IF(LEN(F390)&lt;=N10,LEN(F390),IFERROR(FIND("♦",SUBSTITUTE(LEFT(F390,N10)," ","♦",LEN(LEFT(F390,N10))-LEN(SUBSTITUTE(LEFT(F390,N10)," ","")))),FIND(" ",F390&amp;" ",N10+1)-1)))</f>
        <v>1</v>
      </c>
      <c r="N390" s="119">
        <f t="shared" si="41"/>
        <v>373</v>
      </c>
      <c r="O390" s="99" t="str">
        <f t="shared" si="42"/>
        <v>0</v>
      </c>
      <c r="P390" s="119">
        <f t="shared" si="43"/>
        <v>1</v>
      </c>
      <c r="Q390" s="119">
        <f t="shared" si="44"/>
        <v>1</v>
      </c>
      <c r="S390" s="3">
        <v>1</v>
      </c>
    </row>
    <row r="391" spans="2:19">
      <c r="B391" s="116"/>
      <c r="C391" s="116"/>
      <c r="D391" s="116"/>
      <c r="E391" s="116" cm="1">
        <f t="array" ref="E391">IF(H390&lt;&gt;"",E390,IF(E390="","",IFERROR(MATCH(TRUE(),INDEX(INDEX(K:K,E390+1):K203&lt;&gt;"",0),0)+E390,"")))</f>
        <v>532</v>
      </c>
      <c r="F391" s="117" cm="1">
        <f t="array" ref="F391">IF(E391="","",IF(H390&lt;&gt;"",H390,INDEX(D:D,E391)))</f>
        <v>0</v>
      </c>
      <c r="G391" s="117" t="str">
        <f t="shared" si="39"/>
        <v>0</v>
      </c>
      <c r="H391" s="118" t="str">
        <f t="shared" si="40"/>
        <v/>
      </c>
      <c r="I391" s="116" t="str">
        <f>IF(AND(F391&lt;&gt;"",N10&gt;0,M391&gt;N10),"Mot &gt; limite","")</f>
        <v/>
      </c>
      <c r="M391" s="70">
        <f>IF(OR(F391="",N10="",N10&lt;=0),"",IF(LEN(F391)&lt;=N10,LEN(F391),IFERROR(FIND("♦",SUBSTITUTE(LEFT(F391,N10)," ","♦",LEN(LEFT(F391,N10))-LEN(SUBSTITUTE(LEFT(F391,N10)," ","")))),FIND(" ",F391&amp;" ",N10+1)-1)))</f>
        <v>1</v>
      </c>
      <c r="N391" s="119">
        <f t="shared" si="41"/>
        <v>374</v>
      </c>
      <c r="O391" s="99" t="str">
        <f t="shared" si="42"/>
        <v>0</v>
      </c>
      <c r="P391" s="119">
        <f t="shared" si="43"/>
        <v>1</v>
      </c>
      <c r="Q391" s="119">
        <f t="shared" si="44"/>
        <v>1</v>
      </c>
      <c r="S391" s="3">
        <v>1</v>
      </c>
    </row>
    <row r="392" spans="2:19">
      <c r="B392" s="116"/>
      <c r="C392" s="116"/>
      <c r="D392" s="116"/>
      <c r="E392" s="116" cm="1">
        <f t="array" ref="E392">IF(H391&lt;&gt;"",E391,IF(E391="","",IFERROR(MATCH(TRUE(),INDEX(INDEX(K:K,E391+1):K203&lt;&gt;"",0),0)+E391,"")))</f>
        <v>533</v>
      </c>
      <c r="F392" s="117" cm="1">
        <f t="array" ref="F392">IF(E392="","",IF(H391&lt;&gt;"",H391,INDEX(D:D,E392)))</f>
        <v>0</v>
      </c>
      <c r="G392" s="117" t="str">
        <f t="shared" si="39"/>
        <v>0</v>
      </c>
      <c r="H392" s="118" t="str">
        <f t="shared" si="40"/>
        <v/>
      </c>
      <c r="I392" s="116" t="str">
        <f>IF(AND(F392&lt;&gt;"",N10&gt;0,M392&gt;N10),"Mot &gt; limite","")</f>
        <v/>
      </c>
      <c r="M392" s="70">
        <f>IF(OR(F392="",N10="",N10&lt;=0),"",IF(LEN(F392)&lt;=N10,LEN(F392),IFERROR(FIND("♦",SUBSTITUTE(LEFT(F392,N10)," ","♦",LEN(LEFT(F392,N10))-LEN(SUBSTITUTE(LEFT(F392,N10)," ","")))),FIND(" ",F392&amp;" ",N10+1)-1)))</f>
        <v>1</v>
      </c>
      <c r="N392" s="119">
        <f t="shared" si="41"/>
        <v>375</v>
      </c>
      <c r="O392" s="99" t="str">
        <f t="shared" si="42"/>
        <v>0</v>
      </c>
      <c r="P392" s="119">
        <f t="shared" si="43"/>
        <v>1</v>
      </c>
      <c r="Q392" s="119">
        <f t="shared" si="44"/>
        <v>1</v>
      </c>
      <c r="S392" s="3">
        <v>1</v>
      </c>
    </row>
    <row r="393" spans="2:19">
      <c r="B393" s="116"/>
      <c r="C393" s="116"/>
      <c r="D393" s="116"/>
      <c r="E393" s="116" cm="1">
        <f t="array" ref="E393">IF(H392&lt;&gt;"",E392,IF(E392="","",IFERROR(MATCH(TRUE(),INDEX(INDEX(K:K,E392+1):K203&lt;&gt;"",0),0)+E392,"")))</f>
        <v>534</v>
      </c>
      <c r="F393" s="117" cm="1">
        <f t="array" ref="F393">IF(E393="","",IF(H392&lt;&gt;"",H392,INDEX(D:D,E393)))</f>
        <v>0</v>
      </c>
      <c r="G393" s="117" t="str">
        <f t="shared" si="39"/>
        <v>0</v>
      </c>
      <c r="H393" s="118" t="str">
        <f t="shared" si="40"/>
        <v/>
      </c>
      <c r="I393" s="116" t="str">
        <f>IF(AND(F393&lt;&gt;"",N10&gt;0,M393&gt;N10),"Mot &gt; limite","")</f>
        <v/>
      </c>
      <c r="M393" s="70">
        <f>IF(OR(F393="",N10="",N10&lt;=0),"",IF(LEN(F393)&lt;=N10,LEN(F393),IFERROR(FIND("♦",SUBSTITUTE(LEFT(F393,N10)," ","♦",LEN(LEFT(F393,N10))-LEN(SUBSTITUTE(LEFT(F393,N10)," ","")))),FIND(" ",F393&amp;" ",N10+1)-1)))</f>
        <v>1</v>
      </c>
      <c r="N393" s="119">
        <f t="shared" si="41"/>
        <v>376</v>
      </c>
      <c r="O393" s="99" t="str">
        <f t="shared" si="42"/>
        <v>0</v>
      </c>
      <c r="P393" s="119">
        <f t="shared" si="43"/>
        <v>1</v>
      </c>
      <c r="Q393" s="119">
        <f t="shared" si="44"/>
        <v>1</v>
      </c>
      <c r="S393" s="3">
        <v>1</v>
      </c>
    </row>
    <row r="394" spans="2:19">
      <c r="B394" s="116"/>
      <c r="C394" s="116"/>
      <c r="D394" s="116"/>
      <c r="E394" s="116" cm="1">
        <f t="array" ref="E394">IF(H393&lt;&gt;"",E393,IF(E393="","",IFERROR(MATCH(TRUE(),INDEX(INDEX(K:K,E393+1):K203&lt;&gt;"",0),0)+E393,"")))</f>
        <v>535</v>
      </c>
      <c r="F394" s="117" cm="1">
        <f t="array" ref="F394">IF(E394="","",IF(H393&lt;&gt;"",H393,INDEX(D:D,E394)))</f>
        <v>0</v>
      </c>
      <c r="G394" s="117" t="str">
        <f t="shared" si="39"/>
        <v>0</v>
      </c>
      <c r="H394" s="118" t="str">
        <f t="shared" si="40"/>
        <v/>
      </c>
      <c r="I394" s="116" t="str">
        <f>IF(AND(F394&lt;&gt;"",N10&gt;0,M394&gt;N10),"Mot &gt; limite","")</f>
        <v/>
      </c>
      <c r="M394" s="70">
        <f>IF(OR(F394="",N10="",N10&lt;=0),"",IF(LEN(F394)&lt;=N10,LEN(F394),IFERROR(FIND("♦",SUBSTITUTE(LEFT(F394,N10)," ","♦",LEN(LEFT(F394,N10))-LEN(SUBSTITUTE(LEFT(F394,N10)," ","")))),FIND(" ",F394&amp;" ",N10+1)-1)))</f>
        <v>1</v>
      </c>
      <c r="N394" s="119">
        <f t="shared" si="41"/>
        <v>377</v>
      </c>
      <c r="O394" s="99" t="str">
        <f t="shared" si="42"/>
        <v>0</v>
      </c>
      <c r="P394" s="119">
        <f t="shared" si="43"/>
        <v>1</v>
      </c>
      <c r="Q394" s="119">
        <f t="shared" si="44"/>
        <v>1</v>
      </c>
      <c r="S394" s="3">
        <v>1</v>
      </c>
    </row>
    <row r="395" spans="2:19">
      <c r="B395" s="116"/>
      <c r="C395" s="116"/>
      <c r="D395" s="116"/>
      <c r="E395" s="116" cm="1">
        <f t="array" ref="E395">IF(H394&lt;&gt;"",E394,IF(E394="","",IFERROR(MATCH(TRUE(),INDEX(INDEX(K:K,E394+1):K203&lt;&gt;"",0),0)+E394,"")))</f>
        <v>536</v>
      </c>
      <c r="F395" s="117" cm="1">
        <f t="array" ref="F395">IF(E395="","",IF(H394&lt;&gt;"",H394,INDEX(D:D,E395)))</f>
        <v>0</v>
      </c>
      <c r="G395" s="117" t="str">
        <f t="shared" si="39"/>
        <v>0</v>
      </c>
      <c r="H395" s="118" t="str">
        <f t="shared" si="40"/>
        <v/>
      </c>
      <c r="I395" s="116" t="str">
        <f>IF(AND(F395&lt;&gt;"",N10&gt;0,M395&gt;N10),"Mot &gt; limite","")</f>
        <v/>
      </c>
      <c r="M395" s="70">
        <f>IF(OR(F395="",N10="",N10&lt;=0),"",IF(LEN(F395)&lt;=N10,LEN(F395),IFERROR(FIND("♦",SUBSTITUTE(LEFT(F395,N10)," ","♦",LEN(LEFT(F395,N10))-LEN(SUBSTITUTE(LEFT(F395,N10)," ","")))),FIND(" ",F395&amp;" ",N10+1)-1)))</f>
        <v>1</v>
      </c>
      <c r="N395" s="119">
        <f t="shared" si="41"/>
        <v>378</v>
      </c>
      <c r="O395" s="99" t="str">
        <f t="shared" si="42"/>
        <v>0</v>
      </c>
      <c r="P395" s="119">
        <f t="shared" si="43"/>
        <v>1</v>
      </c>
      <c r="Q395" s="119">
        <f t="shared" si="44"/>
        <v>1</v>
      </c>
      <c r="S395" s="3">
        <v>1</v>
      </c>
    </row>
    <row r="396" spans="2:19">
      <c r="B396" s="116"/>
      <c r="C396" s="116"/>
      <c r="D396" s="116"/>
      <c r="E396" s="116" cm="1">
        <f t="array" ref="E396">IF(H395&lt;&gt;"",E395,IF(E395="","",IFERROR(MATCH(TRUE(),INDEX(INDEX(K:K,E395+1):K203&lt;&gt;"",0),0)+E395,"")))</f>
        <v>537</v>
      </c>
      <c r="F396" s="117" cm="1">
        <f t="array" ref="F396">IF(E396="","",IF(H395&lt;&gt;"",H395,INDEX(D:D,E396)))</f>
        <v>0</v>
      </c>
      <c r="G396" s="117" t="str">
        <f t="shared" si="39"/>
        <v>0</v>
      </c>
      <c r="H396" s="118" t="str">
        <f t="shared" si="40"/>
        <v/>
      </c>
      <c r="I396" s="116" t="str">
        <f>IF(AND(F396&lt;&gt;"",N10&gt;0,M396&gt;N10),"Mot &gt; limite","")</f>
        <v/>
      </c>
      <c r="M396" s="70">
        <f>IF(OR(F396="",N10="",N10&lt;=0),"",IF(LEN(F396)&lt;=N10,LEN(F396),IFERROR(FIND("♦",SUBSTITUTE(LEFT(F396,N10)," ","♦",LEN(LEFT(F396,N10))-LEN(SUBSTITUTE(LEFT(F396,N10)," ","")))),FIND(" ",F396&amp;" ",N10+1)-1)))</f>
        <v>1</v>
      </c>
      <c r="N396" s="119">
        <f t="shared" si="41"/>
        <v>379</v>
      </c>
      <c r="O396" s="99" t="str">
        <f t="shared" si="42"/>
        <v>0</v>
      </c>
      <c r="P396" s="119">
        <f t="shared" si="43"/>
        <v>1</v>
      </c>
      <c r="Q396" s="119">
        <f t="shared" si="44"/>
        <v>1</v>
      </c>
      <c r="S396" s="3">
        <v>1</v>
      </c>
    </row>
    <row r="397" spans="2:19">
      <c r="B397" s="116"/>
      <c r="C397" s="116"/>
      <c r="D397" s="116"/>
      <c r="E397" s="116" cm="1">
        <f t="array" ref="E397">IF(H396&lt;&gt;"",E396,IF(E396="","",IFERROR(MATCH(TRUE(),INDEX(INDEX(K:K,E396+1):K203&lt;&gt;"",0),0)+E396,"")))</f>
        <v>538</v>
      </c>
      <c r="F397" s="117" cm="1">
        <f t="array" ref="F397">IF(E397="","",IF(H396&lt;&gt;"",H396,INDEX(D:D,E397)))</f>
        <v>0</v>
      </c>
      <c r="G397" s="117" t="str">
        <f t="shared" si="39"/>
        <v>0</v>
      </c>
      <c r="H397" s="118" t="str">
        <f t="shared" si="40"/>
        <v/>
      </c>
      <c r="I397" s="116" t="str">
        <f>IF(AND(F397&lt;&gt;"",N10&gt;0,M397&gt;N10),"Mot &gt; limite","")</f>
        <v/>
      </c>
      <c r="M397" s="70">
        <f>IF(OR(F397="",N10="",N10&lt;=0),"",IF(LEN(F397)&lt;=N10,LEN(F397),IFERROR(FIND("♦",SUBSTITUTE(LEFT(F397,N10)," ","♦",LEN(LEFT(F397,N10))-LEN(SUBSTITUTE(LEFT(F397,N10)," ","")))),FIND(" ",F397&amp;" ",N10+1)-1)))</f>
        <v>1</v>
      </c>
      <c r="N397" s="119">
        <f t="shared" si="41"/>
        <v>380</v>
      </c>
      <c r="O397" s="99" t="str">
        <f t="shared" si="42"/>
        <v>0</v>
      </c>
      <c r="P397" s="119">
        <f t="shared" si="43"/>
        <v>1</v>
      </c>
      <c r="Q397" s="119">
        <f t="shared" si="44"/>
        <v>1</v>
      </c>
      <c r="S397" s="3">
        <v>1</v>
      </c>
    </row>
    <row r="398" spans="2:19">
      <c r="B398" s="116"/>
      <c r="C398" s="116"/>
      <c r="D398" s="116"/>
      <c r="E398" s="116" cm="1">
        <f t="array" ref="E398">IF(H397&lt;&gt;"",E397,IF(E397="","",IFERROR(MATCH(TRUE(),INDEX(INDEX(K:K,E397+1):K203&lt;&gt;"",0),0)+E397,"")))</f>
        <v>539</v>
      </c>
      <c r="F398" s="117" cm="1">
        <f t="array" ref="F398">IF(E398="","",IF(H397&lt;&gt;"",H397,INDEX(D:D,E398)))</f>
        <v>0</v>
      </c>
      <c r="G398" s="117" t="str">
        <f t="shared" si="39"/>
        <v>0</v>
      </c>
      <c r="H398" s="118" t="str">
        <f t="shared" si="40"/>
        <v/>
      </c>
      <c r="I398" s="116" t="str">
        <f>IF(AND(F398&lt;&gt;"",N10&gt;0,M398&gt;N10),"Mot &gt; limite","")</f>
        <v/>
      </c>
      <c r="M398" s="70">
        <f>IF(OR(F398="",N10="",N10&lt;=0),"",IF(LEN(F398)&lt;=N10,LEN(F398),IFERROR(FIND("♦",SUBSTITUTE(LEFT(F398,N10)," ","♦",LEN(LEFT(F398,N10))-LEN(SUBSTITUTE(LEFT(F398,N10)," ","")))),FIND(" ",F398&amp;" ",N10+1)-1)))</f>
        <v>1</v>
      </c>
      <c r="N398" s="119">
        <f t="shared" si="41"/>
        <v>381</v>
      </c>
      <c r="O398" s="99" t="str">
        <f t="shared" si="42"/>
        <v>0</v>
      </c>
      <c r="P398" s="119">
        <f t="shared" si="43"/>
        <v>1</v>
      </c>
      <c r="Q398" s="119">
        <f t="shared" si="44"/>
        <v>1</v>
      </c>
      <c r="S398" s="3">
        <v>1</v>
      </c>
    </row>
    <row r="399" spans="2:19">
      <c r="B399" s="116"/>
      <c r="C399" s="116"/>
      <c r="D399" s="116"/>
      <c r="E399" s="116" cm="1">
        <f t="array" ref="E399">IF(H398&lt;&gt;"",E398,IF(E398="","",IFERROR(MATCH(TRUE(),INDEX(INDEX(K:K,E398+1):K203&lt;&gt;"",0),0)+E398,"")))</f>
        <v>540</v>
      </c>
      <c r="F399" s="117" cm="1">
        <f t="array" ref="F399">IF(E399="","",IF(H398&lt;&gt;"",H398,INDEX(D:D,E399)))</f>
        <v>0</v>
      </c>
      <c r="G399" s="117" t="str">
        <f t="shared" si="39"/>
        <v>0</v>
      </c>
      <c r="H399" s="118" t="str">
        <f t="shared" si="40"/>
        <v/>
      </c>
      <c r="I399" s="116" t="str">
        <f>IF(AND(F399&lt;&gt;"",N10&gt;0,M399&gt;N10),"Mot &gt; limite","")</f>
        <v/>
      </c>
      <c r="M399" s="70">
        <f>IF(OR(F399="",N10="",N10&lt;=0),"",IF(LEN(F399)&lt;=N10,LEN(F399),IFERROR(FIND("♦",SUBSTITUTE(LEFT(F399,N10)," ","♦",LEN(LEFT(F399,N10))-LEN(SUBSTITUTE(LEFT(F399,N10)," ","")))),FIND(" ",F399&amp;" ",N10+1)-1)))</f>
        <v>1</v>
      </c>
      <c r="N399" s="119">
        <f t="shared" si="41"/>
        <v>382</v>
      </c>
      <c r="O399" s="99" t="str">
        <f t="shared" si="42"/>
        <v>0</v>
      </c>
      <c r="P399" s="119">
        <f t="shared" si="43"/>
        <v>1</v>
      </c>
      <c r="Q399" s="119">
        <f t="shared" si="44"/>
        <v>1</v>
      </c>
      <c r="S399" s="3">
        <v>1</v>
      </c>
    </row>
    <row r="400" spans="2:19">
      <c r="B400" s="116"/>
      <c r="C400" s="116"/>
      <c r="D400" s="116"/>
      <c r="E400" s="116" cm="1">
        <f t="array" ref="E400">IF(H399&lt;&gt;"",E399,IF(E399="","",IFERROR(MATCH(TRUE(),INDEX(INDEX(K:K,E399+1):K203&lt;&gt;"",0),0)+E399,"")))</f>
        <v>541</v>
      </c>
      <c r="F400" s="117" cm="1">
        <f t="array" ref="F400">IF(E400="","",IF(H399&lt;&gt;"",H399,INDEX(D:D,E400)))</f>
        <v>0</v>
      </c>
      <c r="G400" s="117" t="str">
        <f t="shared" si="39"/>
        <v>0</v>
      </c>
      <c r="H400" s="118" t="str">
        <f t="shared" si="40"/>
        <v/>
      </c>
      <c r="I400" s="116" t="str">
        <f>IF(AND(F400&lt;&gt;"",N10&gt;0,M400&gt;N10),"Mot &gt; limite","")</f>
        <v/>
      </c>
      <c r="M400" s="70">
        <f>IF(OR(F400="",N10="",N10&lt;=0),"",IF(LEN(F400)&lt;=N10,LEN(F400),IFERROR(FIND("♦",SUBSTITUTE(LEFT(F400,N10)," ","♦",LEN(LEFT(F400,N10))-LEN(SUBSTITUTE(LEFT(F400,N10)," ","")))),FIND(" ",F400&amp;" ",N10+1)-1)))</f>
        <v>1</v>
      </c>
      <c r="N400" s="119">
        <f t="shared" si="41"/>
        <v>383</v>
      </c>
      <c r="O400" s="99" t="str">
        <f t="shared" si="42"/>
        <v>0</v>
      </c>
      <c r="P400" s="119">
        <f t="shared" si="43"/>
        <v>1</v>
      </c>
      <c r="Q400" s="119">
        <f t="shared" si="44"/>
        <v>1</v>
      </c>
      <c r="S400" s="3">
        <v>1</v>
      </c>
    </row>
    <row r="401" spans="2:19">
      <c r="B401" s="116"/>
      <c r="C401" s="116"/>
      <c r="D401" s="116"/>
      <c r="E401" s="116" cm="1">
        <f t="array" ref="E401">IF(H400&lt;&gt;"",E400,IF(E400="","",IFERROR(MATCH(TRUE(),INDEX(INDEX(K:K,E400+1):K203&lt;&gt;"",0),0)+E400,"")))</f>
        <v>542</v>
      </c>
      <c r="F401" s="117" cm="1">
        <f t="array" ref="F401">IF(E401="","",IF(H400&lt;&gt;"",H400,INDEX(D:D,E401)))</f>
        <v>0</v>
      </c>
      <c r="G401" s="117" t="str">
        <f t="shared" si="39"/>
        <v>0</v>
      </c>
      <c r="H401" s="118" t="str">
        <f t="shared" si="40"/>
        <v/>
      </c>
      <c r="I401" s="116" t="str">
        <f>IF(AND(F401&lt;&gt;"",N10&gt;0,M401&gt;N10),"Mot &gt; limite","")</f>
        <v/>
      </c>
      <c r="M401" s="70">
        <f>IF(OR(F401="",N10="",N10&lt;=0),"",IF(LEN(F401)&lt;=N10,LEN(F401),IFERROR(FIND("♦",SUBSTITUTE(LEFT(F401,N10)," ","♦",LEN(LEFT(F401,N10))-LEN(SUBSTITUTE(LEFT(F401,N10)," ","")))),FIND(" ",F401&amp;" ",N10+1)-1)))</f>
        <v>1</v>
      </c>
      <c r="N401" s="119">
        <f t="shared" si="41"/>
        <v>384</v>
      </c>
      <c r="O401" s="99" t="str">
        <f t="shared" si="42"/>
        <v>0</v>
      </c>
      <c r="P401" s="119">
        <f t="shared" si="43"/>
        <v>1</v>
      </c>
      <c r="Q401" s="119">
        <f t="shared" si="44"/>
        <v>1</v>
      </c>
      <c r="S401" s="3">
        <v>1</v>
      </c>
    </row>
    <row r="402" spans="2:19">
      <c r="B402" s="116"/>
      <c r="C402" s="116"/>
      <c r="D402" s="116"/>
      <c r="E402" s="116" cm="1">
        <f t="array" ref="E402">IF(H401&lt;&gt;"",E401,IF(E401="","",IFERROR(MATCH(TRUE(),INDEX(INDEX(K:K,E401+1):K203&lt;&gt;"",0),0)+E401,"")))</f>
        <v>543</v>
      </c>
      <c r="F402" s="117" cm="1">
        <f t="array" ref="F402">IF(E402="","",IF(H401&lt;&gt;"",H401,INDEX(D:D,E402)))</f>
        <v>0</v>
      </c>
      <c r="G402" s="117" t="str">
        <f t="shared" ref="G402:G465" si="45">IF(OR(F402="",M402=""),"",LEFT(F402,M402))</f>
        <v>0</v>
      </c>
      <c r="H402" s="118" t="str">
        <f t="shared" ref="H402:H465" si="46">IF(OR(F402="",M402=""),"",TRIM(MID(F402,M402+1,99999)))</f>
        <v/>
      </c>
      <c r="I402" s="116" t="str">
        <f>IF(AND(F402&lt;&gt;"",N10&gt;0,M402&gt;N10),"Mot &gt; limite","")</f>
        <v/>
      </c>
      <c r="M402" s="70">
        <f>IF(OR(F402="",N10="",N10&lt;=0),"",IF(LEN(F402)&lt;=N10,LEN(F402),IFERROR(FIND("♦",SUBSTITUTE(LEFT(F402,N10)," ","♦",LEN(LEFT(F402,N10))-LEN(SUBSTITUTE(LEFT(F402,N10)," ","")))),FIND(" ",F402&amp;" ",N10+1)-1)))</f>
        <v>1</v>
      </c>
      <c r="N402" s="119">
        <f t="shared" ref="N402:N465" si="47">IF(O402="","",ROW()-17)</f>
        <v>385</v>
      </c>
      <c r="O402" s="99" t="str">
        <f t="shared" ref="O402:O465" si="48">G402</f>
        <v>0</v>
      </c>
      <c r="P402" s="119">
        <f t="shared" ref="P402:P465" si="49">IF(O402="","",LEN(TRIM(O402))-LEN(SUBSTITUTE(TRIM(O402)," ",""))+1)</f>
        <v>1</v>
      </c>
      <c r="Q402" s="119">
        <f t="shared" ref="Q402:Q465" si="50">IF(O402="","",LEN(O402))</f>
        <v>1</v>
      </c>
      <c r="S402" s="3">
        <v>1</v>
      </c>
    </row>
    <row r="403" spans="2:19">
      <c r="B403" s="116"/>
      <c r="C403" s="116"/>
      <c r="D403" s="116"/>
      <c r="E403" s="116" cm="1">
        <f t="array" ref="E403">IF(H402&lt;&gt;"",E402,IF(E402="","",IFERROR(MATCH(TRUE(),INDEX(INDEX(K:K,E402+1):K203&lt;&gt;"",0),0)+E402,"")))</f>
        <v>544</v>
      </c>
      <c r="F403" s="117" cm="1">
        <f t="array" ref="F403">IF(E403="","",IF(H402&lt;&gt;"",H402,INDEX(D:D,E403)))</f>
        <v>0</v>
      </c>
      <c r="G403" s="117" t="str">
        <f t="shared" si="45"/>
        <v>0</v>
      </c>
      <c r="H403" s="118" t="str">
        <f t="shared" si="46"/>
        <v/>
      </c>
      <c r="I403" s="116" t="str">
        <f>IF(AND(F403&lt;&gt;"",N10&gt;0,M403&gt;N10),"Mot &gt; limite","")</f>
        <v/>
      </c>
      <c r="M403" s="70">
        <f>IF(OR(F403="",N10="",N10&lt;=0),"",IF(LEN(F403)&lt;=N10,LEN(F403),IFERROR(FIND("♦",SUBSTITUTE(LEFT(F403,N10)," ","♦",LEN(LEFT(F403,N10))-LEN(SUBSTITUTE(LEFT(F403,N10)," ","")))),FIND(" ",F403&amp;" ",N10+1)-1)))</f>
        <v>1</v>
      </c>
      <c r="N403" s="119">
        <f t="shared" si="47"/>
        <v>386</v>
      </c>
      <c r="O403" s="99" t="str">
        <f t="shared" si="48"/>
        <v>0</v>
      </c>
      <c r="P403" s="119">
        <f t="shared" si="49"/>
        <v>1</v>
      </c>
      <c r="Q403" s="119">
        <f t="shared" si="50"/>
        <v>1</v>
      </c>
      <c r="S403" s="3">
        <v>1</v>
      </c>
    </row>
    <row r="404" spans="2:19">
      <c r="B404" s="116"/>
      <c r="C404" s="116"/>
      <c r="D404" s="116"/>
      <c r="E404" s="116" cm="1">
        <f t="array" ref="E404">IF(H403&lt;&gt;"",E403,IF(E403="","",IFERROR(MATCH(TRUE(),INDEX(INDEX(K:K,E403+1):K203&lt;&gt;"",0),0)+E403,"")))</f>
        <v>545</v>
      </c>
      <c r="F404" s="117" cm="1">
        <f t="array" ref="F404">IF(E404="","",IF(H403&lt;&gt;"",H403,INDEX(D:D,E404)))</f>
        <v>0</v>
      </c>
      <c r="G404" s="117" t="str">
        <f t="shared" si="45"/>
        <v>0</v>
      </c>
      <c r="H404" s="118" t="str">
        <f t="shared" si="46"/>
        <v/>
      </c>
      <c r="I404" s="116" t="str">
        <f>IF(AND(F404&lt;&gt;"",N10&gt;0,M404&gt;N10),"Mot &gt; limite","")</f>
        <v/>
      </c>
      <c r="M404" s="70">
        <f>IF(OR(F404="",N10="",N10&lt;=0),"",IF(LEN(F404)&lt;=N10,LEN(F404),IFERROR(FIND("♦",SUBSTITUTE(LEFT(F404,N10)," ","♦",LEN(LEFT(F404,N10))-LEN(SUBSTITUTE(LEFT(F404,N10)," ","")))),FIND(" ",F404&amp;" ",N10+1)-1)))</f>
        <v>1</v>
      </c>
      <c r="N404" s="119">
        <f t="shared" si="47"/>
        <v>387</v>
      </c>
      <c r="O404" s="99" t="str">
        <f t="shared" si="48"/>
        <v>0</v>
      </c>
      <c r="P404" s="119">
        <f t="shared" si="49"/>
        <v>1</v>
      </c>
      <c r="Q404" s="119">
        <f t="shared" si="50"/>
        <v>1</v>
      </c>
      <c r="S404" s="3">
        <v>1</v>
      </c>
    </row>
    <row r="405" spans="2:19">
      <c r="B405" s="116"/>
      <c r="C405" s="116"/>
      <c r="D405" s="116"/>
      <c r="E405" s="116" cm="1">
        <f t="array" ref="E405">IF(H404&lt;&gt;"",E404,IF(E404="","",IFERROR(MATCH(TRUE(),INDEX(INDEX(K:K,E404+1):K203&lt;&gt;"",0),0)+E404,"")))</f>
        <v>546</v>
      </c>
      <c r="F405" s="117" cm="1">
        <f t="array" ref="F405">IF(E405="","",IF(H404&lt;&gt;"",H404,INDEX(D:D,E405)))</f>
        <v>0</v>
      </c>
      <c r="G405" s="117" t="str">
        <f t="shared" si="45"/>
        <v>0</v>
      </c>
      <c r="H405" s="118" t="str">
        <f t="shared" si="46"/>
        <v/>
      </c>
      <c r="I405" s="116" t="str">
        <f>IF(AND(F405&lt;&gt;"",N10&gt;0,M405&gt;N10),"Mot &gt; limite","")</f>
        <v/>
      </c>
      <c r="M405" s="70">
        <f>IF(OR(F405="",N10="",N10&lt;=0),"",IF(LEN(F405)&lt;=N10,LEN(F405),IFERROR(FIND("♦",SUBSTITUTE(LEFT(F405,N10)," ","♦",LEN(LEFT(F405,N10))-LEN(SUBSTITUTE(LEFT(F405,N10)," ","")))),FIND(" ",F405&amp;" ",N10+1)-1)))</f>
        <v>1</v>
      </c>
      <c r="N405" s="119">
        <f t="shared" si="47"/>
        <v>388</v>
      </c>
      <c r="O405" s="99" t="str">
        <f t="shared" si="48"/>
        <v>0</v>
      </c>
      <c r="P405" s="119">
        <f t="shared" si="49"/>
        <v>1</v>
      </c>
      <c r="Q405" s="119">
        <f t="shared" si="50"/>
        <v>1</v>
      </c>
      <c r="S405" s="3">
        <v>1</v>
      </c>
    </row>
    <row r="406" spans="2:19">
      <c r="B406" s="116"/>
      <c r="C406" s="116"/>
      <c r="D406" s="116"/>
      <c r="E406" s="116" cm="1">
        <f t="array" ref="E406">IF(H405&lt;&gt;"",E405,IF(E405="","",IFERROR(MATCH(TRUE(),INDEX(INDEX(K:K,E405+1):K203&lt;&gt;"",0),0)+E405,"")))</f>
        <v>547</v>
      </c>
      <c r="F406" s="117" cm="1">
        <f t="array" ref="F406">IF(E406="","",IF(H405&lt;&gt;"",H405,INDEX(D:D,E406)))</f>
        <v>0</v>
      </c>
      <c r="G406" s="117" t="str">
        <f t="shared" si="45"/>
        <v>0</v>
      </c>
      <c r="H406" s="118" t="str">
        <f t="shared" si="46"/>
        <v/>
      </c>
      <c r="I406" s="116" t="str">
        <f>IF(AND(F406&lt;&gt;"",N10&gt;0,M406&gt;N10),"Mot &gt; limite","")</f>
        <v/>
      </c>
      <c r="M406" s="70">
        <f>IF(OR(F406="",N10="",N10&lt;=0),"",IF(LEN(F406)&lt;=N10,LEN(F406),IFERROR(FIND("♦",SUBSTITUTE(LEFT(F406,N10)," ","♦",LEN(LEFT(F406,N10))-LEN(SUBSTITUTE(LEFT(F406,N10)," ","")))),FIND(" ",F406&amp;" ",N10+1)-1)))</f>
        <v>1</v>
      </c>
      <c r="N406" s="119">
        <f t="shared" si="47"/>
        <v>389</v>
      </c>
      <c r="O406" s="99" t="str">
        <f t="shared" si="48"/>
        <v>0</v>
      </c>
      <c r="P406" s="119">
        <f t="shared" si="49"/>
        <v>1</v>
      </c>
      <c r="Q406" s="119">
        <f t="shared" si="50"/>
        <v>1</v>
      </c>
      <c r="S406" s="3">
        <v>1</v>
      </c>
    </row>
    <row r="407" spans="2:19">
      <c r="B407" s="116"/>
      <c r="C407" s="116"/>
      <c r="D407" s="116"/>
      <c r="E407" s="116" cm="1">
        <f t="array" ref="E407">IF(H406&lt;&gt;"",E406,IF(E406="","",IFERROR(MATCH(TRUE(),INDEX(INDEX(K:K,E406+1):K203&lt;&gt;"",0),0)+E406,"")))</f>
        <v>548</v>
      </c>
      <c r="F407" s="117" cm="1">
        <f t="array" ref="F407">IF(E407="","",IF(H406&lt;&gt;"",H406,INDEX(D:D,E407)))</f>
        <v>0</v>
      </c>
      <c r="G407" s="117" t="str">
        <f t="shared" si="45"/>
        <v>0</v>
      </c>
      <c r="H407" s="118" t="str">
        <f t="shared" si="46"/>
        <v/>
      </c>
      <c r="I407" s="116" t="str">
        <f>IF(AND(F407&lt;&gt;"",N10&gt;0,M407&gt;N10),"Mot &gt; limite","")</f>
        <v/>
      </c>
      <c r="M407" s="70">
        <f>IF(OR(F407="",N10="",N10&lt;=0),"",IF(LEN(F407)&lt;=N10,LEN(F407),IFERROR(FIND("♦",SUBSTITUTE(LEFT(F407,N10)," ","♦",LEN(LEFT(F407,N10))-LEN(SUBSTITUTE(LEFT(F407,N10)," ","")))),FIND(" ",F407&amp;" ",N10+1)-1)))</f>
        <v>1</v>
      </c>
      <c r="N407" s="119">
        <f t="shared" si="47"/>
        <v>390</v>
      </c>
      <c r="O407" s="99" t="str">
        <f t="shared" si="48"/>
        <v>0</v>
      </c>
      <c r="P407" s="119">
        <f t="shared" si="49"/>
        <v>1</v>
      </c>
      <c r="Q407" s="119">
        <f t="shared" si="50"/>
        <v>1</v>
      </c>
      <c r="S407" s="3">
        <v>1</v>
      </c>
    </row>
    <row r="408" spans="2:19">
      <c r="B408" s="116"/>
      <c r="C408" s="116"/>
      <c r="D408" s="116"/>
      <c r="E408" s="116" cm="1">
        <f t="array" ref="E408">IF(H407&lt;&gt;"",E407,IF(E407="","",IFERROR(MATCH(TRUE(),INDEX(INDEX(K:K,E407+1):K203&lt;&gt;"",0),0)+E407,"")))</f>
        <v>549</v>
      </c>
      <c r="F408" s="117" cm="1">
        <f t="array" ref="F408">IF(E408="","",IF(H407&lt;&gt;"",H407,INDEX(D:D,E408)))</f>
        <v>0</v>
      </c>
      <c r="G408" s="117" t="str">
        <f t="shared" si="45"/>
        <v>0</v>
      </c>
      <c r="H408" s="118" t="str">
        <f t="shared" si="46"/>
        <v/>
      </c>
      <c r="I408" s="116" t="str">
        <f>IF(AND(F408&lt;&gt;"",N10&gt;0,M408&gt;N10),"Mot &gt; limite","")</f>
        <v/>
      </c>
      <c r="M408" s="70">
        <f>IF(OR(F408="",N10="",N10&lt;=0),"",IF(LEN(F408)&lt;=N10,LEN(F408),IFERROR(FIND("♦",SUBSTITUTE(LEFT(F408,N10)," ","♦",LEN(LEFT(F408,N10))-LEN(SUBSTITUTE(LEFT(F408,N10)," ","")))),FIND(" ",F408&amp;" ",N10+1)-1)))</f>
        <v>1</v>
      </c>
      <c r="N408" s="119">
        <f t="shared" si="47"/>
        <v>391</v>
      </c>
      <c r="O408" s="99" t="str">
        <f t="shared" si="48"/>
        <v>0</v>
      </c>
      <c r="P408" s="119">
        <f t="shared" si="49"/>
        <v>1</v>
      </c>
      <c r="Q408" s="119">
        <f t="shared" si="50"/>
        <v>1</v>
      </c>
      <c r="S408" s="3">
        <v>1</v>
      </c>
    </row>
    <row r="409" spans="2:19">
      <c r="B409" s="116"/>
      <c r="C409" s="116"/>
      <c r="D409" s="116"/>
      <c r="E409" s="116" cm="1">
        <f t="array" ref="E409">IF(H408&lt;&gt;"",E408,IF(E408="","",IFERROR(MATCH(TRUE(),INDEX(INDEX(K:K,E408+1):K203&lt;&gt;"",0),0)+E408,"")))</f>
        <v>550</v>
      </c>
      <c r="F409" s="117" cm="1">
        <f t="array" ref="F409">IF(E409="","",IF(H408&lt;&gt;"",H408,INDEX(D:D,E409)))</f>
        <v>0</v>
      </c>
      <c r="G409" s="117" t="str">
        <f t="shared" si="45"/>
        <v>0</v>
      </c>
      <c r="H409" s="118" t="str">
        <f t="shared" si="46"/>
        <v/>
      </c>
      <c r="I409" s="116" t="str">
        <f>IF(AND(F409&lt;&gt;"",N10&gt;0,M409&gt;N10),"Mot &gt; limite","")</f>
        <v/>
      </c>
      <c r="M409" s="70">
        <f>IF(OR(F409="",N10="",N10&lt;=0),"",IF(LEN(F409)&lt;=N10,LEN(F409),IFERROR(FIND("♦",SUBSTITUTE(LEFT(F409,N10)," ","♦",LEN(LEFT(F409,N10))-LEN(SUBSTITUTE(LEFT(F409,N10)," ","")))),FIND(" ",F409&amp;" ",N10+1)-1)))</f>
        <v>1</v>
      </c>
      <c r="N409" s="119">
        <f t="shared" si="47"/>
        <v>392</v>
      </c>
      <c r="O409" s="99" t="str">
        <f t="shared" si="48"/>
        <v>0</v>
      </c>
      <c r="P409" s="119">
        <f t="shared" si="49"/>
        <v>1</v>
      </c>
      <c r="Q409" s="119">
        <f t="shared" si="50"/>
        <v>1</v>
      </c>
      <c r="S409" s="3">
        <v>1</v>
      </c>
    </row>
    <row r="410" spans="2:19">
      <c r="B410" s="116"/>
      <c r="C410" s="116"/>
      <c r="D410" s="116"/>
      <c r="E410" s="116" cm="1">
        <f t="array" ref="E410">IF(H409&lt;&gt;"",E409,IF(E409="","",IFERROR(MATCH(TRUE(),INDEX(INDEX(K:K,E409+1):K203&lt;&gt;"",0),0)+E409,"")))</f>
        <v>551</v>
      </c>
      <c r="F410" s="117" cm="1">
        <f t="array" ref="F410">IF(E410="","",IF(H409&lt;&gt;"",H409,INDEX(D:D,E410)))</f>
        <v>0</v>
      </c>
      <c r="G410" s="117" t="str">
        <f t="shared" si="45"/>
        <v>0</v>
      </c>
      <c r="H410" s="118" t="str">
        <f t="shared" si="46"/>
        <v/>
      </c>
      <c r="I410" s="116" t="str">
        <f>IF(AND(F410&lt;&gt;"",N10&gt;0,M410&gt;N10),"Mot &gt; limite","")</f>
        <v/>
      </c>
      <c r="M410" s="70">
        <f>IF(OR(F410="",N10="",N10&lt;=0),"",IF(LEN(F410)&lt;=N10,LEN(F410),IFERROR(FIND("♦",SUBSTITUTE(LEFT(F410,N10)," ","♦",LEN(LEFT(F410,N10))-LEN(SUBSTITUTE(LEFT(F410,N10)," ","")))),FIND(" ",F410&amp;" ",N10+1)-1)))</f>
        <v>1</v>
      </c>
      <c r="N410" s="119">
        <f t="shared" si="47"/>
        <v>393</v>
      </c>
      <c r="O410" s="99" t="str">
        <f t="shared" si="48"/>
        <v>0</v>
      </c>
      <c r="P410" s="119">
        <f t="shared" si="49"/>
        <v>1</v>
      </c>
      <c r="Q410" s="119">
        <f t="shared" si="50"/>
        <v>1</v>
      </c>
      <c r="S410" s="3">
        <v>1</v>
      </c>
    </row>
    <row r="411" spans="2:19">
      <c r="B411" s="116"/>
      <c r="C411" s="116"/>
      <c r="D411" s="116"/>
      <c r="E411" s="116" cm="1">
        <f t="array" ref="E411">IF(H410&lt;&gt;"",E410,IF(E410="","",IFERROR(MATCH(TRUE(),INDEX(INDEX(K:K,E410+1):K203&lt;&gt;"",0),0)+E410,"")))</f>
        <v>552</v>
      </c>
      <c r="F411" s="117" cm="1">
        <f t="array" ref="F411">IF(E411="","",IF(H410&lt;&gt;"",H410,INDEX(D:D,E411)))</f>
        <v>0</v>
      </c>
      <c r="G411" s="117" t="str">
        <f t="shared" si="45"/>
        <v>0</v>
      </c>
      <c r="H411" s="118" t="str">
        <f t="shared" si="46"/>
        <v/>
      </c>
      <c r="I411" s="116" t="str">
        <f>IF(AND(F411&lt;&gt;"",N10&gt;0,M411&gt;N10),"Mot &gt; limite","")</f>
        <v/>
      </c>
      <c r="M411" s="70">
        <f>IF(OR(F411="",N10="",N10&lt;=0),"",IF(LEN(F411)&lt;=N10,LEN(F411),IFERROR(FIND("♦",SUBSTITUTE(LEFT(F411,N10)," ","♦",LEN(LEFT(F411,N10))-LEN(SUBSTITUTE(LEFT(F411,N10)," ","")))),FIND(" ",F411&amp;" ",N10+1)-1)))</f>
        <v>1</v>
      </c>
      <c r="N411" s="119">
        <f t="shared" si="47"/>
        <v>394</v>
      </c>
      <c r="O411" s="99" t="str">
        <f t="shared" si="48"/>
        <v>0</v>
      </c>
      <c r="P411" s="119">
        <f t="shared" si="49"/>
        <v>1</v>
      </c>
      <c r="Q411" s="119">
        <f t="shared" si="50"/>
        <v>1</v>
      </c>
      <c r="S411" s="3">
        <v>1</v>
      </c>
    </row>
    <row r="412" spans="2:19">
      <c r="B412" s="116"/>
      <c r="C412" s="116"/>
      <c r="D412" s="116"/>
      <c r="E412" s="116" cm="1">
        <f t="array" ref="E412">IF(H411&lt;&gt;"",E411,IF(E411="","",IFERROR(MATCH(TRUE(),INDEX(INDEX(K:K,E411+1):K203&lt;&gt;"",0),0)+E411,"")))</f>
        <v>553</v>
      </c>
      <c r="F412" s="117" cm="1">
        <f t="array" ref="F412">IF(E412="","",IF(H411&lt;&gt;"",H411,INDEX(D:D,E412)))</f>
        <v>0</v>
      </c>
      <c r="G412" s="117" t="str">
        <f t="shared" si="45"/>
        <v>0</v>
      </c>
      <c r="H412" s="118" t="str">
        <f t="shared" si="46"/>
        <v/>
      </c>
      <c r="I412" s="116" t="str">
        <f>IF(AND(F412&lt;&gt;"",N10&gt;0,M412&gt;N10),"Mot &gt; limite","")</f>
        <v/>
      </c>
      <c r="M412" s="70">
        <f>IF(OR(F412="",N10="",N10&lt;=0),"",IF(LEN(F412)&lt;=N10,LEN(F412),IFERROR(FIND("♦",SUBSTITUTE(LEFT(F412,N10)," ","♦",LEN(LEFT(F412,N10))-LEN(SUBSTITUTE(LEFT(F412,N10)," ","")))),FIND(" ",F412&amp;" ",N10+1)-1)))</f>
        <v>1</v>
      </c>
      <c r="N412" s="119">
        <f t="shared" si="47"/>
        <v>395</v>
      </c>
      <c r="O412" s="99" t="str">
        <f t="shared" si="48"/>
        <v>0</v>
      </c>
      <c r="P412" s="119">
        <f t="shared" si="49"/>
        <v>1</v>
      </c>
      <c r="Q412" s="119">
        <f t="shared" si="50"/>
        <v>1</v>
      </c>
      <c r="S412" s="3">
        <v>1</v>
      </c>
    </row>
    <row r="413" spans="2:19">
      <c r="B413" s="116"/>
      <c r="C413" s="116"/>
      <c r="D413" s="116"/>
      <c r="E413" s="116" cm="1">
        <f t="array" ref="E413">IF(H412&lt;&gt;"",E412,IF(E412="","",IFERROR(MATCH(TRUE(),INDEX(INDEX(K:K,E412+1):K203&lt;&gt;"",0),0)+E412,"")))</f>
        <v>554</v>
      </c>
      <c r="F413" s="117" cm="1">
        <f t="array" ref="F413">IF(E413="","",IF(H412&lt;&gt;"",H412,INDEX(D:D,E413)))</f>
        <v>0</v>
      </c>
      <c r="G413" s="117" t="str">
        <f t="shared" si="45"/>
        <v>0</v>
      </c>
      <c r="H413" s="118" t="str">
        <f t="shared" si="46"/>
        <v/>
      </c>
      <c r="I413" s="116" t="str">
        <f>IF(AND(F413&lt;&gt;"",N10&gt;0,M413&gt;N10),"Mot &gt; limite","")</f>
        <v/>
      </c>
      <c r="M413" s="70">
        <f>IF(OR(F413="",N10="",N10&lt;=0),"",IF(LEN(F413)&lt;=N10,LEN(F413),IFERROR(FIND("♦",SUBSTITUTE(LEFT(F413,N10)," ","♦",LEN(LEFT(F413,N10))-LEN(SUBSTITUTE(LEFT(F413,N10)," ","")))),FIND(" ",F413&amp;" ",N10+1)-1)))</f>
        <v>1</v>
      </c>
      <c r="N413" s="119">
        <f t="shared" si="47"/>
        <v>396</v>
      </c>
      <c r="O413" s="99" t="str">
        <f t="shared" si="48"/>
        <v>0</v>
      </c>
      <c r="P413" s="119">
        <f t="shared" si="49"/>
        <v>1</v>
      </c>
      <c r="Q413" s="119">
        <f t="shared" si="50"/>
        <v>1</v>
      </c>
      <c r="S413" s="3">
        <v>1</v>
      </c>
    </row>
    <row r="414" spans="2:19">
      <c r="B414" s="116"/>
      <c r="C414" s="116"/>
      <c r="D414" s="116"/>
      <c r="E414" s="116" cm="1">
        <f t="array" ref="E414">IF(H413&lt;&gt;"",E413,IF(E413="","",IFERROR(MATCH(TRUE(),INDEX(INDEX(K:K,E413+1):K203&lt;&gt;"",0),0)+E413,"")))</f>
        <v>555</v>
      </c>
      <c r="F414" s="117" cm="1">
        <f t="array" ref="F414">IF(E414="","",IF(H413&lt;&gt;"",H413,INDEX(D:D,E414)))</f>
        <v>0</v>
      </c>
      <c r="G414" s="117" t="str">
        <f t="shared" si="45"/>
        <v>0</v>
      </c>
      <c r="H414" s="118" t="str">
        <f t="shared" si="46"/>
        <v/>
      </c>
      <c r="I414" s="116" t="str">
        <f>IF(AND(F414&lt;&gt;"",N10&gt;0,M414&gt;N10),"Mot &gt; limite","")</f>
        <v/>
      </c>
      <c r="M414" s="70">
        <f>IF(OR(F414="",N10="",N10&lt;=0),"",IF(LEN(F414)&lt;=N10,LEN(F414),IFERROR(FIND("♦",SUBSTITUTE(LEFT(F414,N10)," ","♦",LEN(LEFT(F414,N10))-LEN(SUBSTITUTE(LEFT(F414,N10)," ","")))),FIND(" ",F414&amp;" ",N10+1)-1)))</f>
        <v>1</v>
      </c>
      <c r="N414" s="119">
        <f t="shared" si="47"/>
        <v>397</v>
      </c>
      <c r="O414" s="99" t="str">
        <f t="shared" si="48"/>
        <v>0</v>
      </c>
      <c r="P414" s="119">
        <f t="shared" si="49"/>
        <v>1</v>
      </c>
      <c r="Q414" s="119">
        <f t="shared" si="50"/>
        <v>1</v>
      </c>
      <c r="S414" s="3">
        <v>1</v>
      </c>
    </row>
    <row r="415" spans="2:19">
      <c r="B415" s="116"/>
      <c r="C415" s="116"/>
      <c r="D415" s="116"/>
      <c r="E415" s="116" cm="1">
        <f t="array" ref="E415">IF(H414&lt;&gt;"",E414,IF(E414="","",IFERROR(MATCH(TRUE(),INDEX(INDEX(K:K,E414+1):K203&lt;&gt;"",0),0)+E414,"")))</f>
        <v>556</v>
      </c>
      <c r="F415" s="117" cm="1">
        <f t="array" ref="F415">IF(E415="","",IF(H414&lt;&gt;"",H414,INDEX(D:D,E415)))</f>
        <v>0</v>
      </c>
      <c r="G415" s="117" t="str">
        <f t="shared" si="45"/>
        <v>0</v>
      </c>
      <c r="H415" s="118" t="str">
        <f t="shared" si="46"/>
        <v/>
      </c>
      <c r="I415" s="116" t="str">
        <f>IF(AND(F415&lt;&gt;"",N10&gt;0,M415&gt;N10),"Mot &gt; limite","")</f>
        <v/>
      </c>
      <c r="M415" s="70">
        <f>IF(OR(F415="",N10="",N10&lt;=0),"",IF(LEN(F415)&lt;=N10,LEN(F415),IFERROR(FIND("♦",SUBSTITUTE(LEFT(F415,N10)," ","♦",LEN(LEFT(F415,N10))-LEN(SUBSTITUTE(LEFT(F415,N10)," ","")))),FIND(" ",F415&amp;" ",N10+1)-1)))</f>
        <v>1</v>
      </c>
      <c r="N415" s="119">
        <f t="shared" si="47"/>
        <v>398</v>
      </c>
      <c r="O415" s="99" t="str">
        <f t="shared" si="48"/>
        <v>0</v>
      </c>
      <c r="P415" s="119">
        <f t="shared" si="49"/>
        <v>1</v>
      </c>
      <c r="Q415" s="119">
        <f t="shared" si="50"/>
        <v>1</v>
      </c>
      <c r="S415" s="3">
        <v>1</v>
      </c>
    </row>
    <row r="416" spans="2:19">
      <c r="B416" s="116"/>
      <c r="C416" s="116"/>
      <c r="D416" s="116"/>
      <c r="E416" s="116" cm="1">
        <f t="array" ref="E416">IF(H415&lt;&gt;"",E415,IF(E415="","",IFERROR(MATCH(TRUE(),INDEX(INDEX(K:K,E415+1):K203&lt;&gt;"",0),0)+E415,"")))</f>
        <v>557</v>
      </c>
      <c r="F416" s="117" cm="1">
        <f t="array" ref="F416">IF(E416="","",IF(H415&lt;&gt;"",H415,INDEX(D:D,E416)))</f>
        <v>0</v>
      </c>
      <c r="G416" s="117" t="str">
        <f t="shared" si="45"/>
        <v>0</v>
      </c>
      <c r="H416" s="118" t="str">
        <f t="shared" si="46"/>
        <v/>
      </c>
      <c r="I416" s="116" t="str">
        <f>IF(AND(F416&lt;&gt;"",N10&gt;0,M416&gt;N10),"Mot &gt; limite","")</f>
        <v/>
      </c>
      <c r="M416" s="70">
        <f>IF(OR(F416="",N10="",N10&lt;=0),"",IF(LEN(F416)&lt;=N10,LEN(F416),IFERROR(FIND("♦",SUBSTITUTE(LEFT(F416,N10)," ","♦",LEN(LEFT(F416,N10))-LEN(SUBSTITUTE(LEFT(F416,N10)," ","")))),FIND(" ",F416&amp;" ",N10+1)-1)))</f>
        <v>1</v>
      </c>
      <c r="N416" s="119">
        <f t="shared" si="47"/>
        <v>399</v>
      </c>
      <c r="O416" s="99" t="str">
        <f t="shared" si="48"/>
        <v>0</v>
      </c>
      <c r="P416" s="119">
        <f t="shared" si="49"/>
        <v>1</v>
      </c>
      <c r="Q416" s="119">
        <f t="shared" si="50"/>
        <v>1</v>
      </c>
      <c r="S416" s="3">
        <v>1</v>
      </c>
    </row>
    <row r="417" spans="2:19">
      <c r="B417" s="116"/>
      <c r="C417" s="116"/>
      <c r="D417" s="116"/>
      <c r="E417" s="116" cm="1">
        <f t="array" ref="E417">IF(H416&lt;&gt;"",E416,IF(E416="","",IFERROR(MATCH(TRUE(),INDEX(INDEX(K:K,E416+1):K203&lt;&gt;"",0),0)+E416,"")))</f>
        <v>558</v>
      </c>
      <c r="F417" s="117" cm="1">
        <f t="array" ref="F417">IF(E417="","",IF(H416&lt;&gt;"",H416,INDEX(D:D,E417)))</f>
        <v>0</v>
      </c>
      <c r="G417" s="117" t="str">
        <f t="shared" si="45"/>
        <v>0</v>
      </c>
      <c r="H417" s="118" t="str">
        <f t="shared" si="46"/>
        <v/>
      </c>
      <c r="I417" s="116" t="str">
        <f>IF(AND(F417&lt;&gt;"",N10&gt;0,M417&gt;N10),"Mot &gt; limite","")</f>
        <v/>
      </c>
      <c r="M417" s="70">
        <f>IF(OR(F417="",N10="",N10&lt;=0),"",IF(LEN(F417)&lt;=N10,LEN(F417),IFERROR(FIND("♦",SUBSTITUTE(LEFT(F417,N10)," ","♦",LEN(LEFT(F417,N10))-LEN(SUBSTITUTE(LEFT(F417,N10)," ","")))),FIND(" ",F417&amp;" ",N10+1)-1)))</f>
        <v>1</v>
      </c>
      <c r="N417" s="119">
        <f t="shared" si="47"/>
        <v>400</v>
      </c>
      <c r="O417" s="99" t="str">
        <f t="shared" si="48"/>
        <v>0</v>
      </c>
      <c r="P417" s="119">
        <f t="shared" si="49"/>
        <v>1</v>
      </c>
      <c r="Q417" s="119">
        <f t="shared" si="50"/>
        <v>1</v>
      </c>
      <c r="S417" s="3">
        <v>1</v>
      </c>
    </row>
    <row r="418" spans="2:19">
      <c r="B418" s="116"/>
      <c r="C418" s="116"/>
      <c r="D418" s="116"/>
      <c r="E418" s="116" cm="1">
        <f t="array" ref="E418">IF(H417&lt;&gt;"",E417,IF(E417="","",IFERROR(MATCH(TRUE(),INDEX(INDEX(K:K,E417+1):K203&lt;&gt;"",0),0)+E417,"")))</f>
        <v>559</v>
      </c>
      <c r="F418" s="117" cm="1">
        <f t="array" ref="F418">IF(E418="","",IF(H417&lt;&gt;"",H417,INDEX(D:D,E418)))</f>
        <v>0</v>
      </c>
      <c r="G418" s="117" t="str">
        <f t="shared" si="45"/>
        <v>0</v>
      </c>
      <c r="H418" s="118" t="str">
        <f t="shared" si="46"/>
        <v/>
      </c>
      <c r="I418" s="116" t="str">
        <f>IF(AND(F418&lt;&gt;"",N10&gt;0,M418&gt;N10),"Mot &gt; limite","")</f>
        <v/>
      </c>
      <c r="M418" s="70">
        <f>IF(OR(F418="",N10="",N10&lt;=0),"",IF(LEN(F418)&lt;=N10,LEN(F418),IFERROR(FIND("♦",SUBSTITUTE(LEFT(F418,N10)," ","♦",LEN(LEFT(F418,N10))-LEN(SUBSTITUTE(LEFT(F418,N10)," ","")))),FIND(" ",F418&amp;" ",N10+1)-1)))</f>
        <v>1</v>
      </c>
      <c r="N418" s="119">
        <f t="shared" si="47"/>
        <v>401</v>
      </c>
      <c r="O418" s="99" t="str">
        <f t="shared" si="48"/>
        <v>0</v>
      </c>
      <c r="P418" s="119">
        <f t="shared" si="49"/>
        <v>1</v>
      </c>
      <c r="Q418" s="119">
        <f t="shared" si="50"/>
        <v>1</v>
      </c>
      <c r="S418" s="3">
        <v>1</v>
      </c>
    </row>
    <row r="419" spans="2:19">
      <c r="B419" s="116"/>
      <c r="C419" s="116"/>
      <c r="D419" s="116"/>
      <c r="E419" s="116" cm="1">
        <f t="array" ref="E419">IF(H418&lt;&gt;"",E418,IF(E418="","",IFERROR(MATCH(TRUE(),INDEX(INDEX(K:K,E418+1):K203&lt;&gt;"",0),0)+E418,"")))</f>
        <v>560</v>
      </c>
      <c r="F419" s="117" cm="1">
        <f t="array" ref="F419">IF(E419="","",IF(H418&lt;&gt;"",H418,INDEX(D:D,E419)))</f>
        <v>0</v>
      </c>
      <c r="G419" s="117" t="str">
        <f t="shared" si="45"/>
        <v>0</v>
      </c>
      <c r="H419" s="118" t="str">
        <f t="shared" si="46"/>
        <v/>
      </c>
      <c r="I419" s="116" t="str">
        <f>IF(AND(F419&lt;&gt;"",N10&gt;0,M419&gt;N10),"Mot &gt; limite","")</f>
        <v/>
      </c>
      <c r="M419" s="70">
        <f>IF(OR(F419="",N10="",N10&lt;=0),"",IF(LEN(F419)&lt;=N10,LEN(F419),IFERROR(FIND("♦",SUBSTITUTE(LEFT(F419,N10)," ","♦",LEN(LEFT(F419,N10))-LEN(SUBSTITUTE(LEFT(F419,N10)," ","")))),FIND(" ",F419&amp;" ",N10+1)-1)))</f>
        <v>1</v>
      </c>
      <c r="N419" s="119">
        <f t="shared" si="47"/>
        <v>402</v>
      </c>
      <c r="O419" s="99" t="str">
        <f t="shared" si="48"/>
        <v>0</v>
      </c>
      <c r="P419" s="119">
        <f t="shared" si="49"/>
        <v>1</v>
      </c>
      <c r="Q419" s="119">
        <f t="shared" si="50"/>
        <v>1</v>
      </c>
      <c r="S419" s="3">
        <v>1</v>
      </c>
    </row>
    <row r="420" spans="2:19">
      <c r="B420" s="116"/>
      <c r="C420" s="116"/>
      <c r="D420" s="116"/>
      <c r="E420" s="116" cm="1">
        <f t="array" ref="E420">IF(H419&lt;&gt;"",E419,IF(E419="","",IFERROR(MATCH(TRUE(),INDEX(INDEX(K:K,E419+1):K203&lt;&gt;"",0),0)+E419,"")))</f>
        <v>561</v>
      </c>
      <c r="F420" s="117" cm="1">
        <f t="array" ref="F420">IF(E420="","",IF(H419&lt;&gt;"",H419,INDEX(D:D,E420)))</f>
        <v>0</v>
      </c>
      <c r="G420" s="117" t="str">
        <f t="shared" si="45"/>
        <v>0</v>
      </c>
      <c r="H420" s="118" t="str">
        <f t="shared" si="46"/>
        <v/>
      </c>
      <c r="I420" s="116" t="str">
        <f>IF(AND(F420&lt;&gt;"",N10&gt;0,M420&gt;N10),"Mot &gt; limite","")</f>
        <v/>
      </c>
      <c r="M420" s="70">
        <f>IF(OR(F420="",N10="",N10&lt;=0),"",IF(LEN(F420)&lt;=N10,LEN(F420),IFERROR(FIND("♦",SUBSTITUTE(LEFT(F420,N10)," ","♦",LEN(LEFT(F420,N10))-LEN(SUBSTITUTE(LEFT(F420,N10)," ","")))),FIND(" ",F420&amp;" ",N10+1)-1)))</f>
        <v>1</v>
      </c>
      <c r="N420" s="119">
        <f t="shared" si="47"/>
        <v>403</v>
      </c>
      <c r="O420" s="99" t="str">
        <f t="shared" si="48"/>
        <v>0</v>
      </c>
      <c r="P420" s="119">
        <f t="shared" si="49"/>
        <v>1</v>
      </c>
      <c r="Q420" s="119">
        <f t="shared" si="50"/>
        <v>1</v>
      </c>
      <c r="S420" s="3">
        <v>1</v>
      </c>
    </row>
    <row r="421" spans="2:19">
      <c r="B421" s="116"/>
      <c r="C421" s="116"/>
      <c r="D421" s="116"/>
      <c r="E421" s="116" cm="1">
        <f t="array" ref="E421">IF(H420&lt;&gt;"",E420,IF(E420="","",IFERROR(MATCH(TRUE(),INDEX(INDEX(K:K,E420+1):K203&lt;&gt;"",0),0)+E420,"")))</f>
        <v>562</v>
      </c>
      <c r="F421" s="117" cm="1">
        <f t="array" ref="F421">IF(E421="","",IF(H420&lt;&gt;"",H420,INDEX(D:D,E421)))</f>
        <v>0</v>
      </c>
      <c r="G421" s="117" t="str">
        <f t="shared" si="45"/>
        <v>0</v>
      </c>
      <c r="H421" s="118" t="str">
        <f t="shared" si="46"/>
        <v/>
      </c>
      <c r="I421" s="116" t="str">
        <f>IF(AND(F421&lt;&gt;"",N10&gt;0,M421&gt;N10),"Mot &gt; limite","")</f>
        <v/>
      </c>
      <c r="M421" s="70">
        <f>IF(OR(F421="",N10="",N10&lt;=0),"",IF(LEN(F421)&lt;=N10,LEN(F421),IFERROR(FIND("♦",SUBSTITUTE(LEFT(F421,N10)," ","♦",LEN(LEFT(F421,N10))-LEN(SUBSTITUTE(LEFT(F421,N10)," ","")))),FIND(" ",F421&amp;" ",N10+1)-1)))</f>
        <v>1</v>
      </c>
      <c r="N421" s="119">
        <f t="shared" si="47"/>
        <v>404</v>
      </c>
      <c r="O421" s="99" t="str">
        <f t="shared" si="48"/>
        <v>0</v>
      </c>
      <c r="P421" s="119">
        <f t="shared" si="49"/>
        <v>1</v>
      </c>
      <c r="Q421" s="119">
        <f t="shared" si="50"/>
        <v>1</v>
      </c>
      <c r="S421" s="3">
        <v>1</v>
      </c>
    </row>
    <row r="422" spans="2:19">
      <c r="B422" s="116"/>
      <c r="C422" s="116"/>
      <c r="D422" s="116"/>
      <c r="E422" s="116" cm="1">
        <f t="array" ref="E422">IF(H421&lt;&gt;"",E421,IF(E421="","",IFERROR(MATCH(TRUE(),INDEX(INDEX(K:K,E421+1):K203&lt;&gt;"",0),0)+E421,"")))</f>
        <v>563</v>
      </c>
      <c r="F422" s="117" cm="1">
        <f t="array" ref="F422">IF(E422="","",IF(H421&lt;&gt;"",H421,INDEX(D:D,E422)))</f>
        <v>0</v>
      </c>
      <c r="G422" s="117" t="str">
        <f t="shared" si="45"/>
        <v>0</v>
      </c>
      <c r="H422" s="118" t="str">
        <f t="shared" si="46"/>
        <v/>
      </c>
      <c r="I422" s="116" t="str">
        <f>IF(AND(F422&lt;&gt;"",N10&gt;0,M422&gt;N10),"Mot &gt; limite","")</f>
        <v/>
      </c>
      <c r="M422" s="70">
        <f>IF(OR(F422="",N10="",N10&lt;=0),"",IF(LEN(F422)&lt;=N10,LEN(F422),IFERROR(FIND("♦",SUBSTITUTE(LEFT(F422,N10)," ","♦",LEN(LEFT(F422,N10))-LEN(SUBSTITUTE(LEFT(F422,N10)," ","")))),FIND(" ",F422&amp;" ",N10+1)-1)))</f>
        <v>1</v>
      </c>
      <c r="N422" s="119">
        <f t="shared" si="47"/>
        <v>405</v>
      </c>
      <c r="O422" s="99" t="str">
        <f t="shared" si="48"/>
        <v>0</v>
      </c>
      <c r="P422" s="119">
        <f t="shared" si="49"/>
        <v>1</v>
      </c>
      <c r="Q422" s="119">
        <f t="shared" si="50"/>
        <v>1</v>
      </c>
      <c r="S422" s="3">
        <v>1</v>
      </c>
    </row>
    <row r="423" spans="2:19">
      <c r="B423" s="116"/>
      <c r="C423" s="116"/>
      <c r="D423" s="116"/>
      <c r="E423" s="116" cm="1">
        <f t="array" ref="E423">IF(H422&lt;&gt;"",E422,IF(E422="","",IFERROR(MATCH(TRUE(),INDEX(INDEX(K:K,E422+1):K203&lt;&gt;"",0),0)+E422,"")))</f>
        <v>564</v>
      </c>
      <c r="F423" s="117" cm="1">
        <f t="array" ref="F423">IF(E423="","",IF(H422&lt;&gt;"",H422,INDEX(D:D,E423)))</f>
        <v>0</v>
      </c>
      <c r="G423" s="117" t="str">
        <f t="shared" si="45"/>
        <v>0</v>
      </c>
      <c r="H423" s="118" t="str">
        <f t="shared" si="46"/>
        <v/>
      </c>
      <c r="I423" s="116" t="str">
        <f>IF(AND(F423&lt;&gt;"",N10&gt;0,M423&gt;N10),"Mot &gt; limite","")</f>
        <v/>
      </c>
      <c r="M423" s="70">
        <f>IF(OR(F423="",N10="",N10&lt;=0),"",IF(LEN(F423)&lt;=N10,LEN(F423),IFERROR(FIND("♦",SUBSTITUTE(LEFT(F423,N10)," ","♦",LEN(LEFT(F423,N10))-LEN(SUBSTITUTE(LEFT(F423,N10)," ","")))),FIND(" ",F423&amp;" ",N10+1)-1)))</f>
        <v>1</v>
      </c>
      <c r="N423" s="119">
        <f t="shared" si="47"/>
        <v>406</v>
      </c>
      <c r="O423" s="99" t="str">
        <f t="shared" si="48"/>
        <v>0</v>
      </c>
      <c r="P423" s="119">
        <f t="shared" si="49"/>
        <v>1</v>
      </c>
      <c r="Q423" s="119">
        <f t="shared" si="50"/>
        <v>1</v>
      </c>
      <c r="S423" s="3">
        <v>1</v>
      </c>
    </row>
    <row r="424" spans="2:19">
      <c r="B424" s="116"/>
      <c r="C424" s="116"/>
      <c r="D424" s="116"/>
      <c r="E424" s="116" cm="1">
        <f t="array" ref="E424">IF(H423&lt;&gt;"",E423,IF(E423="","",IFERROR(MATCH(TRUE(),INDEX(INDEX(K:K,E423+1):K203&lt;&gt;"",0),0)+E423,"")))</f>
        <v>565</v>
      </c>
      <c r="F424" s="117" cm="1">
        <f t="array" ref="F424">IF(E424="","",IF(H423&lt;&gt;"",H423,INDEX(D:D,E424)))</f>
        <v>0</v>
      </c>
      <c r="G424" s="117" t="str">
        <f t="shared" si="45"/>
        <v>0</v>
      </c>
      <c r="H424" s="118" t="str">
        <f t="shared" si="46"/>
        <v/>
      </c>
      <c r="I424" s="116" t="str">
        <f>IF(AND(F424&lt;&gt;"",N10&gt;0,M424&gt;N10),"Mot &gt; limite","")</f>
        <v/>
      </c>
      <c r="M424" s="70">
        <f>IF(OR(F424="",N10="",N10&lt;=0),"",IF(LEN(F424)&lt;=N10,LEN(F424),IFERROR(FIND("♦",SUBSTITUTE(LEFT(F424,N10)," ","♦",LEN(LEFT(F424,N10))-LEN(SUBSTITUTE(LEFT(F424,N10)," ","")))),FIND(" ",F424&amp;" ",N10+1)-1)))</f>
        <v>1</v>
      </c>
      <c r="N424" s="119">
        <f t="shared" si="47"/>
        <v>407</v>
      </c>
      <c r="O424" s="99" t="str">
        <f t="shared" si="48"/>
        <v>0</v>
      </c>
      <c r="P424" s="119">
        <f t="shared" si="49"/>
        <v>1</v>
      </c>
      <c r="Q424" s="119">
        <f t="shared" si="50"/>
        <v>1</v>
      </c>
      <c r="S424" s="3">
        <v>1</v>
      </c>
    </row>
    <row r="425" spans="2:19">
      <c r="B425" s="116"/>
      <c r="C425" s="116"/>
      <c r="D425" s="116"/>
      <c r="E425" s="116" cm="1">
        <f t="array" ref="E425">IF(H424&lt;&gt;"",E424,IF(E424="","",IFERROR(MATCH(TRUE(),INDEX(INDEX(K:K,E424+1):K203&lt;&gt;"",0),0)+E424,"")))</f>
        <v>566</v>
      </c>
      <c r="F425" s="117" cm="1">
        <f t="array" ref="F425">IF(E425="","",IF(H424&lt;&gt;"",H424,INDEX(D:D,E425)))</f>
        <v>0</v>
      </c>
      <c r="G425" s="117" t="str">
        <f t="shared" si="45"/>
        <v>0</v>
      </c>
      <c r="H425" s="118" t="str">
        <f t="shared" si="46"/>
        <v/>
      </c>
      <c r="I425" s="116" t="str">
        <f>IF(AND(F425&lt;&gt;"",N10&gt;0,M425&gt;N10),"Mot &gt; limite","")</f>
        <v/>
      </c>
      <c r="M425" s="70">
        <f>IF(OR(F425="",N10="",N10&lt;=0),"",IF(LEN(F425)&lt;=N10,LEN(F425),IFERROR(FIND("♦",SUBSTITUTE(LEFT(F425,N10)," ","♦",LEN(LEFT(F425,N10))-LEN(SUBSTITUTE(LEFT(F425,N10)," ","")))),FIND(" ",F425&amp;" ",N10+1)-1)))</f>
        <v>1</v>
      </c>
      <c r="N425" s="119">
        <f t="shared" si="47"/>
        <v>408</v>
      </c>
      <c r="O425" s="99" t="str">
        <f t="shared" si="48"/>
        <v>0</v>
      </c>
      <c r="P425" s="119">
        <f t="shared" si="49"/>
        <v>1</v>
      </c>
      <c r="Q425" s="119">
        <f t="shared" si="50"/>
        <v>1</v>
      </c>
      <c r="S425" s="3">
        <v>1</v>
      </c>
    </row>
    <row r="426" spans="2:19">
      <c r="B426" s="116"/>
      <c r="C426" s="116"/>
      <c r="D426" s="116"/>
      <c r="E426" s="116" cm="1">
        <f t="array" ref="E426">IF(H425&lt;&gt;"",E425,IF(E425="","",IFERROR(MATCH(TRUE(),INDEX(INDEX(K:K,E425+1):K203&lt;&gt;"",0),0)+E425,"")))</f>
        <v>567</v>
      </c>
      <c r="F426" s="117" cm="1">
        <f t="array" ref="F426">IF(E426="","",IF(H425&lt;&gt;"",H425,INDEX(D:D,E426)))</f>
        <v>0</v>
      </c>
      <c r="G426" s="117" t="str">
        <f t="shared" si="45"/>
        <v>0</v>
      </c>
      <c r="H426" s="118" t="str">
        <f t="shared" si="46"/>
        <v/>
      </c>
      <c r="I426" s="116" t="str">
        <f>IF(AND(F426&lt;&gt;"",N10&gt;0,M426&gt;N10),"Mot &gt; limite","")</f>
        <v/>
      </c>
      <c r="M426" s="70">
        <f>IF(OR(F426="",N10="",N10&lt;=0),"",IF(LEN(F426)&lt;=N10,LEN(F426),IFERROR(FIND("♦",SUBSTITUTE(LEFT(F426,N10)," ","♦",LEN(LEFT(F426,N10))-LEN(SUBSTITUTE(LEFT(F426,N10)," ","")))),FIND(" ",F426&amp;" ",N10+1)-1)))</f>
        <v>1</v>
      </c>
      <c r="N426" s="119">
        <f t="shared" si="47"/>
        <v>409</v>
      </c>
      <c r="O426" s="99" t="str">
        <f t="shared" si="48"/>
        <v>0</v>
      </c>
      <c r="P426" s="119">
        <f t="shared" si="49"/>
        <v>1</v>
      </c>
      <c r="Q426" s="119">
        <f t="shared" si="50"/>
        <v>1</v>
      </c>
      <c r="S426" s="3">
        <v>1</v>
      </c>
    </row>
    <row r="427" spans="2:19">
      <c r="B427" s="116"/>
      <c r="C427" s="116"/>
      <c r="D427" s="116"/>
      <c r="E427" s="116" cm="1">
        <f t="array" ref="E427">IF(H426&lt;&gt;"",E426,IF(E426="","",IFERROR(MATCH(TRUE(),INDEX(INDEX(K:K,E426+1):K203&lt;&gt;"",0),0)+E426,"")))</f>
        <v>568</v>
      </c>
      <c r="F427" s="117" cm="1">
        <f t="array" ref="F427">IF(E427="","",IF(H426&lt;&gt;"",H426,INDEX(D:D,E427)))</f>
        <v>0</v>
      </c>
      <c r="G427" s="117" t="str">
        <f t="shared" si="45"/>
        <v>0</v>
      </c>
      <c r="H427" s="118" t="str">
        <f t="shared" si="46"/>
        <v/>
      </c>
      <c r="I427" s="116" t="str">
        <f>IF(AND(F427&lt;&gt;"",N10&gt;0,M427&gt;N10),"Mot &gt; limite","")</f>
        <v/>
      </c>
      <c r="M427" s="70">
        <f>IF(OR(F427="",N10="",N10&lt;=0),"",IF(LEN(F427)&lt;=N10,LEN(F427),IFERROR(FIND("♦",SUBSTITUTE(LEFT(F427,N10)," ","♦",LEN(LEFT(F427,N10))-LEN(SUBSTITUTE(LEFT(F427,N10)," ","")))),FIND(" ",F427&amp;" ",N10+1)-1)))</f>
        <v>1</v>
      </c>
      <c r="N427" s="119">
        <f t="shared" si="47"/>
        <v>410</v>
      </c>
      <c r="O427" s="99" t="str">
        <f t="shared" si="48"/>
        <v>0</v>
      </c>
      <c r="P427" s="119">
        <f t="shared" si="49"/>
        <v>1</v>
      </c>
      <c r="Q427" s="119">
        <f t="shared" si="50"/>
        <v>1</v>
      </c>
      <c r="S427" s="3">
        <v>1</v>
      </c>
    </row>
    <row r="428" spans="2:19">
      <c r="B428" s="116"/>
      <c r="C428" s="116"/>
      <c r="D428" s="116"/>
      <c r="E428" s="116" cm="1">
        <f t="array" ref="E428">IF(H427&lt;&gt;"",E427,IF(E427="","",IFERROR(MATCH(TRUE(),INDEX(INDEX(K:K,E427+1):K203&lt;&gt;"",0),0)+E427,"")))</f>
        <v>569</v>
      </c>
      <c r="F428" s="117" cm="1">
        <f t="array" ref="F428">IF(E428="","",IF(H427&lt;&gt;"",H427,INDEX(D:D,E428)))</f>
        <v>0</v>
      </c>
      <c r="G428" s="117" t="str">
        <f t="shared" si="45"/>
        <v>0</v>
      </c>
      <c r="H428" s="118" t="str">
        <f t="shared" si="46"/>
        <v/>
      </c>
      <c r="I428" s="116" t="str">
        <f>IF(AND(F428&lt;&gt;"",N10&gt;0,M428&gt;N10),"Mot &gt; limite","")</f>
        <v/>
      </c>
      <c r="M428" s="70">
        <f>IF(OR(F428="",N10="",N10&lt;=0),"",IF(LEN(F428)&lt;=N10,LEN(F428),IFERROR(FIND("♦",SUBSTITUTE(LEFT(F428,N10)," ","♦",LEN(LEFT(F428,N10))-LEN(SUBSTITUTE(LEFT(F428,N10)," ","")))),FIND(" ",F428&amp;" ",N10+1)-1)))</f>
        <v>1</v>
      </c>
      <c r="N428" s="119">
        <f t="shared" si="47"/>
        <v>411</v>
      </c>
      <c r="O428" s="99" t="str">
        <f t="shared" si="48"/>
        <v>0</v>
      </c>
      <c r="P428" s="119">
        <f t="shared" si="49"/>
        <v>1</v>
      </c>
      <c r="Q428" s="119">
        <f t="shared" si="50"/>
        <v>1</v>
      </c>
      <c r="S428" s="3">
        <v>1</v>
      </c>
    </row>
    <row r="429" spans="2:19">
      <c r="B429" s="116"/>
      <c r="C429" s="116"/>
      <c r="D429" s="116"/>
      <c r="E429" s="116" cm="1">
        <f t="array" ref="E429">IF(H428&lt;&gt;"",E428,IF(E428="","",IFERROR(MATCH(TRUE(),INDEX(INDEX(K:K,E428+1):K203&lt;&gt;"",0),0)+E428,"")))</f>
        <v>570</v>
      </c>
      <c r="F429" s="117" cm="1">
        <f t="array" ref="F429">IF(E429="","",IF(H428&lt;&gt;"",H428,INDEX(D:D,E429)))</f>
        <v>0</v>
      </c>
      <c r="G429" s="117" t="str">
        <f t="shared" si="45"/>
        <v>0</v>
      </c>
      <c r="H429" s="118" t="str">
        <f t="shared" si="46"/>
        <v/>
      </c>
      <c r="I429" s="116" t="str">
        <f>IF(AND(F429&lt;&gt;"",N10&gt;0,M429&gt;N10),"Mot &gt; limite","")</f>
        <v/>
      </c>
      <c r="M429" s="70">
        <f>IF(OR(F429="",N10="",N10&lt;=0),"",IF(LEN(F429)&lt;=N10,LEN(F429),IFERROR(FIND("♦",SUBSTITUTE(LEFT(F429,N10)," ","♦",LEN(LEFT(F429,N10))-LEN(SUBSTITUTE(LEFT(F429,N10)," ","")))),FIND(" ",F429&amp;" ",N10+1)-1)))</f>
        <v>1</v>
      </c>
      <c r="N429" s="119">
        <f t="shared" si="47"/>
        <v>412</v>
      </c>
      <c r="O429" s="99" t="str">
        <f t="shared" si="48"/>
        <v>0</v>
      </c>
      <c r="P429" s="119">
        <f t="shared" si="49"/>
        <v>1</v>
      </c>
      <c r="Q429" s="119">
        <f t="shared" si="50"/>
        <v>1</v>
      </c>
      <c r="S429" s="3">
        <v>1</v>
      </c>
    </row>
    <row r="430" spans="2:19">
      <c r="B430" s="116"/>
      <c r="C430" s="116"/>
      <c r="D430" s="116"/>
      <c r="E430" s="116" cm="1">
        <f t="array" ref="E430">IF(H429&lt;&gt;"",E429,IF(E429="","",IFERROR(MATCH(TRUE(),INDEX(INDEX(K:K,E429+1):K203&lt;&gt;"",0),0)+E429,"")))</f>
        <v>571</v>
      </c>
      <c r="F430" s="117" cm="1">
        <f t="array" ref="F430">IF(E430="","",IF(H429&lt;&gt;"",H429,INDEX(D:D,E430)))</f>
        <v>0</v>
      </c>
      <c r="G430" s="117" t="str">
        <f t="shared" si="45"/>
        <v>0</v>
      </c>
      <c r="H430" s="118" t="str">
        <f t="shared" si="46"/>
        <v/>
      </c>
      <c r="I430" s="116" t="str">
        <f>IF(AND(F430&lt;&gt;"",N10&gt;0,M430&gt;N10),"Mot &gt; limite","")</f>
        <v/>
      </c>
      <c r="M430" s="70">
        <f>IF(OR(F430="",N10="",N10&lt;=0),"",IF(LEN(F430)&lt;=N10,LEN(F430),IFERROR(FIND("♦",SUBSTITUTE(LEFT(F430,N10)," ","♦",LEN(LEFT(F430,N10))-LEN(SUBSTITUTE(LEFT(F430,N10)," ","")))),FIND(" ",F430&amp;" ",N10+1)-1)))</f>
        <v>1</v>
      </c>
      <c r="N430" s="119">
        <f t="shared" si="47"/>
        <v>413</v>
      </c>
      <c r="O430" s="99" t="str">
        <f t="shared" si="48"/>
        <v>0</v>
      </c>
      <c r="P430" s="119">
        <f t="shared" si="49"/>
        <v>1</v>
      </c>
      <c r="Q430" s="119">
        <f t="shared" si="50"/>
        <v>1</v>
      </c>
      <c r="S430" s="3">
        <v>1</v>
      </c>
    </row>
    <row r="431" spans="2:19">
      <c r="B431" s="116"/>
      <c r="C431" s="116"/>
      <c r="D431" s="116"/>
      <c r="E431" s="116" cm="1">
        <f t="array" ref="E431">IF(H430&lt;&gt;"",E430,IF(E430="","",IFERROR(MATCH(TRUE(),INDEX(INDEX(K:K,E430+1):K203&lt;&gt;"",0),0)+E430,"")))</f>
        <v>572</v>
      </c>
      <c r="F431" s="117" cm="1">
        <f t="array" ref="F431">IF(E431="","",IF(H430&lt;&gt;"",H430,INDEX(D:D,E431)))</f>
        <v>0</v>
      </c>
      <c r="G431" s="117" t="str">
        <f t="shared" si="45"/>
        <v>0</v>
      </c>
      <c r="H431" s="118" t="str">
        <f t="shared" si="46"/>
        <v/>
      </c>
      <c r="I431" s="116" t="str">
        <f>IF(AND(F431&lt;&gt;"",N10&gt;0,M431&gt;N10),"Mot &gt; limite","")</f>
        <v/>
      </c>
      <c r="M431" s="70">
        <f>IF(OR(F431="",N10="",N10&lt;=0),"",IF(LEN(F431)&lt;=N10,LEN(F431),IFERROR(FIND("♦",SUBSTITUTE(LEFT(F431,N10)," ","♦",LEN(LEFT(F431,N10))-LEN(SUBSTITUTE(LEFT(F431,N10)," ","")))),FIND(" ",F431&amp;" ",N10+1)-1)))</f>
        <v>1</v>
      </c>
      <c r="N431" s="119">
        <f t="shared" si="47"/>
        <v>414</v>
      </c>
      <c r="O431" s="99" t="str">
        <f t="shared" si="48"/>
        <v>0</v>
      </c>
      <c r="P431" s="119">
        <f t="shared" si="49"/>
        <v>1</v>
      </c>
      <c r="Q431" s="119">
        <f t="shared" si="50"/>
        <v>1</v>
      </c>
      <c r="S431" s="3">
        <v>1</v>
      </c>
    </row>
    <row r="432" spans="2:19">
      <c r="B432" s="116"/>
      <c r="C432" s="116"/>
      <c r="D432" s="116"/>
      <c r="E432" s="116" cm="1">
        <f t="array" ref="E432">IF(H431&lt;&gt;"",E431,IF(E431="","",IFERROR(MATCH(TRUE(),INDEX(INDEX(K:K,E431+1):K203&lt;&gt;"",0),0)+E431,"")))</f>
        <v>573</v>
      </c>
      <c r="F432" s="117" cm="1">
        <f t="array" ref="F432">IF(E432="","",IF(H431&lt;&gt;"",H431,INDEX(D:D,E432)))</f>
        <v>0</v>
      </c>
      <c r="G432" s="117" t="str">
        <f t="shared" si="45"/>
        <v>0</v>
      </c>
      <c r="H432" s="118" t="str">
        <f t="shared" si="46"/>
        <v/>
      </c>
      <c r="I432" s="116" t="str">
        <f>IF(AND(F432&lt;&gt;"",N10&gt;0,M432&gt;N10),"Mot &gt; limite","")</f>
        <v/>
      </c>
      <c r="M432" s="70">
        <f>IF(OR(F432="",N10="",N10&lt;=0),"",IF(LEN(F432)&lt;=N10,LEN(F432),IFERROR(FIND("♦",SUBSTITUTE(LEFT(F432,N10)," ","♦",LEN(LEFT(F432,N10))-LEN(SUBSTITUTE(LEFT(F432,N10)," ","")))),FIND(" ",F432&amp;" ",N10+1)-1)))</f>
        <v>1</v>
      </c>
      <c r="N432" s="119">
        <f t="shared" si="47"/>
        <v>415</v>
      </c>
      <c r="O432" s="99" t="str">
        <f t="shared" si="48"/>
        <v>0</v>
      </c>
      <c r="P432" s="119">
        <f t="shared" si="49"/>
        <v>1</v>
      </c>
      <c r="Q432" s="119">
        <f t="shared" si="50"/>
        <v>1</v>
      </c>
      <c r="S432" s="3">
        <v>1</v>
      </c>
    </row>
    <row r="433" spans="2:19">
      <c r="B433" s="116"/>
      <c r="C433" s="116"/>
      <c r="D433" s="116"/>
      <c r="E433" s="116" cm="1">
        <f t="array" ref="E433">IF(H432&lt;&gt;"",E432,IF(E432="","",IFERROR(MATCH(TRUE(),INDEX(INDEX(K:K,E432+1):K203&lt;&gt;"",0),0)+E432,"")))</f>
        <v>574</v>
      </c>
      <c r="F433" s="117" cm="1">
        <f t="array" ref="F433">IF(E433="","",IF(H432&lt;&gt;"",H432,INDEX(D:D,E433)))</f>
        <v>0</v>
      </c>
      <c r="G433" s="117" t="str">
        <f t="shared" si="45"/>
        <v>0</v>
      </c>
      <c r="H433" s="118" t="str">
        <f t="shared" si="46"/>
        <v/>
      </c>
      <c r="I433" s="116" t="str">
        <f>IF(AND(F433&lt;&gt;"",N10&gt;0,M433&gt;N10),"Mot &gt; limite","")</f>
        <v/>
      </c>
      <c r="M433" s="70">
        <f>IF(OR(F433="",N10="",N10&lt;=0),"",IF(LEN(F433)&lt;=N10,LEN(F433),IFERROR(FIND("♦",SUBSTITUTE(LEFT(F433,N10)," ","♦",LEN(LEFT(F433,N10))-LEN(SUBSTITUTE(LEFT(F433,N10)," ","")))),FIND(" ",F433&amp;" ",N10+1)-1)))</f>
        <v>1</v>
      </c>
      <c r="N433" s="119">
        <f t="shared" si="47"/>
        <v>416</v>
      </c>
      <c r="O433" s="99" t="str">
        <f t="shared" si="48"/>
        <v>0</v>
      </c>
      <c r="P433" s="119">
        <f t="shared" si="49"/>
        <v>1</v>
      </c>
      <c r="Q433" s="119">
        <f t="shared" si="50"/>
        <v>1</v>
      </c>
      <c r="S433" s="3">
        <v>1</v>
      </c>
    </row>
    <row r="434" spans="2:19">
      <c r="B434" s="116"/>
      <c r="C434" s="116"/>
      <c r="D434" s="116"/>
      <c r="E434" s="116" cm="1">
        <f t="array" ref="E434">IF(H433&lt;&gt;"",E433,IF(E433="","",IFERROR(MATCH(TRUE(),INDEX(INDEX(K:K,E433+1):K203&lt;&gt;"",0),0)+E433,"")))</f>
        <v>575</v>
      </c>
      <c r="F434" s="117" cm="1">
        <f t="array" ref="F434">IF(E434="","",IF(H433&lt;&gt;"",H433,INDEX(D:D,E434)))</f>
        <v>0</v>
      </c>
      <c r="G434" s="117" t="str">
        <f t="shared" si="45"/>
        <v>0</v>
      </c>
      <c r="H434" s="118" t="str">
        <f t="shared" si="46"/>
        <v/>
      </c>
      <c r="I434" s="116" t="str">
        <f>IF(AND(F434&lt;&gt;"",N10&gt;0,M434&gt;N10),"Mot &gt; limite","")</f>
        <v/>
      </c>
      <c r="M434" s="70">
        <f>IF(OR(F434="",N10="",N10&lt;=0),"",IF(LEN(F434)&lt;=N10,LEN(F434),IFERROR(FIND("♦",SUBSTITUTE(LEFT(F434,N10)," ","♦",LEN(LEFT(F434,N10))-LEN(SUBSTITUTE(LEFT(F434,N10)," ","")))),FIND(" ",F434&amp;" ",N10+1)-1)))</f>
        <v>1</v>
      </c>
      <c r="N434" s="119">
        <f t="shared" si="47"/>
        <v>417</v>
      </c>
      <c r="O434" s="99" t="str">
        <f t="shared" si="48"/>
        <v>0</v>
      </c>
      <c r="P434" s="119">
        <f t="shared" si="49"/>
        <v>1</v>
      </c>
      <c r="Q434" s="119">
        <f t="shared" si="50"/>
        <v>1</v>
      </c>
      <c r="S434" s="3">
        <v>1</v>
      </c>
    </row>
    <row r="435" spans="2:19">
      <c r="B435" s="116"/>
      <c r="C435" s="116"/>
      <c r="D435" s="116"/>
      <c r="E435" s="116" cm="1">
        <f t="array" ref="E435">IF(H434&lt;&gt;"",E434,IF(E434="","",IFERROR(MATCH(TRUE(),INDEX(INDEX(K:K,E434+1):K203&lt;&gt;"",0),0)+E434,"")))</f>
        <v>576</v>
      </c>
      <c r="F435" s="117" cm="1">
        <f t="array" ref="F435">IF(E435="","",IF(H434&lt;&gt;"",H434,INDEX(D:D,E435)))</f>
        <v>0</v>
      </c>
      <c r="G435" s="117" t="str">
        <f t="shared" si="45"/>
        <v>0</v>
      </c>
      <c r="H435" s="118" t="str">
        <f t="shared" si="46"/>
        <v/>
      </c>
      <c r="I435" s="116" t="str">
        <f>IF(AND(F435&lt;&gt;"",N10&gt;0,M435&gt;N10),"Mot &gt; limite","")</f>
        <v/>
      </c>
      <c r="M435" s="70">
        <f>IF(OR(F435="",N10="",N10&lt;=0),"",IF(LEN(F435)&lt;=N10,LEN(F435),IFERROR(FIND("♦",SUBSTITUTE(LEFT(F435,N10)," ","♦",LEN(LEFT(F435,N10))-LEN(SUBSTITUTE(LEFT(F435,N10)," ","")))),FIND(" ",F435&amp;" ",N10+1)-1)))</f>
        <v>1</v>
      </c>
      <c r="N435" s="119">
        <f t="shared" si="47"/>
        <v>418</v>
      </c>
      <c r="O435" s="99" t="str">
        <f t="shared" si="48"/>
        <v>0</v>
      </c>
      <c r="P435" s="119">
        <f t="shared" si="49"/>
        <v>1</v>
      </c>
      <c r="Q435" s="119">
        <f t="shared" si="50"/>
        <v>1</v>
      </c>
      <c r="S435" s="3">
        <v>1</v>
      </c>
    </row>
    <row r="436" spans="2:19">
      <c r="B436" s="116"/>
      <c r="C436" s="116"/>
      <c r="D436" s="116"/>
      <c r="E436" s="116" cm="1">
        <f t="array" ref="E436">IF(H435&lt;&gt;"",E435,IF(E435="","",IFERROR(MATCH(TRUE(),INDEX(INDEX(K:K,E435+1):K203&lt;&gt;"",0),0)+E435,"")))</f>
        <v>577</v>
      </c>
      <c r="F436" s="117" cm="1">
        <f t="array" ref="F436">IF(E436="","",IF(H435&lt;&gt;"",H435,INDEX(D:D,E436)))</f>
        <v>0</v>
      </c>
      <c r="G436" s="117" t="str">
        <f t="shared" si="45"/>
        <v>0</v>
      </c>
      <c r="H436" s="118" t="str">
        <f t="shared" si="46"/>
        <v/>
      </c>
      <c r="I436" s="116" t="str">
        <f>IF(AND(F436&lt;&gt;"",N10&gt;0,M436&gt;N10),"Mot &gt; limite","")</f>
        <v/>
      </c>
      <c r="M436" s="70">
        <f>IF(OR(F436="",N10="",N10&lt;=0),"",IF(LEN(F436)&lt;=N10,LEN(F436),IFERROR(FIND("♦",SUBSTITUTE(LEFT(F436,N10)," ","♦",LEN(LEFT(F436,N10))-LEN(SUBSTITUTE(LEFT(F436,N10)," ","")))),FIND(" ",F436&amp;" ",N10+1)-1)))</f>
        <v>1</v>
      </c>
      <c r="N436" s="119">
        <f t="shared" si="47"/>
        <v>419</v>
      </c>
      <c r="O436" s="99" t="str">
        <f t="shared" si="48"/>
        <v>0</v>
      </c>
      <c r="P436" s="119">
        <f t="shared" si="49"/>
        <v>1</v>
      </c>
      <c r="Q436" s="119">
        <f t="shared" si="50"/>
        <v>1</v>
      </c>
      <c r="S436" s="3">
        <v>1</v>
      </c>
    </row>
    <row r="437" spans="2:19">
      <c r="B437" s="116"/>
      <c r="C437" s="116"/>
      <c r="D437" s="116"/>
      <c r="E437" s="116" cm="1">
        <f t="array" ref="E437">IF(H436&lt;&gt;"",E436,IF(E436="","",IFERROR(MATCH(TRUE(),INDEX(INDEX(K:K,E436+1):K203&lt;&gt;"",0),0)+E436,"")))</f>
        <v>578</v>
      </c>
      <c r="F437" s="117" cm="1">
        <f t="array" ref="F437">IF(E437="","",IF(H436&lt;&gt;"",H436,INDEX(D:D,E437)))</f>
        <v>0</v>
      </c>
      <c r="G437" s="117" t="str">
        <f t="shared" si="45"/>
        <v>0</v>
      </c>
      <c r="H437" s="118" t="str">
        <f t="shared" si="46"/>
        <v/>
      </c>
      <c r="I437" s="116" t="str">
        <f>IF(AND(F437&lt;&gt;"",N10&gt;0,M437&gt;N10),"Mot &gt; limite","")</f>
        <v/>
      </c>
      <c r="M437" s="70">
        <f>IF(OR(F437="",N10="",N10&lt;=0),"",IF(LEN(F437)&lt;=N10,LEN(F437),IFERROR(FIND("♦",SUBSTITUTE(LEFT(F437,N10)," ","♦",LEN(LEFT(F437,N10))-LEN(SUBSTITUTE(LEFT(F437,N10)," ","")))),FIND(" ",F437&amp;" ",N10+1)-1)))</f>
        <v>1</v>
      </c>
      <c r="N437" s="119">
        <f t="shared" si="47"/>
        <v>420</v>
      </c>
      <c r="O437" s="99" t="str">
        <f t="shared" si="48"/>
        <v>0</v>
      </c>
      <c r="P437" s="119">
        <f t="shared" si="49"/>
        <v>1</v>
      </c>
      <c r="Q437" s="119">
        <f t="shared" si="50"/>
        <v>1</v>
      </c>
      <c r="S437" s="3">
        <v>1</v>
      </c>
    </row>
    <row r="438" spans="2:19">
      <c r="B438" s="116"/>
      <c r="C438" s="116"/>
      <c r="D438" s="116"/>
      <c r="E438" s="116" cm="1">
        <f t="array" ref="E438">IF(H437&lt;&gt;"",E437,IF(E437="","",IFERROR(MATCH(TRUE(),INDEX(INDEX(K:K,E437+1):K203&lt;&gt;"",0),0)+E437,"")))</f>
        <v>579</v>
      </c>
      <c r="F438" s="117" cm="1">
        <f t="array" ref="F438">IF(E438="","",IF(H437&lt;&gt;"",H437,INDEX(D:D,E438)))</f>
        <v>0</v>
      </c>
      <c r="G438" s="117" t="str">
        <f t="shared" si="45"/>
        <v>0</v>
      </c>
      <c r="H438" s="118" t="str">
        <f t="shared" si="46"/>
        <v/>
      </c>
      <c r="I438" s="116" t="str">
        <f>IF(AND(F438&lt;&gt;"",N10&gt;0,M438&gt;N10),"Mot &gt; limite","")</f>
        <v/>
      </c>
      <c r="M438" s="70">
        <f>IF(OR(F438="",N10="",N10&lt;=0),"",IF(LEN(F438)&lt;=N10,LEN(F438),IFERROR(FIND("♦",SUBSTITUTE(LEFT(F438,N10)," ","♦",LEN(LEFT(F438,N10))-LEN(SUBSTITUTE(LEFT(F438,N10)," ","")))),FIND(" ",F438&amp;" ",N10+1)-1)))</f>
        <v>1</v>
      </c>
      <c r="N438" s="119">
        <f t="shared" si="47"/>
        <v>421</v>
      </c>
      <c r="O438" s="99" t="str">
        <f t="shared" si="48"/>
        <v>0</v>
      </c>
      <c r="P438" s="119">
        <f t="shared" si="49"/>
        <v>1</v>
      </c>
      <c r="Q438" s="119">
        <f t="shared" si="50"/>
        <v>1</v>
      </c>
      <c r="S438" s="3">
        <v>1</v>
      </c>
    </row>
    <row r="439" spans="2:19">
      <c r="B439" s="116"/>
      <c r="C439" s="116"/>
      <c r="D439" s="116"/>
      <c r="E439" s="116" cm="1">
        <f t="array" ref="E439">IF(H438&lt;&gt;"",E438,IF(E438="","",IFERROR(MATCH(TRUE(),INDEX(INDEX(K:K,E438+1):K203&lt;&gt;"",0),0)+E438,"")))</f>
        <v>580</v>
      </c>
      <c r="F439" s="117" cm="1">
        <f t="array" ref="F439">IF(E439="","",IF(H438&lt;&gt;"",H438,INDEX(D:D,E439)))</f>
        <v>0</v>
      </c>
      <c r="G439" s="117" t="str">
        <f t="shared" si="45"/>
        <v>0</v>
      </c>
      <c r="H439" s="118" t="str">
        <f t="shared" si="46"/>
        <v/>
      </c>
      <c r="I439" s="116" t="str">
        <f>IF(AND(F439&lt;&gt;"",N10&gt;0,M439&gt;N10),"Mot &gt; limite","")</f>
        <v/>
      </c>
      <c r="M439" s="70">
        <f>IF(OR(F439="",N10="",N10&lt;=0),"",IF(LEN(F439)&lt;=N10,LEN(F439),IFERROR(FIND("♦",SUBSTITUTE(LEFT(F439,N10)," ","♦",LEN(LEFT(F439,N10))-LEN(SUBSTITUTE(LEFT(F439,N10)," ","")))),FIND(" ",F439&amp;" ",N10+1)-1)))</f>
        <v>1</v>
      </c>
      <c r="N439" s="119">
        <f t="shared" si="47"/>
        <v>422</v>
      </c>
      <c r="O439" s="99" t="str">
        <f t="shared" si="48"/>
        <v>0</v>
      </c>
      <c r="P439" s="119">
        <f t="shared" si="49"/>
        <v>1</v>
      </c>
      <c r="Q439" s="119">
        <f t="shared" si="50"/>
        <v>1</v>
      </c>
      <c r="S439" s="3">
        <v>1</v>
      </c>
    </row>
    <row r="440" spans="2:19">
      <c r="B440" s="116"/>
      <c r="C440" s="116"/>
      <c r="D440" s="116"/>
      <c r="E440" s="116" cm="1">
        <f t="array" ref="E440">IF(H439&lt;&gt;"",E439,IF(E439="","",IFERROR(MATCH(TRUE(),INDEX(INDEX(K:K,E439+1):K203&lt;&gt;"",0),0)+E439,"")))</f>
        <v>581</v>
      </c>
      <c r="F440" s="117" cm="1">
        <f t="array" ref="F440">IF(E440="","",IF(H439&lt;&gt;"",H439,INDEX(D:D,E440)))</f>
        <v>0</v>
      </c>
      <c r="G440" s="117" t="str">
        <f t="shared" si="45"/>
        <v>0</v>
      </c>
      <c r="H440" s="118" t="str">
        <f t="shared" si="46"/>
        <v/>
      </c>
      <c r="I440" s="116" t="str">
        <f>IF(AND(F440&lt;&gt;"",N10&gt;0,M440&gt;N10),"Mot &gt; limite","")</f>
        <v/>
      </c>
      <c r="M440" s="70">
        <f>IF(OR(F440="",N10="",N10&lt;=0),"",IF(LEN(F440)&lt;=N10,LEN(F440),IFERROR(FIND("♦",SUBSTITUTE(LEFT(F440,N10)," ","♦",LEN(LEFT(F440,N10))-LEN(SUBSTITUTE(LEFT(F440,N10)," ","")))),FIND(" ",F440&amp;" ",N10+1)-1)))</f>
        <v>1</v>
      </c>
      <c r="N440" s="119">
        <f t="shared" si="47"/>
        <v>423</v>
      </c>
      <c r="O440" s="99" t="str">
        <f t="shared" si="48"/>
        <v>0</v>
      </c>
      <c r="P440" s="119">
        <f t="shared" si="49"/>
        <v>1</v>
      </c>
      <c r="Q440" s="119">
        <f t="shared" si="50"/>
        <v>1</v>
      </c>
      <c r="S440" s="3">
        <v>1</v>
      </c>
    </row>
    <row r="441" spans="2:19">
      <c r="B441" s="116"/>
      <c r="C441" s="116"/>
      <c r="D441" s="116"/>
      <c r="E441" s="116" cm="1">
        <f t="array" ref="E441">IF(H440&lt;&gt;"",E440,IF(E440="","",IFERROR(MATCH(TRUE(),INDEX(INDEX(K:K,E440+1):K203&lt;&gt;"",0),0)+E440,"")))</f>
        <v>582</v>
      </c>
      <c r="F441" s="117" cm="1">
        <f t="array" ref="F441">IF(E441="","",IF(H440&lt;&gt;"",H440,INDEX(D:D,E441)))</f>
        <v>0</v>
      </c>
      <c r="G441" s="117" t="str">
        <f t="shared" si="45"/>
        <v>0</v>
      </c>
      <c r="H441" s="118" t="str">
        <f t="shared" si="46"/>
        <v/>
      </c>
      <c r="I441" s="116" t="str">
        <f>IF(AND(F441&lt;&gt;"",N10&gt;0,M441&gt;N10),"Mot &gt; limite","")</f>
        <v/>
      </c>
      <c r="M441" s="70">
        <f>IF(OR(F441="",N10="",N10&lt;=0),"",IF(LEN(F441)&lt;=N10,LEN(F441),IFERROR(FIND("♦",SUBSTITUTE(LEFT(F441,N10)," ","♦",LEN(LEFT(F441,N10))-LEN(SUBSTITUTE(LEFT(F441,N10)," ","")))),FIND(" ",F441&amp;" ",N10+1)-1)))</f>
        <v>1</v>
      </c>
      <c r="N441" s="119">
        <f t="shared" si="47"/>
        <v>424</v>
      </c>
      <c r="O441" s="99" t="str">
        <f t="shared" si="48"/>
        <v>0</v>
      </c>
      <c r="P441" s="119">
        <f t="shared" si="49"/>
        <v>1</v>
      </c>
      <c r="Q441" s="119">
        <f t="shared" si="50"/>
        <v>1</v>
      </c>
      <c r="S441" s="3">
        <v>1</v>
      </c>
    </row>
    <row r="442" spans="2:19">
      <c r="B442" s="116"/>
      <c r="C442" s="116"/>
      <c r="D442" s="116"/>
      <c r="E442" s="116" cm="1">
        <f t="array" ref="E442">IF(H441&lt;&gt;"",E441,IF(E441="","",IFERROR(MATCH(TRUE(),INDEX(INDEX(K:K,E441+1):K203&lt;&gt;"",0),0)+E441,"")))</f>
        <v>583</v>
      </c>
      <c r="F442" s="117" cm="1">
        <f t="array" ref="F442">IF(E442="","",IF(H441&lt;&gt;"",H441,INDEX(D:D,E442)))</f>
        <v>0</v>
      </c>
      <c r="G442" s="117" t="str">
        <f t="shared" si="45"/>
        <v>0</v>
      </c>
      <c r="H442" s="118" t="str">
        <f t="shared" si="46"/>
        <v/>
      </c>
      <c r="I442" s="116" t="str">
        <f>IF(AND(F442&lt;&gt;"",N10&gt;0,M442&gt;N10),"Mot &gt; limite","")</f>
        <v/>
      </c>
      <c r="M442" s="70">
        <f>IF(OR(F442="",N10="",N10&lt;=0),"",IF(LEN(F442)&lt;=N10,LEN(F442),IFERROR(FIND("♦",SUBSTITUTE(LEFT(F442,N10)," ","♦",LEN(LEFT(F442,N10))-LEN(SUBSTITUTE(LEFT(F442,N10)," ","")))),FIND(" ",F442&amp;" ",N10+1)-1)))</f>
        <v>1</v>
      </c>
      <c r="N442" s="119">
        <f t="shared" si="47"/>
        <v>425</v>
      </c>
      <c r="O442" s="99" t="str">
        <f t="shared" si="48"/>
        <v>0</v>
      </c>
      <c r="P442" s="119">
        <f t="shared" si="49"/>
        <v>1</v>
      </c>
      <c r="Q442" s="119">
        <f t="shared" si="50"/>
        <v>1</v>
      </c>
      <c r="S442" s="3">
        <v>1</v>
      </c>
    </row>
    <row r="443" spans="2:19">
      <c r="B443" s="116"/>
      <c r="C443" s="116"/>
      <c r="D443" s="116"/>
      <c r="E443" s="116" cm="1">
        <f t="array" ref="E443">IF(H442&lt;&gt;"",E442,IF(E442="","",IFERROR(MATCH(TRUE(),INDEX(INDEX(K:K,E442+1):K203&lt;&gt;"",0),0)+E442,"")))</f>
        <v>584</v>
      </c>
      <c r="F443" s="117" cm="1">
        <f t="array" ref="F443">IF(E443="","",IF(H442&lt;&gt;"",H442,INDEX(D:D,E443)))</f>
        <v>0</v>
      </c>
      <c r="G443" s="117" t="str">
        <f t="shared" si="45"/>
        <v>0</v>
      </c>
      <c r="H443" s="118" t="str">
        <f t="shared" si="46"/>
        <v/>
      </c>
      <c r="I443" s="116" t="str">
        <f>IF(AND(F443&lt;&gt;"",N10&gt;0,M443&gt;N10),"Mot &gt; limite","")</f>
        <v/>
      </c>
      <c r="M443" s="70">
        <f>IF(OR(F443="",N10="",N10&lt;=0),"",IF(LEN(F443)&lt;=N10,LEN(F443),IFERROR(FIND("♦",SUBSTITUTE(LEFT(F443,N10)," ","♦",LEN(LEFT(F443,N10))-LEN(SUBSTITUTE(LEFT(F443,N10)," ","")))),FIND(" ",F443&amp;" ",N10+1)-1)))</f>
        <v>1</v>
      </c>
      <c r="N443" s="119">
        <f t="shared" si="47"/>
        <v>426</v>
      </c>
      <c r="O443" s="99" t="str">
        <f t="shared" si="48"/>
        <v>0</v>
      </c>
      <c r="P443" s="119">
        <f t="shared" si="49"/>
        <v>1</v>
      </c>
      <c r="Q443" s="119">
        <f t="shared" si="50"/>
        <v>1</v>
      </c>
      <c r="S443" s="3">
        <v>1</v>
      </c>
    </row>
    <row r="444" spans="2:19">
      <c r="B444" s="116"/>
      <c r="C444" s="116"/>
      <c r="D444" s="116"/>
      <c r="E444" s="116" cm="1">
        <f t="array" ref="E444">IF(H443&lt;&gt;"",E443,IF(E443="","",IFERROR(MATCH(TRUE(),INDEX(INDEX(K:K,E443+1):K203&lt;&gt;"",0),0)+E443,"")))</f>
        <v>585</v>
      </c>
      <c r="F444" s="117" cm="1">
        <f t="array" ref="F444">IF(E444="","",IF(H443&lt;&gt;"",H443,INDEX(D:D,E444)))</f>
        <v>0</v>
      </c>
      <c r="G444" s="117" t="str">
        <f t="shared" si="45"/>
        <v>0</v>
      </c>
      <c r="H444" s="118" t="str">
        <f t="shared" si="46"/>
        <v/>
      </c>
      <c r="I444" s="116" t="str">
        <f>IF(AND(F444&lt;&gt;"",N10&gt;0,M444&gt;N10),"Mot &gt; limite","")</f>
        <v/>
      </c>
      <c r="M444" s="70">
        <f>IF(OR(F444="",N10="",N10&lt;=0),"",IF(LEN(F444)&lt;=N10,LEN(F444),IFERROR(FIND("♦",SUBSTITUTE(LEFT(F444,N10)," ","♦",LEN(LEFT(F444,N10))-LEN(SUBSTITUTE(LEFT(F444,N10)," ","")))),FIND(" ",F444&amp;" ",N10+1)-1)))</f>
        <v>1</v>
      </c>
      <c r="N444" s="119">
        <f t="shared" si="47"/>
        <v>427</v>
      </c>
      <c r="O444" s="99" t="str">
        <f t="shared" si="48"/>
        <v>0</v>
      </c>
      <c r="P444" s="119">
        <f t="shared" si="49"/>
        <v>1</v>
      </c>
      <c r="Q444" s="119">
        <f t="shared" si="50"/>
        <v>1</v>
      </c>
      <c r="S444" s="3">
        <v>1</v>
      </c>
    </row>
    <row r="445" spans="2:19">
      <c r="B445" s="116"/>
      <c r="C445" s="116"/>
      <c r="D445" s="116"/>
      <c r="E445" s="116" cm="1">
        <f t="array" ref="E445">IF(H444&lt;&gt;"",E444,IF(E444="","",IFERROR(MATCH(TRUE(),INDEX(INDEX(K:K,E444+1):K203&lt;&gt;"",0),0)+E444,"")))</f>
        <v>586</v>
      </c>
      <c r="F445" s="117" cm="1">
        <f t="array" ref="F445">IF(E445="","",IF(H444&lt;&gt;"",H444,INDEX(D:D,E445)))</f>
        <v>0</v>
      </c>
      <c r="G445" s="117" t="str">
        <f t="shared" si="45"/>
        <v>0</v>
      </c>
      <c r="H445" s="118" t="str">
        <f t="shared" si="46"/>
        <v/>
      </c>
      <c r="I445" s="116" t="str">
        <f>IF(AND(F445&lt;&gt;"",N10&gt;0,M445&gt;N10),"Mot &gt; limite","")</f>
        <v/>
      </c>
      <c r="M445" s="70">
        <f>IF(OR(F445="",N10="",N10&lt;=0),"",IF(LEN(F445)&lt;=N10,LEN(F445),IFERROR(FIND("♦",SUBSTITUTE(LEFT(F445,N10)," ","♦",LEN(LEFT(F445,N10))-LEN(SUBSTITUTE(LEFT(F445,N10)," ","")))),FIND(" ",F445&amp;" ",N10+1)-1)))</f>
        <v>1</v>
      </c>
      <c r="N445" s="119">
        <f t="shared" si="47"/>
        <v>428</v>
      </c>
      <c r="O445" s="99" t="str">
        <f t="shared" si="48"/>
        <v>0</v>
      </c>
      <c r="P445" s="119">
        <f t="shared" si="49"/>
        <v>1</v>
      </c>
      <c r="Q445" s="119">
        <f t="shared" si="50"/>
        <v>1</v>
      </c>
      <c r="S445" s="3">
        <v>1</v>
      </c>
    </row>
    <row r="446" spans="2:19">
      <c r="B446" s="116"/>
      <c r="C446" s="116"/>
      <c r="D446" s="116"/>
      <c r="E446" s="116" cm="1">
        <f t="array" ref="E446">IF(H445&lt;&gt;"",E445,IF(E445="","",IFERROR(MATCH(TRUE(),INDEX(INDEX(K:K,E445+1):K203&lt;&gt;"",0),0)+E445,"")))</f>
        <v>587</v>
      </c>
      <c r="F446" s="117" cm="1">
        <f t="array" ref="F446">IF(E446="","",IF(H445&lt;&gt;"",H445,INDEX(D:D,E446)))</f>
        <v>0</v>
      </c>
      <c r="G446" s="117" t="str">
        <f t="shared" si="45"/>
        <v>0</v>
      </c>
      <c r="H446" s="118" t="str">
        <f t="shared" si="46"/>
        <v/>
      </c>
      <c r="I446" s="116" t="str">
        <f>IF(AND(F446&lt;&gt;"",N10&gt;0,M446&gt;N10),"Mot &gt; limite","")</f>
        <v/>
      </c>
      <c r="M446" s="70">
        <f>IF(OR(F446="",N10="",N10&lt;=0),"",IF(LEN(F446)&lt;=N10,LEN(F446),IFERROR(FIND("♦",SUBSTITUTE(LEFT(F446,N10)," ","♦",LEN(LEFT(F446,N10))-LEN(SUBSTITUTE(LEFT(F446,N10)," ","")))),FIND(" ",F446&amp;" ",N10+1)-1)))</f>
        <v>1</v>
      </c>
      <c r="N446" s="119">
        <f t="shared" si="47"/>
        <v>429</v>
      </c>
      <c r="O446" s="99" t="str">
        <f t="shared" si="48"/>
        <v>0</v>
      </c>
      <c r="P446" s="119">
        <f t="shared" si="49"/>
        <v>1</v>
      </c>
      <c r="Q446" s="119">
        <f t="shared" si="50"/>
        <v>1</v>
      </c>
      <c r="S446" s="3">
        <v>1</v>
      </c>
    </row>
    <row r="447" spans="2:19">
      <c r="B447" s="116"/>
      <c r="C447" s="116"/>
      <c r="D447" s="116"/>
      <c r="E447" s="116" cm="1">
        <f t="array" ref="E447">IF(H446&lt;&gt;"",E446,IF(E446="","",IFERROR(MATCH(TRUE(),INDEX(INDEX(K:K,E446+1):K203&lt;&gt;"",0),0)+E446,"")))</f>
        <v>588</v>
      </c>
      <c r="F447" s="117" cm="1">
        <f t="array" ref="F447">IF(E447="","",IF(H446&lt;&gt;"",H446,INDEX(D:D,E447)))</f>
        <v>0</v>
      </c>
      <c r="G447" s="117" t="str">
        <f t="shared" si="45"/>
        <v>0</v>
      </c>
      <c r="H447" s="118" t="str">
        <f t="shared" si="46"/>
        <v/>
      </c>
      <c r="I447" s="116" t="str">
        <f>IF(AND(F447&lt;&gt;"",N10&gt;0,M447&gt;N10),"Mot &gt; limite","")</f>
        <v/>
      </c>
      <c r="M447" s="70">
        <f>IF(OR(F447="",N10="",N10&lt;=0),"",IF(LEN(F447)&lt;=N10,LEN(F447),IFERROR(FIND("♦",SUBSTITUTE(LEFT(F447,N10)," ","♦",LEN(LEFT(F447,N10))-LEN(SUBSTITUTE(LEFT(F447,N10)," ","")))),FIND(" ",F447&amp;" ",N10+1)-1)))</f>
        <v>1</v>
      </c>
      <c r="N447" s="119">
        <f t="shared" si="47"/>
        <v>430</v>
      </c>
      <c r="O447" s="99" t="str">
        <f t="shared" si="48"/>
        <v>0</v>
      </c>
      <c r="P447" s="119">
        <f t="shared" si="49"/>
        <v>1</v>
      </c>
      <c r="Q447" s="119">
        <f t="shared" si="50"/>
        <v>1</v>
      </c>
      <c r="S447" s="3">
        <v>1</v>
      </c>
    </row>
    <row r="448" spans="2:19">
      <c r="B448" s="116"/>
      <c r="C448" s="116"/>
      <c r="D448" s="116"/>
      <c r="E448" s="116" cm="1">
        <f t="array" ref="E448">IF(H447&lt;&gt;"",E447,IF(E447="","",IFERROR(MATCH(TRUE(),INDEX(INDEX(K:K,E447+1):K203&lt;&gt;"",0),0)+E447,"")))</f>
        <v>589</v>
      </c>
      <c r="F448" s="117" cm="1">
        <f t="array" ref="F448">IF(E448="","",IF(H447&lt;&gt;"",H447,INDEX(D:D,E448)))</f>
        <v>0</v>
      </c>
      <c r="G448" s="117" t="str">
        <f t="shared" si="45"/>
        <v>0</v>
      </c>
      <c r="H448" s="118" t="str">
        <f t="shared" si="46"/>
        <v/>
      </c>
      <c r="I448" s="116" t="str">
        <f>IF(AND(F448&lt;&gt;"",N10&gt;0,M448&gt;N10),"Mot &gt; limite","")</f>
        <v/>
      </c>
      <c r="M448" s="70">
        <f>IF(OR(F448="",N10="",N10&lt;=0),"",IF(LEN(F448)&lt;=N10,LEN(F448),IFERROR(FIND("♦",SUBSTITUTE(LEFT(F448,N10)," ","♦",LEN(LEFT(F448,N10))-LEN(SUBSTITUTE(LEFT(F448,N10)," ","")))),FIND(" ",F448&amp;" ",N10+1)-1)))</f>
        <v>1</v>
      </c>
      <c r="N448" s="119">
        <f t="shared" si="47"/>
        <v>431</v>
      </c>
      <c r="O448" s="99" t="str">
        <f t="shared" si="48"/>
        <v>0</v>
      </c>
      <c r="P448" s="119">
        <f t="shared" si="49"/>
        <v>1</v>
      </c>
      <c r="Q448" s="119">
        <f t="shared" si="50"/>
        <v>1</v>
      </c>
      <c r="S448" s="3">
        <v>1</v>
      </c>
    </row>
    <row r="449" spans="2:19">
      <c r="B449" s="116"/>
      <c r="C449" s="116"/>
      <c r="D449" s="116"/>
      <c r="E449" s="116" cm="1">
        <f t="array" ref="E449">IF(H448&lt;&gt;"",E448,IF(E448="","",IFERROR(MATCH(TRUE(),INDEX(INDEX(K:K,E448+1):K203&lt;&gt;"",0),0)+E448,"")))</f>
        <v>590</v>
      </c>
      <c r="F449" s="117" cm="1">
        <f t="array" ref="F449">IF(E449="","",IF(H448&lt;&gt;"",H448,INDEX(D:D,E449)))</f>
        <v>0</v>
      </c>
      <c r="G449" s="117" t="str">
        <f t="shared" si="45"/>
        <v>0</v>
      </c>
      <c r="H449" s="118" t="str">
        <f t="shared" si="46"/>
        <v/>
      </c>
      <c r="I449" s="116" t="str">
        <f>IF(AND(F449&lt;&gt;"",N10&gt;0,M449&gt;N10),"Mot &gt; limite","")</f>
        <v/>
      </c>
      <c r="M449" s="70">
        <f>IF(OR(F449="",N10="",N10&lt;=0),"",IF(LEN(F449)&lt;=N10,LEN(F449),IFERROR(FIND("♦",SUBSTITUTE(LEFT(F449,N10)," ","♦",LEN(LEFT(F449,N10))-LEN(SUBSTITUTE(LEFT(F449,N10)," ","")))),FIND(" ",F449&amp;" ",N10+1)-1)))</f>
        <v>1</v>
      </c>
      <c r="N449" s="119">
        <f t="shared" si="47"/>
        <v>432</v>
      </c>
      <c r="O449" s="99" t="str">
        <f t="shared" si="48"/>
        <v>0</v>
      </c>
      <c r="P449" s="119">
        <f t="shared" si="49"/>
        <v>1</v>
      </c>
      <c r="Q449" s="119">
        <f t="shared" si="50"/>
        <v>1</v>
      </c>
      <c r="S449" s="3">
        <v>1</v>
      </c>
    </row>
    <row r="450" spans="2:19">
      <c r="B450" s="116"/>
      <c r="C450" s="116"/>
      <c r="D450" s="116"/>
      <c r="E450" s="116" cm="1">
        <f t="array" ref="E450">IF(H449&lt;&gt;"",E449,IF(E449="","",IFERROR(MATCH(TRUE(),INDEX(INDEX(K:K,E449+1):K203&lt;&gt;"",0),0)+E449,"")))</f>
        <v>591</v>
      </c>
      <c r="F450" s="117" cm="1">
        <f t="array" ref="F450">IF(E450="","",IF(H449&lt;&gt;"",H449,INDEX(D:D,E450)))</f>
        <v>0</v>
      </c>
      <c r="G450" s="117" t="str">
        <f t="shared" si="45"/>
        <v>0</v>
      </c>
      <c r="H450" s="118" t="str">
        <f t="shared" si="46"/>
        <v/>
      </c>
      <c r="I450" s="116" t="str">
        <f>IF(AND(F450&lt;&gt;"",N10&gt;0,M450&gt;N10),"Mot &gt; limite","")</f>
        <v/>
      </c>
      <c r="M450" s="70">
        <f>IF(OR(F450="",N10="",N10&lt;=0),"",IF(LEN(F450)&lt;=N10,LEN(F450),IFERROR(FIND("♦",SUBSTITUTE(LEFT(F450,N10)," ","♦",LEN(LEFT(F450,N10))-LEN(SUBSTITUTE(LEFT(F450,N10)," ","")))),FIND(" ",F450&amp;" ",N10+1)-1)))</f>
        <v>1</v>
      </c>
      <c r="N450" s="119">
        <f t="shared" si="47"/>
        <v>433</v>
      </c>
      <c r="O450" s="99" t="str">
        <f t="shared" si="48"/>
        <v>0</v>
      </c>
      <c r="P450" s="119">
        <f t="shared" si="49"/>
        <v>1</v>
      </c>
      <c r="Q450" s="119">
        <f t="shared" si="50"/>
        <v>1</v>
      </c>
      <c r="S450" s="3">
        <v>1</v>
      </c>
    </row>
    <row r="451" spans="2:19">
      <c r="B451" s="116"/>
      <c r="C451" s="116"/>
      <c r="D451" s="116"/>
      <c r="E451" s="116" cm="1">
        <f t="array" ref="E451">IF(H450&lt;&gt;"",E450,IF(E450="","",IFERROR(MATCH(TRUE(),INDEX(INDEX(K:K,E450+1):K203&lt;&gt;"",0),0)+E450,"")))</f>
        <v>592</v>
      </c>
      <c r="F451" s="117" cm="1">
        <f t="array" ref="F451">IF(E451="","",IF(H450&lt;&gt;"",H450,INDEX(D:D,E451)))</f>
        <v>0</v>
      </c>
      <c r="G451" s="117" t="str">
        <f t="shared" si="45"/>
        <v>0</v>
      </c>
      <c r="H451" s="118" t="str">
        <f t="shared" si="46"/>
        <v/>
      </c>
      <c r="I451" s="116" t="str">
        <f>IF(AND(F451&lt;&gt;"",N10&gt;0,M451&gt;N10),"Mot &gt; limite","")</f>
        <v/>
      </c>
      <c r="M451" s="70">
        <f>IF(OR(F451="",N10="",N10&lt;=0),"",IF(LEN(F451)&lt;=N10,LEN(F451),IFERROR(FIND("♦",SUBSTITUTE(LEFT(F451,N10)," ","♦",LEN(LEFT(F451,N10))-LEN(SUBSTITUTE(LEFT(F451,N10)," ","")))),FIND(" ",F451&amp;" ",N10+1)-1)))</f>
        <v>1</v>
      </c>
      <c r="N451" s="119">
        <f t="shared" si="47"/>
        <v>434</v>
      </c>
      <c r="O451" s="99" t="str">
        <f t="shared" si="48"/>
        <v>0</v>
      </c>
      <c r="P451" s="119">
        <f t="shared" si="49"/>
        <v>1</v>
      </c>
      <c r="Q451" s="119">
        <f t="shared" si="50"/>
        <v>1</v>
      </c>
      <c r="S451" s="3">
        <v>1</v>
      </c>
    </row>
    <row r="452" spans="2:19">
      <c r="B452" s="116"/>
      <c r="C452" s="116"/>
      <c r="D452" s="116"/>
      <c r="E452" s="116" cm="1">
        <f t="array" ref="E452">IF(H451&lt;&gt;"",E451,IF(E451="","",IFERROR(MATCH(TRUE(),INDEX(INDEX(K:K,E451+1):K203&lt;&gt;"",0),0)+E451,"")))</f>
        <v>593</v>
      </c>
      <c r="F452" s="117" cm="1">
        <f t="array" ref="F452">IF(E452="","",IF(H451&lt;&gt;"",H451,INDEX(D:D,E452)))</f>
        <v>0</v>
      </c>
      <c r="G452" s="117" t="str">
        <f t="shared" si="45"/>
        <v>0</v>
      </c>
      <c r="H452" s="118" t="str">
        <f t="shared" si="46"/>
        <v/>
      </c>
      <c r="I452" s="116" t="str">
        <f>IF(AND(F452&lt;&gt;"",N10&gt;0,M452&gt;N10),"Mot &gt; limite","")</f>
        <v/>
      </c>
      <c r="M452" s="70">
        <f>IF(OR(F452="",N10="",N10&lt;=0),"",IF(LEN(F452)&lt;=N10,LEN(F452),IFERROR(FIND("♦",SUBSTITUTE(LEFT(F452,N10)," ","♦",LEN(LEFT(F452,N10))-LEN(SUBSTITUTE(LEFT(F452,N10)," ","")))),FIND(" ",F452&amp;" ",N10+1)-1)))</f>
        <v>1</v>
      </c>
      <c r="N452" s="119">
        <f t="shared" si="47"/>
        <v>435</v>
      </c>
      <c r="O452" s="99" t="str">
        <f t="shared" si="48"/>
        <v>0</v>
      </c>
      <c r="P452" s="119">
        <f t="shared" si="49"/>
        <v>1</v>
      </c>
      <c r="Q452" s="119">
        <f t="shared" si="50"/>
        <v>1</v>
      </c>
      <c r="S452" s="3">
        <v>1</v>
      </c>
    </row>
    <row r="453" spans="2:19">
      <c r="B453" s="116"/>
      <c r="C453" s="116"/>
      <c r="D453" s="116"/>
      <c r="E453" s="116" cm="1">
        <f t="array" ref="E453">IF(H452&lt;&gt;"",E452,IF(E452="","",IFERROR(MATCH(TRUE(),INDEX(INDEX(K:K,E452+1):K203&lt;&gt;"",0),0)+E452,"")))</f>
        <v>594</v>
      </c>
      <c r="F453" s="117" cm="1">
        <f t="array" ref="F453">IF(E453="","",IF(H452&lt;&gt;"",H452,INDEX(D:D,E453)))</f>
        <v>0</v>
      </c>
      <c r="G453" s="117" t="str">
        <f t="shared" si="45"/>
        <v>0</v>
      </c>
      <c r="H453" s="118" t="str">
        <f t="shared" si="46"/>
        <v/>
      </c>
      <c r="I453" s="116" t="str">
        <f>IF(AND(F453&lt;&gt;"",N10&gt;0,M453&gt;N10),"Mot &gt; limite","")</f>
        <v/>
      </c>
      <c r="M453" s="70">
        <f>IF(OR(F453="",N10="",N10&lt;=0),"",IF(LEN(F453)&lt;=N10,LEN(F453),IFERROR(FIND("♦",SUBSTITUTE(LEFT(F453,N10)," ","♦",LEN(LEFT(F453,N10))-LEN(SUBSTITUTE(LEFT(F453,N10)," ","")))),FIND(" ",F453&amp;" ",N10+1)-1)))</f>
        <v>1</v>
      </c>
      <c r="N453" s="119">
        <f t="shared" si="47"/>
        <v>436</v>
      </c>
      <c r="O453" s="99" t="str">
        <f t="shared" si="48"/>
        <v>0</v>
      </c>
      <c r="P453" s="119">
        <f t="shared" si="49"/>
        <v>1</v>
      </c>
      <c r="Q453" s="119">
        <f t="shared" si="50"/>
        <v>1</v>
      </c>
      <c r="S453" s="3">
        <v>1</v>
      </c>
    </row>
    <row r="454" spans="2:19">
      <c r="B454" s="116"/>
      <c r="C454" s="116"/>
      <c r="D454" s="116"/>
      <c r="E454" s="116" cm="1">
        <f t="array" ref="E454">IF(H453&lt;&gt;"",E453,IF(E453="","",IFERROR(MATCH(TRUE(),INDEX(INDEX(K:K,E453+1):K203&lt;&gt;"",0),0)+E453,"")))</f>
        <v>595</v>
      </c>
      <c r="F454" s="117" cm="1">
        <f t="array" ref="F454">IF(E454="","",IF(H453&lt;&gt;"",H453,INDEX(D:D,E454)))</f>
        <v>0</v>
      </c>
      <c r="G454" s="117" t="str">
        <f t="shared" si="45"/>
        <v>0</v>
      </c>
      <c r="H454" s="118" t="str">
        <f t="shared" si="46"/>
        <v/>
      </c>
      <c r="I454" s="116" t="str">
        <f>IF(AND(F454&lt;&gt;"",N10&gt;0,M454&gt;N10),"Mot &gt; limite","")</f>
        <v/>
      </c>
      <c r="M454" s="70">
        <f>IF(OR(F454="",N10="",N10&lt;=0),"",IF(LEN(F454)&lt;=N10,LEN(F454),IFERROR(FIND("♦",SUBSTITUTE(LEFT(F454,N10)," ","♦",LEN(LEFT(F454,N10))-LEN(SUBSTITUTE(LEFT(F454,N10)," ","")))),FIND(" ",F454&amp;" ",N10+1)-1)))</f>
        <v>1</v>
      </c>
      <c r="N454" s="119">
        <f t="shared" si="47"/>
        <v>437</v>
      </c>
      <c r="O454" s="99" t="str">
        <f t="shared" si="48"/>
        <v>0</v>
      </c>
      <c r="P454" s="119">
        <f t="shared" si="49"/>
        <v>1</v>
      </c>
      <c r="Q454" s="119">
        <f t="shared" si="50"/>
        <v>1</v>
      </c>
      <c r="S454" s="3">
        <v>1</v>
      </c>
    </row>
    <row r="455" spans="2:19">
      <c r="B455" s="116"/>
      <c r="C455" s="116"/>
      <c r="D455" s="116"/>
      <c r="E455" s="116" cm="1">
        <f t="array" ref="E455">IF(H454&lt;&gt;"",E454,IF(E454="","",IFERROR(MATCH(TRUE(),INDEX(INDEX(K:K,E454+1):K203&lt;&gt;"",0),0)+E454,"")))</f>
        <v>596</v>
      </c>
      <c r="F455" s="117" cm="1">
        <f t="array" ref="F455">IF(E455="","",IF(H454&lt;&gt;"",H454,INDEX(D:D,E455)))</f>
        <v>0</v>
      </c>
      <c r="G455" s="117" t="str">
        <f t="shared" si="45"/>
        <v>0</v>
      </c>
      <c r="H455" s="118" t="str">
        <f t="shared" si="46"/>
        <v/>
      </c>
      <c r="I455" s="116" t="str">
        <f>IF(AND(F455&lt;&gt;"",N10&gt;0,M455&gt;N10),"Mot &gt; limite","")</f>
        <v/>
      </c>
      <c r="M455" s="70">
        <f>IF(OR(F455="",N10="",N10&lt;=0),"",IF(LEN(F455)&lt;=N10,LEN(F455),IFERROR(FIND("♦",SUBSTITUTE(LEFT(F455,N10)," ","♦",LEN(LEFT(F455,N10))-LEN(SUBSTITUTE(LEFT(F455,N10)," ","")))),FIND(" ",F455&amp;" ",N10+1)-1)))</f>
        <v>1</v>
      </c>
      <c r="N455" s="119">
        <f t="shared" si="47"/>
        <v>438</v>
      </c>
      <c r="O455" s="99" t="str">
        <f t="shared" si="48"/>
        <v>0</v>
      </c>
      <c r="P455" s="119">
        <f t="shared" si="49"/>
        <v>1</v>
      </c>
      <c r="Q455" s="119">
        <f t="shared" si="50"/>
        <v>1</v>
      </c>
      <c r="S455" s="3">
        <v>1</v>
      </c>
    </row>
    <row r="456" spans="2:19">
      <c r="B456" s="116"/>
      <c r="C456" s="116"/>
      <c r="D456" s="116"/>
      <c r="E456" s="116" cm="1">
        <f t="array" ref="E456">IF(H455&lt;&gt;"",E455,IF(E455="","",IFERROR(MATCH(TRUE(),INDEX(INDEX(K:K,E455+1):K203&lt;&gt;"",0),0)+E455,"")))</f>
        <v>597</v>
      </c>
      <c r="F456" s="117" cm="1">
        <f t="array" ref="F456">IF(E456="","",IF(H455&lt;&gt;"",H455,INDEX(D:D,E456)))</f>
        <v>0</v>
      </c>
      <c r="G456" s="117" t="str">
        <f t="shared" si="45"/>
        <v>0</v>
      </c>
      <c r="H456" s="118" t="str">
        <f t="shared" si="46"/>
        <v/>
      </c>
      <c r="I456" s="116" t="str">
        <f>IF(AND(F456&lt;&gt;"",N10&gt;0,M456&gt;N10),"Mot &gt; limite","")</f>
        <v/>
      </c>
      <c r="M456" s="70">
        <f>IF(OR(F456="",N10="",N10&lt;=0),"",IF(LEN(F456)&lt;=N10,LEN(F456),IFERROR(FIND("♦",SUBSTITUTE(LEFT(F456,N10)," ","♦",LEN(LEFT(F456,N10))-LEN(SUBSTITUTE(LEFT(F456,N10)," ","")))),FIND(" ",F456&amp;" ",N10+1)-1)))</f>
        <v>1</v>
      </c>
      <c r="N456" s="119">
        <f t="shared" si="47"/>
        <v>439</v>
      </c>
      <c r="O456" s="99" t="str">
        <f t="shared" si="48"/>
        <v>0</v>
      </c>
      <c r="P456" s="119">
        <f t="shared" si="49"/>
        <v>1</v>
      </c>
      <c r="Q456" s="119">
        <f t="shared" si="50"/>
        <v>1</v>
      </c>
      <c r="S456" s="3">
        <v>1</v>
      </c>
    </row>
    <row r="457" spans="2:19">
      <c r="B457" s="116"/>
      <c r="C457" s="116"/>
      <c r="D457" s="116"/>
      <c r="E457" s="116" cm="1">
        <f t="array" ref="E457">IF(H456&lt;&gt;"",E456,IF(E456="","",IFERROR(MATCH(TRUE(),INDEX(INDEX(K:K,E456+1):K203&lt;&gt;"",0),0)+E456,"")))</f>
        <v>598</v>
      </c>
      <c r="F457" s="117" cm="1">
        <f t="array" ref="F457">IF(E457="","",IF(H456&lt;&gt;"",H456,INDEX(D:D,E457)))</f>
        <v>0</v>
      </c>
      <c r="G457" s="117" t="str">
        <f t="shared" si="45"/>
        <v>0</v>
      </c>
      <c r="H457" s="118" t="str">
        <f t="shared" si="46"/>
        <v/>
      </c>
      <c r="I457" s="116" t="str">
        <f>IF(AND(F457&lt;&gt;"",N10&gt;0,M457&gt;N10),"Mot &gt; limite","")</f>
        <v/>
      </c>
      <c r="M457" s="70">
        <f>IF(OR(F457="",N10="",N10&lt;=0),"",IF(LEN(F457)&lt;=N10,LEN(F457),IFERROR(FIND("♦",SUBSTITUTE(LEFT(F457,N10)," ","♦",LEN(LEFT(F457,N10))-LEN(SUBSTITUTE(LEFT(F457,N10)," ","")))),FIND(" ",F457&amp;" ",N10+1)-1)))</f>
        <v>1</v>
      </c>
      <c r="N457" s="119">
        <f t="shared" si="47"/>
        <v>440</v>
      </c>
      <c r="O457" s="99" t="str">
        <f t="shared" si="48"/>
        <v>0</v>
      </c>
      <c r="P457" s="119">
        <f t="shared" si="49"/>
        <v>1</v>
      </c>
      <c r="Q457" s="119">
        <f t="shared" si="50"/>
        <v>1</v>
      </c>
      <c r="S457" s="3">
        <v>1</v>
      </c>
    </row>
    <row r="458" spans="2:19">
      <c r="B458" s="116"/>
      <c r="C458" s="116"/>
      <c r="D458" s="116"/>
      <c r="E458" s="116" cm="1">
        <f t="array" ref="E458">IF(H457&lt;&gt;"",E457,IF(E457="","",IFERROR(MATCH(TRUE(),INDEX(INDEX(K:K,E457+1):K203&lt;&gt;"",0),0)+E457,"")))</f>
        <v>599</v>
      </c>
      <c r="F458" s="117" cm="1">
        <f t="array" ref="F458">IF(E458="","",IF(H457&lt;&gt;"",H457,INDEX(D:D,E458)))</f>
        <v>0</v>
      </c>
      <c r="G458" s="117" t="str">
        <f t="shared" si="45"/>
        <v>0</v>
      </c>
      <c r="H458" s="118" t="str">
        <f t="shared" si="46"/>
        <v/>
      </c>
      <c r="I458" s="116" t="str">
        <f>IF(AND(F458&lt;&gt;"",N10&gt;0,M458&gt;N10),"Mot &gt; limite","")</f>
        <v/>
      </c>
      <c r="M458" s="70">
        <f>IF(OR(F458="",N10="",N10&lt;=0),"",IF(LEN(F458)&lt;=N10,LEN(F458),IFERROR(FIND("♦",SUBSTITUTE(LEFT(F458,N10)," ","♦",LEN(LEFT(F458,N10))-LEN(SUBSTITUTE(LEFT(F458,N10)," ","")))),FIND(" ",F458&amp;" ",N10+1)-1)))</f>
        <v>1</v>
      </c>
      <c r="N458" s="119">
        <f t="shared" si="47"/>
        <v>441</v>
      </c>
      <c r="O458" s="99" t="str">
        <f t="shared" si="48"/>
        <v>0</v>
      </c>
      <c r="P458" s="119">
        <f t="shared" si="49"/>
        <v>1</v>
      </c>
      <c r="Q458" s="119">
        <f t="shared" si="50"/>
        <v>1</v>
      </c>
      <c r="S458" s="3">
        <v>1</v>
      </c>
    </row>
    <row r="459" spans="2:19">
      <c r="B459" s="116"/>
      <c r="C459" s="116"/>
      <c r="D459" s="116"/>
      <c r="E459" s="116" cm="1">
        <f t="array" ref="E459">IF(H458&lt;&gt;"",E458,IF(E458="","",IFERROR(MATCH(TRUE(),INDEX(INDEX(K:K,E458+1):K203&lt;&gt;"",0),0)+E458,"")))</f>
        <v>600</v>
      </c>
      <c r="F459" s="117" cm="1">
        <f t="array" ref="F459">IF(E459="","",IF(H458&lt;&gt;"",H458,INDEX(D:D,E459)))</f>
        <v>0</v>
      </c>
      <c r="G459" s="117" t="str">
        <f t="shared" si="45"/>
        <v>0</v>
      </c>
      <c r="H459" s="118" t="str">
        <f t="shared" si="46"/>
        <v/>
      </c>
      <c r="I459" s="116" t="str">
        <f>IF(AND(F459&lt;&gt;"",N10&gt;0,M459&gt;N10),"Mot &gt; limite","")</f>
        <v/>
      </c>
      <c r="M459" s="70">
        <f>IF(OR(F459="",N10="",N10&lt;=0),"",IF(LEN(F459)&lt;=N10,LEN(F459),IFERROR(FIND("♦",SUBSTITUTE(LEFT(F459,N10)," ","♦",LEN(LEFT(F459,N10))-LEN(SUBSTITUTE(LEFT(F459,N10)," ","")))),FIND(" ",F459&amp;" ",N10+1)-1)))</f>
        <v>1</v>
      </c>
      <c r="N459" s="119">
        <f t="shared" si="47"/>
        <v>442</v>
      </c>
      <c r="O459" s="99" t="str">
        <f t="shared" si="48"/>
        <v>0</v>
      </c>
      <c r="P459" s="119">
        <f t="shared" si="49"/>
        <v>1</v>
      </c>
      <c r="Q459" s="119">
        <f t="shared" si="50"/>
        <v>1</v>
      </c>
      <c r="S459" s="3">
        <v>1</v>
      </c>
    </row>
    <row r="460" spans="2:19">
      <c r="B460" s="116"/>
      <c r="C460" s="116"/>
      <c r="D460" s="116"/>
      <c r="E460" s="116" cm="1">
        <f t="array" ref="E460">IF(H459&lt;&gt;"",E459,IF(E459="","",IFERROR(MATCH(TRUE(),INDEX(INDEX(K:K,E459+1):K203&lt;&gt;"",0),0)+E459,"")))</f>
        <v>601</v>
      </c>
      <c r="F460" s="117" cm="1">
        <f t="array" ref="F460">IF(E460="","",IF(H459&lt;&gt;"",H459,INDEX(D:D,E460)))</f>
        <v>0</v>
      </c>
      <c r="G460" s="117" t="str">
        <f t="shared" si="45"/>
        <v>0</v>
      </c>
      <c r="H460" s="118" t="str">
        <f t="shared" si="46"/>
        <v/>
      </c>
      <c r="I460" s="116" t="str">
        <f>IF(AND(F460&lt;&gt;"",N10&gt;0,M460&gt;N10),"Mot &gt; limite","")</f>
        <v/>
      </c>
      <c r="M460" s="70">
        <f>IF(OR(F460="",N10="",N10&lt;=0),"",IF(LEN(F460)&lt;=N10,LEN(F460),IFERROR(FIND("♦",SUBSTITUTE(LEFT(F460,N10)," ","♦",LEN(LEFT(F460,N10))-LEN(SUBSTITUTE(LEFT(F460,N10)," ","")))),FIND(" ",F460&amp;" ",N10+1)-1)))</f>
        <v>1</v>
      </c>
      <c r="N460" s="119">
        <f t="shared" si="47"/>
        <v>443</v>
      </c>
      <c r="O460" s="99" t="str">
        <f t="shared" si="48"/>
        <v>0</v>
      </c>
      <c r="P460" s="119">
        <f t="shared" si="49"/>
        <v>1</v>
      </c>
      <c r="Q460" s="119">
        <f t="shared" si="50"/>
        <v>1</v>
      </c>
      <c r="S460" s="3">
        <v>1</v>
      </c>
    </row>
    <row r="461" spans="2:19">
      <c r="B461" s="116"/>
      <c r="C461" s="116"/>
      <c r="D461" s="116"/>
      <c r="E461" s="116" cm="1">
        <f t="array" ref="E461">IF(H460&lt;&gt;"",E460,IF(E460="","",IFERROR(MATCH(TRUE(),INDEX(INDEX(K:K,E460+1):K203&lt;&gt;"",0),0)+E460,"")))</f>
        <v>602</v>
      </c>
      <c r="F461" s="117" cm="1">
        <f t="array" ref="F461">IF(E461="","",IF(H460&lt;&gt;"",H460,INDEX(D:D,E461)))</f>
        <v>0</v>
      </c>
      <c r="G461" s="117" t="str">
        <f t="shared" si="45"/>
        <v>0</v>
      </c>
      <c r="H461" s="118" t="str">
        <f t="shared" si="46"/>
        <v/>
      </c>
      <c r="I461" s="116" t="str">
        <f>IF(AND(F461&lt;&gt;"",N10&gt;0,M461&gt;N10),"Mot &gt; limite","")</f>
        <v/>
      </c>
      <c r="M461" s="70">
        <f>IF(OR(F461="",N10="",N10&lt;=0),"",IF(LEN(F461)&lt;=N10,LEN(F461),IFERROR(FIND("♦",SUBSTITUTE(LEFT(F461,N10)," ","♦",LEN(LEFT(F461,N10))-LEN(SUBSTITUTE(LEFT(F461,N10)," ","")))),FIND(" ",F461&amp;" ",N10+1)-1)))</f>
        <v>1</v>
      </c>
      <c r="N461" s="119">
        <f t="shared" si="47"/>
        <v>444</v>
      </c>
      <c r="O461" s="99" t="str">
        <f t="shared" si="48"/>
        <v>0</v>
      </c>
      <c r="P461" s="119">
        <f t="shared" si="49"/>
        <v>1</v>
      </c>
      <c r="Q461" s="119">
        <f t="shared" si="50"/>
        <v>1</v>
      </c>
      <c r="S461" s="3">
        <v>1</v>
      </c>
    </row>
    <row r="462" spans="2:19">
      <c r="B462" s="116"/>
      <c r="C462" s="116"/>
      <c r="D462" s="116"/>
      <c r="E462" s="116" cm="1">
        <f t="array" ref="E462">IF(H461&lt;&gt;"",E461,IF(E461="","",IFERROR(MATCH(TRUE(),INDEX(INDEX(K:K,E461+1):K203&lt;&gt;"",0),0)+E461,"")))</f>
        <v>603</v>
      </c>
      <c r="F462" s="117" cm="1">
        <f t="array" ref="F462">IF(E462="","",IF(H461&lt;&gt;"",H461,INDEX(D:D,E462)))</f>
        <v>0</v>
      </c>
      <c r="G462" s="117" t="str">
        <f t="shared" si="45"/>
        <v>0</v>
      </c>
      <c r="H462" s="118" t="str">
        <f t="shared" si="46"/>
        <v/>
      </c>
      <c r="I462" s="116" t="str">
        <f>IF(AND(F462&lt;&gt;"",N10&gt;0,M462&gt;N10),"Mot &gt; limite","")</f>
        <v/>
      </c>
      <c r="M462" s="70">
        <f>IF(OR(F462="",N10="",N10&lt;=0),"",IF(LEN(F462)&lt;=N10,LEN(F462),IFERROR(FIND("♦",SUBSTITUTE(LEFT(F462,N10)," ","♦",LEN(LEFT(F462,N10))-LEN(SUBSTITUTE(LEFT(F462,N10)," ","")))),FIND(" ",F462&amp;" ",N10+1)-1)))</f>
        <v>1</v>
      </c>
      <c r="N462" s="119">
        <f t="shared" si="47"/>
        <v>445</v>
      </c>
      <c r="O462" s="99" t="str">
        <f t="shared" si="48"/>
        <v>0</v>
      </c>
      <c r="P462" s="119">
        <f t="shared" si="49"/>
        <v>1</v>
      </c>
      <c r="Q462" s="119">
        <f t="shared" si="50"/>
        <v>1</v>
      </c>
      <c r="S462" s="3">
        <v>1</v>
      </c>
    </row>
    <row r="463" spans="2:19">
      <c r="B463" s="116"/>
      <c r="C463" s="116"/>
      <c r="D463" s="116"/>
      <c r="E463" s="116" cm="1">
        <f t="array" ref="E463">IF(H462&lt;&gt;"",E462,IF(E462="","",IFERROR(MATCH(TRUE(),INDEX(INDEX(K:K,E462+1):K203&lt;&gt;"",0),0)+E462,"")))</f>
        <v>604</v>
      </c>
      <c r="F463" s="117" cm="1">
        <f t="array" ref="F463">IF(E463="","",IF(H462&lt;&gt;"",H462,INDEX(D:D,E463)))</f>
        <v>0</v>
      </c>
      <c r="G463" s="117" t="str">
        <f t="shared" si="45"/>
        <v>0</v>
      </c>
      <c r="H463" s="118" t="str">
        <f t="shared" si="46"/>
        <v/>
      </c>
      <c r="I463" s="116" t="str">
        <f>IF(AND(F463&lt;&gt;"",N10&gt;0,M463&gt;N10),"Mot &gt; limite","")</f>
        <v/>
      </c>
      <c r="M463" s="70">
        <f>IF(OR(F463="",N10="",N10&lt;=0),"",IF(LEN(F463)&lt;=N10,LEN(F463),IFERROR(FIND("♦",SUBSTITUTE(LEFT(F463,N10)," ","♦",LEN(LEFT(F463,N10))-LEN(SUBSTITUTE(LEFT(F463,N10)," ","")))),FIND(" ",F463&amp;" ",N10+1)-1)))</f>
        <v>1</v>
      </c>
      <c r="N463" s="119">
        <f t="shared" si="47"/>
        <v>446</v>
      </c>
      <c r="O463" s="99" t="str">
        <f t="shared" si="48"/>
        <v>0</v>
      </c>
      <c r="P463" s="119">
        <f t="shared" si="49"/>
        <v>1</v>
      </c>
      <c r="Q463" s="119">
        <f t="shared" si="50"/>
        <v>1</v>
      </c>
      <c r="S463" s="3">
        <v>1</v>
      </c>
    </row>
    <row r="464" spans="2:19">
      <c r="B464" s="116"/>
      <c r="C464" s="116"/>
      <c r="D464" s="116"/>
      <c r="E464" s="116" cm="1">
        <f t="array" ref="E464">IF(H463&lt;&gt;"",E463,IF(E463="","",IFERROR(MATCH(TRUE(),INDEX(INDEX(K:K,E463+1):K203&lt;&gt;"",0),0)+E463,"")))</f>
        <v>605</v>
      </c>
      <c r="F464" s="117" cm="1">
        <f t="array" ref="F464">IF(E464="","",IF(H463&lt;&gt;"",H463,INDEX(D:D,E464)))</f>
        <v>0</v>
      </c>
      <c r="G464" s="117" t="str">
        <f t="shared" si="45"/>
        <v>0</v>
      </c>
      <c r="H464" s="118" t="str">
        <f t="shared" si="46"/>
        <v/>
      </c>
      <c r="I464" s="116" t="str">
        <f>IF(AND(F464&lt;&gt;"",N10&gt;0,M464&gt;N10),"Mot &gt; limite","")</f>
        <v/>
      </c>
      <c r="M464" s="70">
        <f>IF(OR(F464="",N10="",N10&lt;=0),"",IF(LEN(F464)&lt;=N10,LEN(F464),IFERROR(FIND("♦",SUBSTITUTE(LEFT(F464,N10)," ","♦",LEN(LEFT(F464,N10))-LEN(SUBSTITUTE(LEFT(F464,N10)," ","")))),FIND(" ",F464&amp;" ",N10+1)-1)))</f>
        <v>1</v>
      </c>
      <c r="N464" s="119">
        <f t="shared" si="47"/>
        <v>447</v>
      </c>
      <c r="O464" s="99" t="str">
        <f t="shared" si="48"/>
        <v>0</v>
      </c>
      <c r="P464" s="119">
        <f t="shared" si="49"/>
        <v>1</v>
      </c>
      <c r="Q464" s="119">
        <f t="shared" si="50"/>
        <v>1</v>
      </c>
      <c r="S464" s="3">
        <v>1</v>
      </c>
    </row>
    <row r="465" spans="2:19">
      <c r="B465" s="116"/>
      <c r="C465" s="116"/>
      <c r="D465" s="116"/>
      <c r="E465" s="116" cm="1">
        <f t="array" ref="E465">IF(H464&lt;&gt;"",E464,IF(E464="","",IFERROR(MATCH(TRUE(),INDEX(INDEX(K:K,E464+1):K203&lt;&gt;"",0),0)+E464,"")))</f>
        <v>606</v>
      </c>
      <c r="F465" s="117" cm="1">
        <f t="array" ref="F465">IF(E465="","",IF(H464&lt;&gt;"",H464,INDEX(D:D,E465)))</f>
        <v>0</v>
      </c>
      <c r="G465" s="117" t="str">
        <f t="shared" si="45"/>
        <v>0</v>
      </c>
      <c r="H465" s="118" t="str">
        <f t="shared" si="46"/>
        <v/>
      </c>
      <c r="I465" s="116" t="str">
        <f>IF(AND(F465&lt;&gt;"",N10&gt;0,M465&gt;N10),"Mot &gt; limite","")</f>
        <v/>
      </c>
      <c r="M465" s="70">
        <f>IF(OR(F465="",N10="",N10&lt;=0),"",IF(LEN(F465)&lt;=N10,LEN(F465),IFERROR(FIND("♦",SUBSTITUTE(LEFT(F465,N10)," ","♦",LEN(LEFT(F465,N10))-LEN(SUBSTITUTE(LEFT(F465,N10)," ","")))),FIND(" ",F465&amp;" ",N10+1)-1)))</f>
        <v>1</v>
      </c>
      <c r="N465" s="119">
        <f t="shared" si="47"/>
        <v>448</v>
      </c>
      <c r="O465" s="99" t="str">
        <f t="shared" si="48"/>
        <v>0</v>
      </c>
      <c r="P465" s="119">
        <f t="shared" si="49"/>
        <v>1</v>
      </c>
      <c r="Q465" s="119">
        <f t="shared" si="50"/>
        <v>1</v>
      </c>
      <c r="S465" s="3">
        <v>1</v>
      </c>
    </row>
    <row r="466" spans="2:19">
      <c r="B466" s="116"/>
      <c r="C466" s="116"/>
      <c r="D466" s="116"/>
      <c r="E466" s="116" cm="1">
        <f t="array" ref="E466">IF(H465&lt;&gt;"",E465,IF(E465="","",IFERROR(MATCH(TRUE(),INDEX(INDEX(K:K,E465+1):K203&lt;&gt;"",0),0)+E465,"")))</f>
        <v>607</v>
      </c>
      <c r="F466" s="117" cm="1">
        <f t="array" ref="F466">IF(E466="","",IF(H465&lt;&gt;"",H465,INDEX(D:D,E466)))</f>
        <v>0</v>
      </c>
      <c r="G466" s="117" t="str">
        <f t="shared" ref="G466:G529" si="51">IF(OR(F466="",M466=""),"",LEFT(F466,M466))</f>
        <v>0</v>
      </c>
      <c r="H466" s="118" t="str">
        <f t="shared" ref="H466:H529" si="52">IF(OR(F466="",M466=""),"",TRIM(MID(F466,M466+1,99999)))</f>
        <v/>
      </c>
      <c r="I466" s="116" t="str">
        <f>IF(AND(F466&lt;&gt;"",N10&gt;0,M466&gt;N10),"Mot &gt; limite","")</f>
        <v/>
      </c>
      <c r="M466" s="70">
        <f>IF(OR(F466="",N10="",N10&lt;=0),"",IF(LEN(F466)&lt;=N10,LEN(F466),IFERROR(FIND("♦",SUBSTITUTE(LEFT(F466,N10)," ","♦",LEN(LEFT(F466,N10))-LEN(SUBSTITUTE(LEFT(F466,N10)," ","")))),FIND(" ",F466&amp;" ",N10+1)-1)))</f>
        <v>1</v>
      </c>
      <c r="N466" s="119">
        <f t="shared" ref="N466:N529" si="53">IF(O466="","",ROW()-17)</f>
        <v>449</v>
      </c>
      <c r="O466" s="99" t="str">
        <f t="shared" ref="O466:O529" si="54">G466</f>
        <v>0</v>
      </c>
      <c r="P466" s="119">
        <f t="shared" ref="P466:P529" si="55">IF(O466="","",LEN(TRIM(O466))-LEN(SUBSTITUTE(TRIM(O466)," ",""))+1)</f>
        <v>1</v>
      </c>
      <c r="Q466" s="119">
        <f t="shared" ref="Q466:Q529" si="56">IF(O466="","",LEN(O466))</f>
        <v>1</v>
      </c>
      <c r="S466" s="3">
        <v>1</v>
      </c>
    </row>
    <row r="467" spans="2:19">
      <c r="B467" s="116"/>
      <c r="C467" s="116"/>
      <c r="D467" s="116"/>
      <c r="E467" s="116" cm="1">
        <f t="array" ref="E467">IF(H466&lt;&gt;"",E466,IF(E466="","",IFERROR(MATCH(TRUE(),INDEX(INDEX(K:K,E466+1):K203&lt;&gt;"",0),0)+E466,"")))</f>
        <v>608</v>
      </c>
      <c r="F467" s="117" cm="1">
        <f t="array" ref="F467">IF(E467="","",IF(H466&lt;&gt;"",H466,INDEX(D:D,E467)))</f>
        <v>0</v>
      </c>
      <c r="G467" s="117" t="str">
        <f t="shared" si="51"/>
        <v>0</v>
      </c>
      <c r="H467" s="118" t="str">
        <f t="shared" si="52"/>
        <v/>
      </c>
      <c r="I467" s="116" t="str">
        <f>IF(AND(F467&lt;&gt;"",N10&gt;0,M467&gt;N10),"Mot &gt; limite","")</f>
        <v/>
      </c>
      <c r="M467" s="70">
        <f>IF(OR(F467="",N10="",N10&lt;=0),"",IF(LEN(F467)&lt;=N10,LEN(F467),IFERROR(FIND("♦",SUBSTITUTE(LEFT(F467,N10)," ","♦",LEN(LEFT(F467,N10))-LEN(SUBSTITUTE(LEFT(F467,N10)," ","")))),FIND(" ",F467&amp;" ",N10+1)-1)))</f>
        <v>1</v>
      </c>
      <c r="N467" s="119">
        <f t="shared" si="53"/>
        <v>450</v>
      </c>
      <c r="O467" s="99" t="str">
        <f t="shared" si="54"/>
        <v>0</v>
      </c>
      <c r="P467" s="119">
        <f t="shared" si="55"/>
        <v>1</v>
      </c>
      <c r="Q467" s="119">
        <f t="shared" si="56"/>
        <v>1</v>
      </c>
      <c r="S467" s="3">
        <v>1</v>
      </c>
    </row>
    <row r="468" spans="2:19">
      <c r="B468" s="116"/>
      <c r="C468" s="116"/>
      <c r="D468" s="116"/>
      <c r="E468" s="116" cm="1">
        <f t="array" ref="E468">IF(H467&lt;&gt;"",E467,IF(E467="","",IFERROR(MATCH(TRUE(),INDEX(INDEX(K:K,E467+1):K203&lt;&gt;"",0),0)+E467,"")))</f>
        <v>609</v>
      </c>
      <c r="F468" s="117" cm="1">
        <f t="array" ref="F468">IF(E468="","",IF(H467&lt;&gt;"",H467,INDEX(D:D,E468)))</f>
        <v>0</v>
      </c>
      <c r="G468" s="117" t="str">
        <f t="shared" si="51"/>
        <v>0</v>
      </c>
      <c r="H468" s="118" t="str">
        <f t="shared" si="52"/>
        <v/>
      </c>
      <c r="I468" s="116" t="str">
        <f>IF(AND(F468&lt;&gt;"",N10&gt;0,M468&gt;N10),"Mot &gt; limite","")</f>
        <v/>
      </c>
      <c r="M468" s="70">
        <f>IF(OR(F468="",N10="",N10&lt;=0),"",IF(LEN(F468)&lt;=N10,LEN(F468),IFERROR(FIND("♦",SUBSTITUTE(LEFT(F468,N10)," ","♦",LEN(LEFT(F468,N10))-LEN(SUBSTITUTE(LEFT(F468,N10)," ","")))),FIND(" ",F468&amp;" ",N10+1)-1)))</f>
        <v>1</v>
      </c>
      <c r="N468" s="119">
        <f t="shared" si="53"/>
        <v>451</v>
      </c>
      <c r="O468" s="99" t="str">
        <f t="shared" si="54"/>
        <v>0</v>
      </c>
      <c r="P468" s="119">
        <f t="shared" si="55"/>
        <v>1</v>
      </c>
      <c r="Q468" s="119">
        <f t="shared" si="56"/>
        <v>1</v>
      </c>
      <c r="S468" s="3">
        <v>1</v>
      </c>
    </row>
    <row r="469" spans="2:19">
      <c r="B469" s="116"/>
      <c r="C469" s="116"/>
      <c r="D469" s="116"/>
      <c r="E469" s="116" cm="1">
        <f t="array" ref="E469">IF(H468&lt;&gt;"",E468,IF(E468="","",IFERROR(MATCH(TRUE(),INDEX(INDEX(K:K,E468+1):K203&lt;&gt;"",0),0)+E468,"")))</f>
        <v>610</v>
      </c>
      <c r="F469" s="117" cm="1">
        <f t="array" ref="F469">IF(E469="","",IF(H468&lt;&gt;"",H468,INDEX(D:D,E469)))</f>
        <v>0</v>
      </c>
      <c r="G469" s="117" t="str">
        <f t="shared" si="51"/>
        <v>0</v>
      </c>
      <c r="H469" s="118" t="str">
        <f t="shared" si="52"/>
        <v/>
      </c>
      <c r="I469" s="116" t="str">
        <f>IF(AND(F469&lt;&gt;"",N10&gt;0,M469&gt;N10),"Mot &gt; limite","")</f>
        <v/>
      </c>
      <c r="M469" s="70">
        <f>IF(OR(F469="",N10="",N10&lt;=0),"",IF(LEN(F469)&lt;=N10,LEN(F469),IFERROR(FIND("♦",SUBSTITUTE(LEFT(F469,N10)," ","♦",LEN(LEFT(F469,N10))-LEN(SUBSTITUTE(LEFT(F469,N10)," ","")))),FIND(" ",F469&amp;" ",N10+1)-1)))</f>
        <v>1</v>
      </c>
      <c r="N469" s="119">
        <f t="shared" si="53"/>
        <v>452</v>
      </c>
      <c r="O469" s="99" t="str">
        <f t="shared" si="54"/>
        <v>0</v>
      </c>
      <c r="P469" s="119">
        <f t="shared" si="55"/>
        <v>1</v>
      </c>
      <c r="Q469" s="119">
        <f t="shared" si="56"/>
        <v>1</v>
      </c>
      <c r="S469" s="3">
        <v>1</v>
      </c>
    </row>
    <row r="470" spans="2:19">
      <c r="B470" s="116"/>
      <c r="C470" s="116"/>
      <c r="D470" s="116"/>
      <c r="E470" s="116" cm="1">
        <f t="array" ref="E470">IF(H469&lt;&gt;"",E469,IF(E469="","",IFERROR(MATCH(TRUE(),INDEX(INDEX(K:K,E469+1):K203&lt;&gt;"",0),0)+E469,"")))</f>
        <v>611</v>
      </c>
      <c r="F470" s="117" cm="1">
        <f t="array" ref="F470">IF(E470="","",IF(H469&lt;&gt;"",H469,INDEX(D:D,E470)))</f>
        <v>0</v>
      </c>
      <c r="G470" s="117" t="str">
        <f t="shared" si="51"/>
        <v>0</v>
      </c>
      <c r="H470" s="118" t="str">
        <f t="shared" si="52"/>
        <v/>
      </c>
      <c r="I470" s="116" t="str">
        <f>IF(AND(F470&lt;&gt;"",N10&gt;0,M470&gt;N10),"Mot &gt; limite","")</f>
        <v/>
      </c>
      <c r="M470" s="70">
        <f>IF(OR(F470="",N10="",N10&lt;=0),"",IF(LEN(F470)&lt;=N10,LEN(F470),IFERROR(FIND("♦",SUBSTITUTE(LEFT(F470,N10)," ","♦",LEN(LEFT(F470,N10))-LEN(SUBSTITUTE(LEFT(F470,N10)," ","")))),FIND(" ",F470&amp;" ",N10+1)-1)))</f>
        <v>1</v>
      </c>
      <c r="N470" s="119">
        <f t="shared" si="53"/>
        <v>453</v>
      </c>
      <c r="O470" s="99" t="str">
        <f t="shared" si="54"/>
        <v>0</v>
      </c>
      <c r="P470" s="119">
        <f t="shared" si="55"/>
        <v>1</v>
      </c>
      <c r="Q470" s="119">
        <f t="shared" si="56"/>
        <v>1</v>
      </c>
      <c r="S470" s="3">
        <v>1</v>
      </c>
    </row>
    <row r="471" spans="2:19">
      <c r="B471" s="116"/>
      <c r="C471" s="116"/>
      <c r="D471" s="116"/>
      <c r="E471" s="116" cm="1">
        <f t="array" ref="E471">IF(H470&lt;&gt;"",E470,IF(E470="","",IFERROR(MATCH(TRUE(),INDEX(INDEX(K:K,E470+1):K203&lt;&gt;"",0),0)+E470,"")))</f>
        <v>612</v>
      </c>
      <c r="F471" s="117" cm="1">
        <f t="array" ref="F471">IF(E471="","",IF(H470&lt;&gt;"",H470,INDEX(D:D,E471)))</f>
        <v>0</v>
      </c>
      <c r="G471" s="117" t="str">
        <f t="shared" si="51"/>
        <v>0</v>
      </c>
      <c r="H471" s="118" t="str">
        <f t="shared" si="52"/>
        <v/>
      </c>
      <c r="I471" s="116" t="str">
        <f>IF(AND(F471&lt;&gt;"",N10&gt;0,M471&gt;N10),"Mot &gt; limite","")</f>
        <v/>
      </c>
      <c r="M471" s="70">
        <f>IF(OR(F471="",N10="",N10&lt;=0),"",IF(LEN(F471)&lt;=N10,LEN(F471),IFERROR(FIND("♦",SUBSTITUTE(LEFT(F471,N10)," ","♦",LEN(LEFT(F471,N10))-LEN(SUBSTITUTE(LEFT(F471,N10)," ","")))),FIND(" ",F471&amp;" ",N10+1)-1)))</f>
        <v>1</v>
      </c>
      <c r="N471" s="119">
        <f t="shared" si="53"/>
        <v>454</v>
      </c>
      <c r="O471" s="99" t="str">
        <f t="shared" si="54"/>
        <v>0</v>
      </c>
      <c r="P471" s="119">
        <f t="shared" si="55"/>
        <v>1</v>
      </c>
      <c r="Q471" s="119">
        <f t="shared" si="56"/>
        <v>1</v>
      </c>
      <c r="S471" s="3">
        <v>1</v>
      </c>
    </row>
    <row r="472" spans="2:19">
      <c r="B472" s="116"/>
      <c r="C472" s="116"/>
      <c r="D472" s="116"/>
      <c r="E472" s="116" cm="1">
        <f t="array" ref="E472">IF(H471&lt;&gt;"",E471,IF(E471="","",IFERROR(MATCH(TRUE(),INDEX(INDEX(K:K,E471+1):K203&lt;&gt;"",0),0)+E471,"")))</f>
        <v>613</v>
      </c>
      <c r="F472" s="117" cm="1">
        <f t="array" ref="F472">IF(E472="","",IF(H471&lt;&gt;"",H471,INDEX(D:D,E472)))</f>
        <v>0</v>
      </c>
      <c r="G472" s="117" t="str">
        <f t="shared" si="51"/>
        <v>0</v>
      </c>
      <c r="H472" s="118" t="str">
        <f t="shared" si="52"/>
        <v/>
      </c>
      <c r="I472" s="116" t="str">
        <f>IF(AND(F472&lt;&gt;"",N10&gt;0,M472&gt;N10),"Mot &gt; limite","")</f>
        <v/>
      </c>
      <c r="M472" s="70">
        <f>IF(OR(F472="",N10="",N10&lt;=0),"",IF(LEN(F472)&lt;=N10,LEN(F472),IFERROR(FIND("♦",SUBSTITUTE(LEFT(F472,N10)," ","♦",LEN(LEFT(F472,N10))-LEN(SUBSTITUTE(LEFT(F472,N10)," ","")))),FIND(" ",F472&amp;" ",N10+1)-1)))</f>
        <v>1</v>
      </c>
      <c r="N472" s="119">
        <f t="shared" si="53"/>
        <v>455</v>
      </c>
      <c r="O472" s="99" t="str">
        <f t="shared" si="54"/>
        <v>0</v>
      </c>
      <c r="P472" s="119">
        <f t="shared" si="55"/>
        <v>1</v>
      </c>
      <c r="Q472" s="119">
        <f t="shared" si="56"/>
        <v>1</v>
      </c>
      <c r="S472" s="3">
        <v>1</v>
      </c>
    </row>
    <row r="473" spans="2:19">
      <c r="B473" s="116"/>
      <c r="C473" s="116"/>
      <c r="D473" s="116"/>
      <c r="E473" s="116" cm="1">
        <f t="array" ref="E473">IF(H472&lt;&gt;"",E472,IF(E472="","",IFERROR(MATCH(TRUE(),INDEX(INDEX(K:K,E472+1):K203&lt;&gt;"",0),0)+E472,"")))</f>
        <v>614</v>
      </c>
      <c r="F473" s="117" cm="1">
        <f t="array" ref="F473">IF(E473="","",IF(H472&lt;&gt;"",H472,INDEX(D:D,E473)))</f>
        <v>0</v>
      </c>
      <c r="G473" s="117" t="str">
        <f t="shared" si="51"/>
        <v>0</v>
      </c>
      <c r="H473" s="118" t="str">
        <f t="shared" si="52"/>
        <v/>
      </c>
      <c r="I473" s="116" t="str">
        <f>IF(AND(F473&lt;&gt;"",N10&gt;0,M473&gt;N10),"Mot &gt; limite","")</f>
        <v/>
      </c>
      <c r="M473" s="70">
        <f>IF(OR(F473="",N10="",N10&lt;=0),"",IF(LEN(F473)&lt;=N10,LEN(F473),IFERROR(FIND("♦",SUBSTITUTE(LEFT(F473,N10)," ","♦",LEN(LEFT(F473,N10))-LEN(SUBSTITUTE(LEFT(F473,N10)," ","")))),FIND(" ",F473&amp;" ",N10+1)-1)))</f>
        <v>1</v>
      </c>
      <c r="N473" s="119">
        <f t="shared" si="53"/>
        <v>456</v>
      </c>
      <c r="O473" s="99" t="str">
        <f t="shared" si="54"/>
        <v>0</v>
      </c>
      <c r="P473" s="119">
        <f t="shared" si="55"/>
        <v>1</v>
      </c>
      <c r="Q473" s="119">
        <f t="shared" si="56"/>
        <v>1</v>
      </c>
      <c r="S473" s="3">
        <v>1</v>
      </c>
    </row>
    <row r="474" spans="2:19">
      <c r="B474" s="116"/>
      <c r="C474" s="116"/>
      <c r="D474" s="116"/>
      <c r="E474" s="116" cm="1">
        <f t="array" ref="E474">IF(H473&lt;&gt;"",E473,IF(E473="","",IFERROR(MATCH(TRUE(),INDEX(INDEX(K:K,E473+1):K203&lt;&gt;"",0),0)+E473,"")))</f>
        <v>615</v>
      </c>
      <c r="F474" s="117" cm="1">
        <f t="array" ref="F474">IF(E474="","",IF(H473&lt;&gt;"",H473,INDEX(D:D,E474)))</f>
        <v>0</v>
      </c>
      <c r="G474" s="117" t="str">
        <f t="shared" si="51"/>
        <v>0</v>
      </c>
      <c r="H474" s="118" t="str">
        <f t="shared" si="52"/>
        <v/>
      </c>
      <c r="I474" s="116" t="str">
        <f>IF(AND(F474&lt;&gt;"",N10&gt;0,M474&gt;N10),"Mot &gt; limite","")</f>
        <v/>
      </c>
      <c r="M474" s="70">
        <f>IF(OR(F474="",N10="",N10&lt;=0),"",IF(LEN(F474)&lt;=N10,LEN(F474),IFERROR(FIND("♦",SUBSTITUTE(LEFT(F474,N10)," ","♦",LEN(LEFT(F474,N10))-LEN(SUBSTITUTE(LEFT(F474,N10)," ","")))),FIND(" ",F474&amp;" ",N10+1)-1)))</f>
        <v>1</v>
      </c>
      <c r="N474" s="119">
        <f t="shared" si="53"/>
        <v>457</v>
      </c>
      <c r="O474" s="99" t="str">
        <f t="shared" si="54"/>
        <v>0</v>
      </c>
      <c r="P474" s="119">
        <f t="shared" si="55"/>
        <v>1</v>
      </c>
      <c r="Q474" s="119">
        <f t="shared" si="56"/>
        <v>1</v>
      </c>
      <c r="S474" s="3">
        <v>1</v>
      </c>
    </row>
    <row r="475" spans="2:19">
      <c r="B475" s="116"/>
      <c r="C475" s="116"/>
      <c r="D475" s="116"/>
      <c r="E475" s="116" cm="1">
        <f t="array" ref="E475">IF(H474&lt;&gt;"",E474,IF(E474="","",IFERROR(MATCH(TRUE(),INDEX(INDEX(K:K,E474+1):K203&lt;&gt;"",0),0)+E474,"")))</f>
        <v>616</v>
      </c>
      <c r="F475" s="117" cm="1">
        <f t="array" ref="F475">IF(E475="","",IF(H474&lt;&gt;"",H474,INDEX(D:D,E475)))</f>
        <v>0</v>
      </c>
      <c r="G475" s="117" t="str">
        <f t="shared" si="51"/>
        <v>0</v>
      </c>
      <c r="H475" s="118" t="str">
        <f t="shared" si="52"/>
        <v/>
      </c>
      <c r="I475" s="116" t="str">
        <f>IF(AND(F475&lt;&gt;"",N10&gt;0,M475&gt;N10),"Mot &gt; limite","")</f>
        <v/>
      </c>
      <c r="M475" s="70">
        <f>IF(OR(F475="",N10="",N10&lt;=0),"",IF(LEN(F475)&lt;=N10,LEN(F475),IFERROR(FIND("♦",SUBSTITUTE(LEFT(F475,N10)," ","♦",LEN(LEFT(F475,N10))-LEN(SUBSTITUTE(LEFT(F475,N10)," ","")))),FIND(" ",F475&amp;" ",N10+1)-1)))</f>
        <v>1</v>
      </c>
      <c r="N475" s="119">
        <f t="shared" si="53"/>
        <v>458</v>
      </c>
      <c r="O475" s="99" t="str">
        <f t="shared" si="54"/>
        <v>0</v>
      </c>
      <c r="P475" s="119">
        <f t="shared" si="55"/>
        <v>1</v>
      </c>
      <c r="Q475" s="119">
        <f t="shared" si="56"/>
        <v>1</v>
      </c>
      <c r="S475" s="3">
        <v>1</v>
      </c>
    </row>
    <row r="476" spans="2:19">
      <c r="B476" s="116"/>
      <c r="C476" s="116"/>
      <c r="D476" s="116"/>
      <c r="E476" s="116" cm="1">
        <f t="array" ref="E476">IF(H475&lt;&gt;"",E475,IF(E475="","",IFERROR(MATCH(TRUE(),INDEX(INDEX(K:K,E475+1):K203&lt;&gt;"",0),0)+E475,"")))</f>
        <v>617</v>
      </c>
      <c r="F476" s="117" cm="1">
        <f t="array" ref="F476">IF(E476="","",IF(H475&lt;&gt;"",H475,INDEX(D:D,E476)))</f>
        <v>0</v>
      </c>
      <c r="G476" s="117" t="str">
        <f t="shared" si="51"/>
        <v>0</v>
      </c>
      <c r="H476" s="118" t="str">
        <f t="shared" si="52"/>
        <v/>
      </c>
      <c r="I476" s="116" t="str">
        <f>IF(AND(F476&lt;&gt;"",N10&gt;0,M476&gt;N10),"Mot &gt; limite","")</f>
        <v/>
      </c>
      <c r="M476" s="70">
        <f>IF(OR(F476="",N10="",N10&lt;=0),"",IF(LEN(F476)&lt;=N10,LEN(F476),IFERROR(FIND("♦",SUBSTITUTE(LEFT(F476,N10)," ","♦",LEN(LEFT(F476,N10))-LEN(SUBSTITUTE(LEFT(F476,N10)," ","")))),FIND(" ",F476&amp;" ",N10+1)-1)))</f>
        <v>1</v>
      </c>
      <c r="N476" s="119">
        <f t="shared" si="53"/>
        <v>459</v>
      </c>
      <c r="O476" s="99" t="str">
        <f t="shared" si="54"/>
        <v>0</v>
      </c>
      <c r="P476" s="119">
        <f t="shared" si="55"/>
        <v>1</v>
      </c>
      <c r="Q476" s="119">
        <f t="shared" si="56"/>
        <v>1</v>
      </c>
      <c r="S476" s="3">
        <v>1</v>
      </c>
    </row>
    <row r="477" spans="2:19">
      <c r="B477" s="116"/>
      <c r="C477" s="116"/>
      <c r="D477" s="116"/>
      <c r="E477" s="116" cm="1">
        <f t="array" ref="E477">IF(H476&lt;&gt;"",E476,IF(E476="","",IFERROR(MATCH(TRUE(),INDEX(INDEX(K:K,E476+1):K203&lt;&gt;"",0),0)+E476,"")))</f>
        <v>618</v>
      </c>
      <c r="F477" s="117" cm="1">
        <f t="array" ref="F477">IF(E477="","",IF(H476&lt;&gt;"",H476,INDEX(D:D,E477)))</f>
        <v>0</v>
      </c>
      <c r="G477" s="117" t="str">
        <f t="shared" si="51"/>
        <v>0</v>
      </c>
      <c r="H477" s="118" t="str">
        <f t="shared" si="52"/>
        <v/>
      </c>
      <c r="I477" s="116" t="str">
        <f>IF(AND(F477&lt;&gt;"",N10&gt;0,M477&gt;N10),"Mot &gt; limite","")</f>
        <v/>
      </c>
      <c r="M477" s="70">
        <f>IF(OR(F477="",N10="",N10&lt;=0),"",IF(LEN(F477)&lt;=N10,LEN(F477),IFERROR(FIND("♦",SUBSTITUTE(LEFT(F477,N10)," ","♦",LEN(LEFT(F477,N10))-LEN(SUBSTITUTE(LEFT(F477,N10)," ","")))),FIND(" ",F477&amp;" ",N10+1)-1)))</f>
        <v>1</v>
      </c>
      <c r="N477" s="119">
        <f t="shared" si="53"/>
        <v>460</v>
      </c>
      <c r="O477" s="99" t="str">
        <f t="shared" si="54"/>
        <v>0</v>
      </c>
      <c r="P477" s="119">
        <f t="shared" si="55"/>
        <v>1</v>
      </c>
      <c r="Q477" s="119">
        <f t="shared" si="56"/>
        <v>1</v>
      </c>
      <c r="S477" s="3">
        <v>1</v>
      </c>
    </row>
    <row r="478" spans="2:19">
      <c r="B478" s="116"/>
      <c r="C478" s="116"/>
      <c r="D478" s="116"/>
      <c r="E478" s="116" cm="1">
        <f t="array" ref="E478">IF(H477&lt;&gt;"",E477,IF(E477="","",IFERROR(MATCH(TRUE(),INDEX(INDEX(K:K,E477+1):K203&lt;&gt;"",0),0)+E477,"")))</f>
        <v>619</v>
      </c>
      <c r="F478" s="117" cm="1">
        <f t="array" ref="F478">IF(E478="","",IF(H477&lt;&gt;"",H477,INDEX(D:D,E478)))</f>
        <v>0</v>
      </c>
      <c r="G478" s="117" t="str">
        <f t="shared" si="51"/>
        <v>0</v>
      </c>
      <c r="H478" s="118" t="str">
        <f t="shared" si="52"/>
        <v/>
      </c>
      <c r="I478" s="116" t="str">
        <f>IF(AND(F478&lt;&gt;"",N10&gt;0,M478&gt;N10),"Mot &gt; limite","")</f>
        <v/>
      </c>
      <c r="M478" s="70">
        <f>IF(OR(F478="",N10="",N10&lt;=0),"",IF(LEN(F478)&lt;=N10,LEN(F478),IFERROR(FIND("♦",SUBSTITUTE(LEFT(F478,N10)," ","♦",LEN(LEFT(F478,N10))-LEN(SUBSTITUTE(LEFT(F478,N10)," ","")))),FIND(" ",F478&amp;" ",N10+1)-1)))</f>
        <v>1</v>
      </c>
      <c r="N478" s="119">
        <f t="shared" si="53"/>
        <v>461</v>
      </c>
      <c r="O478" s="99" t="str">
        <f t="shared" si="54"/>
        <v>0</v>
      </c>
      <c r="P478" s="119">
        <f t="shared" si="55"/>
        <v>1</v>
      </c>
      <c r="Q478" s="119">
        <f t="shared" si="56"/>
        <v>1</v>
      </c>
      <c r="S478" s="3">
        <v>1</v>
      </c>
    </row>
    <row r="479" spans="2:19">
      <c r="B479" s="116"/>
      <c r="C479" s="116"/>
      <c r="D479" s="116"/>
      <c r="E479" s="116" cm="1">
        <f t="array" ref="E479">IF(H478&lt;&gt;"",E478,IF(E478="","",IFERROR(MATCH(TRUE(),INDEX(INDEX(K:K,E478+1):K203&lt;&gt;"",0),0)+E478,"")))</f>
        <v>620</v>
      </c>
      <c r="F479" s="117" cm="1">
        <f t="array" ref="F479">IF(E479="","",IF(H478&lt;&gt;"",H478,INDEX(D:D,E479)))</f>
        <v>0</v>
      </c>
      <c r="G479" s="117" t="str">
        <f t="shared" si="51"/>
        <v>0</v>
      </c>
      <c r="H479" s="118" t="str">
        <f t="shared" si="52"/>
        <v/>
      </c>
      <c r="I479" s="116" t="str">
        <f>IF(AND(F479&lt;&gt;"",N10&gt;0,M479&gt;N10),"Mot &gt; limite","")</f>
        <v/>
      </c>
      <c r="M479" s="70">
        <f>IF(OR(F479="",N10="",N10&lt;=0),"",IF(LEN(F479)&lt;=N10,LEN(F479),IFERROR(FIND("♦",SUBSTITUTE(LEFT(F479,N10)," ","♦",LEN(LEFT(F479,N10))-LEN(SUBSTITUTE(LEFT(F479,N10)," ","")))),FIND(" ",F479&amp;" ",N10+1)-1)))</f>
        <v>1</v>
      </c>
      <c r="N479" s="119">
        <f t="shared" si="53"/>
        <v>462</v>
      </c>
      <c r="O479" s="99" t="str">
        <f t="shared" si="54"/>
        <v>0</v>
      </c>
      <c r="P479" s="119">
        <f t="shared" si="55"/>
        <v>1</v>
      </c>
      <c r="Q479" s="119">
        <f t="shared" si="56"/>
        <v>1</v>
      </c>
      <c r="S479" s="3">
        <v>1</v>
      </c>
    </row>
    <row r="480" spans="2:19">
      <c r="B480" s="116"/>
      <c r="C480" s="116"/>
      <c r="D480" s="116"/>
      <c r="E480" s="116" cm="1">
        <f t="array" ref="E480">IF(H479&lt;&gt;"",E479,IF(E479="","",IFERROR(MATCH(TRUE(),INDEX(INDEX(K:K,E479+1):K203&lt;&gt;"",0),0)+E479,"")))</f>
        <v>621</v>
      </c>
      <c r="F480" s="117" cm="1">
        <f t="array" ref="F480">IF(E480="","",IF(H479&lt;&gt;"",H479,INDEX(D:D,E480)))</f>
        <v>0</v>
      </c>
      <c r="G480" s="117" t="str">
        <f t="shared" si="51"/>
        <v>0</v>
      </c>
      <c r="H480" s="118" t="str">
        <f t="shared" si="52"/>
        <v/>
      </c>
      <c r="I480" s="116" t="str">
        <f>IF(AND(F480&lt;&gt;"",N10&gt;0,M480&gt;N10),"Mot &gt; limite","")</f>
        <v/>
      </c>
      <c r="M480" s="70">
        <f>IF(OR(F480="",N10="",N10&lt;=0),"",IF(LEN(F480)&lt;=N10,LEN(F480),IFERROR(FIND("♦",SUBSTITUTE(LEFT(F480,N10)," ","♦",LEN(LEFT(F480,N10))-LEN(SUBSTITUTE(LEFT(F480,N10)," ","")))),FIND(" ",F480&amp;" ",N10+1)-1)))</f>
        <v>1</v>
      </c>
      <c r="N480" s="119">
        <f t="shared" si="53"/>
        <v>463</v>
      </c>
      <c r="O480" s="99" t="str">
        <f t="shared" si="54"/>
        <v>0</v>
      </c>
      <c r="P480" s="119">
        <f t="shared" si="55"/>
        <v>1</v>
      </c>
      <c r="Q480" s="119">
        <f t="shared" si="56"/>
        <v>1</v>
      </c>
      <c r="S480" s="3">
        <v>1</v>
      </c>
    </row>
    <row r="481" spans="2:19">
      <c r="B481" s="116"/>
      <c r="C481" s="116"/>
      <c r="D481" s="116"/>
      <c r="E481" s="116" cm="1">
        <f t="array" ref="E481">IF(H480&lt;&gt;"",E480,IF(E480="","",IFERROR(MATCH(TRUE(),INDEX(INDEX(K:K,E480+1):K203&lt;&gt;"",0),0)+E480,"")))</f>
        <v>622</v>
      </c>
      <c r="F481" s="117" cm="1">
        <f t="array" ref="F481">IF(E481="","",IF(H480&lt;&gt;"",H480,INDEX(D:D,E481)))</f>
        <v>0</v>
      </c>
      <c r="G481" s="117" t="str">
        <f t="shared" si="51"/>
        <v>0</v>
      </c>
      <c r="H481" s="118" t="str">
        <f t="shared" si="52"/>
        <v/>
      </c>
      <c r="I481" s="116" t="str">
        <f>IF(AND(F481&lt;&gt;"",N10&gt;0,M481&gt;N10),"Mot &gt; limite","")</f>
        <v/>
      </c>
      <c r="M481" s="70">
        <f>IF(OR(F481="",N10="",N10&lt;=0),"",IF(LEN(F481)&lt;=N10,LEN(F481),IFERROR(FIND("♦",SUBSTITUTE(LEFT(F481,N10)," ","♦",LEN(LEFT(F481,N10))-LEN(SUBSTITUTE(LEFT(F481,N10)," ","")))),FIND(" ",F481&amp;" ",N10+1)-1)))</f>
        <v>1</v>
      </c>
      <c r="N481" s="119">
        <f t="shared" si="53"/>
        <v>464</v>
      </c>
      <c r="O481" s="99" t="str">
        <f t="shared" si="54"/>
        <v>0</v>
      </c>
      <c r="P481" s="119">
        <f t="shared" si="55"/>
        <v>1</v>
      </c>
      <c r="Q481" s="119">
        <f t="shared" si="56"/>
        <v>1</v>
      </c>
      <c r="S481" s="3">
        <v>1</v>
      </c>
    </row>
    <row r="482" spans="2:19">
      <c r="B482" s="116"/>
      <c r="C482" s="116"/>
      <c r="D482" s="116"/>
      <c r="E482" s="116" cm="1">
        <f t="array" ref="E482">IF(H481&lt;&gt;"",E481,IF(E481="","",IFERROR(MATCH(TRUE(),INDEX(INDEX(K:K,E481+1):K203&lt;&gt;"",0),0)+E481,"")))</f>
        <v>623</v>
      </c>
      <c r="F482" s="117" cm="1">
        <f t="array" ref="F482">IF(E482="","",IF(H481&lt;&gt;"",H481,INDEX(D:D,E482)))</f>
        <v>0</v>
      </c>
      <c r="G482" s="117" t="str">
        <f t="shared" si="51"/>
        <v>0</v>
      </c>
      <c r="H482" s="118" t="str">
        <f t="shared" si="52"/>
        <v/>
      </c>
      <c r="I482" s="116" t="str">
        <f>IF(AND(F482&lt;&gt;"",N10&gt;0,M482&gt;N10),"Mot &gt; limite","")</f>
        <v/>
      </c>
      <c r="M482" s="70">
        <f>IF(OR(F482="",N10="",N10&lt;=0),"",IF(LEN(F482)&lt;=N10,LEN(F482),IFERROR(FIND("♦",SUBSTITUTE(LEFT(F482,N10)," ","♦",LEN(LEFT(F482,N10))-LEN(SUBSTITUTE(LEFT(F482,N10)," ","")))),FIND(" ",F482&amp;" ",N10+1)-1)))</f>
        <v>1</v>
      </c>
      <c r="N482" s="119">
        <f t="shared" si="53"/>
        <v>465</v>
      </c>
      <c r="O482" s="99" t="str">
        <f t="shared" si="54"/>
        <v>0</v>
      </c>
      <c r="P482" s="119">
        <f t="shared" si="55"/>
        <v>1</v>
      </c>
      <c r="Q482" s="119">
        <f t="shared" si="56"/>
        <v>1</v>
      </c>
      <c r="S482" s="3">
        <v>1</v>
      </c>
    </row>
    <row r="483" spans="2:19">
      <c r="B483" s="116"/>
      <c r="C483" s="116"/>
      <c r="D483" s="116"/>
      <c r="E483" s="116" cm="1">
        <f t="array" ref="E483">IF(H482&lt;&gt;"",E482,IF(E482="","",IFERROR(MATCH(TRUE(),INDEX(INDEX(K:K,E482+1):K203&lt;&gt;"",0),0)+E482,"")))</f>
        <v>624</v>
      </c>
      <c r="F483" s="117" cm="1">
        <f t="array" ref="F483">IF(E483="","",IF(H482&lt;&gt;"",H482,INDEX(D:D,E483)))</f>
        <v>0</v>
      </c>
      <c r="G483" s="117" t="str">
        <f t="shared" si="51"/>
        <v>0</v>
      </c>
      <c r="H483" s="118" t="str">
        <f t="shared" si="52"/>
        <v/>
      </c>
      <c r="I483" s="116" t="str">
        <f>IF(AND(F483&lt;&gt;"",N10&gt;0,M483&gt;N10),"Mot &gt; limite","")</f>
        <v/>
      </c>
      <c r="M483" s="70">
        <f>IF(OR(F483="",N10="",N10&lt;=0),"",IF(LEN(F483)&lt;=N10,LEN(F483),IFERROR(FIND("♦",SUBSTITUTE(LEFT(F483,N10)," ","♦",LEN(LEFT(F483,N10))-LEN(SUBSTITUTE(LEFT(F483,N10)," ","")))),FIND(" ",F483&amp;" ",N10+1)-1)))</f>
        <v>1</v>
      </c>
      <c r="N483" s="119">
        <f t="shared" si="53"/>
        <v>466</v>
      </c>
      <c r="O483" s="99" t="str">
        <f t="shared" si="54"/>
        <v>0</v>
      </c>
      <c r="P483" s="119">
        <f t="shared" si="55"/>
        <v>1</v>
      </c>
      <c r="Q483" s="119">
        <f t="shared" si="56"/>
        <v>1</v>
      </c>
      <c r="S483" s="3">
        <v>1</v>
      </c>
    </row>
    <row r="484" spans="2:19">
      <c r="B484" s="116"/>
      <c r="C484" s="116"/>
      <c r="D484" s="116"/>
      <c r="E484" s="116" cm="1">
        <f t="array" ref="E484">IF(H483&lt;&gt;"",E483,IF(E483="","",IFERROR(MATCH(TRUE(),INDEX(INDEX(K:K,E483+1):K203&lt;&gt;"",0),0)+E483,"")))</f>
        <v>625</v>
      </c>
      <c r="F484" s="117" cm="1">
        <f t="array" ref="F484">IF(E484="","",IF(H483&lt;&gt;"",H483,INDEX(D:D,E484)))</f>
        <v>0</v>
      </c>
      <c r="G484" s="117" t="str">
        <f t="shared" si="51"/>
        <v>0</v>
      </c>
      <c r="H484" s="118" t="str">
        <f t="shared" si="52"/>
        <v/>
      </c>
      <c r="I484" s="116" t="str">
        <f>IF(AND(F484&lt;&gt;"",N10&gt;0,M484&gt;N10),"Mot &gt; limite","")</f>
        <v/>
      </c>
      <c r="M484" s="70">
        <f>IF(OR(F484="",N10="",N10&lt;=0),"",IF(LEN(F484)&lt;=N10,LEN(F484),IFERROR(FIND("♦",SUBSTITUTE(LEFT(F484,N10)," ","♦",LEN(LEFT(F484,N10))-LEN(SUBSTITUTE(LEFT(F484,N10)," ","")))),FIND(" ",F484&amp;" ",N10+1)-1)))</f>
        <v>1</v>
      </c>
      <c r="N484" s="119">
        <f t="shared" si="53"/>
        <v>467</v>
      </c>
      <c r="O484" s="99" t="str">
        <f t="shared" si="54"/>
        <v>0</v>
      </c>
      <c r="P484" s="119">
        <f t="shared" si="55"/>
        <v>1</v>
      </c>
      <c r="Q484" s="119">
        <f t="shared" si="56"/>
        <v>1</v>
      </c>
      <c r="S484" s="3">
        <v>1</v>
      </c>
    </row>
    <row r="485" spans="2:19">
      <c r="B485" s="116"/>
      <c r="C485" s="116"/>
      <c r="D485" s="116"/>
      <c r="E485" s="116" cm="1">
        <f t="array" ref="E485">IF(H484&lt;&gt;"",E484,IF(E484="","",IFERROR(MATCH(TRUE(),INDEX(INDEX(K:K,E484+1):K203&lt;&gt;"",0),0)+E484,"")))</f>
        <v>626</v>
      </c>
      <c r="F485" s="117" cm="1">
        <f t="array" ref="F485">IF(E485="","",IF(H484&lt;&gt;"",H484,INDEX(D:D,E485)))</f>
        <v>0</v>
      </c>
      <c r="G485" s="117" t="str">
        <f t="shared" si="51"/>
        <v>0</v>
      </c>
      <c r="H485" s="118" t="str">
        <f t="shared" si="52"/>
        <v/>
      </c>
      <c r="I485" s="116" t="str">
        <f>IF(AND(F485&lt;&gt;"",N10&gt;0,M485&gt;N10),"Mot &gt; limite","")</f>
        <v/>
      </c>
      <c r="M485" s="70">
        <f>IF(OR(F485="",N10="",N10&lt;=0),"",IF(LEN(F485)&lt;=N10,LEN(F485),IFERROR(FIND("♦",SUBSTITUTE(LEFT(F485,N10)," ","♦",LEN(LEFT(F485,N10))-LEN(SUBSTITUTE(LEFT(F485,N10)," ","")))),FIND(" ",F485&amp;" ",N10+1)-1)))</f>
        <v>1</v>
      </c>
      <c r="N485" s="119">
        <f t="shared" si="53"/>
        <v>468</v>
      </c>
      <c r="O485" s="99" t="str">
        <f t="shared" si="54"/>
        <v>0</v>
      </c>
      <c r="P485" s="119">
        <f t="shared" si="55"/>
        <v>1</v>
      </c>
      <c r="Q485" s="119">
        <f t="shared" si="56"/>
        <v>1</v>
      </c>
      <c r="S485" s="3">
        <v>1</v>
      </c>
    </row>
    <row r="486" spans="2:19">
      <c r="B486" s="116"/>
      <c r="C486" s="116"/>
      <c r="D486" s="116"/>
      <c r="E486" s="116" cm="1">
        <f t="array" ref="E486">IF(H485&lt;&gt;"",E485,IF(E485="","",IFERROR(MATCH(TRUE(),INDEX(INDEX(K:K,E485+1):K203&lt;&gt;"",0),0)+E485,"")))</f>
        <v>627</v>
      </c>
      <c r="F486" s="117" cm="1">
        <f t="array" ref="F486">IF(E486="","",IF(H485&lt;&gt;"",H485,INDEX(D:D,E486)))</f>
        <v>0</v>
      </c>
      <c r="G486" s="117" t="str">
        <f t="shared" si="51"/>
        <v>0</v>
      </c>
      <c r="H486" s="118" t="str">
        <f t="shared" si="52"/>
        <v/>
      </c>
      <c r="I486" s="116" t="str">
        <f>IF(AND(F486&lt;&gt;"",N10&gt;0,M486&gt;N10),"Mot &gt; limite","")</f>
        <v/>
      </c>
      <c r="M486" s="70">
        <f>IF(OR(F486="",N10="",N10&lt;=0),"",IF(LEN(F486)&lt;=N10,LEN(F486),IFERROR(FIND("♦",SUBSTITUTE(LEFT(F486,N10)," ","♦",LEN(LEFT(F486,N10))-LEN(SUBSTITUTE(LEFT(F486,N10)," ","")))),FIND(" ",F486&amp;" ",N10+1)-1)))</f>
        <v>1</v>
      </c>
      <c r="N486" s="119">
        <f t="shared" si="53"/>
        <v>469</v>
      </c>
      <c r="O486" s="99" t="str">
        <f t="shared" si="54"/>
        <v>0</v>
      </c>
      <c r="P486" s="119">
        <f t="shared" si="55"/>
        <v>1</v>
      </c>
      <c r="Q486" s="119">
        <f t="shared" si="56"/>
        <v>1</v>
      </c>
      <c r="S486" s="3">
        <v>1</v>
      </c>
    </row>
    <row r="487" spans="2:19">
      <c r="B487" s="116"/>
      <c r="C487" s="116"/>
      <c r="D487" s="116"/>
      <c r="E487" s="116" cm="1">
        <f t="array" ref="E487">IF(H486&lt;&gt;"",E486,IF(E486="","",IFERROR(MATCH(TRUE(),INDEX(INDEX(K:K,E486+1):K203&lt;&gt;"",0),0)+E486,"")))</f>
        <v>628</v>
      </c>
      <c r="F487" s="117" cm="1">
        <f t="array" ref="F487">IF(E487="","",IF(H486&lt;&gt;"",H486,INDEX(D:D,E487)))</f>
        <v>0</v>
      </c>
      <c r="G487" s="117" t="str">
        <f t="shared" si="51"/>
        <v>0</v>
      </c>
      <c r="H487" s="118" t="str">
        <f t="shared" si="52"/>
        <v/>
      </c>
      <c r="I487" s="116" t="str">
        <f>IF(AND(F487&lt;&gt;"",N10&gt;0,M487&gt;N10),"Mot &gt; limite","")</f>
        <v/>
      </c>
      <c r="M487" s="70">
        <f>IF(OR(F487="",N10="",N10&lt;=0),"",IF(LEN(F487)&lt;=N10,LEN(F487),IFERROR(FIND("♦",SUBSTITUTE(LEFT(F487,N10)," ","♦",LEN(LEFT(F487,N10))-LEN(SUBSTITUTE(LEFT(F487,N10)," ","")))),FIND(" ",F487&amp;" ",N10+1)-1)))</f>
        <v>1</v>
      </c>
      <c r="N487" s="119">
        <f t="shared" si="53"/>
        <v>470</v>
      </c>
      <c r="O487" s="99" t="str">
        <f t="shared" si="54"/>
        <v>0</v>
      </c>
      <c r="P487" s="119">
        <f t="shared" si="55"/>
        <v>1</v>
      </c>
      <c r="Q487" s="119">
        <f t="shared" si="56"/>
        <v>1</v>
      </c>
      <c r="S487" s="3">
        <v>1</v>
      </c>
    </row>
    <row r="488" spans="2:19">
      <c r="B488" s="116"/>
      <c r="C488" s="116"/>
      <c r="D488" s="116"/>
      <c r="E488" s="116" cm="1">
        <f t="array" ref="E488">IF(H487&lt;&gt;"",E487,IF(E487="","",IFERROR(MATCH(TRUE(),INDEX(INDEX(K:K,E487+1):K203&lt;&gt;"",0),0)+E487,"")))</f>
        <v>629</v>
      </c>
      <c r="F488" s="117" cm="1">
        <f t="array" ref="F488">IF(E488="","",IF(H487&lt;&gt;"",H487,INDEX(D:D,E488)))</f>
        <v>0</v>
      </c>
      <c r="G488" s="117" t="str">
        <f t="shared" si="51"/>
        <v>0</v>
      </c>
      <c r="H488" s="118" t="str">
        <f t="shared" si="52"/>
        <v/>
      </c>
      <c r="I488" s="116" t="str">
        <f>IF(AND(F488&lt;&gt;"",N10&gt;0,M488&gt;N10),"Mot &gt; limite","")</f>
        <v/>
      </c>
      <c r="M488" s="70">
        <f>IF(OR(F488="",N10="",N10&lt;=0),"",IF(LEN(F488)&lt;=N10,LEN(F488),IFERROR(FIND("♦",SUBSTITUTE(LEFT(F488,N10)," ","♦",LEN(LEFT(F488,N10))-LEN(SUBSTITUTE(LEFT(F488,N10)," ","")))),FIND(" ",F488&amp;" ",N10+1)-1)))</f>
        <v>1</v>
      </c>
      <c r="N488" s="119">
        <f t="shared" si="53"/>
        <v>471</v>
      </c>
      <c r="O488" s="99" t="str">
        <f t="shared" si="54"/>
        <v>0</v>
      </c>
      <c r="P488" s="119">
        <f t="shared" si="55"/>
        <v>1</v>
      </c>
      <c r="Q488" s="119">
        <f t="shared" si="56"/>
        <v>1</v>
      </c>
      <c r="S488" s="3">
        <v>1</v>
      </c>
    </row>
    <row r="489" spans="2:19">
      <c r="B489" s="116"/>
      <c r="C489" s="116"/>
      <c r="D489" s="116"/>
      <c r="E489" s="116" cm="1">
        <f t="array" ref="E489">IF(H488&lt;&gt;"",E488,IF(E488="","",IFERROR(MATCH(TRUE(),INDEX(INDEX(K:K,E488+1):K203&lt;&gt;"",0),0)+E488,"")))</f>
        <v>630</v>
      </c>
      <c r="F489" s="117" cm="1">
        <f t="array" ref="F489">IF(E489="","",IF(H488&lt;&gt;"",H488,INDEX(D:D,E489)))</f>
        <v>0</v>
      </c>
      <c r="G489" s="117" t="str">
        <f t="shared" si="51"/>
        <v>0</v>
      </c>
      <c r="H489" s="118" t="str">
        <f t="shared" si="52"/>
        <v/>
      </c>
      <c r="I489" s="116" t="str">
        <f>IF(AND(F489&lt;&gt;"",N10&gt;0,M489&gt;N10),"Mot &gt; limite","")</f>
        <v/>
      </c>
      <c r="M489" s="70">
        <f>IF(OR(F489="",N10="",N10&lt;=0),"",IF(LEN(F489)&lt;=N10,LEN(F489),IFERROR(FIND("♦",SUBSTITUTE(LEFT(F489,N10)," ","♦",LEN(LEFT(F489,N10))-LEN(SUBSTITUTE(LEFT(F489,N10)," ","")))),FIND(" ",F489&amp;" ",N10+1)-1)))</f>
        <v>1</v>
      </c>
      <c r="N489" s="119">
        <f t="shared" si="53"/>
        <v>472</v>
      </c>
      <c r="O489" s="99" t="str">
        <f t="shared" si="54"/>
        <v>0</v>
      </c>
      <c r="P489" s="119">
        <f t="shared" si="55"/>
        <v>1</v>
      </c>
      <c r="Q489" s="119">
        <f t="shared" si="56"/>
        <v>1</v>
      </c>
      <c r="S489" s="3">
        <v>1</v>
      </c>
    </row>
    <row r="490" spans="2:19">
      <c r="B490" s="116"/>
      <c r="C490" s="116"/>
      <c r="D490" s="116"/>
      <c r="E490" s="116" cm="1">
        <f t="array" ref="E490">IF(H489&lt;&gt;"",E489,IF(E489="","",IFERROR(MATCH(TRUE(),INDEX(INDEX(K:K,E489+1):K203&lt;&gt;"",0),0)+E489,"")))</f>
        <v>631</v>
      </c>
      <c r="F490" s="117" cm="1">
        <f t="array" ref="F490">IF(E490="","",IF(H489&lt;&gt;"",H489,INDEX(D:D,E490)))</f>
        <v>0</v>
      </c>
      <c r="G490" s="117" t="str">
        <f t="shared" si="51"/>
        <v>0</v>
      </c>
      <c r="H490" s="118" t="str">
        <f t="shared" si="52"/>
        <v/>
      </c>
      <c r="I490" s="116" t="str">
        <f>IF(AND(F490&lt;&gt;"",N10&gt;0,M490&gt;N10),"Mot &gt; limite","")</f>
        <v/>
      </c>
      <c r="M490" s="70">
        <f>IF(OR(F490="",N10="",N10&lt;=0),"",IF(LEN(F490)&lt;=N10,LEN(F490),IFERROR(FIND("♦",SUBSTITUTE(LEFT(F490,N10)," ","♦",LEN(LEFT(F490,N10))-LEN(SUBSTITUTE(LEFT(F490,N10)," ","")))),FIND(" ",F490&amp;" ",N10+1)-1)))</f>
        <v>1</v>
      </c>
      <c r="N490" s="119">
        <f t="shared" si="53"/>
        <v>473</v>
      </c>
      <c r="O490" s="99" t="str">
        <f t="shared" si="54"/>
        <v>0</v>
      </c>
      <c r="P490" s="119">
        <f t="shared" si="55"/>
        <v>1</v>
      </c>
      <c r="Q490" s="119">
        <f t="shared" si="56"/>
        <v>1</v>
      </c>
      <c r="S490" s="3">
        <v>1</v>
      </c>
    </row>
    <row r="491" spans="2:19">
      <c r="B491" s="116"/>
      <c r="C491" s="116"/>
      <c r="D491" s="116"/>
      <c r="E491" s="116" cm="1">
        <f t="array" ref="E491">IF(H490&lt;&gt;"",E490,IF(E490="","",IFERROR(MATCH(TRUE(),INDEX(INDEX(K:K,E490+1):K203&lt;&gt;"",0),0)+E490,"")))</f>
        <v>632</v>
      </c>
      <c r="F491" s="117" cm="1">
        <f t="array" ref="F491">IF(E491="","",IF(H490&lt;&gt;"",H490,INDEX(D:D,E491)))</f>
        <v>0</v>
      </c>
      <c r="G491" s="117" t="str">
        <f t="shared" si="51"/>
        <v>0</v>
      </c>
      <c r="H491" s="118" t="str">
        <f t="shared" si="52"/>
        <v/>
      </c>
      <c r="I491" s="116" t="str">
        <f>IF(AND(F491&lt;&gt;"",N10&gt;0,M491&gt;N10),"Mot &gt; limite","")</f>
        <v/>
      </c>
      <c r="M491" s="70">
        <f>IF(OR(F491="",N10="",N10&lt;=0),"",IF(LEN(F491)&lt;=N10,LEN(F491),IFERROR(FIND("♦",SUBSTITUTE(LEFT(F491,N10)," ","♦",LEN(LEFT(F491,N10))-LEN(SUBSTITUTE(LEFT(F491,N10)," ","")))),FIND(" ",F491&amp;" ",N10+1)-1)))</f>
        <v>1</v>
      </c>
      <c r="N491" s="119">
        <f t="shared" si="53"/>
        <v>474</v>
      </c>
      <c r="O491" s="99" t="str">
        <f t="shared" si="54"/>
        <v>0</v>
      </c>
      <c r="P491" s="119">
        <f t="shared" si="55"/>
        <v>1</v>
      </c>
      <c r="Q491" s="119">
        <f t="shared" si="56"/>
        <v>1</v>
      </c>
      <c r="S491" s="3">
        <v>1</v>
      </c>
    </row>
    <row r="492" spans="2:19">
      <c r="B492" s="116"/>
      <c r="C492" s="116"/>
      <c r="D492" s="116"/>
      <c r="E492" s="116" cm="1">
        <f t="array" ref="E492">IF(H491&lt;&gt;"",E491,IF(E491="","",IFERROR(MATCH(TRUE(),INDEX(INDEX(K:K,E491+1):K203&lt;&gt;"",0),0)+E491,"")))</f>
        <v>633</v>
      </c>
      <c r="F492" s="117" cm="1">
        <f t="array" ref="F492">IF(E492="","",IF(H491&lt;&gt;"",H491,INDEX(D:D,E492)))</f>
        <v>0</v>
      </c>
      <c r="G492" s="117" t="str">
        <f t="shared" si="51"/>
        <v>0</v>
      </c>
      <c r="H492" s="118" t="str">
        <f t="shared" si="52"/>
        <v/>
      </c>
      <c r="I492" s="116" t="str">
        <f>IF(AND(F492&lt;&gt;"",N10&gt;0,M492&gt;N10),"Mot &gt; limite","")</f>
        <v/>
      </c>
      <c r="M492" s="70">
        <f>IF(OR(F492="",N10="",N10&lt;=0),"",IF(LEN(F492)&lt;=N10,LEN(F492),IFERROR(FIND("♦",SUBSTITUTE(LEFT(F492,N10)," ","♦",LEN(LEFT(F492,N10))-LEN(SUBSTITUTE(LEFT(F492,N10)," ","")))),FIND(" ",F492&amp;" ",N10+1)-1)))</f>
        <v>1</v>
      </c>
      <c r="N492" s="119">
        <f t="shared" si="53"/>
        <v>475</v>
      </c>
      <c r="O492" s="99" t="str">
        <f t="shared" si="54"/>
        <v>0</v>
      </c>
      <c r="P492" s="119">
        <f t="shared" si="55"/>
        <v>1</v>
      </c>
      <c r="Q492" s="119">
        <f t="shared" si="56"/>
        <v>1</v>
      </c>
      <c r="S492" s="3">
        <v>1</v>
      </c>
    </row>
    <row r="493" spans="2:19">
      <c r="B493" s="116"/>
      <c r="C493" s="116"/>
      <c r="D493" s="116"/>
      <c r="E493" s="116" cm="1">
        <f t="array" ref="E493">IF(H492&lt;&gt;"",E492,IF(E492="","",IFERROR(MATCH(TRUE(),INDEX(INDEX(K:K,E492+1):K203&lt;&gt;"",0),0)+E492,"")))</f>
        <v>634</v>
      </c>
      <c r="F493" s="117" cm="1">
        <f t="array" ref="F493">IF(E493="","",IF(H492&lt;&gt;"",H492,INDEX(D:D,E493)))</f>
        <v>0</v>
      </c>
      <c r="G493" s="117" t="str">
        <f t="shared" si="51"/>
        <v>0</v>
      </c>
      <c r="H493" s="118" t="str">
        <f t="shared" si="52"/>
        <v/>
      </c>
      <c r="I493" s="116" t="str">
        <f>IF(AND(F493&lt;&gt;"",N10&gt;0,M493&gt;N10),"Mot &gt; limite","")</f>
        <v/>
      </c>
      <c r="M493" s="70">
        <f>IF(OR(F493="",N10="",N10&lt;=0),"",IF(LEN(F493)&lt;=N10,LEN(F493),IFERROR(FIND("♦",SUBSTITUTE(LEFT(F493,N10)," ","♦",LEN(LEFT(F493,N10))-LEN(SUBSTITUTE(LEFT(F493,N10)," ","")))),FIND(" ",F493&amp;" ",N10+1)-1)))</f>
        <v>1</v>
      </c>
      <c r="N493" s="119">
        <f t="shared" si="53"/>
        <v>476</v>
      </c>
      <c r="O493" s="99" t="str">
        <f t="shared" si="54"/>
        <v>0</v>
      </c>
      <c r="P493" s="119">
        <f t="shared" si="55"/>
        <v>1</v>
      </c>
      <c r="Q493" s="119">
        <f t="shared" si="56"/>
        <v>1</v>
      </c>
      <c r="S493" s="3">
        <v>1</v>
      </c>
    </row>
    <row r="494" spans="2:19">
      <c r="B494" s="116"/>
      <c r="C494" s="116"/>
      <c r="D494" s="116"/>
      <c r="E494" s="116" cm="1">
        <f t="array" ref="E494">IF(H493&lt;&gt;"",E493,IF(E493="","",IFERROR(MATCH(TRUE(),INDEX(INDEX(K:K,E493+1):K203&lt;&gt;"",0),0)+E493,"")))</f>
        <v>635</v>
      </c>
      <c r="F494" s="117" cm="1">
        <f t="array" ref="F494">IF(E494="","",IF(H493&lt;&gt;"",H493,INDEX(D:D,E494)))</f>
        <v>0</v>
      </c>
      <c r="G494" s="117" t="str">
        <f t="shared" si="51"/>
        <v>0</v>
      </c>
      <c r="H494" s="118" t="str">
        <f t="shared" si="52"/>
        <v/>
      </c>
      <c r="I494" s="116" t="str">
        <f>IF(AND(F494&lt;&gt;"",N10&gt;0,M494&gt;N10),"Mot &gt; limite","")</f>
        <v/>
      </c>
      <c r="M494" s="70">
        <f>IF(OR(F494="",N10="",N10&lt;=0),"",IF(LEN(F494)&lt;=N10,LEN(F494),IFERROR(FIND("♦",SUBSTITUTE(LEFT(F494,N10)," ","♦",LEN(LEFT(F494,N10))-LEN(SUBSTITUTE(LEFT(F494,N10)," ","")))),FIND(" ",F494&amp;" ",N10+1)-1)))</f>
        <v>1</v>
      </c>
      <c r="N494" s="119">
        <f t="shared" si="53"/>
        <v>477</v>
      </c>
      <c r="O494" s="99" t="str">
        <f t="shared" si="54"/>
        <v>0</v>
      </c>
      <c r="P494" s="119">
        <f t="shared" si="55"/>
        <v>1</v>
      </c>
      <c r="Q494" s="119">
        <f t="shared" si="56"/>
        <v>1</v>
      </c>
      <c r="S494" s="3">
        <v>1</v>
      </c>
    </row>
    <row r="495" spans="2:19">
      <c r="B495" s="116"/>
      <c r="C495" s="116"/>
      <c r="D495" s="116"/>
      <c r="E495" s="116" cm="1">
        <f t="array" ref="E495">IF(H494&lt;&gt;"",E494,IF(E494="","",IFERROR(MATCH(TRUE(),INDEX(INDEX(K:K,E494+1):K203&lt;&gt;"",0),0)+E494,"")))</f>
        <v>636</v>
      </c>
      <c r="F495" s="117" cm="1">
        <f t="array" ref="F495">IF(E495="","",IF(H494&lt;&gt;"",H494,INDEX(D:D,E495)))</f>
        <v>0</v>
      </c>
      <c r="G495" s="117" t="str">
        <f t="shared" si="51"/>
        <v>0</v>
      </c>
      <c r="H495" s="118" t="str">
        <f t="shared" si="52"/>
        <v/>
      </c>
      <c r="I495" s="116" t="str">
        <f>IF(AND(F495&lt;&gt;"",N10&gt;0,M495&gt;N10),"Mot &gt; limite","")</f>
        <v/>
      </c>
      <c r="M495" s="70">
        <f>IF(OR(F495="",N10="",N10&lt;=0),"",IF(LEN(F495)&lt;=N10,LEN(F495),IFERROR(FIND("♦",SUBSTITUTE(LEFT(F495,N10)," ","♦",LEN(LEFT(F495,N10))-LEN(SUBSTITUTE(LEFT(F495,N10)," ","")))),FIND(" ",F495&amp;" ",N10+1)-1)))</f>
        <v>1</v>
      </c>
      <c r="N495" s="119">
        <f t="shared" si="53"/>
        <v>478</v>
      </c>
      <c r="O495" s="99" t="str">
        <f t="shared" si="54"/>
        <v>0</v>
      </c>
      <c r="P495" s="119">
        <f t="shared" si="55"/>
        <v>1</v>
      </c>
      <c r="Q495" s="119">
        <f t="shared" si="56"/>
        <v>1</v>
      </c>
      <c r="S495" s="3">
        <v>1</v>
      </c>
    </row>
    <row r="496" spans="2:19">
      <c r="B496" s="116"/>
      <c r="C496" s="116"/>
      <c r="D496" s="116"/>
      <c r="E496" s="116" cm="1">
        <f t="array" ref="E496">IF(H495&lt;&gt;"",E495,IF(E495="","",IFERROR(MATCH(TRUE(),INDEX(INDEX(K:K,E495+1):K203&lt;&gt;"",0),0)+E495,"")))</f>
        <v>637</v>
      </c>
      <c r="F496" s="117" cm="1">
        <f t="array" ref="F496">IF(E496="","",IF(H495&lt;&gt;"",H495,INDEX(D:D,E496)))</f>
        <v>0</v>
      </c>
      <c r="G496" s="117" t="str">
        <f t="shared" si="51"/>
        <v>0</v>
      </c>
      <c r="H496" s="118" t="str">
        <f t="shared" si="52"/>
        <v/>
      </c>
      <c r="I496" s="116" t="str">
        <f>IF(AND(F496&lt;&gt;"",N10&gt;0,M496&gt;N10),"Mot &gt; limite","")</f>
        <v/>
      </c>
      <c r="M496" s="70">
        <f>IF(OR(F496="",N10="",N10&lt;=0),"",IF(LEN(F496)&lt;=N10,LEN(F496),IFERROR(FIND("♦",SUBSTITUTE(LEFT(F496,N10)," ","♦",LEN(LEFT(F496,N10))-LEN(SUBSTITUTE(LEFT(F496,N10)," ","")))),FIND(" ",F496&amp;" ",N10+1)-1)))</f>
        <v>1</v>
      </c>
      <c r="N496" s="119">
        <f t="shared" si="53"/>
        <v>479</v>
      </c>
      <c r="O496" s="99" t="str">
        <f t="shared" si="54"/>
        <v>0</v>
      </c>
      <c r="P496" s="119">
        <f t="shared" si="55"/>
        <v>1</v>
      </c>
      <c r="Q496" s="119">
        <f t="shared" si="56"/>
        <v>1</v>
      </c>
      <c r="S496" s="3">
        <v>1</v>
      </c>
    </row>
    <row r="497" spans="2:19">
      <c r="B497" s="116"/>
      <c r="C497" s="116"/>
      <c r="D497" s="116"/>
      <c r="E497" s="116" cm="1">
        <f t="array" ref="E497">IF(H496&lt;&gt;"",E496,IF(E496="","",IFERROR(MATCH(TRUE(),INDEX(INDEX(K:K,E496+1):K203&lt;&gt;"",0),0)+E496,"")))</f>
        <v>638</v>
      </c>
      <c r="F497" s="117" cm="1">
        <f t="array" ref="F497">IF(E497="","",IF(H496&lt;&gt;"",H496,INDEX(D:D,E497)))</f>
        <v>0</v>
      </c>
      <c r="G497" s="117" t="str">
        <f t="shared" si="51"/>
        <v>0</v>
      </c>
      <c r="H497" s="118" t="str">
        <f t="shared" si="52"/>
        <v/>
      </c>
      <c r="I497" s="116" t="str">
        <f>IF(AND(F497&lt;&gt;"",N10&gt;0,M497&gt;N10),"Mot &gt; limite","")</f>
        <v/>
      </c>
      <c r="M497" s="70">
        <f>IF(OR(F497="",N10="",N10&lt;=0),"",IF(LEN(F497)&lt;=N10,LEN(F497),IFERROR(FIND("♦",SUBSTITUTE(LEFT(F497,N10)," ","♦",LEN(LEFT(F497,N10))-LEN(SUBSTITUTE(LEFT(F497,N10)," ","")))),FIND(" ",F497&amp;" ",N10+1)-1)))</f>
        <v>1</v>
      </c>
      <c r="N497" s="119">
        <f t="shared" si="53"/>
        <v>480</v>
      </c>
      <c r="O497" s="99" t="str">
        <f t="shared" si="54"/>
        <v>0</v>
      </c>
      <c r="P497" s="119">
        <f t="shared" si="55"/>
        <v>1</v>
      </c>
      <c r="Q497" s="119">
        <f t="shared" si="56"/>
        <v>1</v>
      </c>
      <c r="S497" s="3">
        <v>1</v>
      </c>
    </row>
    <row r="498" spans="2:19">
      <c r="B498" s="116"/>
      <c r="C498" s="116"/>
      <c r="D498" s="116"/>
      <c r="E498" s="116" cm="1">
        <f t="array" ref="E498">IF(H497&lt;&gt;"",E497,IF(E497="","",IFERROR(MATCH(TRUE(),INDEX(INDEX(K:K,E497+1):K203&lt;&gt;"",0),0)+E497,"")))</f>
        <v>639</v>
      </c>
      <c r="F498" s="117" cm="1">
        <f t="array" ref="F498">IF(E498="","",IF(H497&lt;&gt;"",H497,INDEX(D:D,E498)))</f>
        <v>0</v>
      </c>
      <c r="G498" s="117" t="str">
        <f t="shared" si="51"/>
        <v>0</v>
      </c>
      <c r="H498" s="118" t="str">
        <f t="shared" si="52"/>
        <v/>
      </c>
      <c r="I498" s="116" t="str">
        <f>IF(AND(F498&lt;&gt;"",N10&gt;0,M498&gt;N10),"Mot &gt; limite","")</f>
        <v/>
      </c>
      <c r="M498" s="70">
        <f>IF(OR(F498="",N10="",N10&lt;=0),"",IF(LEN(F498)&lt;=N10,LEN(F498),IFERROR(FIND("♦",SUBSTITUTE(LEFT(F498,N10)," ","♦",LEN(LEFT(F498,N10))-LEN(SUBSTITUTE(LEFT(F498,N10)," ","")))),FIND(" ",F498&amp;" ",N10+1)-1)))</f>
        <v>1</v>
      </c>
      <c r="N498" s="119">
        <f t="shared" si="53"/>
        <v>481</v>
      </c>
      <c r="O498" s="99" t="str">
        <f t="shared" si="54"/>
        <v>0</v>
      </c>
      <c r="P498" s="119">
        <f t="shared" si="55"/>
        <v>1</v>
      </c>
      <c r="Q498" s="119">
        <f t="shared" si="56"/>
        <v>1</v>
      </c>
      <c r="S498" s="3">
        <v>1</v>
      </c>
    </row>
    <row r="499" spans="2:19">
      <c r="B499" s="116"/>
      <c r="C499" s="116"/>
      <c r="D499" s="116"/>
      <c r="E499" s="116" cm="1">
        <f t="array" ref="E499">IF(H498&lt;&gt;"",E498,IF(E498="","",IFERROR(MATCH(TRUE(),INDEX(INDEX(K:K,E498+1):K203&lt;&gt;"",0),0)+E498,"")))</f>
        <v>640</v>
      </c>
      <c r="F499" s="117" cm="1">
        <f t="array" ref="F499">IF(E499="","",IF(H498&lt;&gt;"",H498,INDEX(D:D,E499)))</f>
        <v>0</v>
      </c>
      <c r="G499" s="117" t="str">
        <f t="shared" si="51"/>
        <v>0</v>
      </c>
      <c r="H499" s="118" t="str">
        <f t="shared" si="52"/>
        <v/>
      </c>
      <c r="I499" s="116" t="str">
        <f>IF(AND(F499&lt;&gt;"",N10&gt;0,M499&gt;N10),"Mot &gt; limite","")</f>
        <v/>
      </c>
      <c r="M499" s="70">
        <f>IF(OR(F499="",N10="",N10&lt;=0),"",IF(LEN(F499)&lt;=N10,LEN(F499),IFERROR(FIND("♦",SUBSTITUTE(LEFT(F499,N10)," ","♦",LEN(LEFT(F499,N10))-LEN(SUBSTITUTE(LEFT(F499,N10)," ","")))),FIND(" ",F499&amp;" ",N10+1)-1)))</f>
        <v>1</v>
      </c>
      <c r="N499" s="119">
        <f t="shared" si="53"/>
        <v>482</v>
      </c>
      <c r="O499" s="99" t="str">
        <f t="shared" si="54"/>
        <v>0</v>
      </c>
      <c r="P499" s="119">
        <f t="shared" si="55"/>
        <v>1</v>
      </c>
      <c r="Q499" s="119">
        <f t="shared" si="56"/>
        <v>1</v>
      </c>
      <c r="S499" s="3">
        <v>1</v>
      </c>
    </row>
    <row r="500" spans="2:19">
      <c r="B500" s="116"/>
      <c r="C500" s="116"/>
      <c r="D500" s="116"/>
      <c r="E500" s="116" cm="1">
        <f t="array" ref="E500">IF(H499&lt;&gt;"",E499,IF(E499="","",IFERROR(MATCH(TRUE(),INDEX(INDEX(K:K,E499+1):K203&lt;&gt;"",0),0)+E499,"")))</f>
        <v>641</v>
      </c>
      <c r="F500" s="117" cm="1">
        <f t="array" ref="F500">IF(E500="","",IF(H499&lt;&gt;"",H499,INDEX(D:D,E500)))</f>
        <v>0</v>
      </c>
      <c r="G500" s="117" t="str">
        <f t="shared" si="51"/>
        <v>0</v>
      </c>
      <c r="H500" s="118" t="str">
        <f t="shared" si="52"/>
        <v/>
      </c>
      <c r="I500" s="116" t="str">
        <f>IF(AND(F500&lt;&gt;"",N10&gt;0,M500&gt;N10),"Mot &gt; limite","")</f>
        <v/>
      </c>
      <c r="M500" s="70">
        <f>IF(OR(F500="",N10="",N10&lt;=0),"",IF(LEN(F500)&lt;=N10,LEN(F500),IFERROR(FIND("♦",SUBSTITUTE(LEFT(F500,N10)," ","♦",LEN(LEFT(F500,N10))-LEN(SUBSTITUTE(LEFT(F500,N10)," ","")))),FIND(" ",F500&amp;" ",N10+1)-1)))</f>
        <v>1</v>
      </c>
      <c r="N500" s="119">
        <f t="shared" si="53"/>
        <v>483</v>
      </c>
      <c r="O500" s="99" t="str">
        <f t="shared" si="54"/>
        <v>0</v>
      </c>
      <c r="P500" s="119">
        <f t="shared" si="55"/>
        <v>1</v>
      </c>
      <c r="Q500" s="119">
        <f t="shared" si="56"/>
        <v>1</v>
      </c>
      <c r="S500" s="3">
        <v>1</v>
      </c>
    </row>
    <row r="501" spans="2:19">
      <c r="B501" s="116"/>
      <c r="C501" s="116"/>
      <c r="D501" s="116"/>
      <c r="E501" s="116" cm="1">
        <f t="array" ref="E501">IF(H500&lt;&gt;"",E500,IF(E500="","",IFERROR(MATCH(TRUE(),INDEX(INDEX(K:K,E500+1):K203&lt;&gt;"",0),0)+E500,"")))</f>
        <v>642</v>
      </c>
      <c r="F501" s="117" cm="1">
        <f t="array" ref="F501">IF(E501="","",IF(H500&lt;&gt;"",H500,INDEX(D:D,E501)))</f>
        <v>0</v>
      </c>
      <c r="G501" s="117" t="str">
        <f t="shared" si="51"/>
        <v>0</v>
      </c>
      <c r="H501" s="118" t="str">
        <f t="shared" si="52"/>
        <v/>
      </c>
      <c r="I501" s="116" t="str">
        <f>IF(AND(F501&lt;&gt;"",N10&gt;0,M501&gt;N10),"Mot &gt; limite","")</f>
        <v/>
      </c>
      <c r="M501" s="70">
        <f>IF(OR(F501="",N10="",N10&lt;=0),"",IF(LEN(F501)&lt;=N10,LEN(F501),IFERROR(FIND("♦",SUBSTITUTE(LEFT(F501,N10)," ","♦",LEN(LEFT(F501,N10))-LEN(SUBSTITUTE(LEFT(F501,N10)," ","")))),FIND(" ",F501&amp;" ",N10+1)-1)))</f>
        <v>1</v>
      </c>
      <c r="N501" s="119">
        <f t="shared" si="53"/>
        <v>484</v>
      </c>
      <c r="O501" s="99" t="str">
        <f t="shared" si="54"/>
        <v>0</v>
      </c>
      <c r="P501" s="119">
        <f t="shared" si="55"/>
        <v>1</v>
      </c>
      <c r="Q501" s="119">
        <f t="shared" si="56"/>
        <v>1</v>
      </c>
      <c r="S501" s="3">
        <v>1</v>
      </c>
    </row>
    <row r="502" spans="2:19">
      <c r="B502" s="116"/>
      <c r="C502" s="116"/>
      <c r="D502" s="116"/>
      <c r="E502" s="116" cm="1">
        <f t="array" ref="E502">IF(H501&lt;&gt;"",E501,IF(E501="","",IFERROR(MATCH(TRUE(),INDEX(INDEX(K:K,E501+1):K203&lt;&gt;"",0),0)+E501,"")))</f>
        <v>643</v>
      </c>
      <c r="F502" s="117" cm="1">
        <f t="array" ref="F502">IF(E502="","",IF(H501&lt;&gt;"",H501,INDEX(D:D,E502)))</f>
        <v>0</v>
      </c>
      <c r="G502" s="117" t="str">
        <f t="shared" si="51"/>
        <v>0</v>
      </c>
      <c r="H502" s="118" t="str">
        <f t="shared" si="52"/>
        <v/>
      </c>
      <c r="I502" s="116" t="str">
        <f>IF(AND(F502&lt;&gt;"",N10&gt;0,M502&gt;N10),"Mot &gt; limite","")</f>
        <v/>
      </c>
      <c r="M502" s="70">
        <f>IF(OR(F502="",N10="",N10&lt;=0),"",IF(LEN(F502)&lt;=N10,LEN(F502),IFERROR(FIND("♦",SUBSTITUTE(LEFT(F502,N10)," ","♦",LEN(LEFT(F502,N10))-LEN(SUBSTITUTE(LEFT(F502,N10)," ","")))),FIND(" ",F502&amp;" ",N10+1)-1)))</f>
        <v>1</v>
      </c>
      <c r="N502" s="119">
        <f t="shared" si="53"/>
        <v>485</v>
      </c>
      <c r="O502" s="99" t="str">
        <f t="shared" si="54"/>
        <v>0</v>
      </c>
      <c r="P502" s="119">
        <f t="shared" si="55"/>
        <v>1</v>
      </c>
      <c r="Q502" s="119">
        <f t="shared" si="56"/>
        <v>1</v>
      </c>
      <c r="S502" s="3">
        <v>1</v>
      </c>
    </row>
    <row r="503" spans="2:19">
      <c r="B503" s="116"/>
      <c r="C503" s="116"/>
      <c r="D503" s="116"/>
      <c r="E503" s="116" cm="1">
        <f t="array" ref="E503">IF(H502&lt;&gt;"",E502,IF(E502="","",IFERROR(MATCH(TRUE(),INDEX(INDEX(K:K,E502+1):K203&lt;&gt;"",0),0)+E502,"")))</f>
        <v>644</v>
      </c>
      <c r="F503" s="117" cm="1">
        <f t="array" ref="F503">IF(E503="","",IF(H502&lt;&gt;"",H502,INDEX(D:D,E503)))</f>
        <v>0</v>
      </c>
      <c r="G503" s="117" t="str">
        <f t="shared" si="51"/>
        <v>0</v>
      </c>
      <c r="H503" s="118" t="str">
        <f t="shared" si="52"/>
        <v/>
      </c>
      <c r="I503" s="116" t="str">
        <f>IF(AND(F503&lt;&gt;"",N10&gt;0,M503&gt;N10),"Mot &gt; limite","")</f>
        <v/>
      </c>
      <c r="M503" s="70">
        <f>IF(OR(F503="",N10="",N10&lt;=0),"",IF(LEN(F503)&lt;=N10,LEN(F503),IFERROR(FIND("♦",SUBSTITUTE(LEFT(F503,N10)," ","♦",LEN(LEFT(F503,N10))-LEN(SUBSTITUTE(LEFT(F503,N10)," ","")))),FIND(" ",F503&amp;" ",N10+1)-1)))</f>
        <v>1</v>
      </c>
      <c r="N503" s="119">
        <f t="shared" si="53"/>
        <v>486</v>
      </c>
      <c r="O503" s="99" t="str">
        <f t="shared" si="54"/>
        <v>0</v>
      </c>
      <c r="P503" s="119">
        <f t="shared" si="55"/>
        <v>1</v>
      </c>
      <c r="Q503" s="119">
        <f t="shared" si="56"/>
        <v>1</v>
      </c>
      <c r="S503" s="3">
        <v>1</v>
      </c>
    </row>
    <row r="504" spans="2:19">
      <c r="B504" s="116"/>
      <c r="C504" s="116"/>
      <c r="D504" s="116"/>
      <c r="E504" s="116" cm="1">
        <f t="array" ref="E504">IF(H503&lt;&gt;"",E503,IF(E503="","",IFERROR(MATCH(TRUE(),INDEX(INDEX(K:K,E503+1):K203&lt;&gt;"",0),0)+E503,"")))</f>
        <v>645</v>
      </c>
      <c r="F504" s="117" cm="1">
        <f t="array" ref="F504">IF(E504="","",IF(H503&lt;&gt;"",H503,INDEX(D:D,E504)))</f>
        <v>0</v>
      </c>
      <c r="G504" s="117" t="str">
        <f t="shared" si="51"/>
        <v>0</v>
      </c>
      <c r="H504" s="118" t="str">
        <f t="shared" si="52"/>
        <v/>
      </c>
      <c r="I504" s="116" t="str">
        <f>IF(AND(F504&lt;&gt;"",N10&gt;0,M504&gt;N10),"Mot &gt; limite","")</f>
        <v/>
      </c>
      <c r="M504" s="70">
        <f>IF(OR(F504="",N10="",N10&lt;=0),"",IF(LEN(F504)&lt;=N10,LEN(F504),IFERROR(FIND("♦",SUBSTITUTE(LEFT(F504,N10)," ","♦",LEN(LEFT(F504,N10))-LEN(SUBSTITUTE(LEFT(F504,N10)," ","")))),FIND(" ",F504&amp;" ",N10+1)-1)))</f>
        <v>1</v>
      </c>
      <c r="N504" s="119">
        <f t="shared" si="53"/>
        <v>487</v>
      </c>
      <c r="O504" s="99" t="str">
        <f t="shared" si="54"/>
        <v>0</v>
      </c>
      <c r="P504" s="119">
        <f t="shared" si="55"/>
        <v>1</v>
      </c>
      <c r="Q504" s="119">
        <f t="shared" si="56"/>
        <v>1</v>
      </c>
      <c r="S504" s="3">
        <v>1</v>
      </c>
    </row>
    <row r="505" spans="2:19">
      <c r="B505" s="116"/>
      <c r="C505" s="116"/>
      <c r="D505" s="116"/>
      <c r="E505" s="116" cm="1">
        <f t="array" ref="E505">IF(H504&lt;&gt;"",E504,IF(E504="","",IFERROR(MATCH(TRUE(),INDEX(INDEX(K:K,E504+1):K203&lt;&gt;"",0),0)+E504,"")))</f>
        <v>646</v>
      </c>
      <c r="F505" s="117" cm="1">
        <f t="array" ref="F505">IF(E505="","",IF(H504&lt;&gt;"",H504,INDEX(D:D,E505)))</f>
        <v>0</v>
      </c>
      <c r="G505" s="117" t="str">
        <f t="shared" si="51"/>
        <v>0</v>
      </c>
      <c r="H505" s="118" t="str">
        <f t="shared" si="52"/>
        <v/>
      </c>
      <c r="I505" s="116" t="str">
        <f>IF(AND(F505&lt;&gt;"",N10&gt;0,M505&gt;N10),"Mot &gt; limite","")</f>
        <v/>
      </c>
      <c r="M505" s="70">
        <f>IF(OR(F505="",N10="",N10&lt;=0),"",IF(LEN(F505)&lt;=N10,LEN(F505),IFERROR(FIND("♦",SUBSTITUTE(LEFT(F505,N10)," ","♦",LEN(LEFT(F505,N10))-LEN(SUBSTITUTE(LEFT(F505,N10)," ","")))),FIND(" ",F505&amp;" ",N10+1)-1)))</f>
        <v>1</v>
      </c>
      <c r="N505" s="119">
        <f t="shared" si="53"/>
        <v>488</v>
      </c>
      <c r="O505" s="99" t="str">
        <f t="shared" si="54"/>
        <v>0</v>
      </c>
      <c r="P505" s="119">
        <f t="shared" si="55"/>
        <v>1</v>
      </c>
      <c r="Q505" s="119">
        <f t="shared" si="56"/>
        <v>1</v>
      </c>
      <c r="S505" s="3">
        <v>1</v>
      </c>
    </row>
    <row r="506" spans="2:19">
      <c r="B506" s="116"/>
      <c r="C506" s="116"/>
      <c r="D506" s="116"/>
      <c r="E506" s="116" cm="1">
        <f t="array" ref="E506">IF(H505&lt;&gt;"",E505,IF(E505="","",IFERROR(MATCH(TRUE(),INDEX(INDEX(K:K,E505+1):K203&lt;&gt;"",0),0)+E505,"")))</f>
        <v>647</v>
      </c>
      <c r="F506" s="117" cm="1">
        <f t="array" ref="F506">IF(E506="","",IF(H505&lt;&gt;"",H505,INDEX(D:D,E506)))</f>
        <v>0</v>
      </c>
      <c r="G506" s="117" t="str">
        <f t="shared" si="51"/>
        <v>0</v>
      </c>
      <c r="H506" s="118" t="str">
        <f t="shared" si="52"/>
        <v/>
      </c>
      <c r="I506" s="116" t="str">
        <f>IF(AND(F506&lt;&gt;"",N10&gt;0,M506&gt;N10),"Mot &gt; limite","")</f>
        <v/>
      </c>
      <c r="M506" s="70">
        <f>IF(OR(F506="",N10="",N10&lt;=0),"",IF(LEN(F506)&lt;=N10,LEN(F506),IFERROR(FIND("♦",SUBSTITUTE(LEFT(F506,N10)," ","♦",LEN(LEFT(F506,N10))-LEN(SUBSTITUTE(LEFT(F506,N10)," ","")))),FIND(" ",F506&amp;" ",N10+1)-1)))</f>
        <v>1</v>
      </c>
      <c r="N506" s="119">
        <f t="shared" si="53"/>
        <v>489</v>
      </c>
      <c r="O506" s="99" t="str">
        <f t="shared" si="54"/>
        <v>0</v>
      </c>
      <c r="P506" s="119">
        <f t="shared" si="55"/>
        <v>1</v>
      </c>
      <c r="Q506" s="119">
        <f t="shared" si="56"/>
        <v>1</v>
      </c>
      <c r="S506" s="3">
        <v>1</v>
      </c>
    </row>
    <row r="507" spans="2:19">
      <c r="B507" s="116"/>
      <c r="C507" s="116"/>
      <c r="D507" s="116"/>
      <c r="E507" s="116" cm="1">
        <f t="array" ref="E507">IF(H506&lt;&gt;"",E506,IF(E506="","",IFERROR(MATCH(TRUE(),INDEX(INDEX(K:K,E506+1):K203&lt;&gt;"",0),0)+E506,"")))</f>
        <v>648</v>
      </c>
      <c r="F507" s="117" cm="1">
        <f t="array" ref="F507">IF(E507="","",IF(H506&lt;&gt;"",H506,INDEX(D:D,E507)))</f>
        <v>0</v>
      </c>
      <c r="G507" s="117" t="str">
        <f t="shared" si="51"/>
        <v>0</v>
      </c>
      <c r="H507" s="118" t="str">
        <f t="shared" si="52"/>
        <v/>
      </c>
      <c r="I507" s="116" t="str">
        <f>IF(AND(F507&lt;&gt;"",N10&gt;0,M507&gt;N10),"Mot &gt; limite","")</f>
        <v/>
      </c>
      <c r="M507" s="70">
        <f>IF(OR(F507="",N10="",N10&lt;=0),"",IF(LEN(F507)&lt;=N10,LEN(F507),IFERROR(FIND("♦",SUBSTITUTE(LEFT(F507,N10)," ","♦",LEN(LEFT(F507,N10))-LEN(SUBSTITUTE(LEFT(F507,N10)," ","")))),FIND(" ",F507&amp;" ",N10+1)-1)))</f>
        <v>1</v>
      </c>
      <c r="N507" s="119">
        <f t="shared" si="53"/>
        <v>490</v>
      </c>
      <c r="O507" s="99" t="str">
        <f t="shared" si="54"/>
        <v>0</v>
      </c>
      <c r="P507" s="119">
        <f t="shared" si="55"/>
        <v>1</v>
      </c>
      <c r="Q507" s="119">
        <f t="shared" si="56"/>
        <v>1</v>
      </c>
      <c r="S507" s="3">
        <v>1</v>
      </c>
    </row>
    <row r="508" spans="2:19">
      <c r="B508" s="116"/>
      <c r="C508" s="116"/>
      <c r="D508" s="116"/>
      <c r="E508" s="116" cm="1">
        <f t="array" ref="E508">IF(H507&lt;&gt;"",E507,IF(E507="","",IFERROR(MATCH(TRUE(),INDEX(INDEX(K:K,E507+1):K203&lt;&gt;"",0),0)+E507,"")))</f>
        <v>649</v>
      </c>
      <c r="F508" s="117" cm="1">
        <f t="array" ref="F508">IF(E508="","",IF(H507&lt;&gt;"",H507,INDEX(D:D,E508)))</f>
        <v>0</v>
      </c>
      <c r="G508" s="117" t="str">
        <f t="shared" si="51"/>
        <v>0</v>
      </c>
      <c r="H508" s="118" t="str">
        <f t="shared" si="52"/>
        <v/>
      </c>
      <c r="I508" s="116" t="str">
        <f>IF(AND(F508&lt;&gt;"",N10&gt;0,M508&gt;N10),"Mot &gt; limite","")</f>
        <v/>
      </c>
      <c r="M508" s="70">
        <f>IF(OR(F508="",N10="",N10&lt;=0),"",IF(LEN(F508)&lt;=N10,LEN(F508),IFERROR(FIND("♦",SUBSTITUTE(LEFT(F508,N10)," ","♦",LEN(LEFT(F508,N10))-LEN(SUBSTITUTE(LEFT(F508,N10)," ","")))),FIND(" ",F508&amp;" ",N10+1)-1)))</f>
        <v>1</v>
      </c>
      <c r="N508" s="119">
        <f t="shared" si="53"/>
        <v>491</v>
      </c>
      <c r="O508" s="99" t="str">
        <f t="shared" si="54"/>
        <v>0</v>
      </c>
      <c r="P508" s="119">
        <f t="shared" si="55"/>
        <v>1</v>
      </c>
      <c r="Q508" s="119">
        <f t="shared" si="56"/>
        <v>1</v>
      </c>
      <c r="S508" s="3">
        <v>1</v>
      </c>
    </row>
    <row r="509" spans="2:19">
      <c r="B509" s="116"/>
      <c r="C509" s="116"/>
      <c r="D509" s="116"/>
      <c r="E509" s="116" cm="1">
        <f t="array" ref="E509">IF(H508&lt;&gt;"",E508,IF(E508="","",IFERROR(MATCH(TRUE(),INDEX(INDEX(K:K,E508+1):K203&lt;&gt;"",0),0)+E508,"")))</f>
        <v>650</v>
      </c>
      <c r="F509" s="117" cm="1">
        <f t="array" ref="F509">IF(E509="","",IF(H508&lt;&gt;"",H508,INDEX(D:D,E509)))</f>
        <v>0</v>
      </c>
      <c r="G509" s="117" t="str">
        <f t="shared" si="51"/>
        <v>0</v>
      </c>
      <c r="H509" s="118" t="str">
        <f t="shared" si="52"/>
        <v/>
      </c>
      <c r="I509" s="116" t="str">
        <f>IF(AND(F509&lt;&gt;"",N10&gt;0,M509&gt;N10),"Mot &gt; limite","")</f>
        <v/>
      </c>
      <c r="M509" s="70">
        <f>IF(OR(F509="",N10="",N10&lt;=0),"",IF(LEN(F509)&lt;=N10,LEN(F509),IFERROR(FIND("♦",SUBSTITUTE(LEFT(F509,N10)," ","♦",LEN(LEFT(F509,N10))-LEN(SUBSTITUTE(LEFT(F509,N10)," ","")))),FIND(" ",F509&amp;" ",N10+1)-1)))</f>
        <v>1</v>
      </c>
      <c r="N509" s="119">
        <f t="shared" si="53"/>
        <v>492</v>
      </c>
      <c r="O509" s="99" t="str">
        <f t="shared" si="54"/>
        <v>0</v>
      </c>
      <c r="P509" s="119">
        <f t="shared" si="55"/>
        <v>1</v>
      </c>
      <c r="Q509" s="119">
        <f t="shared" si="56"/>
        <v>1</v>
      </c>
      <c r="S509" s="3">
        <v>1</v>
      </c>
    </row>
    <row r="510" spans="2:19">
      <c r="B510" s="116"/>
      <c r="C510" s="116"/>
      <c r="D510" s="116"/>
      <c r="E510" s="116" cm="1">
        <f t="array" ref="E510">IF(H509&lt;&gt;"",E509,IF(E509="","",IFERROR(MATCH(TRUE(),INDEX(INDEX(K:K,E509+1):K203&lt;&gt;"",0),0)+E509,"")))</f>
        <v>651</v>
      </c>
      <c r="F510" s="117" cm="1">
        <f t="array" ref="F510">IF(E510="","",IF(H509&lt;&gt;"",H509,INDEX(D:D,E510)))</f>
        <v>0</v>
      </c>
      <c r="G510" s="117" t="str">
        <f t="shared" si="51"/>
        <v>0</v>
      </c>
      <c r="H510" s="118" t="str">
        <f t="shared" si="52"/>
        <v/>
      </c>
      <c r="I510" s="116" t="str">
        <f>IF(AND(F510&lt;&gt;"",N10&gt;0,M510&gt;N10),"Mot &gt; limite","")</f>
        <v/>
      </c>
      <c r="M510" s="70">
        <f>IF(OR(F510="",N10="",N10&lt;=0),"",IF(LEN(F510)&lt;=N10,LEN(F510),IFERROR(FIND("♦",SUBSTITUTE(LEFT(F510,N10)," ","♦",LEN(LEFT(F510,N10))-LEN(SUBSTITUTE(LEFT(F510,N10)," ","")))),FIND(" ",F510&amp;" ",N10+1)-1)))</f>
        <v>1</v>
      </c>
      <c r="N510" s="119">
        <f t="shared" si="53"/>
        <v>493</v>
      </c>
      <c r="O510" s="99" t="str">
        <f t="shared" si="54"/>
        <v>0</v>
      </c>
      <c r="P510" s="119">
        <f t="shared" si="55"/>
        <v>1</v>
      </c>
      <c r="Q510" s="119">
        <f t="shared" si="56"/>
        <v>1</v>
      </c>
      <c r="S510" s="3">
        <v>1</v>
      </c>
    </row>
    <row r="511" spans="2:19">
      <c r="B511" s="116"/>
      <c r="C511" s="116"/>
      <c r="D511" s="116"/>
      <c r="E511" s="116" cm="1">
        <f t="array" ref="E511">IF(H510&lt;&gt;"",E510,IF(E510="","",IFERROR(MATCH(TRUE(),INDEX(INDEX(K:K,E510+1):K203&lt;&gt;"",0),0)+E510,"")))</f>
        <v>652</v>
      </c>
      <c r="F511" s="117" cm="1">
        <f t="array" ref="F511">IF(E511="","",IF(H510&lt;&gt;"",H510,INDEX(D:D,E511)))</f>
        <v>0</v>
      </c>
      <c r="G511" s="117" t="str">
        <f t="shared" si="51"/>
        <v>0</v>
      </c>
      <c r="H511" s="118" t="str">
        <f t="shared" si="52"/>
        <v/>
      </c>
      <c r="I511" s="116" t="str">
        <f>IF(AND(F511&lt;&gt;"",N10&gt;0,M511&gt;N10),"Mot &gt; limite","")</f>
        <v/>
      </c>
      <c r="M511" s="70">
        <f>IF(OR(F511="",N10="",N10&lt;=0),"",IF(LEN(F511)&lt;=N10,LEN(F511),IFERROR(FIND("♦",SUBSTITUTE(LEFT(F511,N10)," ","♦",LEN(LEFT(F511,N10))-LEN(SUBSTITUTE(LEFT(F511,N10)," ","")))),FIND(" ",F511&amp;" ",N10+1)-1)))</f>
        <v>1</v>
      </c>
      <c r="N511" s="119">
        <f t="shared" si="53"/>
        <v>494</v>
      </c>
      <c r="O511" s="99" t="str">
        <f t="shared" si="54"/>
        <v>0</v>
      </c>
      <c r="P511" s="119">
        <f t="shared" si="55"/>
        <v>1</v>
      </c>
      <c r="Q511" s="119">
        <f t="shared" si="56"/>
        <v>1</v>
      </c>
      <c r="S511" s="3">
        <v>1</v>
      </c>
    </row>
    <row r="512" spans="2:19">
      <c r="B512" s="116"/>
      <c r="C512" s="116"/>
      <c r="D512" s="116"/>
      <c r="E512" s="116" cm="1">
        <f t="array" ref="E512">IF(H511&lt;&gt;"",E511,IF(E511="","",IFERROR(MATCH(TRUE(),INDEX(INDEX(K:K,E511+1):K203&lt;&gt;"",0),0)+E511,"")))</f>
        <v>653</v>
      </c>
      <c r="F512" s="117" cm="1">
        <f t="array" ref="F512">IF(E512="","",IF(H511&lt;&gt;"",H511,INDEX(D:D,E512)))</f>
        <v>0</v>
      </c>
      <c r="G512" s="117" t="str">
        <f t="shared" si="51"/>
        <v>0</v>
      </c>
      <c r="H512" s="118" t="str">
        <f t="shared" si="52"/>
        <v/>
      </c>
      <c r="I512" s="116" t="str">
        <f>IF(AND(F512&lt;&gt;"",N10&gt;0,M512&gt;N10),"Mot &gt; limite","")</f>
        <v/>
      </c>
      <c r="M512" s="70">
        <f>IF(OR(F512="",N10="",N10&lt;=0),"",IF(LEN(F512)&lt;=N10,LEN(F512),IFERROR(FIND("♦",SUBSTITUTE(LEFT(F512,N10)," ","♦",LEN(LEFT(F512,N10))-LEN(SUBSTITUTE(LEFT(F512,N10)," ","")))),FIND(" ",F512&amp;" ",N10+1)-1)))</f>
        <v>1</v>
      </c>
      <c r="N512" s="119">
        <f t="shared" si="53"/>
        <v>495</v>
      </c>
      <c r="O512" s="99" t="str">
        <f t="shared" si="54"/>
        <v>0</v>
      </c>
      <c r="P512" s="119">
        <f t="shared" si="55"/>
        <v>1</v>
      </c>
      <c r="Q512" s="119">
        <f t="shared" si="56"/>
        <v>1</v>
      </c>
      <c r="S512" s="3">
        <v>1</v>
      </c>
    </row>
    <row r="513" spans="2:19">
      <c r="B513" s="116"/>
      <c r="C513" s="116"/>
      <c r="D513" s="116"/>
      <c r="E513" s="116" cm="1">
        <f t="array" ref="E513">IF(H512&lt;&gt;"",E512,IF(E512="","",IFERROR(MATCH(TRUE(),INDEX(INDEX(K:K,E512+1):K203&lt;&gt;"",0),0)+E512,"")))</f>
        <v>654</v>
      </c>
      <c r="F513" s="117" cm="1">
        <f t="array" ref="F513">IF(E513="","",IF(H512&lt;&gt;"",H512,INDEX(D:D,E513)))</f>
        <v>0</v>
      </c>
      <c r="G513" s="117" t="str">
        <f t="shared" si="51"/>
        <v>0</v>
      </c>
      <c r="H513" s="118" t="str">
        <f t="shared" si="52"/>
        <v/>
      </c>
      <c r="I513" s="116" t="str">
        <f>IF(AND(F513&lt;&gt;"",N10&gt;0,M513&gt;N10),"Mot &gt; limite","")</f>
        <v/>
      </c>
      <c r="M513" s="70">
        <f>IF(OR(F513="",N10="",N10&lt;=0),"",IF(LEN(F513)&lt;=N10,LEN(F513),IFERROR(FIND("♦",SUBSTITUTE(LEFT(F513,N10)," ","♦",LEN(LEFT(F513,N10))-LEN(SUBSTITUTE(LEFT(F513,N10)," ","")))),FIND(" ",F513&amp;" ",N10+1)-1)))</f>
        <v>1</v>
      </c>
      <c r="N513" s="119">
        <f t="shared" si="53"/>
        <v>496</v>
      </c>
      <c r="O513" s="99" t="str">
        <f t="shared" si="54"/>
        <v>0</v>
      </c>
      <c r="P513" s="119">
        <f t="shared" si="55"/>
        <v>1</v>
      </c>
      <c r="Q513" s="119">
        <f t="shared" si="56"/>
        <v>1</v>
      </c>
      <c r="S513" s="3">
        <v>1</v>
      </c>
    </row>
    <row r="514" spans="2:19">
      <c r="B514" s="116"/>
      <c r="C514" s="116"/>
      <c r="D514" s="116"/>
      <c r="E514" s="116" cm="1">
        <f t="array" ref="E514">IF(H513&lt;&gt;"",E513,IF(E513="","",IFERROR(MATCH(TRUE(),INDEX(INDEX(K:K,E513+1):K203&lt;&gt;"",0),0)+E513,"")))</f>
        <v>655</v>
      </c>
      <c r="F514" s="117" cm="1">
        <f t="array" ref="F514">IF(E514="","",IF(H513&lt;&gt;"",H513,INDEX(D:D,E514)))</f>
        <v>0</v>
      </c>
      <c r="G514" s="117" t="str">
        <f t="shared" si="51"/>
        <v>0</v>
      </c>
      <c r="H514" s="118" t="str">
        <f t="shared" si="52"/>
        <v/>
      </c>
      <c r="I514" s="116" t="str">
        <f>IF(AND(F514&lt;&gt;"",N10&gt;0,M514&gt;N10),"Mot &gt; limite","")</f>
        <v/>
      </c>
      <c r="M514" s="70">
        <f>IF(OR(F514="",N10="",N10&lt;=0),"",IF(LEN(F514)&lt;=N10,LEN(F514),IFERROR(FIND("♦",SUBSTITUTE(LEFT(F514,N10)," ","♦",LEN(LEFT(F514,N10))-LEN(SUBSTITUTE(LEFT(F514,N10)," ","")))),FIND(" ",F514&amp;" ",N10+1)-1)))</f>
        <v>1</v>
      </c>
      <c r="N514" s="119">
        <f t="shared" si="53"/>
        <v>497</v>
      </c>
      <c r="O514" s="99" t="str">
        <f t="shared" si="54"/>
        <v>0</v>
      </c>
      <c r="P514" s="119">
        <f t="shared" si="55"/>
        <v>1</v>
      </c>
      <c r="Q514" s="119">
        <f t="shared" si="56"/>
        <v>1</v>
      </c>
      <c r="S514" s="3">
        <v>1</v>
      </c>
    </row>
    <row r="515" spans="2:19">
      <c r="B515" s="116"/>
      <c r="C515" s="116"/>
      <c r="D515" s="116"/>
      <c r="E515" s="116" cm="1">
        <f t="array" ref="E515">IF(H514&lt;&gt;"",E514,IF(E514="","",IFERROR(MATCH(TRUE(),INDEX(INDEX(K:K,E514+1):K203&lt;&gt;"",0),0)+E514,"")))</f>
        <v>656</v>
      </c>
      <c r="F515" s="117" cm="1">
        <f t="array" ref="F515">IF(E515="","",IF(H514&lt;&gt;"",H514,INDEX(D:D,E515)))</f>
        <v>0</v>
      </c>
      <c r="G515" s="117" t="str">
        <f t="shared" si="51"/>
        <v>0</v>
      </c>
      <c r="H515" s="118" t="str">
        <f t="shared" si="52"/>
        <v/>
      </c>
      <c r="I515" s="116" t="str">
        <f>IF(AND(F515&lt;&gt;"",N10&gt;0,M515&gt;N10),"Mot &gt; limite","")</f>
        <v/>
      </c>
      <c r="M515" s="70">
        <f>IF(OR(F515="",N10="",N10&lt;=0),"",IF(LEN(F515)&lt;=N10,LEN(F515),IFERROR(FIND("♦",SUBSTITUTE(LEFT(F515,N10)," ","♦",LEN(LEFT(F515,N10))-LEN(SUBSTITUTE(LEFT(F515,N10)," ","")))),FIND(" ",F515&amp;" ",N10+1)-1)))</f>
        <v>1</v>
      </c>
      <c r="N515" s="119">
        <f t="shared" si="53"/>
        <v>498</v>
      </c>
      <c r="O515" s="99" t="str">
        <f t="shared" si="54"/>
        <v>0</v>
      </c>
      <c r="P515" s="119">
        <f t="shared" si="55"/>
        <v>1</v>
      </c>
      <c r="Q515" s="119">
        <f t="shared" si="56"/>
        <v>1</v>
      </c>
      <c r="S515" s="3">
        <v>1</v>
      </c>
    </row>
    <row r="516" spans="2:19">
      <c r="B516" s="116"/>
      <c r="C516" s="116"/>
      <c r="D516" s="116"/>
      <c r="E516" s="116" cm="1">
        <f t="array" ref="E516">IF(H515&lt;&gt;"",E515,IF(E515="","",IFERROR(MATCH(TRUE(),INDEX(INDEX(K:K,E515+1):K203&lt;&gt;"",0),0)+E515,"")))</f>
        <v>657</v>
      </c>
      <c r="F516" s="117" cm="1">
        <f t="array" ref="F516">IF(E516="","",IF(H515&lt;&gt;"",H515,INDEX(D:D,E516)))</f>
        <v>0</v>
      </c>
      <c r="G516" s="117" t="str">
        <f t="shared" si="51"/>
        <v>0</v>
      </c>
      <c r="H516" s="118" t="str">
        <f t="shared" si="52"/>
        <v/>
      </c>
      <c r="I516" s="116" t="str">
        <f>IF(AND(F516&lt;&gt;"",N10&gt;0,M516&gt;N10),"Mot &gt; limite","")</f>
        <v/>
      </c>
      <c r="M516" s="70">
        <f>IF(OR(F516="",N10="",N10&lt;=0),"",IF(LEN(F516)&lt;=N10,LEN(F516),IFERROR(FIND("♦",SUBSTITUTE(LEFT(F516,N10)," ","♦",LEN(LEFT(F516,N10))-LEN(SUBSTITUTE(LEFT(F516,N10)," ","")))),FIND(" ",F516&amp;" ",N10+1)-1)))</f>
        <v>1</v>
      </c>
      <c r="N516" s="119">
        <f t="shared" si="53"/>
        <v>499</v>
      </c>
      <c r="O516" s="99" t="str">
        <f t="shared" si="54"/>
        <v>0</v>
      </c>
      <c r="P516" s="119">
        <f t="shared" si="55"/>
        <v>1</v>
      </c>
      <c r="Q516" s="119">
        <f t="shared" si="56"/>
        <v>1</v>
      </c>
      <c r="S516" s="3">
        <v>1</v>
      </c>
    </row>
    <row r="517" spans="2:19">
      <c r="B517" s="116"/>
      <c r="C517" s="116"/>
      <c r="D517" s="116"/>
      <c r="E517" s="116" cm="1">
        <f t="array" ref="E517">IF(H516&lt;&gt;"",E516,IF(E516="","",IFERROR(MATCH(TRUE(),INDEX(INDEX(K:K,E516+1):K203&lt;&gt;"",0),0)+E516,"")))</f>
        <v>658</v>
      </c>
      <c r="F517" s="117" cm="1">
        <f t="array" ref="F517">IF(E517="","",IF(H516&lt;&gt;"",H516,INDEX(D:D,E517)))</f>
        <v>0</v>
      </c>
      <c r="G517" s="117" t="str">
        <f t="shared" si="51"/>
        <v>0</v>
      </c>
      <c r="H517" s="118" t="str">
        <f t="shared" si="52"/>
        <v/>
      </c>
      <c r="I517" s="116" t="str">
        <f>IF(AND(F517&lt;&gt;"",N10&gt;0,M517&gt;N10),"Mot &gt; limite","")</f>
        <v/>
      </c>
      <c r="M517" s="70">
        <f>IF(OR(F517="",N10="",N10&lt;=0),"",IF(LEN(F517)&lt;=N10,LEN(F517),IFERROR(FIND("♦",SUBSTITUTE(LEFT(F517,N10)," ","♦",LEN(LEFT(F517,N10))-LEN(SUBSTITUTE(LEFT(F517,N10)," ","")))),FIND(" ",F517&amp;" ",N10+1)-1)))</f>
        <v>1</v>
      </c>
      <c r="N517" s="119">
        <f t="shared" si="53"/>
        <v>500</v>
      </c>
      <c r="O517" s="99" t="str">
        <f t="shared" si="54"/>
        <v>0</v>
      </c>
      <c r="P517" s="119">
        <f t="shared" si="55"/>
        <v>1</v>
      </c>
      <c r="Q517" s="119">
        <f t="shared" si="56"/>
        <v>1</v>
      </c>
      <c r="S517" s="3">
        <v>1</v>
      </c>
    </row>
    <row r="518" spans="2:19">
      <c r="B518" s="116"/>
      <c r="C518" s="116"/>
      <c r="D518" s="116"/>
      <c r="E518" s="116" cm="1">
        <f t="array" ref="E518">IF(H517&lt;&gt;"",E517,IF(E517="","",IFERROR(MATCH(TRUE(),INDEX(INDEX(K:K,E517+1):K203&lt;&gt;"",0),0)+E517,"")))</f>
        <v>659</v>
      </c>
      <c r="F518" s="117" cm="1">
        <f t="array" ref="F518">IF(E518="","",IF(H517&lt;&gt;"",H517,INDEX(D:D,E518)))</f>
        <v>0</v>
      </c>
      <c r="G518" s="117" t="str">
        <f t="shared" si="51"/>
        <v>0</v>
      </c>
      <c r="H518" s="118" t="str">
        <f t="shared" si="52"/>
        <v/>
      </c>
      <c r="I518" s="116" t="str">
        <f>IF(AND(F518&lt;&gt;"",N10&gt;0,M518&gt;N10),"Mot &gt; limite","")</f>
        <v/>
      </c>
      <c r="M518" s="70">
        <f>IF(OR(F518="",N10="",N10&lt;=0),"",IF(LEN(F518)&lt;=N10,LEN(F518),IFERROR(FIND("♦",SUBSTITUTE(LEFT(F518,N10)," ","♦",LEN(LEFT(F518,N10))-LEN(SUBSTITUTE(LEFT(F518,N10)," ","")))),FIND(" ",F518&amp;" ",N10+1)-1)))</f>
        <v>1</v>
      </c>
      <c r="N518" s="119">
        <f t="shared" si="53"/>
        <v>501</v>
      </c>
      <c r="O518" s="99" t="str">
        <f t="shared" si="54"/>
        <v>0</v>
      </c>
      <c r="P518" s="119">
        <f t="shared" si="55"/>
        <v>1</v>
      </c>
      <c r="Q518" s="119">
        <f t="shared" si="56"/>
        <v>1</v>
      </c>
      <c r="S518" s="3">
        <v>1</v>
      </c>
    </row>
    <row r="519" spans="2:19">
      <c r="B519" s="116"/>
      <c r="C519" s="116"/>
      <c r="D519" s="116"/>
      <c r="E519" s="116" cm="1">
        <f t="array" ref="E519">IF(H518&lt;&gt;"",E518,IF(E518="","",IFERROR(MATCH(TRUE(),INDEX(INDEX(K:K,E518+1):K203&lt;&gt;"",0),0)+E518,"")))</f>
        <v>660</v>
      </c>
      <c r="F519" s="117" cm="1">
        <f t="array" ref="F519">IF(E519="","",IF(H518&lt;&gt;"",H518,INDEX(D:D,E519)))</f>
        <v>0</v>
      </c>
      <c r="G519" s="117" t="str">
        <f t="shared" si="51"/>
        <v>0</v>
      </c>
      <c r="H519" s="118" t="str">
        <f t="shared" si="52"/>
        <v/>
      </c>
      <c r="I519" s="116" t="str">
        <f>IF(AND(F519&lt;&gt;"",N10&gt;0,M519&gt;N10),"Mot &gt; limite","")</f>
        <v/>
      </c>
      <c r="M519" s="70">
        <f>IF(OR(F519="",N10="",N10&lt;=0),"",IF(LEN(F519)&lt;=N10,LEN(F519),IFERROR(FIND("♦",SUBSTITUTE(LEFT(F519,N10)," ","♦",LEN(LEFT(F519,N10))-LEN(SUBSTITUTE(LEFT(F519,N10)," ","")))),FIND(" ",F519&amp;" ",N10+1)-1)))</f>
        <v>1</v>
      </c>
      <c r="N519" s="119">
        <f t="shared" si="53"/>
        <v>502</v>
      </c>
      <c r="O519" s="99" t="str">
        <f t="shared" si="54"/>
        <v>0</v>
      </c>
      <c r="P519" s="119">
        <f t="shared" si="55"/>
        <v>1</v>
      </c>
      <c r="Q519" s="119">
        <f t="shared" si="56"/>
        <v>1</v>
      </c>
      <c r="S519" s="3">
        <v>1</v>
      </c>
    </row>
    <row r="520" spans="2:19">
      <c r="B520" s="116"/>
      <c r="C520" s="116"/>
      <c r="D520" s="116"/>
      <c r="E520" s="116" cm="1">
        <f t="array" ref="E520">IF(H519&lt;&gt;"",E519,IF(E519="","",IFERROR(MATCH(TRUE(),INDEX(INDEX(K:K,E519+1):K203&lt;&gt;"",0),0)+E519,"")))</f>
        <v>661</v>
      </c>
      <c r="F520" s="117" cm="1">
        <f t="array" ref="F520">IF(E520="","",IF(H519&lt;&gt;"",H519,INDEX(D:D,E520)))</f>
        <v>0</v>
      </c>
      <c r="G520" s="117" t="str">
        <f t="shared" si="51"/>
        <v>0</v>
      </c>
      <c r="H520" s="118" t="str">
        <f t="shared" si="52"/>
        <v/>
      </c>
      <c r="I520" s="116" t="str">
        <f>IF(AND(F520&lt;&gt;"",N10&gt;0,M520&gt;N10),"Mot &gt; limite","")</f>
        <v/>
      </c>
      <c r="M520" s="70">
        <f>IF(OR(F520="",N10="",N10&lt;=0),"",IF(LEN(F520)&lt;=N10,LEN(F520),IFERROR(FIND("♦",SUBSTITUTE(LEFT(F520,N10)," ","♦",LEN(LEFT(F520,N10))-LEN(SUBSTITUTE(LEFT(F520,N10)," ","")))),FIND(" ",F520&amp;" ",N10+1)-1)))</f>
        <v>1</v>
      </c>
      <c r="N520" s="119">
        <f t="shared" si="53"/>
        <v>503</v>
      </c>
      <c r="O520" s="99" t="str">
        <f t="shared" si="54"/>
        <v>0</v>
      </c>
      <c r="P520" s="119">
        <f t="shared" si="55"/>
        <v>1</v>
      </c>
      <c r="Q520" s="119">
        <f t="shared" si="56"/>
        <v>1</v>
      </c>
      <c r="S520" s="3">
        <v>1</v>
      </c>
    </row>
    <row r="521" spans="2:19">
      <c r="B521" s="116"/>
      <c r="C521" s="116"/>
      <c r="D521" s="116"/>
      <c r="E521" s="116" cm="1">
        <f t="array" ref="E521">IF(H520&lt;&gt;"",E520,IF(E520="","",IFERROR(MATCH(TRUE(),INDEX(INDEX(K:K,E520+1):K203&lt;&gt;"",0),0)+E520,"")))</f>
        <v>662</v>
      </c>
      <c r="F521" s="117" cm="1">
        <f t="array" ref="F521">IF(E521="","",IF(H520&lt;&gt;"",H520,INDEX(D:D,E521)))</f>
        <v>0</v>
      </c>
      <c r="G521" s="117" t="str">
        <f t="shared" si="51"/>
        <v>0</v>
      </c>
      <c r="H521" s="118" t="str">
        <f t="shared" si="52"/>
        <v/>
      </c>
      <c r="I521" s="116" t="str">
        <f>IF(AND(F521&lt;&gt;"",N10&gt;0,M521&gt;N10),"Mot &gt; limite","")</f>
        <v/>
      </c>
      <c r="M521" s="70">
        <f>IF(OR(F521="",N10="",N10&lt;=0),"",IF(LEN(F521)&lt;=N10,LEN(F521),IFERROR(FIND("♦",SUBSTITUTE(LEFT(F521,N10)," ","♦",LEN(LEFT(F521,N10))-LEN(SUBSTITUTE(LEFT(F521,N10)," ","")))),FIND(" ",F521&amp;" ",N10+1)-1)))</f>
        <v>1</v>
      </c>
      <c r="N521" s="119">
        <f t="shared" si="53"/>
        <v>504</v>
      </c>
      <c r="O521" s="99" t="str">
        <f t="shared" si="54"/>
        <v>0</v>
      </c>
      <c r="P521" s="119">
        <f t="shared" si="55"/>
        <v>1</v>
      </c>
      <c r="Q521" s="119">
        <f t="shared" si="56"/>
        <v>1</v>
      </c>
      <c r="S521" s="3">
        <v>1</v>
      </c>
    </row>
    <row r="522" spans="2:19">
      <c r="B522" s="116"/>
      <c r="C522" s="116"/>
      <c r="D522" s="116"/>
      <c r="E522" s="116" cm="1">
        <f t="array" ref="E522">IF(H521&lt;&gt;"",E521,IF(E521="","",IFERROR(MATCH(TRUE(),INDEX(INDEX(K:K,E521+1):K203&lt;&gt;"",0),0)+E521,"")))</f>
        <v>663</v>
      </c>
      <c r="F522" s="117" cm="1">
        <f t="array" ref="F522">IF(E522="","",IF(H521&lt;&gt;"",H521,INDEX(D:D,E522)))</f>
        <v>0</v>
      </c>
      <c r="G522" s="117" t="str">
        <f t="shared" si="51"/>
        <v>0</v>
      </c>
      <c r="H522" s="118" t="str">
        <f t="shared" si="52"/>
        <v/>
      </c>
      <c r="I522" s="116" t="str">
        <f>IF(AND(F522&lt;&gt;"",N10&gt;0,M522&gt;N10),"Mot &gt; limite","")</f>
        <v/>
      </c>
      <c r="M522" s="70">
        <f>IF(OR(F522="",N10="",N10&lt;=0),"",IF(LEN(F522)&lt;=N10,LEN(F522),IFERROR(FIND("♦",SUBSTITUTE(LEFT(F522,N10)," ","♦",LEN(LEFT(F522,N10))-LEN(SUBSTITUTE(LEFT(F522,N10)," ","")))),FIND(" ",F522&amp;" ",N10+1)-1)))</f>
        <v>1</v>
      </c>
      <c r="N522" s="119">
        <f t="shared" si="53"/>
        <v>505</v>
      </c>
      <c r="O522" s="99" t="str">
        <f t="shared" si="54"/>
        <v>0</v>
      </c>
      <c r="P522" s="119">
        <f t="shared" si="55"/>
        <v>1</v>
      </c>
      <c r="Q522" s="119">
        <f t="shared" si="56"/>
        <v>1</v>
      </c>
      <c r="S522" s="3">
        <v>1</v>
      </c>
    </row>
    <row r="523" spans="2:19">
      <c r="B523" s="116"/>
      <c r="C523" s="116"/>
      <c r="D523" s="116"/>
      <c r="E523" s="116" cm="1">
        <f t="array" ref="E523">IF(H522&lt;&gt;"",E522,IF(E522="","",IFERROR(MATCH(TRUE(),INDEX(INDEX(K:K,E522+1):K203&lt;&gt;"",0),0)+E522,"")))</f>
        <v>664</v>
      </c>
      <c r="F523" s="117" cm="1">
        <f t="array" ref="F523">IF(E523="","",IF(H522&lt;&gt;"",H522,INDEX(D:D,E523)))</f>
        <v>0</v>
      </c>
      <c r="G523" s="117" t="str">
        <f t="shared" si="51"/>
        <v>0</v>
      </c>
      <c r="H523" s="118" t="str">
        <f t="shared" si="52"/>
        <v/>
      </c>
      <c r="I523" s="116" t="str">
        <f>IF(AND(F523&lt;&gt;"",N10&gt;0,M523&gt;N10),"Mot &gt; limite","")</f>
        <v/>
      </c>
      <c r="M523" s="70">
        <f>IF(OR(F523="",N10="",N10&lt;=0),"",IF(LEN(F523)&lt;=N10,LEN(F523),IFERROR(FIND("♦",SUBSTITUTE(LEFT(F523,N10)," ","♦",LEN(LEFT(F523,N10))-LEN(SUBSTITUTE(LEFT(F523,N10)," ","")))),FIND(" ",F523&amp;" ",N10+1)-1)))</f>
        <v>1</v>
      </c>
      <c r="N523" s="119">
        <f t="shared" si="53"/>
        <v>506</v>
      </c>
      <c r="O523" s="99" t="str">
        <f t="shared" si="54"/>
        <v>0</v>
      </c>
      <c r="P523" s="119">
        <f t="shared" si="55"/>
        <v>1</v>
      </c>
      <c r="Q523" s="119">
        <f t="shared" si="56"/>
        <v>1</v>
      </c>
      <c r="S523" s="3">
        <v>1</v>
      </c>
    </row>
    <row r="524" spans="2:19">
      <c r="B524" s="116"/>
      <c r="C524" s="116"/>
      <c r="D524" s="116"/>
      <c r="E524" s="116" cm="1">
        <f t="array" ref="E524">IF(H523&lt;&gt;"",E523,IF(E523="","",IFERROR(MATCH(TRUE(),INDEX(INDEX(K:K,E523+1):K203&lt;&gt;"",0),0)+E523,"")))</f>
        <v>665</v>
      </c>
      <c r="F524" s="117" cm="1">
        <f t="array" ref="F524">IF(E524="","",IF(H523&lt;&gt;"",H523,INDEX(D:D,E524)))</f>
        <v>0</v>
      </c>
      <c r="G524" s="117" t="str">
        <f t="shared" si="51"/>
        <v>0</v>
      </c>
      <c r="H524" s="118" t="str">
        <f t="shared" si="52"/>
        <v/>
      </c>
      <c r="I524" s="116" t="str">
        <f>IF(AND(F524&lt;&gt;"",N10&gt;0,M524&gt;N10),"Mot &gt; limite","")</f>
        <v/>
      </c>
      <c r="M524" s="70">
        <f>IF(OR(F524="",N10="",N10&lt;=0),"",IF(LEN(F524)&lt;=N10,LEN(F524),IFERROR(FIND("♦",SUBSTITUTE(LEFT(F524,N10)," ","♦",LEN(LEFT(F524,N10))-LEN(SUBSTITUTE(LEFT(F524,N10)," ","")))),FIND(" ",F524&amp;" ",N10+1)-1)))</f>
        <v>1</v>
      </c>
      <c r="N524" s="119">
        <f t="shared" si="53"/>
        <v>507</v>
      </c>
      <c r="O524" s="99" t="str">
        <f t="shared" si="54"/>
        <v>0</v>
      </c>
      <c r="P524" s="119">
        <f t="shared" si="55"/>
        <v>1</v>
      </c>
      <c r="Q524" s="119">
        <f t="shared" si="56"/>
        <v>1</v>
      </c>
      <c r="S524" s="3">
        <v>1</v>
      </c>
    </row>
    <row r="525" spans="2:19">
      <c r="B525" s="116"/>
      <c r="C525" s="116"/>
      <c r="D525" s="116"/>
      <c r="E525" s="116" cm="1">
        <f t="array" ref="E525">IF(H524&lt;&gt;"",E524,IF(E524="","",IFERROR(MATCH(TRUE(),INDEX(INDEX(K:K,E524+1):K203&lt;&gt;"",0),0)+E524,"")))</f>
        <v>666</v>
      </c>
      <c r="F525" s="117" cm="1">
        <f t="array" ref="F525">IF(E525="","",IF(H524&lt;&gt;"",H524,INDEX(D:D,E525)))</f>
        <v>0</v>
      </c>
      <c r="G525" s="117" t="str">
        <f t="shared" si="51"/>
        <v>0</v>
      </c>
      <c r="H525" s="118" t="str">
        <f t="shared" si="52"/>
        <v/>
      </c>
      <c r="I525" s="116" t="str">
        <f>IF(AND(F525&lt;&gt;"",N10&gt;0,M525&gt;N10),"Mot &gt; limite","")</f>
        <v/>
      </c>
      <c r="M525" s="70">
        <f>IF(OR(F525="",N10="",N10&lt;=0),"",IF(LEN(F525)&lt;=N10,LEN(F525),IFERROR(FIND("♦",SUBSTITUTE(LEFT(F525,N10)," ","♦",LEN(LEFT(F525,N10))-LEN(SUBSTITUTE(LEFT(F525,N10)," ","")))),FIND(" ",F525&amp;" ",N10+1)-1)))</f>
        <v>1</v>
      </c>
      <c r="N525" s="119">
        <f t="shared" si="53"/>
        <v>508</v>
      </c>
      <c r="O525" s="99" t="str">
        <f t="shared" si="54"/>
        <v>0</v>
      </c>
      <c r="P525" s="119">
        <f t="shared" si="55"/>
        <v>1</v>
      </c>
      <c r="Q525" s="119">
        <f t="shared" si="56"/>
        <v>1</v>
      </c>
      <c r="S525" s="3">
        <v>1</v>
      </c>
    </row>
    <row r="526" spans="2:19">
      <c r="B526" s="116"/>
      <c r="C526" s="116"/>
      <c r="D526" s="116"/>
      <c r="E526" s="116" cm="1">
        <f t="array" ref="E526">IF(H525&lt;&gt;"",E525,IF(E525="","",IFERROR(MATCH(TRUE(),INDEX(INDEX(K:K,E525+1):K203&lt;&gt;"",0),0)+E525,"")))</f>
        <v>667</v>
      </c>
      <c r="F526" s="117" cm="1">
        <f t="array" ref="F526">IF(E526="","",IF(H525&lt;&gt;"",H525,INDEX(D:D,E526)))</f>
        <v>0</v>
      </c>
      <c r="G526" s="117" t="str">
        <f t="shared" si="51"/>
        <v>0</v>
      </c>
      <c r="H526" s="118" t="str">
        <f t="shared" si="52"/>
        <v/>
      </c>
      <c r="I526" s="116" t="str">
        <f>IF(AND(F526&lt;&gt;"",N10&gt;0,M526&gt;N10),"Mot &gt; limite","")</f>
        <v/>
      </c>
      <c r="M526" s="70">
        <f>IF(OR(F526="",N10="",N10&lt;=0),"",IF(LEN(F526)&lt;=N10,LEN(F526),IFERROR(FIND("♦",SUBSTITUTE(LEFT(F526,N10)," ","♦",LEN(LEFT(F526,N10))-LEN(SUBSTITUTE(LEFT(F526,N10)," ","")))),FIND(" ",F526&amp;" ",N10+1)-1)))</f>
        <v>1</v>
      </c>
      <c r="N526" s="119">
        <f t="shared" si="53"/>
        <v>509</v>
      </c>
      <c r="O526" s="99" t="str">
        <f t="shared" si="54"/>
        <v>0</v>
      </c>
      <c r="P526" s="119">
        <f t="shared" si="55"/>
        <v>1</v>
      </c>
      <c r="Q526" s="119">
        <f t="shared" si="56"/>
        <v>1</v>
      </c>
      <c r="S526" s="3">
        <v>1</v>
      </c>
    </row>
    <row r="527" spans="2:19">
      <c r="B527" s="116"/>
      <c r="C527" s="116"/>
      <c r="D527" s="116"/>
      <c r="E527" s="116" cm="1">
        <f t="array" ref="E527">IF(H526&lt;&gt;"",E526,IF(E526="","",IFERROR(MATCH(TRUE(),INDEX(INDEX(K:K,E526+1):K203&lt;&gt;"",0),0)+E526,"")))</f>
        <v>668</v>
      </c>
      <c r="F527" s="117" cm="1">
        <f t="array" ref="F527">IF(E527="","",IF(H526&lt;&gt;"",H526,INDEX(D:D,E527)))</f>
        <v>0</v>
      </c>
      <c r="G527" s="117" t="str">
        <f t="shared" si="51"/>
        <v>0</v>
      </c>
      <c r="H527" s="118" t="str">
        <f t="shared" si="52"/>
        <v/>
      </c>
      <c r="I527" s="116" t="str">
        <f>IF(AND(F527&lt;&gt;"",N10&gt;0,M527&gt;N10),"Mot &gt; limite","")</f>
        <v/>
      </c>
      <c r="M527" s="70">
        <f>IF(OR(F527="",N10="",N10&lt;=0),"",IF(LEN(F527)&lt;=N10,LEN(F527),IFERROR(FIND("♦",SUBSTITUTE(LEFT(F527,N10)," ","♦",LEN(LEFT(F527,N10))-LEN(SUBSTITUTE(LEFT(F527,N10)," ","")))),FIND(" ",F527&amp;" ",N10+1)-1)))</f>
        <v>1</v>
      </c>
      <c r="N527" s="119">
        <f t="shared" si="53"/>
        <v>510</v>
      </c>
      <c r="O527" s="99" t="str">
        <f t="shared" si="54"/>
        <v>0</v>
      </c>
      <c r="P527" s="119">
        <f t="shared" si="55"/>
        <v>1</v>
      </c>
      <c r="Q527" s="119">
        <f t="shared" si="56"/>
        <v>1</v>
      </c>
      <c r="S527" s="3">
        <v>1</v>
      </c>
    </row>
    <row r="528" spans="2:19">
      <c r="B528" s="116"/>
      <c r="C528" s="116"/>
      <c r="D528" s="116"/>
      <c r="E528" s="116" cm="1">
        <f t="array" ref="E528">IF(H527&lt;&gt;"",E527,IF(E527="","",IFERROR(MATCH(TRUE(),INDEX(INDEX(K:K,E527+1):K203&lt;&gt;"",0),0)+E527,"")))</f>
        <v>669</v>
      </c>
      <c r="F528" s="117" cm="1">
        <f t="array" ref="F528">IF(E528="","",IF(H527&lt;&gt;"",H527,INDEX(D:D,E528)))</f>
        <v>0</v>
      </c>
      <c r="G528" s="117" t="str">
        <f t="shared" si="51"/>
        <v>0</v>
      </c>
      <c r="H528" s="118" t="str">
        <f t="shared" si="52"/>
        <v/>
      </c>
      <c r="I528" s="116" t="str">
        <f>IF(AND(F528&lt;&gt;"",N10&gt;0,M528&gt;N10),"Mot &gt; limite","")</f>
        <v/>
      </c>
      <c r="M528" s="70">
        <f>IF(OR(F528="",N10="",N10&lt;=0),"",IF(LEN(F528)&lt;=N10,LEN(F528),IFERROR(FIND("♦",SUBSTITUTE(LEFT(F528,N10)," ","♦",LEN(LEFT(F528,N10))-LEN(SUBSTITUTE(LEFT(F528,N10)," ","")))),FIND(" ",F528&amp;" ",N10+1)-1)))</f>
        <v>1</v>
      </c>
      <c r="N528" s="119">
        <f t="shared" si="53"/>
        <v>511</v>
      </c>
      <c r="O528" s="99" t="str">
        <f t="shared" si="54"/>
        <v>0</v>
      </c>
      <c r="P528" s="119">
        <f t="shared" si="55"/>
        <v>1</v>
      </c>
      <c r="Q528" s="119">
        <f t="shared" si="56"/>
        <v>1</v>
      </c>
      <c r="S528" s="3">
        <v>1</v>
      </c>
    </row>
    <row r="529" spans="2:19">
      <c r="B529" s="116"/>
      <c r="C529" s="116"/>
      <c r="D529" s="116"/>
      <c r="E529" s="116" cm="1">
        <f t="array" ref="E529">IF(H528&lt;&gt;"",E528,IF(E528="","",IFERROR(MATCH(TRUE(),INDEX(INDEX(K:K,E528+1):K203&lt;&gt;"",0),0)+E528,"")))</f>
        <v>670</v>
      </c>
      <c r="F529" s="117" cm="1">
        <f t="array" ref="F529">IF(E529="","",IF(H528&lt;&gt;"",H528,INDEX(D:D,E529)))</f>
        <v>0</v>
      </c>
      <c r="G529" s="117" t="str">
        <f t="shared" si="51"/>
        <v>0</v>
      </c>
      <c r="H529" s="118" t="str">
        <f t="shared" si="52"/>
        <v/>
      </c>
      <c r="I529" s="116" t="str">
        <f>IF(AND(F529&lt;&gt;"",N10&gt;0,M529&gt;N10),"Mot &gt; limite","")</f>
        <v/>
      </c>
      <c r="M529" s="70">
        <f>IF(OR(F529="",N10="",N10&lt;=0),"",IF(LEN(F529)&lt;=N10,LEN(F529),IFERROR(FIND("♦",SUBSTITUTE(LEFT(F529,N10)," ","♦",LEN(LEFT(F529,N10))-LEN(SUBSTITUTE(LEFT(F529,N10)," ","")))),FIND(" ",F529&amp;" ",N10+1)-1)))</f>
        <v>1</v>
      </c>
      <c r="N529" s="119">
        <f t="shared" si="53"/>
        <v>512</v>
      </c>
      <c r="O529" s="99" t="str">
        <f t="shared" si="54"/>
        <v>0</v>
      </c>
      <c r="P529" s="119">
        <f t="shared" si="55"/>
        <v>1</v>
      </c>
      <c r="Q529" s="119">
        <f t="shared" si="56"/>
        <v>1</v>
      </c>
      <c r="S529" s="3">
        <v>1</v>
      </c>
    </row>
    <row r="530" spans="2:19">
      <c r="B530" s="116"/>
      <c r="C530" s="116"/>
      <c r="D530" s="116"/>
      <c r="E530" s="116" cm="1">
        <f t="array" ref="E530">IF(H529&lt;&gt;"",E529,IF(E529="","",IFERROR(MATCH(TRUE(),INDEX(INDEX(K:K,E529+1):K203&lt;&gt;"",0),0)+E529,"")))</f>
        <v>671</v>
      </c>
      <c r="F530" s="117" cm="1">
        <f t="array" ref="F530">IF(E530="","",IF(H529&lt;&gt;"",H529,INDEX(D:D,E530)))</f>
        <v>0</v>
      </c>
      <c r="G530" s="117" t="str">
        <f t="shared" ref="G530:G593" si="57">IF(OR(F530="",M530=""),"",LEFT(F530,M530))</f>
        <v>0</v>
      </c>
      <c r="H530" s="118" t="str">
        <f t="shared" ref="H530:H593" si="58">IF(OR(F530="",M530=""),"",TRIM(MID(F530,M530+1,99999)))</f>
        <v/>
      </c>
      <c r="I530" s="116" t="str">
        <f>IF(AND(F530&lt;&gt;"",N10&gt;0,M530&gt;N10),"Mot &gt; limite","")</f>
        <v/>
      </c>
      <c r="M530" s="70">
        <f>IF(OR(F530="",N10="",N10&lt;=0),"",IF(LEN(F530)&lt;=N10,LEN(F530),IFERROR(FIND("♦",SUBSTITUTE(LEFT(F530,N10)," ","♦",LEN(LEFT(F530,N10))-LEN(SUBSTITUTE(LEFT(F530,N10)," ","")))),FIND(" ",F530&amp;" ",N10+1)-1)))</f>
        <v>1</v>
      </c>
      <c r="N530" s="119">
        <f t="shared" ref="N530:N593" si="59">IF(O530="","",ROW()-17)</f>
        <v>513</v>
      </c>
      <c r="O530" s="99" t="str">
        <f t="shared" ref="O530:O593" si="60">G530</f>
        <v>0</v>
      </c>
      <c r="P530" s="119">
        <f t="shared" ref="P530:P593" si="61">IF(O530="","",LEN(TRIM(O530))-LEN(SUBSTITUTE(TRIM(O530)," ",""))+1)</f>
        <v>1</v>
      </c>
      <c r="Q530" s="119">
        <f t="shared" ref="Q530:Q593" si="62">IF(O530="","",LEN(O530))</f>
        <v>1</v>
      </c>
      <c r="S530" s="3">
        <v>1</v>
      </c>
    </row>
    <row r="531" spans="2:19">
      <c r="B531" s="116"/>
      <c r="C531" s="116"/>
      <c r="D531" s="116"/>
      <c r="E531" s="116" cm="1">
        <f t="array" ref="E531">IF(H530&lt;&gt;"",E530,IF(E530="","",IFERROR(MATCH(TRUE(),INDEX(INDEX(K:K,E530+1):K203&lt;&gt;"",0),0)+E530,"")))</f>
        <v>672</v>
      </c>
      <c r="F531" s="117" cm="1">
        <f t="array" ref="F531">IF(E531="","",IF(H530&lt;&gt;"",H530,INDEX(D:D,E531)))</f>
        <v>0</v>
      </c>
      <c r="G531" s="117" t="str">
        <f t="shared" si="57"/>
        <v>0</v>
      </c>
      <c r="H531" s="118" t="str">
        <f t="shared" si="58"/>
        <v/>
      </c>
      <c r="I531" s="116" t="str">
        <f>IF(AND(F531&lt;&gt;"",N10&gt;0,M531&gt;N10),"Mot &gt; limite","")</f>
        <v/>
      </c>
      <c r="M531" s="70">
        <f>IF(OR(F531="",N10="",N10&lt;=0),"",IF(LEN(F531)&lt;=N10,LEN(F531),IFERROR(FIND("♦",SUBSTITUTE(LEFT(F531,N10)," ","♦",LEN(LEFT(F531,N10))-LEN(SUBSTITUTE(LEFT(F531,N10)," ","")))),FIND(" ",F531&amp;" ",N10+1)-1)))</f>
        <v>1</v>
      </c>
      <c r="N531" s="119">
        <f t="shared" si="59"/>
        <v>514</v>
      </c>
      <c r="O531" s="99" t="str">
        <f t="shared" si="60"/>
        <v>0</v>
      </c>
      <c r="P531" s="119">
        <f t="shared" si="61"/>
        <v>1</v>
      </c>
      <c r="Q531" s="119">
        <f t="shared" si="62"/>
        <v>1</v>
      </c>
      <c r="S531" s="3">
        <v>1</v>
      </c>
    </row>
    <row r="532" spans="2:19">
      <c r="B532" s="116"/>
      <c r="C532" s="116"/>
      <c r="D532" s="116"/>
      <c r="E532" s="116" cm="1">
        <f t="array" ref="E532">IF(H531&lt;&gt;"",E531,IF(E531="","",IFERROR(MATCH(TRUE(),INDEX(INDEX(K:K,E531+1):K203&lt;&gt;"",0),0)+E531,"")))</f>
        <v>673</v>
      </c>
      <c r="F532" s="117" cm="1">
        <f t="array" ref="F532">IF(E532="","",IF(H531&lt;&gt;"",H531,INDEX(D:D,E532)))</f>
        <v>0</v>
      </c>
      <c r="G532" s="117" t="str">
        <f t="shared" si="57"/>
        <v>0</v>
      </c>
      <c r="H532" s="118" t="str">
        <f t="shared" si="58"/>
        <v/>
      </c>
      <c r="I532" s="116" t="str">
        <f>IF(AND(F532&lt;&gt;"",N10&gt;0,M532&gt;N10),"Mot &gt; limite","")</f>
        <v/>
      </c>
      <c r="M532" s="70">
        <f>IF(OR(F532="",N10="",N10&lt;=0),"",IF(LEN(F532)&lt;=N10,LEN(F532),IFERROR(FIND("♦",SUBSTITUTE(LEFT(F532,N10)," ","♦",LEN(LEFT(F532,N10))-LEN(SUBSTITUTE(LEFT(F532,N10)," ","")))),FIND(" ",F532&amp;" ",N10+1)-1)))</f>
        <v>1</v>
      </c>
      <c r="N532" s="119">
        <f t="shared" si="59"/>
        <v>515</v>
      </c>
      <c r="O532" s="99" t="str">
        <f t="shared" si="60"/>
        <v>0</v>
      </c>
      <c r="P532" s="119">
        <f t="shared" si="61"/>
        <v>1</v>
      </c>
      <c r="Q532" s="119">
        <f t="shared" si="62"/>
        <v>1</v>
      </c>
      <c r="S532" s="3">
        <v>1</v>
      </c>
    </row>
    <row r="533" spans="2:19">
      <c r="B533" s="116"/>
      <c r="C533" s="116"/>
      <c r="D533" s="116"/>
      <c r="E533" s="116" cm="1">
        <f t="array" ref="E533">IF(H532&lt;&gt;"",E532,IF(E532="","",IFERROR(MATCH(TRUE(),INDEX(INDEX(K:K,E532+1):K203&lt;&gt;"",0),0)+E532,"")))</f>
        <v>674</v>
      </c>
      <c r="F533" s="117" cm="1">
        <f t="array" ref="F533">IF(E533="","",IF(H532&lt;&gt;"",H532,INDEX(D:D,E533)))</f>
        <v>0</v>
      </c>
      <c r="G533" s="117" t="str">
        <f t="shared" si="57"/>
        <v>0</v>
      </c>
      <c r="H533" s="118" t="str">
        <f t="shared" si="58"/>
        <v/>
      </c>
      <c r="I533" s="116" t="str">
        <f>IF(AND(F533&lt;&gt;"",N10&gt;0,M533&gt;N10),"Mot &gt; limite","")</f>
        <v/>
      </c>
      <c r="M533" s="70">
        <f>IF(OR(F533="",N10="",N10&lt;=0),"",IF(LEN(F533)&lt;=N10,LEN(F533),IFERROR(FIND("♦",SUBSTITUTE(LEFT(F533,N10)," ","♦",LEN(LEFT(F533,N10))-LEN(SUBSTITUTE(LEFT(F533,N10)," ","")))),FIND(" ",F533&amp;" ",N10+1)-1)))</f>
        <v>1</v>
      </c>
      <c r="N533" s="119">
        <f t="shared" si="59"/>
        <v>516</v>
      </c>
      <c r="O533" s="99" t="str">
        <f t="shared" si="60"/>
        <v>0</v>
      </c>
      <c r="P533" s="119">
        <f t="shared" si="61"/>
        <v>1</v>
      </c>
      <c r="Q533" s="119">
        <f t="shared" si="62"/>
        <v>1</v>
      </c>
      <c r="S533" s="3">
        <v>1</v>
      </c>
    </row>
    <row r="534" spans="2:19">
      <c r="B534" s="116"/>
      <c r="C534" s="116"/>
      <c r="D534" s="116"/>
      <c r="E534" s="116" cm="1">
        <f t="array" ref="E534">IF(H533&lt;&gt;"",E533,IF(E533="","",IFERROR(MATCH(TRUE(),INDEX(INDEX(K:K,E533+1):K203&lt;&gt;"",0),0)+E533,"")))</f>
        <v>675</v>
      </c>
      <c r="F534" s="117" cm="1">
        <f t="array" ref="F534">IF(E534="","",IF(H533&lt;&gt;"",H533,INDEX(D:D,E534)))</f>
        <v>0</v>
      </c>
      <c r="G534" s="117" t="str">
        <f t="shared" si="57"/>
        <v>0</v>
      </c>
      <c r="H534" s="118" t="str">
        <f t="shared" si="58"/>
        <v/>
      </c>
      <c r="I534" s="116" t="str">
        <f>IF(AND(F534&lt;&gt;"",N10&gt;0,M534&gt;N10),"Mot &gt; limite","")</f>
        <v/>
      </c>
      <c r="M534" s="70">
        <f>IF(OR(F534="",N10="",N10&lt;=0),"",IF(LEN(F534)&lt;=N10,LEN(F534),IFERROR(FIND("♦",SUBSTITUTE(LEFT(F534,N10)," ","♦",LEN(LEFT(F534,N10))-LEN(SUBSTITUTE(LEFT(F534,N10)," ","")))),FIND(" ",F534&amp;" ",N10+1)-1)))</f>
        <v>1</v>
      </c>
      <c r="N534" s="119">
        <f t="shared" si="59"/>
        <v>517</v>
      </c>
      <c r="O534" s="99" t="str">
        <f t="shared" si="60"/>
        <v>0</v>
      </c>
      <c r="P534" s="119">
        <f t="shared" si="61"/>
        <v>1</v>
      </c>
      <c r="Q534" s="119">
        <f t="shared" si="62"/>
        <v>1</v>
      </c>
      <c r="S534" s="3">
        <v>1</v>
      </c>
    </row>
    <row r="535" spans="2:19">
      <c r="B535" s="116"/>
      <c r="C535" s="116"/>
      <c r="D535" s="116"/>
      <c r="E535" s="116" cm="1">
        <f t="array" ref="E535">IF(H534&lt;&gt;"",E534,IF(E534="","",IFERROR(MATCH(TRUE(),INDEX(INDEX(K:K,E534+1):K203&lt;&gt;"",0),0)+E534,"")))</f>
        <v>676</v>
      </c>
      <c r="F535" s="117" cm="1">
        <f t="array" ref="F535">IF(E535="","",IF(H534&lt;&gt;"",H534,INDEX(D:D,E535)))</f>
        <v>0</v>
      </c>
      <c r="G535" s="117" t="str">
        <f t="shared" si="57"/>
        <v>0</v>
      </c>
      <c r="H535" s="118" t="str">
        <f t="shared" si="58"/>
        <v/>
      </c>
      <c r="I535" s="116" t="str">
        <f>IF(AND(F535&lt;&gt;"",N10&gt;0,M535&gt;N10),"Mot &gt; limite","")</f>
        <v/>
      </c>
      <c r="M535" s="70">
        <f>IF(OR(F535="",N10="",N10&lt;=0),"",IF(LEN(F535)&lt;=N10,LEN(F535),IFERROR(FIND("♦",SUBSTITUTE(LEFT(F535,N10)," ","♦",LEN(LEFT(F535,N10))-LEN(SUBSTITUTE(LEFT(F535,N10)," ","")))),FIND(" ",F535&amp;" ",N10+1)-1)))</f>
        <v>1</v>
      </c>
      <c r="N535" s="119">
        <f t="shared" si="59"/>
        <v>518</v>
      </c>
      <c r="O535" s="99" t="str">
        <f t="shared" si="60"/>
        <v>0</v>
      </c>
      <c r="P535" s="119">
        <f t="shared" si="61"/>
        <v>1</v>
      </c>
      <c r="Q535" s="119">
        <f t="shared" si="62"/>
        <v>1</v>
      </c>
      <c r="S535" s="3">
        <v>1</v>
      </c>
    </row>
    <row r="536" spans="2:19">
      <c r="B536" s="116"/>
      <c r="C536" s="116"/>
      <c r="D536" s="116"/>
      <c r="E536" s="116" cm="1">
        <f t="array" ref="E536">IF(H535&lt;&gt;"",E535,IF(E535="","",IFERROR(MATCH(TRUE(),INDEX(INDEX(K:K,E535+1):K203&lt;&gt;"",0),0)+E535,"")))</f>
        <v>677</v>
      </c>
      <c r="F536" s="117" cm="1">
        <f t="array" ref="F536">IF(E536="","",IF(H535&lt;&gt;"",H535,INDEX(D:D,E536)))</f>
        <v>0</v>
      </c>
      <c r="G536" s="117" t="str">
        <f t="shared" si="57"/>
        <v>0</v>
      </c>
      <c r="H536" s="118" t="str">
        <f t="shared" si="58"/>
        <v/>
      </c>
      <c r="I536" s="116" t="str">
        <f>IF(AND(F536&lt;&gt;"",N10&gt;0,M536&gt;N10),"Mot &gt; limite","")</f>
        <v/>
      </c>
      <c r="M536" s="70">
        <f>IF(OR(F536="",N10="",N10&lt;=0),"",IF(LEN(F536)&lt;=N10,LEN(F536),IFERROR(FIND("♦",SUBSTITUTE(LEFT(F536,N10)," ","♦",LEN(LEFT(F536,N10))-LEN(SUBSTITUTE(LEFT(F536,N10)," ","")))),FIND(" ",F536&amp;" ",N10+1)-1)))</f>
        <v>1</v>
      </c>
      <c r="N536" s="119">
        <f t="shared" si="59"/>
        <v>519</v>
      </c>
      <c r="O536" s="99" t="str">
        <f t="shared" si="60"/>
        <v>0</v>
      </c>
      <c r="P536" s="119">
        <f t="shared" si="61"/>
        <v>1</v>
      </c>
      <c r="Q536" s="119">
        <f t="shared" si="62"/>
        <v>1</v>
      </c>
      <c r="S536" s="3">
        <v>1</v>
      </c>
    </row>
    <row r="537" spans="2:19">
      <c r="B537" s="116"/>
      <c r="C537" s="116"/>
      <c r="D537" s="116"/>
      <c r="E537" s="116" cm="1">
        <f t="array" ref="E537">IF(H536&lt;&gt;"",E536,IF(E536="","",IFERROR(MATCH(TRUE(),INDEX(INDEX(K:K,E536+1):K203&lt;&gt;"",0),0)+E536,"")))</f>
        <v>678</v>
      </c>
      <c r="F537" s="117" cm="1">
        <f t="array" ref="F537">IF(E537="","",IF(H536&lt;&gt;"",H536,INDEX(D:D,E537)))</f>
        <v>0</v>
      </c>
      <c r="G537" s="117" t="str">
        <f t="shared" si="57"/>
        <v>0</v>
      </c>
      <c r="H537" s="118" t="str">
        <f t="shared" si="58"/>
        <v/>
      </c>
      <c r="I537" s="116" t="str">
        <f>IF(AND(F537&lt;&gt;"",N10&gt;0,M537&gt;N10),"Mot &gt; limite","")</f>
        <v/>
      </c>
      <c r="M537" s="70">
        <f>IF(OR(F537="",N10="",N10&lt;=0),"",IF(LEN(F537)&lt;=N10,LEN(F537),IFERROR(FIND("♦",SUBSTITUTE(LEFT(F537,N10)," ","♦",LEN(LEFT(F537,N10))-LEN(SUBSTITUTE(LEFT(F537,N10)," ","")))),FIND(" ",F537&amp;" ",N10+1)-1)))</f>
        <v>1</v>
      </c>
      <c r="N537" s="119">
        <f t="shared" si="59"/>
        <v>520</v>
      </c>
      <c r="O537" s="99" t="str">
        <f t="shared" si="60"/>
        <v>0</v>
      </c>
      <c r="P537" s="119">
        <f t="shared" si="61"/>
        <v>1</v>
      </c>
      <c r="Q537" s="119">
        <f t="shared" si="62"/>
        <v>1</v>
      </c>
      <c r="S537" s="3">
        <v>1</v>
      </c>
    </row>
    <row r="538" spans="2:19">
      <c r="B538" s="116"/>
      <c r="C538" s="116"/>
      <c r="D538" s="116"/>
      <c r="E538" s="116" cm="1">
        <f t="array" ref="E538">IF(H537&lt;&gt;"",E537,IF(E537="","",IFERROR(MATCH(TRUE(),INDEX(INDEX(K:K,E537+1):K203&lt;&gt;"",0),0)+E537,"")))</f>
        <v>679</v>
      </c>
      <c r="F538" s="117" cm="1">
        <f t="array" ref="F538">IF(E538="","",IF(H537&lt;&gt;"",H537,INDEX(D:D,E538)))</f>
        <v>0</v>
      </c>
      <c r="G538" s="117" t="str">
        <f t="shared" si="57"/>
        <v>0</v>
      </c>
      <c r="H538" s="118" t="str">
        <f t="shared" si="58"/>
        <v/>
      </c>
      <c r="I538" s="116" t="str">
        <f>IF(AND(F538&lt;&gt;"",N10&gt;0,M538&gt;N10),"Mot &gt; limite","")</f>
        <v/>
      </c>
      <c r="M538" s="70">
        <f>IF(OR(F538="",N10="",N10&lt;=0),"",IF(LEN(F538)&lt;=N10,LEN(F538),IFERROR(FIND("♦",SUBSTITUTE(LEFT(F538,N10)," ","♦",LEN(LEFT(F538,N10))-LEN(SUBSTITUTE(LEFT(F538,N10)," ","")))),FIND(" ",F538&amp;" ",N10+1)-1)))</f>
        <v>1</v>
      </c>
      <c r="N538" s="119">
        <f t="shared" si="59"/>
        <v>521</v>
      </c>
      <c r="O538" s="99" t="str">
        <f t="shared" si="60"/>
        <v>0</v>
      </c>
      <c r="P538" s="119">
        <f t="shared" si="61"/>
        <v>1</v>
      </c>
      <c r="Q538" s="119">
        <f t="shared" si="62"/>
        <v>1</v>
      </c>
      <c r="S538" s="3">
        <v>1</v>
      </c>
    </row>
    <row r="539" spans="2:19">
      <c r="B539" s="116"/>
      <c r="C539" s="116"/>
      <c r="D539" s="116"/>
      <c r="E539" s="116" cm="1">
        <f t="array" ref="E539">IF(H538&lt;&gt;"",E538,IF(E538="","",IFERROR(MATCH(TRUE(),INDEX(INDEX(K:K,E538+1):K203&lt;&gt;"",0),0)+E538,"")))</f>
        <v>680</v>
      </c>
      <c r="F539" s="117" cm="1">
        <f t="array" ref="F539">IF(E539="","",IF(H538&lt;&gt;"",H538,INDEX(D:D,E539)))</f>
        <v>0</v>
      </c>
      <c r="G539" s="117" t="str">
        <f t="shared" si="57"/>
        <v>0</v>
      </c>
      <c r="H539" s="118" t="str">
        <f t="shared" si="58"/>
        <v/>
      </c>
      <c r="I539" s="116" t="str">
        <f>IF(AND(F539&lt;&gt;"",N10&gt;0,M539&gt;N10),"Mot &gt; limite","")</f>
        <v/>
      </c>
      <c r="M539" s="70">
        <f>IF(OR(F539="",N10="",N10&lt;=0),"",IF(LEN(F539)&lt;=N10,LEN(F539),IFERROR(FIND("♦",SUBSTITUTE(LEFT(F539,N10)," ","♦",LEN(LEFT(F539,N10))-LEN(SUBSTITUTE(LEFT(F539,N10)," ","")))),FIND(" ",F539&amp;" ",N10+1)-1)))</f>
        <v>1</v>
      </c>
      <c r="N539" s="119">
        <f t="shared" si="59"/>
        <v>522</v>
      </c>
      <c r="O539" s="99" t="str">
        <f t="shared" si="60"/>
        <v>0</v>
      </c>
      <c r="P539" s="119">
        <f t="shared" si="61"/>
        <v>1</v>
      </c>
      <c r="Q539" s="119">
        <f t="shared" si="62"/>
        <v>1</v>
      </c>
      <c r="S539" s="3">
        <v>1</v>
      </c>
    </row>
    <row r="540" spans="2:19">
      <c r="B540" s="116"/>
      <c r="C540" s="116"/>
      <c r="D540" s="116"/>
      <c r="E540" s="116" cm="1">
        <f t="array" ref="E540">IF(H539&lt;&gt;"",E539,IF(E539="","",IFERROR(MATCH(TRUE(),INDEX(INDEX(K:K,E539+1):K203&lt;&gt;"",0),0)+E539,"")))</f>
        <v>681</v>
      </c>
      <c r="F540" s="117" cm="1">
        <f t="array" ref="F540">IF(E540="","",IF(H539&lt;&gt;"",H539,INDEX(D:D,E540)))</f>
        <v>0</v>
      </c>
      <c r="G540" s="117" t="str">
        <f t="shared" si="57"/>
        <v>0</v>
      </c>
      <c r="H540" s="118" t="str">
        <f t="shared" si="58"/>
        <v/>
      </c>
      <c r="I540" s="116" t="str">
        <f>IF(AND(F540&lt;&gt;"",N10&gt;0,M540&gt;N10),"Mot &gt; limite","")</f>
        <v/>
      </c>
      <c r="M540" s="70">
        <f>IF(OR(F540="",N10="",N10&lt;=0),"",IF(LEN(F540)&lt;=N10,LEN(F540),IFERROR(FIND("♦",SUBSTITUTE(LEFT(F540,N10)," ","♦",LEN(LEFT(F540,N10))-LEN(SUBSTITUTE(LEFT(F540,N10)," ","")))),FIND(" ",F540&amp;" ",N10+1)-1)))</f>
        <v>1</v>
      </c>
      <c r="N540" s="119">
        <f t="shared" si="59"/>
        <v>523</v>
      </c>
      <c r="O540" s="99" t="str">
        <f t="shared" si="60"/>
        <v>0</v>
      </c>
      <c r="P540" s="119">
        <f t="shared" si="61"/>
        <v>1</v>
      </c>
      <c r="Q540" s="119">
        <f t="shared" si="62"/>
        <v>1</v>
      </c>
      <c r="S540" s="3">
        <v>1</v>
      </c>
    </row>
    <row r="541" spans="2:19">
      <c r="B541" s="116"/>
      <c r="C541" s="116"/>
      <c r="D541" s="116"/>
      <c r="E541" s="116" cm="1">
        <f t="array" ref="E541">IF(H540&lt;&gt;"",E540,IF(E540="","",IFERROR(MATCH(TRUE(),INDEX(INDEX(K:K,E540+1):K203&lt;&gt;"",0),0)+E540,"")))</f>
        <v>682</v>
      </c>
      <c r="F541" s="117" cm="1">
        <f t="array" ref="F541">IF(E541="","",IF(H540&lt;&gt;"",H540,INDEX(D:D,E541)))</f>
        <v>0</v>
      </c>
      <c r="G541" s="117" t="str">
        <f t="shared" si="57"/>
        <v>0</v>
      </c>
      <c r="H541" s="118" t="str">
        <f t="shared" si="58"/>
        <v/>
      </c>
      <c r="I541" s="116" t="str">
        <f>IF(AND(F541&lt;&gt;"",N10&gt;0,M541&gt;N10),"Mot &gt; limite","")</f>
        <v/>
      </c>
      <c r="M541" s="70">
        <f>IF(OR(F541="",N10="",N10&lt;=0),"",IF(LEN(F541)&lt;=N10,LEN(F541),IFERROR(FIND("♦",SUBSTITUTE(LEFT(F541,N10)," ","♦",LEN(LEFT(F541,N10))-LEN(SUBSTITUTE(LEFT(F541,N10)," ","")))),FIND(" ",F541&amp;" ",N10+1)-1)))</f>
        <v>1</v>
      </c>
      <c r="N541" s="119">
        <f t="shared" si="59"/>
        <v>524</v>
      </c>
      <c r="O541" s="99" t="str">
        <f t="shared" si="60"/>
        <v>0</v>
      </c>
      <c r="P541" s="119">
        <f t="shared" si="61"/>
        <v>1</v>
      </c>
      <c r="Q541" s="119">
        <f t="shared" si="62"/>
        <v>1</v>
      </c>
      <c r="S541" s="3">
        <v>1</v>
      </c>
    </row>
    <row r="542" spans="2:19">
      <c r="B542" s="116"/>
      <c r="C542" s="116"/>
      <c r="D542" s="116"/>
      <c r="E542" s="116" cm="1">
        <f t="array" ref="E542">IF(H541&lt;&gt;"",E541,IF(E541="","",IFERROR(MATCH(TRUE(),INDEX(INDEX(K:K,E541+1):K203&lt;&gt;"",0),0)+E541,"")))</f>
        <v>683</v>
      </c>
      <c r="F542" s="117" cm="1">
        <f t="array" ref="F542">IF(E542="","",IF(H541&lt;&gt;"",H541,INDEX(D:D,E542)))</f>
        <v>0</v>
      </c>
      <c r="G542" s="117" t="str">
        <f t="shared" si="57"/>
        <v>0</v>
      </c>
      <c r="H542" s="118" t="str">
        <f t="shared" si="58"/>
        <v/>
      </c>
      <c r="I542" s="116" t="str">
        <f>IF(AND(F542&lt;&gt;"",N10&gt;0,M542&gt;N10),"Mot &gt; limite","")</f>
        <v/>
      </c>
      <c r="M542" s="70">
        <f>IF(OR(F542="",N10="",N10&lt;=0),"",IF(LEN(F542)&lt;=N10,LEN(F542),IFERROR(FIND("♦",SUBSTITUTE(LEFT(F542,N10)," ","♦",LEN(LEFT(F542,N10))-LEN(SUBSTITUTE(LEFT(F542,N10)," ","")))),FIND(" ",F542&amp;" ",N10+1)-1)))</f>
        <v>1</v>
      </c>
      <c r="N542" s="119">
        <f t="shared" si="59"/>
        <v>525</v>
      </c>
      <c r="O542" s="99" t="str">
        <f t="shared" si="60"/>
        <v>0</v>
      </c>
      <c r="P542" s="119">
        <f t="shared" si="61"/>
        <v>1</v>
      </c>
      <c r="Q542" s="119">
        <f t="shared" si="62"/>
        <v>1</v>
      </c>
      <c r="S542" s="3">
        <v>1</v>
      </c>
    </row>
    <row r="543" spans="2:19">
      <c r="B543" s="116"/>
      <c r="C543" s="116"/>
      <c r="D543" s="116"/>
      <c r="E543" s="116" cm="1">
        <f t="array" ref="E543">IF(H542&lt;&gt;"",E542,IF(E542="","",IFERROR(MATCH(TRUE(),INDEX(INDEX(K:K,E542+1):K203&lt;&gt;"",0),0)+E542,"")))</f>
        <v>684</v>
      </c>
      <c r="F543" s="117" cm="1">
        <f t="array" ref="F543">IF(E543="","",IF(H542&lt;&gt;"",H542,INDEX(D:D,E543)))</f>
        <v>0</v>
      </c>
      <c r="G543" s="117" t="str">
        <f t="shared" si="57"/>
        <v>0</v>
      </c>
      <c r="H543" s="118" t="str">
        <f t="shared" si="58"/>
        <v/>
      </c>
      <c r="I543" s="116" t="str">
        <f>IF(AND(F543&lt;&gt;"",N10&gt;0,M543&gt;N10),"Mot &gt; limite","")</f>
        <v/>
      </c>
      <c r="M543" s="70">
        <f>IF(OR(F543="",N10="",N10&lt;=0),"",IF(LEN(F543)&lt;=N10,LEN(F543),IFERROR(FIND("♦",SUBSTITUTE(LEFT(F543,N10)," ","♦",LEN(LEFT(F543,N10))-LEN(SUBSTITUTE(LEFT(F543,N10)," ","")))),FIND(" ",F543&amp;" ",N10+1)-1)))</f>
        <v>1</v>
      </c>
      <c r="N543" s="119">
        <f t="shared" si="59"/>
        <v>526</v>
      </c>
      <c r="O543" s="99" t="str">
        <f t="shared" si="60"/>
        <v>0</v>
      </c>
      <c r="P543" s="119">
        <f t="shared" si="61"/>
        <v>1</v>
      </c>
      <c r="Q543" s="119">
        <f t="shared" si="62"/>
        <v>1</v>
      </c>
      <c r="S543" s="3">
        <v>1</v>
      </c>
    </row>
    <row r="544" spans="2:19">
      <c r="B544" s="116"/>
      <c r="C544" s="116"/>
      <c r="D544" s="116"/>
      <c r="E544" s="116" cm="1">
        <f t="array" ref="E544">IF(H543&lt;&gt;"",E543,IF(E543="","",IFERROR(MATCH(TRUE(),INDEX(INDEX(K:K,E543+1):K203&lt;&gt;"",0),0)+E543,"")))</f>
        <v>685</v>
      </c>
      <c r="F544" s="117" cm="1">
        <f t="array" ref="F544">IF(E544="","",IF(H543&lt;&gt;"",H543,INDEX(D:D,E544)))</f>
        <v>0</v>
      </c>
      <c r="G544" s="117" t="str">
        <f t="shared" si="57"/>
        <v>0</v>
      </c>
      <c r="H544" s="118" t="str">
        <f t="shared" si="58"/>
        <v/>
      </c>
      <c r="I544" s="116" t="str">
        <f>IF(AND(F544&lt;&gt;"",N10&gt;0,M544&gt;N10),"Mot &gt; limite","")</f>
        <v/>
      </c>
      <c r="M544" s="70">
        <f>IF(OR(F544="",N10="",N10&lt;=0),"",IF(LEN(F544)&lt;=N10,LEN(F544),IFERROR(FIND("♦",SUBSTITUTE(LEFT(F544,N10)," ","♦",LEN(LEFT(F544,N10))-LEN(SUBSTITUTE(LEFT(F544,N10)," ","")))),FIND(" ",F544&amp;" ",N10+1)-1)))</f>
        <v>1</v>
      </c>
      <c r="N544" s="119">
        <f t="shared" si="59"/>
        <v>527</v>
      </c>
      <c r="O544" s="99" t="str">
        <f t="shared" si="60"/>
        <v>0</v>
      </c>
      <c r="P544" s="119">
        <f t="shared" si="61"/>
        <v>1</v>
      </c>
      <c r="Q544" s="119">
        <f t="shared" si="62"/>
        <v>1</v>
      </c>
      <c r="S544" s="3">
        <v>1</v>
      </c>
    </row>
    <row r="545" spans="2:19">
      <c r="B545" s="116"/>
      <c r="C545" s="116"/>
      <c r="D545" s="116"/>
      <c r="E545" s="116" cm="1">
        <f t="array" ref="E545">IF(H544&lt;&gt;"",E544,IF(E544="","",IFERROR(MATCH(TRUE(),INDEX(INDEX(K:K,E544+1):K203&lt;&gt;"",0),0)+E544,"")))</f>
        <v>686</v>
      </c>
      <c r="F545" s="117" cm="1">
        <f t="array" ref="F545">IF(E545="","",IF(H544&lt;&gt;"",H544,INDEX(D:D,E545)))</f>
        <v>0</v>
      </c>
      <c r="G545" s="117" t="str">
        <f t="shared" si="57"/>
        <v>0</v>
      </c>
      <c r="H545" s="118" t="str">
        <f t="shared" si="58"/>
        <v/>
      </c>
      <c r="I545" s="116" t="str">
        <f>IF(AND(F545&lt;&gt;"",N10&gt;0,M545&gt;N10),"Mot &gt; limite","")</f>
        <v/>
      </c>
      <c r="M545" s="70">
        <f>IF(OR(F545="",N10="",N10&lt;=0),"",IF(LEN(F545)&lt;=N10,LEN(F545),IFERROR(FIND("♦",SUBSTITUTE(LEFT(F545,N10)," ","♦",LEN(LEFT(F545,N10))-LEN(SUBSTITUTE(LEFT(F545,N10)," ","")))),FIND(" ",F545&amp;" ",N10+1)-1)))</f>
        <v>1</v>
      </c>
      <c r="N545" s="119">
        <f t="shared" si="59"/>
        <v>528</v>
      </c>
      <c r="O545" s="99" t="str">
        <f t="shared" si="60"/>
        <v>0</v>
      </c>
      <c r="P545" s="119">
        <f t="shared" si="61"/>
        <v>1</v>
      </c>
      <c r="Q545" s="119">
        <f t="shared" si="62"/>
        <v>1</v>
      </c>
      <c r="S545" s="3">
        <v>1</v>
      </c>
    </row>
    <row r="546" spans="2:19">
      <c r="B546" s="116"/>
      <c r="C546" s="116"/>
      <c r="D546" s="116"/>
      <c r="E546" s="116" cm="1">
        <f t="array" ref="E546">IF(H545&lt;&gt;"",E545,IF(E545="","",IFERROR(MATCH(TRUE(),INDEX(INDEX(K:K,E545+1):K203&lt;&gt;"",0),0)+E545,"")))</f>
        <v>687</v>
      </c>
      <c r="F546" s="117" cm="1">
        <f t="array" ref="F546">IF(E546="","",IF(H545&lt;&gt;"",H545,INDEX(D:D,E546)))</f>
        <v>0</v>
      </c>
      <c r="G546" s="117" t="str">
        <f t="shared" si="57"/>
        <v>0</v>
      </c>
      <c r="H546" s="118" t="str">
        <f t="shared" si="58"/>
        <v/>
      </c>
      <c r="I546" s="116" t="str">
        <f>IF(AND(F546&lt;&gt;"",N10&gt;0,M546&gt;N10),"Mot &gt; limite","")</f>
        <v/>
      </c>
      <c r="M546" s="70">
        <f>IF(OR(F546="",N10="",N10&lt;=0),"",IF(LEN(F546)&lt;=N10,LEN(F546),IFERROR(FIND("♦",SUBSTITUTE(LEFT(F546,N10)," ","♦",LEN(LEFT(F546,N10))-LEN(SUBSTITUTE(LEFT(F546,N10)," ","")))),FIND(" ",F546&amp;" ",N10+1)-1)))</f>
        <v>1</v>
      </c>
      <c r="N546" s="119">
        <f t="shared" si="59"/>
        <v>529</v>
      </c>
      <c r="O546" s="99" t="str">
        <f t="shared" si="60"/>
        <v>0</v>
      </c>
      <c r="P546" s="119">
        <f t="shared" si="61"/>
        <v>1</v>
      </c>
      <c r="Q546" s="119">
        <f t="shared" si="62"/>
        <v>1</v>
      </c>
      <c r="S546" s="3">
        <v>1</v>
      </c>
    </row>
    <row r="547" spans="2:19">
      <c r="B547" s="116"/>
      <c r="C547" s="116"/>
      <c r="D547" s="116"/>
      <c r="E547" s="116" cm="1">
        <f t="array" ref="E547">IF(H546&lt;&gt;"",E546,IF(E546="","",IFERROR(MATCH(TRUE(),INDEX(INDEX(K:K,E546+1):K203&lt;&gt;"",0),0)+E546,"")))</f>
        <v>688</v>
      </c>
      <c r="F547" s="117" cm="1">
        <f t="array" ref="F547">IF(E547="","",IF(H546&lt;&gt;"",H546,INDEX(D:D,E547)))</f>
        <v>0</v>
      </c>
      <c r="G547" s="117" t="str">
        <f t="shared" si="57"/>
        <v>0</v>
      </c>
      <c r="H547" s="118" t="str">
        <f t="shared" si="58"/>
        <v/>
      </c>
      <c r="I547" s="116" t="str">
        <f>IF(AND(F547&lt;&gt;"",N10&gt;0,M547&gt;N10),"Mot &gt; limite","")</f>
        <v/>
      </c>
      <c r="M547" s="70">
        <f>IF(OR(F547="",N10="",N10&lt;=0),"",IF(LEN(F547)&lt;=N10,LEN(F547),IFERROR(FIND("♦",SUBSTITUTE(LEFT(F547,N10)," ","♦",LEN(LEFT(F547,N10))-LEN(SUBSTITUTE(LEFT(F547,N10)," ","")))),FIND(" ",F547&amp;" ",N10+1)-1)))</f>
        <v>1</v>
      </c>
      <c r="N547" s="119">
        <f t="shared" si="59"/>
        <v>530</v>
      </c>
      <c r="O547" s="99" t="str">
        <f t="shared" si="60"/>
        <v>0</v>
      </c>
      <c r="P547" s="119">
        <f t="shared" si="61"/>
        <v>1</v>
      </c>
      <c r="Q547" s="119">
        <f t="shared" si="62"/>
        <v>1</v>
      </c>
      <c r="S547" s="3">
        <v>1</v>
      </c>
    </row>
    <row r="548" spans="2:19">
      <c r="B548" s="116"/>
      <c r="C548" s="116"/>
      <c r="D548" s="116"/>
      <c r="E548" s="116" cm="1">
        <f t="array" ref="E548">IF(H547&lt;&gt;"",E547,IF(E547="","",IFERROR(MATCH(TRUE(),INDEX(INDEX(K:K,E547+1):K203&lt;&gt;"",0),0)+E547,"")))</f>
        <v>689</v>
      </c>
      <c r="F548" s="117" cm="1">
        <f t="array" ref="F548">IF(E548="","",IF(H547&lt;&gt;"",H547,INDEX(D:D,E548)))</f>
        <v>0</v>
      </c>
      <c r="G548" s="117" t="str">
        <f t="shared" si="57"/>
        <v>0</v>
      </c>
      <c r="H548" s="118" t="str">
        <f t="shared" si="58"/>
        <v/>
      </c>
      <c r="I548" s="116" t="str">
        <f>IF(AND(F548&lt;&gt;"",N10&gt;0,M548&gt;N10),"Mot &gt; limite","")</f>
        <v/>
      </c>
      <c r="M548" s="70">
        <f>IF(OR(F548="",N10="",N10&lt;=0),"",IF(LEN(F548)&lt;=N10,LEN(F548),IFERROR(FIND("♦",SUBSTITUTE(LEFT(F548,N10)," ","♦",LEN(LEFT(F548,N10))-LEN(SUBSTITUTE(LEFT(F548,N10)," ","")))),FIND(" ",F548&amp;" ",N10+1)-1)))</f>
        <v>1</v>
      </c>
      <c r="N548" s="119">
        <f t="shared" si="59"/>
        <v>531</v>
      </c>
      <c r="O548" s="99" t="str">
        <f t="shared" si="60"/>
        <v>0</v>
      </c>
      <c r="P548" s="119">
        <f t="shared" si="61"/>
        <v>1</v>
      </c>
      <c r="Q548" s="119">
        <f t="shared" si="62"/>
        <v>1</v>
      </c>
      <c r="S548" s="3">
        <v>1</v>
      </c>
    </row>
    <row r="549" spans="2:19">
      <c r="B549" s="116"/>
      <c r="C549" s="116"/>
      <c r="D549" s="116"/>
      <c r="E549" s="116" cm="1">
        <f t="array" ref="E549">IF(H548&lt;&gt;"",E548,IF(E548="","",IFERROR(MATCH(TRUE(),INDEX(INDEX(K:K,E548+1):K203&lt;&gt;"",0),0)+E548,"")))</f>
        <v>690</v>
      </c>
      <c r="F549" s="117" cm="1">
        <f t="array" ref="F549">IF(E549="","",IF(H548&lt;&gt;"",H548,INDEX(D:D,E549)))</f>
        <v>0</v>
      </c>
      <c r="G549" s="117" t="str">
        <f t="shared" si="57"/>
        <v>0</v>
      </c>
      <c r="H549" s="118" t="str">
        <f t="shared" si="58"/>
        <v/>
      </c>
      <c r="I549" s="116" t="str">
        <f>IF(AND(F549&lt;&gt;"",N10&gt;0,M549&gt;N10),"Mot &gt; limite","")</f>
        <v/>
      </c>
      <c r="M549" s="70">
        <f>IF(OR(F549="",N10="",N10&lt;=0),"",IF(LEN(F549)&lt;=N10,LEN(F549),IFERROR(FIND("♦",SUBSTITUTE(LEFT(F549,N10)," ","♦",LEN(LEFT(F549,N10))-LEN(SUBSTITUTE(LEFT(F549,N10)," ","")))),FIND(" ",F549&amp;" ",N10+1)-1)))</f>
        <v>1</v>
      </c>
      <c r="N549" s="119">
        <f t="shared" si="59"/>
        <v>532</v>
      </c>
      <c r="O549" s="99" t="str">
        <f t="shared" si="60"/>
        <v>0</v>
      </c>
      <c r="P549" s="119">
        <f t="shared" si="61"/>
        <v>1</v>
      </c>
      <c r="Q549" s="119">
        <f t="shared" si="62"/>
        <v>1</v>
      </c>
      <c r="S549" s="3">
        <v>1</v>
      </c>
    </row>
    <row r="550" spans="2:19">
      <c r="B550" s="116"/>
      <c r="C550" s="116"/>
      <c r="D550" s="116"/>
      <c r="E550" s="116" cm="1">
        <f t="array" ref="E550">IF(H549&lt;&gt;"",E549,IF(E549="","",IFERROR(MATCH(TRUE(),INDEX(INDEX(K:K,E549+1):K203&lt;&gt;"",0),0)+E549,"")))</f>
        <v>691</v>
      </c>
      <c r="F550" s="117" cm="1">
        <f t="array" ref="F550">IF(E550="","",IF(H549&lt;&gt;"",H549,INDEX(D:D,E550)))</f>
        <v>0</v>
      </c>
      <c r="G550" s="117" t="str">
        <f t="shared" si="57"/>
        <v>0</v>
      </c>
      <c r="H550" s="118" t="str">
        <f t="shared" si="58"/>
        <v/>
      </c>
      <c r="I550" s="116" t="str">
        <f>IF(AND(F550&lt;&gt;"",N10&gt;0,M550&gt;N10),"Mot &gt; limite","")</f>
        <v/>
      </c>
      <c r="M550" s="70">
        <f>IF(OR(F550="",N10="",N10&lt;=0),"",IF(LEN(F550)&lt;=N10,LEN(F550),IFERROR(FIND("♦",SUBSTITUTE(LEFT(F550,N10)," ","♦",LEN(LEFT(F550,N10))-LEN(SUBSTITUTE(LEFT(F550,N10)," ","")))),FIND(" ",F550&amp;" ",N10+1)-1)))</f>
        <v>1</v>
      </c>
      <c r="N550" s="119">
        <f t="shared" si="59"/>
        <v>533</v>
      </c>
      <c r="O550" s="99" t="str">
        <f t="shared" si="60"/>
        <v>0</v>
      </c>
      <c r="P550" s="119">
        <f t="shared" si="61"/>
        <v>1</v>
      </c>
      <c r="Q550" s="119">
        <f t="shared" si="62"/>
        <v>1</v>
      </c>
      <c r="S550" s="3">
        <v>1</v>
      </c>
    </row>
    <row r="551" spans="2:19">
      <c r="B551" s="116"/>
      <c r="C551" s="116"/>
      <c r="D551" s="116"/>
      <c r="E551" s="116" cm="1">
        <f t="array" ref="E551">IF(H550&lt;&gt;"",E550,IF(E550="","",IFERROR(MATCH(TRUE(),INDEX(INDEX(K:K,E550+1):K203&lt;&gt;"",0),0)+E550,"")))</f>
        <v>692</v>
      </c>
      <c r="F551" s="117" cm="1">
        <f t="array" ref="F551">IF(E551="","",IF(H550&lt;&gt;"",H550,INDEX(D:D,E551)))</f>
        <v>0</v>
      </c>
      <c r="G551" s="117" t="str">
        <f t="shared" si="57"/>
        <v>0</v>
      </c>
      <c r="H551" s="118" t="str">
        <f t="shared" si="58"/>
        <v/>
      </c>
      <c r="I551" s="116" t="str">
        <f>IF(AND(F551&lt;&gt;"",N10&gt;0,M551&gt;N10),"Mot &gt; limite","")</f>
        <v/>
      </c>
      <c r="M551" s="70">
        <f>IF(OR(F551="",N10="",N10&lt;=0),"",IF(LEN(F551)&lt;=N10,LEN(F551),IFERROR(FIND("♦",SUBSTITUTE(LEFT(F551,N10)," ","♦",LEN(LEFT(F551,N10))-LEN(SUBSTITUTE(LEFT(F551,N10)," ","")))),FIND(" ",F551&amp;" ",N10+1)-1)))</f>
        <v>1</v>
      </c>
      <c r="N551" s="119">
        <f t="shared" si="59"/>
        <v>534</v>
      </c>
      <c r="O551" s="99" t="str">
        <f t="shared" si="60"/>
        <v>0</v>
      </c>
      <c r="P551" s="119">
        <f t="shared" si="61"/>
        <v>1</v>
      </c>
      <c r="Q551" s="119">
        <f t="shared" si="62"/>
        <v>1</v>
      </c>
      <c r="S551" s="3">
        <v>1</v>
      </c>
    </row>
    <row r="552" spans="2:19">
      <c r="B552" s="116"/>
      <c r="C552" s="116"/>
      <c r="D552" s="116"/>
      <c r="E552" s="116" cm="1">
        <f t="array" ref="E552">IF(H551&lt;&gt;"",E551,IF(E551="","",IFERROR(MATCH(TRUE(),INDEX(INDEX(K:K,E551+1):K203&lt;&gt;"",0),0)+E551,"")))</f>
        <v>693</v>
      </c>
      <c r="F552" s="117" cm="1">
        <f t="array" ref="F552">IF(E552="","",IF(H551&lt;&gt;"",H551,INDEX(D:D,E552)))</f>
        <v>0</v>
      </c>
      <c r="G552" s="117" t="str">
        <f t="shared" si="57"/>
        <v>0</v>
      </c>
      <c r="H552" s="118" t="str">
        <f t="shared" si="58"/>
        <v/>
      </c>
      <c r="I552" s="116" t="str">
        <f>IF(AND(F552&lt;&gt;"",N10&gt;0,M552&gt;N10),"Mot &gt; limite","")</f>
        <v/>
      </c>
      <c r="M552" s="70">
        <f>IF(OR(F552="",N10="",N10&lt;=0),"",IF(LEN(F552)&lt;=N10,LEN(F552),IFERROR(FIND("♦",SUBSTITUTE(LEFT(F552,N10)," ","♦",LEN(LEFT(F552,N10))-LEN(SUBSTITUTE(LEFT(F552,N10)," ","")))),FIND(" ",F552&amp;" ",N10+1)-1)))</f>
        <v>1</v>
      </c>
      <c r="N552" s="119">
        <f t="shared" si="59"/>
        <v>535</v>
      </c>
      <c r="O552" s="99" t="str">
        <f t="shared" si="60"/>
        <v>0</v>
      </c>
      <c r="P552" s="119">
        <f t="shared" si="61"/>
        <v>1</v>
      </c>
      <c r="Q552" s="119">
        <f t="shared" si="62"/>
        <v>1</v>
      </c>
      <c r="S552" s="3">
        <v>1</v>
      </c>
    </row>
    <row r="553" spans="2:19">
      <c r="B553" s="116"/>
      <c r="C553" s="116"/>
      <c r="D553" s="116"/>
      <c r="E553" s="116" cm="1">
        <f t="array" ref="E553">IF(H552&lt;&gt;"",E552,IF(E552="","",IFERROR(MATCH(TRUE(),INDEX(INDEX(K:K,E552+1):K203&lt;&gt;"",0),0)+E552,"")))</f>
        <v>694</v>
      </c>
      <c r="F553" s="117" cm="1">
        <f t="array" ref="F553">IF(E553="","",IF(H552&lt;&gt;"",H552,INDEX(D:D,E553)))</f>
        <v>0</v>
      </c>
      <c r="G553" s="117" t="str">
        <f t="shared" si="57"/>
        <v>0</v>
      </c>
      <c r="H553" s="118" t="str">
        <f t="shared" si="58"/>
        <v/>
      </c>
      <c r="I553" s="116" t="str">
        <f>IF(AND(F553&lt;&gt;"",N10&gt;0,M553&gt;N10),"Mot &gt; limite","")</f>
        <v/>
      </c>
      <c r="M553" s="70">
        <f>IF(OR(F553="",N10="",N10&lt;=0),"",IF(LEN(F553)&lt;=N10,LEN(F553),IFERROR(FIND("♦",SUBSTITUTE(LEFT(F553,N10)," ","♦",LEN(LEFT(F553,N10))-LEN(SUBSTITUTE(LEFT(F553,N10)," ","")))),FIND(" ",F553&amp;" ",N10+1)-1)))</f>
        <v>1</v>
      </c>
      <c r="N553" s="119">
        <f t="shared" si="59"/>
        <v>536</v>
      </c>
      <c r="O553" s="99" t="str">
        <f t="shared" si="60"/>
        <v>0</v>
      </c>
      <c r="P553" s="119">
        <f t="shared" si="61"/>
        <v>1</v>
      </c>
      <c r="Q553" s="119">
        <f t="shared" si="62"/>
        <v>1</v>
      </c>
      <c r="S553" s="3">
        <v>1</v>
      </c>
    </row>
    <row r="554" spans="2:19">
      <c r="B554" s="116"/>
      <c r="C554" s="116"/>
      <c r="D554" s="116"/>
      <c r="E554" s="116" cm="1">
        <f t="array" ref="E554">IF(H553&lt;&gt;"",E553,IF(E553="","",IFERROR(MATCH(TRUE(),INDEX(INDEX(K:K,E553+1):K203&lt;&gt;"",0),0)+E553,"")))</f>
        <v>695</v>
      </c>
      <c r="F554" s="117" cm="1">
        <f t="array" ref="F554">IF(E554="","",IF(H553&lt;&gt;"",H553,INDEX(D:D,E554)))</f>
        <v>0</v>
      </c>
      <c r="G554" s="117" t="str">
        <f t="shared" si="57"/>
        <v>0</v>
      </c>
      <c r="H554" s="118" t="str">
        <f t="shared" si="58"/>
        <v/>
      </c>
      <c r="I554" s="116" t="str">
        <f>IF(AND(F554&lt;&gt;"",N10&gt;0,M554&gt;N10),"Mot &gt; limite","")</f>
        <v/>
      </c>
      <c r="M554" s="70">
        <f>IF(OR(F554="",N10="",N10&lt;=0),"",IF(LEN(F554)&lt;=N10,LEN(F554),IFERROR(FIND("♦",SUBSTITUTE(LEFT(F554,N10)," ","♦",LEN(LEFT(F554,N10))-LEN(SUBSTITUTE(LEFT(F554,N10)," ","")))),FIND(" ",F554&amp;" ",N10+1)-1)))</f>
        <v>1</v>
      </c>
      <c r="N554" s="119">
        <f t="shared" si="59"/>
        <v>537</v>
      </c>
      <c r="O554" s="99" t="str">
        <f t="shared" si="60"/>
        <v>0</v>
      </c>
      <c r="P554" s="119">
        <f t="shared" si="61"/>
        <v>1</v>
      </c>
      <c r="Q554" s="119">
        <f t="shared" si="62"/>
        <v>1</v>
      </c>
      <c r="S554" s="3">
        <v>1</v>
      </c>
    </row>
    <row r="555" spans="2:19">
      <c r="B555" s="116"/>
      <c r="C555" s="116"/>
      <c r="D555" s="116"/>
      <c r="E555" s="116" cm="1">
        <f t="array" ref="E555">IF(H554&lt;&gt;"",E554,IF(E554="","",IFERROR(MATCH(TRUE(),INDEX(INDEX(K:K,E554+1):K203&lt;&gt;"",0),0)+E554,"")))</f>
        <v>696</v>
      </c>
      <c r="F555" s="117" cm="1">
        <f t="array" ref="F555">IF(E555="","",IF(H554&lt;&gt;"",H554,INDEX(D:D,E555)))</f>
        <v>0</v>
      </c>
      <c r="G555" s="117" t="str">
        <f t="shared" si="57"/>
        <v>0</v>
      </c>
      <c r="H555" s="118" t="str">
        <f t="shared" si="58"/>
        <v/>
      </c>
      <c r="I555" s="116" t="str">
        <f>IF(AND(F555&lt;&gt;"",N10&gt;0,M555&gt;N10),"Mot &gt; limite","")</f>
        <v/>
      </c>
      <c r="M555" s="70">
        <f>IF(OR(F555="",N10="",N10&lt;=0),"",IF(LEN(F555)&lt;=N10,LEN(F555),IFERROR(FIND("♦",SUBSTITUTE(LEFT(F555,N10)," ","♦",LEN(LEFT(F555,N10))-LEN(SUBSTITUTE(LEFT(F555,N10)," ","")))),FIND(" ",F555&amp;" ",N10+1)-1)))</f>
        <v>1</v>
      </c>
      <c r="N555" s="119">
        <f t="shared" si="59"/>
        <v>538</v>
      </c>
      <c r="O555" s="99" t="str">
        <f t="shared" si="60"/>
        <v>0</v>
      </c>
      <c r="P555" s="119">
        <f t="shared" si="61"/>
        <v>1</v>
      </c>
      <c r="Q555" s="119">
        <f t="shared" si="62"/>
        <v>1</v>
      </c>
      <c r="S555" s="3">
        <v>1</v>
      </c>
    </row>
    <row r="556" spans="2:19">
      <c r="B556" s="116"/>
      <c r="C556" s="116"/>
      <c r="D556" s="116"/>
      <c r="E556" s="116" cm="1">
        <f t="array" ref="E556">IF(H555&lt;&gt;"",E555,IF(E555="","",IFERROR(MATCH(TRUE(),INDEX(INDEX(K:K,E555+1):K203&lt;&gt;"",0),0)+E555,"")))</f>
        <v>697</v>
      </c>
      <c r="F556" s="117" cm="1">
        <f t="array" ref="F556">IF(E556="","",IF(H555&lt;&gt;"",H555,INDEX(D:D,E556)))</f>
        <v>0</v>
      </c>
      <c r="G556" s="117" t="str">
        <f t="shared" si="57"/>
        <v>0</v>
      </c>
      <c r="H556" s="118" t="str">
        <f t="shared" si="58"/>
        <v/>
      </c>
      <c r="I556" s="116" t="str">
        <f>IF(AND(F556&lt;&gt;"",N10&gt;0,M556&gt;N10),"Mot &gt; limite","")</f>
        <v/>
      </c>
      <c r="M556" s="70">
        <f>IF(OR(F556="",N10="",N10&lt;=0),"",IF(LEN(F556)&lt;=N10,LEN(F556),IFERROR(FIND("♦",SUBSTITUTE(LEFT(F556,N10)," ","♦",LEN(LEFT(F556,N10))-LEN(SUBSTITUTE(LEFT(F556,N10)," ","")))),FIND(" ",F556&amp;" ",N10+1)-1)))</f>
        <v>1</v>
      </c>
      <c r="N556" s="119">
        <f t="shared" si="59"/>
        <v>539</v>
      </c>
      <c r="O556" s="99" t="str">
        <f t="shared" si="60"/>
        <v>0</v>
      </c>
      <c r="P556" s="119">
        <f t="shared" si="61"/>
        <v>1</v>
      </c>
      <c r="Q556" s="119">
        <f t="shared" si="62"/>
        <v>1</v>
      </c>
      <c r="S556" s="3">
        <v>1</v>
      </c>
    </row>
    <row r="557" spans="2:19">
      <c r="B557" s="116"/>
      <c r="C557" s="116"/>
      <c r="D557" s="116"/>
      <c r="E557" s="116" cm="1">
        <f t="array" ref="E557">IF(H556&lt;&gt;"",E556,IF(E556="","",IFERROR(MATCH(TRUE(),INDEX(INDEX(K:K,E556+1):K203&lt;&gt;"",0),0)+E556,"")))</f>
        <v>698</v>
      </c>
      <c r="F557" s="117" cm="1">
        <f t="array" ref="F557">IF(E557="","",IF(H556&lt;&gt;"",H556,INDEX(D:D,E557)))</f>
        <v>0</v>
      </c>
      <c r="G557" s="117" t="str">
        <f t="shared" si="57"/>
        <v>0</v>
      </c>
      <c r="H557" s="118" t="str">
        <f t="shared" si="58"/>
        <v/>
      </c>
      <c r="I557" s="116" t="str">
        <f>IF(AND(F557&lt;&gt;"",N10&gt;0,M557&gt;N10),"Mot &gt; limite","")</f>
        <v/>
      </c>
      <c r="M557" s="70">
        <f>IF(OR(F557="",N10="",N10&lt;=0),"",IF(LEN(F557)&lt;=N10,LEN(F557),IFERROR(FIND("♦",SUBSTITUTE(LEFT(F557,N10)," ","♦",LEN(LEFT(F557,N10))-LEN(SUBSTITUTE(LEFT(F557,N10)," ","")))),FIND(" ",F557&amp;" ",N10+1)-1)))</f>
        <v>1</v>
      </c>
      <c r="N557" s="119">
        <f t="shared" si="59"/>
        <v>540</v>
      </c>
      <c r="O557" s="99" t="str">
        <f t="shared" si="60"/>
        <v>0</v>
      </c>
      <c r="P557" s="119">
        <f t="shared" si="61"/>
        <v>1</v>
      </c>
      <c r="Q557" s="119">
        <f t="shared" si="62"/>
        <v>1</v>
      </c>
      <c r="S557" s="3">
        <v>1</v>
      </c>
    </row>
    <row r="558" spans="2:19">
      <c r="B558" s="116"/>
      <c r="C558" s="116"/>
      <c r="D558" s="116"/>
      <c r="E558" s="116" cm="1">
        <f t="array" ref="E558">IF(H557&lt;&gt;"",E557,IF(E557="","",IFERROR(MATCH(TRUE(),INDEX(INDEX(K:K,E557+1):K203&lt;&gt;"",0),0)+E557,"")))</f>
        <v>699</v>
      </c>
      <c r="F558" s="117" cm="1">
        <f t="array" ref="F558">IF(E558="","",IF(H557&lt;&gt;"",H557,INDEX(D:D,E558)))</f>
        <v>0</v>
      </c>
      <c r="G558" s="117" t="str">
        <f t="shared" si="57"/>
        <v>0</v>
      </c>
      <c r="H558" s="118" t="str">
        <f t="shared" si="58"/>
        <v/>
      </c>
      <c r="I558" s="116" t="str">
        <f>IF(AND(F558&lt;&gt;"",N10&gt;0,M558&gt;N10),"Mot &gt; limite","")</f>
        <v/>
      </c>
      <c r="M558" s="70">
        <f>IF(OR(F558="",N10="",N10&lt;=0),"",IF(LEN(F558)&lt;=N10,LEN(F558),IFERROR(FIND("♦",SUBSTITUTE(LEFT(F558,N10)," ","♦",LEN(LEFT(F558,N10))-LEN(SUBSTITUTE(LEFT(F558,N10)," ","")))),FIND(" ",F558&amp;" ",N10+1)-1)))</f>
        <v>1</v>
      </c>
      <c r="N558" s="119">
        <f t="shared" si="59"/>
        <v>541</v>
      </c>
      <c r="O558" s="99" t="str">
        <f t="shared" si="60"/>
        <v>0</v>
      </c>
      <c r="P558" s="119">
        <f t="shared" si="61"/>
        <v>1</v>
      </c>
      <c r="Q558" s="119">
        <f t="shared" si="62"/>
        <v>1</v>
      </c>
      <c r="S558" s="3">
        <v>1</v>
      </c>
    </row>
    <row r="559" spans="2:19">
      <c r="B559" s="116"/>
      <c r="C559" s="116"/>
      <c r="D559" s="116"/>
      <c r="E559" s="116" cm="1">
        <f t="array" ref="E559">IF(H558&lt;&gt;"",E558,IF(E558="","",IFERROR(MATCH(TRUE(),INDEX(INDEX(K:K,E558+1):K203&lt;&gt;"",0),0)+E558,"")))</f>
        <v>700</v>
      </c>
      <c r="F559" s="117" cm="1">
        <f t="array" ref="F559">IF(E559="","",IF(H558&lt;&gt;"",H558,INDEX(D:D,E559)))</f>
        <v>0</v>
      </c>
      <c r="G559" s="117" t="str">
        <f t="shared" si="57"/>
        <v>0</v>
      </c>
      <c r="H559" s="118" t="str">
        <f t="shared" si="58"/>
        <v/>
      </c>
      <c r="I559" s="116" t="str">
        <f>IF(AND(F559&lt;&gt;"",N10&gt;0,M559&gt;N10),"Mot &gt; limite","")</f>
        <v/>
      </c>
      <c r="M559" s="70">
        <f>IF(OR(F559="",N10="",N10&lt;=0),"",IF(LEN(F559)&lt;=N10,LEN(F559),IFERROR(FIND("♦",SUBSTITUTE(LEFT(F559,N10)," ","♦",LEN(LEFT(F559,N10))-LEN(SUBSTITUTE(LEFT(F559,N10)," ","")))),FIND(" ",F559&amp;" ",N10+1)-1)))</f>
        <v>1</v>
      </c>
      <c r="N559" s="119">
        <f t="shared" si="59"/>
        <v>542</v>
      </c>
      <c r="O559" s="99" t="str">
        <f t="shared" si="60"/>
        <v>0</v>
      </c>
      <c r="P559" s="119">
        <f t="shared" si="61"/>
        <v>1</v>
      </c>
      <c r="Q559" s="119">
        <f t="shared" si="62"/>
        <v>1</v>
      </c>
      <c r="S559" s="3">
        <v>1</v>
      </c>
    </row>
    <row r="560" spans="2:19">
      <c r="B560" s="116"/>
      <c r="C560" s="116"/>
      <c r="D560" s="116"/>
      <c r="E560" s="116" cm="1">
        <f t="array" ref="E560">IF(H559&lt;&gt;"",E559,IF(E559="","",IFERROR(MATCH(TRUE(),INDEX(INDEX(K:K,E559+1):K203&lt;&gt;"",0),0)+E559,"")))</f>
        <v>701</v>
      </c>
      <c r="F560" s="117" cm="1">
        <f t="array" ref="F560">IF(E560="","",IF(H559&lt;&gt;"",H559,INDEX(D:D,E560)))</f>
        <v>0</v>
      </c>
      <c r="G560" s="117" t="str">
        <f t="shared" si="57"/>
        <v>0</v>
      </c>
      <c r="H560" s="118" t="str">
        <f t="shared" si="58"/>
        <v/>
      </c>
      <c r="I560" s="116" t="str">
        <f>IF(AND(F560&lt;&gt;"",N10&gt;0,M560&gt;N10),"Mot &gt; limite","")</f>
        <v/>
      </c>
      <c r="M560" s="70">
        <f>IF(OR(F560="",N10="",N10&lt;=0),"",IF(LEN(F560)&lt;=N10,LEN(F560),IFERROR(FIND("♦",SUBSTITUTE(LEFT(F560,N10)," ","♦",LEN(LEFT(F560,N10))-LEN(SUBSTITUTE(LEFT(F560,N10)," ","")))),FIND(" ",F560&amp;" ",N10+1)-1)))</f>
        <v>1</v>
      </c>
      <c r="N560" s="119">
        <f t="shared" si="59"/>
        <v>543</v>
      </c>
      <c r="O560" s="99" t="str">
        <f t="shared" si="60"/>
        <v>0</v>
      </c>
      <c r="P560" s="119">
        <f t="shared" si="61"/>
        <v>1</v>
      </c>
      <c r="Q560" s="119">
        <f t="shared" si="62"/>
        <v>1</v>
      </c>
      <c r="S560" s="3">
        <v>1</v>
      </c>
    </row>
    <row r="561" spans="2:19">
      <c r="B561" s="116"/>
      <c r="C561" s="116"/>
      <c r="D561" s="116"/>
      <c r="E561" s="116" cm="1">
        <f t="array" ref="E561">IF(H560&lt;&gt;"",E560,IF(E560="","",IFERROR(MATCH(TRUE(),INDEX(INDEX(K:K,E560+1):K203&lt;&gt;"",0),0)+E560,"")))</f>
        <v>702</v>
      </c>
      <c r="F561" s="117" cm="1">
        <f t="array" ref="F561">IF(E561="","",IF(H560&lt;&gt;"",H560,INDEX(D:D,E561)))</f>
        <v>0</v>
      </c>
      <c r="G561" s="117" t="str">
        <f t="shared" si="57"/>
        <v>0</v>
      </c>
      <c r="H561" s="118" t="str">
        <f t="shared" si="58"/>
        <v/>
      </c>
      <c r="I561" s="116" t="str">
        <f>IF(AND(F561&lt;&gt;"",N10&gt;0,M561&gt;N10),"Mot &gt; limite","")</f>
        <v/>
      </c>
      <c r="M561" s="70">
        <f>IF(OR(F561="",N10="",N10&lt;=0),"",IF(LEN(F561)&lt;=N10,LEN(F561),IFERROR(FIND("♦",SUBSTITUTE(LEFT(F561,N10)," ","♦",LEN(LEFT(F561,N10))-LEN(SUBSTITUTE(LEFT(F561,N10)," ","")))),FIND(" ",F561&amp;" ",N10+1)-1)))</f>
        <v>1</v>
      </c>
      <c r="N561" s="119">
        <f t="shared" si="59"/>
        <v>544</v>
      </c>
      <c r="O561" s="99" t="str">
        <f t="shared" si="60"/>
        <v>0</v>
      </c>
      <c r="P561" s="119">
        <f t="shared" si="61"/>
        <v>1</v>
      </c>
      <c r="Q561" s="119">
        <f t="shared" si="62"/>
        <v>1</v>
      </c>
      <c r="S561" s="3">
        <v>1</v>
      </c>
    </row>
    <row r="562" spans="2:19">
      <c r="B562" s="116"/>
      <c r="C562" s="116"/>
      <c r="D562" s="116"/>
      <c r="E562" s="116" cm="1">
        <f t="array" ref="E562">IF(H561&lt;&gt;"",E561,IF(E561="","",IFERROR(MATCH(TRUE(),INDEX(INDEX(K:K,E561+1):K203&lt;&gt;"",0),0)+E561,"")))</f>
        <v>703</v>
      </c>
      <c r="F562" s="117" cm="1">
        <f t="array" ref="F562">IF(E562="","",IF(H561&lt;&gt;"",H561,INDEX(D:D,E562)))</f>
        <v>0</v>
      </c>
      <c r="G562" s="117" t="str">
        <f t="shared" si="57"/>
        <v>0</v>
      </c>
      <c r="H562" s="118" t="str">
        <f t="shared" si="58"/>
        <v/>
      </c>
      <c r="I562" s="116" t="str">
        <f>IF(AND(F562&lt;&gt;"",N10&gt;0,M562&gt;N10),"Mot &gt; limite","")</f>
        <v/>
      </c>
      <c r="M562" s="70">
        <f>IF(OR(F562="",N10="",N10&lt;=0),"",IF(LEN(F562)&lt;=N10,LEN(F562),IFERROR(FIND("♦",SUBSTITUTE(LEFT(F562,N10)," ","♦",LEN(LEFT(F562,N10))-LEN(SUBSTITUTE(LEFT(F562,N10)," ","")))),FIND(" ",F562&amp;" ",N10+1)-1)))</f>
        <v>1</v>
      </c>
      <c r="N562" s="119">
        <f t="shared" si="59"/>
        <v>545</v>
      </c>
      <c r="O562" s="99" t="str">
        <f t="shared" si="60"/>
        <v>0</v>
      </c>
      <c r="P562" s="119">
        <f t="shared" si="61"/>
        <v>1</v>
      </c>
      <c r="Q562" s="119">
        <f t="shared" si="62"/>
        <v>1</v>
      </c>
      <c r="S562" s="3">
        <v>1</v>
      </c>
    </row>
    <row r="563" spans="2:19">
      <c r="B563" s="116"/>
      <c r="C563" s="116"/>
      <c r="D563" s="116"/>
      <c r="E563" s="116" cm="1">
        <f t="array" ref="E563">IF(H562&lt;&gt;"",E562,IF(E562="","",IFERROR(MATCH(TRUE(),INDEX(INDEX(K:K,E562+1):K203&lt;&gt;"",0),0)+E562,"")))</f>
        <v>704</v>
      </c>
      <c r="F563" s="117" cm="1">
        <f t="array" ref="F563">IF(E563="","",IF(H562&lt;&gt;"",H562,INDEX(D:D,E563)))</f>
        <v>0</v>
      </c>
      <c r="G563" s="117" t="str">
        <f t="shared" si="57"/>
        <v>0</v>
      </c>
      <c r="H563" s="118" t="str">
        <f t="shared" si="58"/>
        <v/>
      </c>
      <c r="I563" s="116" t="str">
        <f>IF(AND(F563&lt;&gt;"",N10&gt;0,M563&gt;N10),"Mot &gt; limite","")</f>
        <v/>
      </c>
      <c r="M563" s="70">
        <f>IF(OR(F563="",N10="",N10&lt;=0),"",IF(LEN(F563)&lt;=N10,LEN(F563),IFERROR(FIND("♦",SUBSTITUTE(LEFT(F563,N10)," ","♦",LEN(LEFT(F563,N10))-LEN(SUBSTITUTE(LEFT(F563,N10)," ","")))),FIND(" ",F563&amp;" ",N10+1)-1)))</f>
        <v>1</v>
      </c>
      <c r="N563" s="119">
        <f t="shared" si="59"/>
        <v>546</v>
      </c>
      <c r="O563" s="99" t="str">
        <f t="shared" si="60"/>
        <v>0</v>
      </c>
      <c r="P563" s="119">
        <f t="shared" si="61"/>
        <v>1</v>
      </c>
      <c r="Q563" s="119">
        <f t="shared" si="62"/>
        <v>1</v>
      </c>
      <c r="S563" s="3">
        <v>1</v>
      </c>
    </row>
    <row r="564" spans="2:19">
      <c r="B564" s="116"/>
      <c r="C564" s="116"/>
      <c r="D564" s="116"/>
      <c r="E564" s="116" cm="1">
        <f t="array" ref="E564">IF(H563&lt;&gt;"",E563,IF(E563="","",IFERROR(MATCH(TRUE(),INDEX(INDEX(K:K,E563+1):K203&lt;&gt;"",0),0)+E563,"")))</f>
        <v>705</v>
      </c>
      <c r="F564" s="117" cm="1">
        <f t="array" ref="F564">IF(E564="","",IF(H563&lt;&gt;"",H563,INDEX(D:D,E564)))</f>
        <v>0</v>
      </c>
      <c r="G564" s="117" t="str">
        <f t="shared" si="57"/>
        <v>0</v>
      </c>
      <c r="H564" s="118" t="str">
        <f t="shared" si="58"/>
        <v/>
      </c>
      <c r="I564" s="116" t="str">
        <f>IF(AND(F564&lt;&gt;"",N10&gt;0,M564&gt;N10),"Mot &gt; limite","")</f>
        <v/>
      </c>
      <c r="M564" s="70">
        <f>IF(OR(F564="",N10="",N10&lt;=0),"",IF(LEN(F564)&lt;=N10,LEN(F564),IFERROR(FIND("♦",SUBSTITUTE(LEFT(F564,N10)," ","♦",LEN(LEFT(F564,N10))-LEN(SUBSTITUTE(LEFT(F564,N10)," ","")))),FIND(" ",F564&amp;" ",N10+1)-1)))</f>
        <v>1</v>
      </c>
      <c r="N564" s="119">
        <f t="shared" si="59"/>
        <v>547</v>
      </c>
      <c r="O564" s="99" t="str">
        <f t="shared" si="60"/>
        <v>0</v>
      </c>
      <c r="P564" s="119">
        <f t="shared" si="61"/>
        <v>1</v>
      </c>
      <c r="Q564" s="119">
        <f t="shared" si="62"/>
        <v>1</v>
      </c>
      <c r="S564" s="3">
        <v>1</v>
      </c>
    </row>
    <row r="565" spans="2:19">
      <c r="B565" s="116"/>
      <c r="C565" s="116"/>
      <c r="D565" s="116"/>
      <c r="E565" s="116" cm="1">
        <f t="array" ref="E565">IF(H564&lt;&gt;"",E564,IF(E564="","",IFERROR(MATCH(TRUE(),INDEX(INDEX(K:K,E564+1):K203&lt;&gt;"",0),0)+E564,"")))</f>
        <v>706</v>
      </c>
      <c r="F565" s="117" cm="1">
        <f t="array" ref="F565">IF(E565="","",IF(H564&lt;&gt;"",H564,INDEX(D:D,E565)))</f>
        <v>0</v>
      </c>
      <c r="G565" s="117" t="str">
        <f t="shared" si="57"/>
        <v>0</v>
      </c>
      <c r="H565" s="118" t="str">
        <f t="shared" si="58"/>
        <v/>
      </c>
      <c r="I565" s="116" t="str">
        <f>IF(AND(F565&lt;&gt;"",N10&gt;0,M565&gt;N10),"Mot &gt; limite","")</f>
        <v/>
      </c>
      <c r="M565" s="70">
        <f>IF(OR(F565="",N10="",N10&lt;=0),"",IF(LEN(F565)&lt;=N10,LEN(F565),IFERROR(FIND("♦",SUBSTITUTE(LEFT(F565,N10)," ","♦",LEN(LEFT(F565,N10))-LEN(SUBSTITUTE(LEFT(F565,N10)," ","")))),FIND(" ",F565&amp;" ",N10+1)-1)))</f>
        <v>1</v>
      </c>
      <c r="N565" s="119">
        <f t="shared" si="59"/>
        <v>548</v>
      </c>
      <c r="O565" s="99" t="str">
        <f t="shared" si="60"/>
        <v>0</v>
      </c>
      <c r="P565" s="119">
        <f t="shared" si="61"/>
        <v>1</v>
      </c>
      <c r="Q565" s="119">
        <f t="shared" si="62"/>
        <v>1</v>
      </c>
      <c r="S565" s="3">
        <v>1</v>
      </c>
    </row>
    <row r="566" spans="2:19">
      <c r="B566" s="116"/>
      <c r="C566" s="116"/>
      <c r="D566" s="116"/>
      <c r="E566" s="116" cm="1">
        <f t="array" ref="E566">IF(H565&lt;&gt;"",E565,IF(E565="","",IFERROR(MATCH(TRUE(),INDEX(INDEX(K:K,E565+1):K203&lt;&gt;"",0),0)+E565,"")))</f>
        <v>707</v>
      </c>
      <c r="F566" s="117" cm="1">
        <f t="array" ref="F566">IF(E566="","",IF(H565&lt;&gt;"",H565,INDEX(D:D,E566)))</f>
        <v>0</v>
      </c>
      <c r="G566" s="117" t="str">
        <f t="shared" si="57"/>
        <v>0</v>
      </c>
      <c r="H566" s="118" t="str">
        <f t="shared" si="58"/>
        <v/>
      </c>
      <c r="I566" s="116" t="str">
        <f>IF(AND(F566&lt;&gt;"",N10&gt;0,M566&gt;N10),"Mot &gt; limite","")</f>
        <v/>
      </c>
      <c r="M566" s="70">
        <f>IF(OR(F566="",N10="",N10&lt;=0),"",IF(LEN(F566)&lt;=N10,LEN(F566),IFERROR(FIND("♦",SUBSTITUTE(LEFT(F566,N10)," ","♦",LEN(LEFT(F566,N10))-LEN(SUBSTITUTE(LEFT(F566,N10)," ","")))),FIND(" ",F566&amp;" ",N10+1)-1)))</f>
        <v>1</v>
      </c>
      <c r="N566" s="119">
        <f t="shared" si="59"/>
        <v>549</v>
      </c>
      <c r="O566" s="99" t="str">
        <f t="shared" si="60"/>
        <v>0</v>
      </c>
      <c r="P566" s="119">
        <f t="shared" si="61"/>
        <v>1</v>
      </c>
      <c r="Q566" s="119">
        <f t="shared" si="62"/>
        <v>1</v>
      </c>
      <c r="S566" s="3">
        <v>1</v>
      </c>
    </row>
    <row r="567" spans="2:19">
      <c r="B567" s="116"/>
      <c r="C567" s="116"/>
      <c r="D567" s="116"/>
      <c r="E567" s="116" cm="1">
        <f t="array" ref="E567">IF(H566&lt;&gt;"",E566,IF(E566="","",IFERROR(MATCH(TRUE(),INDEX(INDEX(K:K,E566+1):K203&lt;&gt;"",0),0)+E566,"")))</f>
        <v>708</v>
      </c>
      <c r="F567" s="117" cm="1">
        <f t="array" ref="F567">IF(E567="","",IF(H566&lt;&gt;"",H566,INDEX(D:D,E567)))</f>
        <v>0</v>
      </c>
      <c r="G567" s="117" t="str">
        <f t="shared" si="57"/>
        <v>0</v>
      </c>
      <c r="H567" s="118" t="str">
        <f t="shared" si="58"/>
        <v/>
      </c>
      <c r="I567" s="116" t="str">
        <f>IF(AND(F567&lt;&gt;"",N10&gt;0,M567&gt;N10),"Mot &gt; limite","")</f>
        <v/>
      </c>
      <c r="M567" s="70">
        <f>IF(OR(F567="",N10="",N10&lt;=0),"",IF(LEN(F567)&lt;=N10,LEN(F567),IFERROR(FIND("♦",SUBSTITUTE(LEFT(F567,N10)," ","♦",LEN(LEFT(F567,N10))-LEN(SUBSTITUTE(LEFT(F567,N10)," ","")))),FIND(" ",F567&amp;" ",N10+1)-1)))</f>
        <v>1</v>
      </c>
      <c r="N567" s="119">
        <f t="shared" si="59"/>
        <v>550</v>
      </c>
      <c r="O567" s="99" t="str">
        <f t="shared" si="60"/>
        <v>0</v>
      </c>
      <c r="P567" s="119">
        <f t="shared" si="61"/>
        <v>1</v>
      </c>
      <c r="Q567" s="119">
        <f t="shared" si="62"/>
        <v>1</v>
      </c>
      <c r="S567" s="3">
        <v>1</v>
      </c>
    </row>
    <row r="568" spans="2:19">
      <c r="B568" s="116"/>
      <c r="C568" s="116"/>
      <c r="D568" s="116"/>
      <c r="E568" s="116" cm="1">
        <f t="array" ref="E568">IF(H567&lt;&gt;"",E567,IF(E567="","",IFERROR(MATCH(TRUE(),INDEX(INDEX(K:K,E567+1):K203&lt;&gt;"",0),0)+E567,"")))</f>
        <v>709</v>
      </c>
      <c r="F568" s="117" cm="1">
        <f t="array" ref="F568">IF(E568="","",IF(H567&lt;&gt;"",H567,INDEX(D:D,E568)))</f>
        <v>0</v>
      </c>
      <c r="G568" s="117" t="str">
        <f t="shared" si="57"/>
        <v>0</v>
      </c>
      <c r="H568" s="118" t="str">
        <f t="shared" si="58"/>
        <v/>
      </c>
      <c r="I568" s="116" t="str">
        <f>IF(AND(F568&lt;&gt;"",N10&gt;0,M568&gt;N10),"Mot &gt; limite","")</f>
        <v/>
      </c>
      <c r="M568" s="70">
        <f>IF(OR(F568="",N10="",N10&lt;=0),"",IF(LEN(F568)&lt;=N10,LEN(F568),IFERROR(FIND("♦",SUBSTITUTE(LEFT(F568,N10)," ","♦",LEN(LEFT(F568,N10))-LEN(SUBSTITUTE(LEFT(F568,N10)," ","")))),FIND(" ",F568&amp;" ",N10+1)-1)))</f>
        <v>1</v>
      </c>
      <c r="N568" s="119">
        <f t="shared" si="59"/>
        <v>551</v>
      </c>
      <c r="O568" s="99" t="str">
        <f t="shared" si="60"/>
        <v>0</v>
      </c>
      <c r="P568" s="119">
        <f t="shared" si="61"/>
        <v>1</v>
      </c>
      <c r="Q568" s="119">
        <f t="shared" si="62"/>
        <v>1</v>
      </c>
      <c r="S568" s="3">
        <v>1</v>
      </c>
    </row>
    <row r="569" spans="2:19">
      <c r="B569" s="116"/>
      <c r="C569" s="116"/>
      <c r="D569" s="116"/>
      <c r="E569" s="116" cm="1">
        <f t="array" ref="E569">IF(H568&lt;&gt;"",E568,IF(E568="","",IFERROR(MATCH(TRUE(),INDEX(INDEX(K:K,E568+1):K203&lt;&gt;"",0),0)+E568,"")))</f>
        <v>710</v>
      </c>
      <c r="F569" s="117" cm="1">
        <f t="array" ref="F569">IF(E569="","",IF(H568&lt;&gt;"",H568,INDEX(D:D,E569)))</f>
        <v>0</v>
      </c>
      <c r="G569" s="117" t="str">
        <f t="shared" si="57"/>
        <v>0</v>
      </c>
      <c r="H569" s="118" t="str">
        <f t="shared" si="58"/>
        <v/>
      </c>
      <c r="I569" s="116" t="str">
        <f>IF(AND(F569&lt;&gt;"",N10&gt;0,M569&gt;N10),"Mot &gt; limite","")</f>
        <v/>
      </c>
      <c r="M569" s="70">
        <f>IF(OR(F569="",N10="",N10&lt;=0),"",IF(LEN(F569)&lt;=N10,LEN(F569),IFERROR(FIND("♦",SUBSTITUTE(LEFT(F569,N10)," ","♦",LEN(LEFT(F569,N10))-LEN(SUBSTITUTE(LEFT(F569,N10)," ","")))),FIND(" ",F569&amp;" ",N10+1)-1)))</f>
        <v>1</v>
      </c>
      <c r="N569" s="119">
        <f t="shared" si="59"/>
        <v>552</v>
      </c>
      <c r="O569" s="99" t="str">
        <f t="shared" si="60"/>
        <v>0</v>
      </c>
      <c r="P569" s="119">
        <f t="shared" si="61"/>
        <v>1</v>
      </c>
      <c r="Q569" s="119">
        <f t="shared" si="62"/>
        <v>1</v>
      </c>
      <c r="S569" s="3">
        <v>1</v>
      </c>
    </row>
    <row r="570" spans="2:19">
      <c r="B570" s="116"/>
      <c r="C570" s="116"/>
      <c r="D570" s="116"/>
      <c r="E570" s="116" cm="1">
        <f t="array" ref="E570">IF(H569&lt;&gt;"",E569,IF(E569="","",IFERROR(MATCH(TRUE(),INDEX(INDEX(K:K,E569+1):K203&lt;&gt;"",0),0)+E569,"")))</f>
        <v>711</v>
      </c>
      <c r="F570" s="117" cm="1">
        <f t="array" ref="F570">IF(E570="","",IF(H569&lt;&gt;"",H569,INDEX(D:D,E570)))</f>
        <v>0</v>
      </c>
      <c r="G570" s="117" t="str">
        <f t="shared" si="57"/>
        <v>0</v>
      </c>
      <c r="H570" s="118" t="str">
        <f t="shared" si="58"/>
        <v/>
      </c>
      <c r="I570" s="116" t="str">
        <f>IF(AND(F570&lt;&gt;"",N10&gt;0,M570&gt;N10),"Mot &gt; limite","")</f>
        <v/>
      </c>
      <c r="M570" s="70">
        <f>IF(OR(F570="",N10="",N10&lt;=0),"",IF(LEN(F570)&lt;=N10,LEN(F570),IFERROR(FIND("♦",SUBSTITUTE(LEFT(F570,N10)," ","♦",LEN(LEFT(F570,N10))-LEN(SUBSTITUTE(LEFT(F570,N10)," ","")))),FIND(" ",F570&amp;" ",N10+1)-1)))</f>
        <v>1</v>
      </c>
      <c r="N570" s="119">
        <f t="shared" si="59"/>
        <v>553</v>
      </c>
      <c r="O570" s="99" t="str">
        <f t="shared" si="60"/>
        <v>0</v>
      </c>
      <c r="P570" s="119">
        <f t="shared" si="61"/>
        <v>1</v>
      </c>
      <c r="Q570" s="119">
        <f t="shared" si="62"/>
        <v>1</v>
      </c>
      <c r="S570" s="3">
        <v>1</v>
      </c>
    </row>
    <row r="571" spans="2:19">
      <c r="B571" s="116"/>
      <c r="C571" s="116"/>
      <c r="D571" s="116"/>
      <c r="E571" s="116" cm="1">
        <f t="array" ref="E571">IF(H570&lt;&gt;"",E570,IF(E570="","",IFERROR(MATCH(TRUE(),INDEX(INDEX(K:K,E570+1):K203&lt;&gt;"",0),0)+E570,"")))</f>
        <v>712</v>
      </c>
      <c r="F571" s="117" cm="1">
        <f t="array" ref="F571">IF(E571="","",IF(H570&lt;&gt;"",H570,INDEX(D:D,E571)))</f>
        <v>0</v>
      </c>
      <c r="G571" s="117" t="str">
        <f t="shared" si="57"/>
        <v>0</v>
      </c>
      <c r="H571" s="118" t="str">
        <f t="shared" si="58"/>
        <v/>
      </c>
      <c r="I571" s="116" t="str">
        <f>IF(AND(F571&lt;&gt;"",N10&gt;0,M571&gt;N10),"Mot &gt; limite","")</f>
        <v/>
      </c>
      <c r="M571" s="70">
        <f>IF(OR(F571="",N10="",N10&lt;=0),"",IF(LEN(F571)&lt;=N10,LEN(F571),IFERROR(FIND("♦",SUBSTITUTE(LEFT(F571,N10)," ","♦",LEN(LEFT(F571,N10))-LEN(SUBSTITUTE(LEFT(F571,N10)," ","")))),FIND(" ",F571&amp;" ",N10+1)-1)))</f>
        <v>1</v>
      </c>
      <c r="N571" s="119">
        <f t="shared" si="59"/>
        <v>554</v>
      </c>
      <c r="O571" s="99" t="str">
        <f t="shared" si="60"/>
        <v>0</v>
      </c>
      <c r="P571" s="119">
        <f t="shared" si="61"/>
        <v>1</v>
      </c>
      <c r="Q571" s="119">
        <f t="shared" si="62"/>
        <v>1</v>
      </c>
      <c r="S571" s="3">
        <v>1</v>
      </c>
    </row>
    <row r="572" spans="2:19">
      <c r="B572" s="116"/>
      <c r="C572" s="116"/>
      <c r="D572" s="116"/>
      <c r="E572" s="116" cm="1">
        <f t="array" ref="E572">IF(H571&lt;&gt;"",E571,IF(E571="","",IFERROR(MATCH(TRUE(),INDEX(INDEX(K:K,E571+1):K203&lt;&gt;"",0),0)+E571,"")))</f>
        <v>713</v>
      </c>
      <c r="F572" s="117" cm="1">
        <f t="array" ref="F572">IF(E572="","",IF(H571&lt;&gt;"",H571,INDEX(D:D,E572)))</f>
        <v>0</v>
      </c>
      <c r="G572" s="117" t="str">
        <f t="shared" si="57"/>
        <v>0</v>
      </c>
      <c r="H572" s="118" t="str">
        <f t="shared" si="58"/>
        <v/>
      </c>
      <c r="I572" s="116" t="str">
        <f>IF(AND(F572&lt;&gt;"",N10&gt;0,M572&gt;N10),"Mot &gt; limite","")</f>
        <v/>
      </c>
      <c r="M572" s="70">
        <f>IF(OR(F572="",N10="",N10&lt;=0),"",IF(LEN(F572)&lt;=N10,LEN(F572),IFERROR(FIND("♦",SUBSTITUTE(LEFT(F572,N10)," ","♦",LEN(LEFT(F572,N10))-LEN(SUBSTITUTE(LEFT(F572,N10)," ","")))),FIND(" ",F572&amp;" ",N10+1)-1)))</f>
        <v>1</v>
      </c>
      <c r="N572" s="119">
        <f t="shared" si="59"/>
        <v>555</v>
      </c>
      <c r="O572" s="99" t="str">
        <f t="shared" si="60"/>
        <v>0</v>
      </c>
      <c r="P572" s="119">
        <f t="shared" si="61"/>
        <v>1</v>
      </c>
      <c r="Q572" s="119">
        <f t="shared" si="62"/>
        <v>1</v>
      </c>
      <c r="S572" s="3">
        <v>1</v>
      </c>
    </row>
    <row r="573" spans="2:19">
      <c r="B573" s="116"/>
      <c r="C573" s="116"/>
      <c r="D573" s="116"/>
      <c r="E573" s="116" cm="1">
        <f t="array" ref="E573">IF(H572&lt;&gt;"",E572,IF(E572="","",IFERROR(MATCH(TRUE(),INDEX(INDEX(K:K,E572+1):K203&lt;&gt;"",0),0)+E572,"")))</f>
        <v>714</v>
      </c>
      <c r="F573" s="117" cm="1">
        <f t="array" ref="F573">IF(E573="","",IF(H572&lt;&gt;"",H572,INDEX(D:D,E573)))</f>
        <v>0</v>
      </c>
      <c r="G573" s="117" t="str">
        <f t="shared" si="57"/>
        <v>0</v>
      </c>
      <c r="H573" s="118" t="str">
        <f t="shared" si="58"/>
        <v/>
      </c>
      <c r="I573" s="116" t="str">
        <f>IF(AND(F573&lt;&gt;"",N10&gt;0,M573&gt;N10),"Mot &gt; limite","")</f>
        <v/>
      </c>
      <c r="M573" s="70">
        <f>IF(OR(F573="",N10="",N10&lt;=0),"",IF(LEN(F573)&lt;=N10,LEN(F573),IFERROR(FIND("♦",SUBSTITUTE(LEFT(F573,N10)," ","♦",LEN(LEFT(F573,N10))-LEN(SUBSTITUTE(LEFT(F573,N10)," ","")))),FIND(" ",F573&amp;" ",N10+1)-1)))</f>
        <v>1</v>
      </c>
      <c r="N573" s="119">
        <f t="shared" si="59"/>
        <v>556</v>
      </c>
      <c r="O573" s="99" t="str">
        <f t="shared" si="60"/>
        <v>0</v>
      </c>
      <c r="P573" s="119">
        <f t="shared" si="61"/>
        <v>1</v>
      </c>
      <c r="Q573" s="119">
        <f t="shared" si="62"/>
        <v>1</v>
      </c>
      <c r="S573" s="3">
        <v>1</v>
      </c>
    </row>
    <row r="574" spans="2:19">
      <c r="B574" s="116"/>
      <c r="C574" s="116"/>
      <c r="D574" s="116"/>
      <c r="E574" s="116" cm="1">
        <f t="array" ref="E574">IF(H573&lt;&gt;"",E573,IF(E573="","",IFERROR(MATCH(TRUE(),INDEX(INDEX(K:K,E573+1):K203&lt;&gt;"",0),0)+E573,"")))</f>
        <v>715</v>
      </c>
      <c r="F574" s="117" cm="1">
        <f t="array" ref="F574">IF(E574="","",IF(H573&lt;&gt;"",H573,INDEX(D:D,E574)))</f>
        <v>0</v>
      </c>
      <c r="G574" s="117" t="str">
        <f t="shared" si="57"/>
        <v>0</v>
      </c>
      <c r="H574" s="118" t="str">
        <f t="shared" si="58"/>
        <v/>
      </c>
      <c r="I574" s="116" t="str">
        <f>IF(AND(F574&lt;&gt;"",N10&gt;0,M574&gt;N10),"Mot &gt; limite","")</f>
        <v/>
      </c>
      <c r="M574" s="70">
        <f>IF(OR(F574="",N10="",N10&lt;=0),"",IF(LEN(F574)&lt;=N10,LEN(F574),IFERROR(FIND("♦",SUBSTITUTE(LEFT(F574,N10)," ","♦",LEN(LEFT(F574,N10))-LEN(SUBSTITUTE(LEFT(F574,N10)," ","")))),FIND(" ",F574&amp;" ",N10+1)-1)))</f>
        <v>1</v>
      </c>
      <c r="N574" s="119">
        <f t="shared" si="59"/>
        <v>557</v>
      </c>
      <c r="O574" s="99" t="str">
        <f t="shared" si="60"/>
        <v>0</v>
      </c>
      <c r="P574" s="119">
        <f t="shared" si="61"/>
        <v>1</v>
      </c>
      <c r="Q574" s="119">
        <f t="shared" si="62"/>
        <v>1</v>
      </c>
      <c r="S574" s="3">
        <v>1</v>
      </c>
    </row>
    <row r="575" spans="2:19">
      <c r="B575" s="116"/>
      <c r="C575" s="116"/>
      <c r="D575" s="116"/>
      <c r="E575" s="116" cm="1">
        <f t="array" ref="E575">IF(H574&lt;&gt;"",E574,IF(E574="","",IFERROR(MATCH(TRUE(),INDEX(INDEX(K:K,E574+1):K203&lt;&gt;"",0),0)+E574,"")))</f>
        <v>716</v>
      </c>
      <c r="F575" s="117" cm="1">
        <f t="array" ref="F575">IF(E575="","",IF(H574&lt;&gt;"",H574,INDEX(D:D,E575)))</f>
        <v>0</v>
      </c>
      <c r="G575" s="117" t="str">
        <f t="shared" si="57"/>
        <v>0</v>
      </c>
      <c r="H575" s="118" t="str">
        <f t="shared" si="58"/>
        <v/>
      </c>
      <c r="I575" s="116" t="str">
        <f>IF(AND(F575&lt;&gt;"",N10&gt;0,M575&gt;N10),"Mot &gt; limite","")</f>
        <v/>
      </c>
      <c r="M575" s="70">
        <f>IF(OR(F575="",N10="",N10&lt;=0),"",IF(LEN(F575)&lt;=N10,LEN(F575),IFERROR(FIND("♦",SUBSTITUTE(LEFT(F575,N10)," ","♦",LEN(LEFT(F575,N10))-LEN(SUBSTITUTE(LEFT(F575,N10)," ","")))),FIND(" ",F575&amp;" ",N10+1)-1)))</f>
        <v>1</v>
      </c>
      <c r="N575" s="119">
        <f t="shared" si="59"/>
        <v>558</v>
      </c>
      <c r="O575" s="99" t="str">
        <f t="shared" si="60"/>
        <v>0</v>
      </c>
      <c r="P575" s="119">
        <f t="shared" si="61"/>
        <v>1</v>
      </c>
      <c r="Q575" s="119">
        <f t="shared" si="62"/>
        <v>1</v>
      </c>
      <c r="S575" s="3">
        <v>1</v>
      </c>
    </row>
    <row r="576" spans="2:19">
      <c r="B576" s="116"/>
      <c r="C576" s="116"/>
      <c r="D576" s="116"/>
      <c r="E576" s="116" cm="1">
        <f t="array" ref="E576">IF(H575&lt;&gt;"",E575,IF(E575="","",IFERROR(MATCH(TRUE(),INDEX(INDEX(K:K,E575+1):K203&lt;&gt;"",0),0)+E575,"")))</f>
        <v>717</v>
      </c>
      <c r="F576" s="117" cm="1">
        <f t="array" ref="F576">IF(E576="","",IF(H575&lt;&gt;"",H575,INDEX(D:D,E576)))</f>
        <v>0</v>
      </c>
      <c r="G576" s="117" t="str">
        <f t="shared" si="57"/>
        <v>0</v>
      </c>
      <c r="H576" s="118" t="str">
        <f t="shared" si="58"/>
        <v/>
      </c>
      <c r="I576" s="116" t="str">
        <f>IF(AND(F576&lt;&gt;"",N10&gt;0,M576&gt;N10),"Mot &gt; limite","")</f>
        <v/>
      </c>
      <c r="M576" s="70">
        <f>IF(OR(F576="",N10="",N10&lt;=0),"",IF(LEN(F576)&lt;=N10,LEN(F576),IFERROR(FIND("♦",SUBSTITUTE(LEFT(F576,N10)," ","♦",LEN(LEFT(F576,N10))-LEN(SUBSTITUTE(LEFT(F576,N10)," ","")))),FIND(" ",F576&amp;" ",N10+1)-1)))</f>
        <v>1</v>
      </c>
      <c r="N576" s="119">
        <f t="shared" si="59"/>
        <v>559</v>
      </c>
      <c r="O576" s="99" t="str">
        <f t="shared" si="60"/>
        <v>0</v>
      </c>
      <c r="P576" s="119">
        <f t="shared" si="61"/>
        <v>1</v>
      </c>
      <c r="Q576" s="119">
        <f t="shared" si="62"/>
        <v>1</v>
      </c>
      <c r="S576" s="3">
        <v>1</v>
      </c>
    </row>
    <row r="577" spans="2:19">
      <c r="B577" s="116"/>
      <c r="C577" s="116"/>
      <c r="D577" s="116"/>
      <c r="E577" s="116" cm="1">
        <f t="array" ref="E577">IF(H576&lt;&gt;"",E576,IF(E576="","",IFERROR(MATCH(TRUE(),INDEX(INDEX(K:K,E576+1):K203&lt;&gt;"",0),0)+E576,"")))</f>
        <v>718</v>
      </c>
      <c r="F577" s="117" cm="1">
        <f t="array" ref="F577">IF(E577="","",IF(H576&lt;&gt;"",H576,INDEX(D:D,E577)))</f>
        <v>0</v>
      </c>
      <c r="G577" s="117" t="str">
        <f t="shared" si="57"/>
        <v>0</v>
      </c>
      <c r="H577" s="118" t="str">
        <f t="shared" si="58"/>
        <v/>
      </c>
      <c r="I577" s="116" t="str">
        <f>IF(AND(F577&lt;&gt;"",N10&gt;0,M577&gt;N10),"Mot &gt; limite","")</f>
        <v/>
      </c>
      <c r="M577" s="70">
        <f>IF(OR(F577="",N10="",N10&lt;=0),"",IF(LEN(F577)&lt;=N10,LEN(F577),IFERROR(FIND("♦",SUBSTITUTE(LEFT(F577,N10)," ","♦",LEN(LEFT(F577,N10))-LEN(SUBSTITUTE(LEFT(F577,N10)," ","")))),FIND(" ",F577&amp;" ",N10+1)-1)))</f>
        <v>1</v>
      </c>
      <c r="N577" s="119">
        <f t="shared" si="59"/>
        <v>560</v>
      </c>
      <c r="O577" s="99" t="str">
        <f t="shared" si="60"/>
        <v>0</v>
      </c>
      <c r="P577" s="119">
        <f t="shared" si="61"/>
        <v>1</v>
      </c>
      <c r="Q577" s="119">
        <f t="shared" si="62"/>
        <v>1</v>
      </c>
      <c r="S577" s="3">
        <v>1</v>
      </c>
    </row>
    <row r="578" spans="2:19">
      <c r="B578" s="116"/>
      <c r="C578" s="116"/>
      <c r="D578" s="116"/>
      <c r="E578" s="116" cm="1">
        <f t="array" ref="E578">IF(H577&lt;&gt;"",E577,IF(E577="","",IFERROR(MATCH(TRUE(),INDEX(INDEX(K:K,E577+1):K203&lt;&gt;"",0),0)+E577,"")))</f>
        <v>719</v>
      </c>
      <c r="F578" s="117" cm="1">
        <f t="array" ref="F578">IF(E578="","",IF(H577&lt;&gt;"",H577,INDEX(D:D,E578)))</f>
        <v>0</v>
      </c>
      <c r="G578" s="117" t="str">
        <f t="shared" si="57"/>
        <v>0</v>
      </c>
      <c r="H578" s="118" t="str">
        <f t="shared" si="58"/>
        <v/>
      </c>
      <c r="I578" s="116" t="str">
        <f>IF(AND(F578&lt;&gt;"",N10&gt;0,M578&gt;N10),"Mot &gt; limite","")</f>
        <v/>
      </c>
      <c r="M578" s="70">
        <f>IF(OR(F578="",N10="",N10&lt;=0),"",IF(LEN(F578)&lt;=N10,LEN(F578),IFERROR(FIND("♦",SUBSTITUTE(LEFT(F578,N10)," ","♦",LEN(LEFT(F578,N10))-LEN(SUBSTITUTE(LEFT(F578,N10)," ","")))),FIND(" ",F578&amp;" ",N10+1)-1)))</f>
        <v>1</v>
      </c>
      <c r="N578" s="119">
        <f t="shared" si="59"/>
        <v>561</v>
      </c>
      <c r="O578" s="99" t="str">
        <f t="shared" si="60"/>
        <v>0</v>
      </c>
      <c r="P578" s="119">
        <f t="shared" si="61"/>
        <v>1</v>
      </c>
      <c r="Q578" s="119">
        <f t="shared" si="62"/>
        <v>1</v>
      </c>
      <c r="S578" s="3">
        <v>1</v>
      </c>
    </row>
    <row r="579" spans="2:19">
      <c r="B579" s="116"/>
      <c r="C579" s="116"/>
      <c r="D579" s="116"/>
      <c r="E579" s="116" cm="1">
        <f t="array" ref="E579">IF(H578&lt;&gt;"",E578,IF(E578="","",IFERROR(MATCH(TRUE(),INDEX(INDEX(K:K,E578+1):K203&lt;&gt;"",0),0)+E578,"")))</f>
        <v>720</v>
      </c>
      <c r="F579" s="117" cm="1">
        <f t="array" ref="F579">IF(E579="","",IF(H578&lt;&gt;"",H578,INDEX(D:D,E579)))</f>
        <v>0</v>
      </c>
      <c r="G579" s="117" t="str">
        <f t="shared" si="57"/>
        <v>0</v>
      </c>
      <c r="H579" s="118" t="str">
        <f t="shared" si="58"/>
        <v/>
      </c>
      <c r="I579" s="116" t="str">
        <f>IF(AND(F579&lt;&gt;"",N10&gt;0,M579&gt;N10),"Mot &gt; limite","")</f>
        <v/>
      </c>
      <c r="M579" s="70">
        <f>IF(OR(F579="",N10="",N10&lt;=0),"",IF(LEN(F579)&lt;=N10,LEN(F579),IFERROR(FIND("♦",SUBSTITUTE(LEFT(F579,N10)," ","♦",LEN(LEFT(F579,N10))-LEN(SUBSTITUTE(LEFT(F579,N10)," ","")))),FIND(" ",F579&amp;" ",N10+1)-1)))</f>
        <v>1</v>
      </c>
      <c r="N579" s="119">
        <f t="shared" si="59"/>
        <v>562</v>
      </c>
      <c r="O579" s="99" t="str">
        <f t="shared" si="60"/>
        <v>0</v>
      </c>
      <c r="P579" s="119">
        <f t="shared" si="61"/>
        <v>1</v>
      </c>
      <c r="Q579" s="119">
        <f t="shared" si="62"/>
        <v>1</v>
      </c>
      <c r="S579" s="3">
        <v>1</v>
      </c>
    </row>
    <row r="580" spans="2:19">
      <c r="B580" s="116"/>
      <c r="C580" s="116"/>
      <c r="D580" s="116"/>
      <c r="E580" s="116" cm="1">
        <f t="array" ref="E580">IF(H579&lt;&gt;"",E579,IF(E579="","",IFERROR(MATCH(TRUE(),INDEX(INDEX(K:K,E579+1):K203&lt;&gt;"",0),0)+E579,"")))</f>
        <v>721</v>
      </c>
      <c r="F580" s="117" cm="1">
        <f t="array" ref="F580">IF(E580="","",IF(H579&lt;&gt;"",H579,INDEX(D:D,E580)))</f>
        <v>0</v>
      </c>
      <c r="G580" s="117" t="str">
        <f t="shared" si="57"/>
        <v>0</v>
      </c>
      <c r="H580" s="118" t="str">
        <f t="shared" si="58"/>
        <v/>
      </c>
      <c r="I580" s="116" t="str">
        <f>IF(AND(F580&lt;&gt;"",N10&gt;0,M580&gt;N10),"Mot &gt; limite","")</f>
        <v/>
      </c>
      <c r="M580" s="70">
        <f>IF(OR(F580="",N10="",N10&lt;=0),"",IF(LEN(F580)&lt;=N10,LEN(F580),IFERROR(FIND("♦",SUBSTITUTE(LEFT(F580,N10)," ","♦",LEN(LEFT(F580,N10))-LEN(SUBSTITUTE(LEFT(F580,N10)," ","")))),FIND(" ",F580&amp;" ",N10+1)-1)))</f>
        <v>1</v>
      </c>
      <c r="N580" s="119">
        <f t="shared" si="59"/>
        <v>563</v>
      </c>
      <c r="O580" s="99" t="str">
        <f t="shared" si="60"/>
        <v>0</v>
      </c>
      <c r="P580" s="119">
        <f t="shared" si="61"/>
        <v>1</v>
      </c>
      <c r="Q580" s="119">
        <f t="shared" si="62"/>
        <v>1</v>
      </c>
      <c r="S580" s="3">
        <v>1</v>
      </c>
    </row>
    <row r="581" spans="2:19">
      <c r="B581" s="116"/>
      <c r="C581" s="116"/>
      <c r="D581" s="116"/>
      <c r="E581" s="116" cm="1">
        <f t="array" ref="E581">IF(H580&lt;&gt;"",E580,IF(E580="","",IFERROR(MATCH(TRUE(),INDEX(INDEX(K:K,E580+1):K203&lt;&gt;"",0),0)+E580,"")))</f>
        <v>722</v>
      </c>
      <c r="F581" s="117" cm="1">
        <f t="array" ref="F581">IF(E581="","",IF(H580&lt;&gt;"",H580,INDEX(D:D,E581)))</f>
        <v>0</v>
      </c>
      <c r="G581" s="117" t="str">
        <f t="shared" si="57"/>
        <v>0</v>
      </c>
      <c r="H581" s="118" t="str">
        <f t="shared" si="58"/>
        <v/>
      </c>
      <c r="I581" s="116" t="str">
        <f>IF(AND(F581&lt;&gt;"",N10&gt;0,M581&gt;N10),"Mot &gt; limite","")</f>
        <v/>
      </c>
      <c r="M581" s="70">
        <f>IF(OR(F581="",N10="",N10&lt;=0),"",IF(LEN(F581)&lt;=N10,LEN(F581),IFERROR(FIND("♦",SUBSTITUTE(LEFT(F581,N10)," ","♦",LEN(LEFT(F581,N10))-LEN(SUBSTITUTE(LEFT(F581,N10)," ","")))),FIND(" ",F581&amp;" ",N10+1)-1)))</f>
        <v>1</v>
      </c>
      <c r="N581" s="119">
        <f t="shared" si="59"/>
        <v>564</v>
      </c>
      <c r="O581" s="99" t="str">
        <f t="shared" si="60"/>
        <v>0</v>
      </c>
      <c r="P581" s="119">
        <f t="shared" si="61"/>
        <v>1</v>
      </c>
      <c r="Q581" s="119">
        <f t="shared" si="62"/>
        <v>1</v>
      </c>
      <c r="S581" s="3">
        <v>1</v>
      </c>
    </row>
    <row r="582" spans="2:19">
      <c r="B582" s="116"/>
      <c r="C582" s="116"/>
      <c r="D582" s="116"/>
      <c r="E582" s="116" cm="1">
        <f t="array" ref="E582">IF(H581&lt;&gt;"",E581,IF(E581="","",IFERROR(MATCH(TRUE(),INDEX(INDEX(K:K,E581+1):K203&lt;&gt;"",0),0)+E581,"")))</f>
        <v>723</v>
      </c>
      <c r="F582" s="117" cm="1">
        <f t="array" ref="F582">IF(E582="","",IF(H581&lt;&gt;"",H581,INDEX(D:D,E582)))</f>
        <v>0</v>
      </c>
      <c r="G582" s="117" t="str">
        <f t="shared" si="57"/>
        <v>0</v>
      </c>
      <c r="H582" s="118" t="str">
        <f t="shared" si="58"/>
        <v/>
      </c>
      <c r="I582" s="116" t="str">
        <f>IF(AND(F582&lt;&gt;"",N10&gt;0,M582&gt;N10),"Mot &gt; limite","")</f>
        <v/>
      </c>
      <c r="M582" s="70">
        <f>IF(OR(F582="",N10="",N10&lt;=0),"",IF(LEN(F582)&lt;=N10,LEN(F582),IFERROR(FIND("♦",SUBSTITUTE(LEFT(F582,N10)," ","♦",LEN(LEFT(F582,N10))-LEN(SUBSTITUTE(LEFT(F582,N10)," ","")))),FIND(" ",F582&amp;" ",N10+1)-1)))</f>
        <v>1</v>
      </c>
      <c r="N582" s="119">
        <f t="shared" si="59"/>
        <v>565</v>
      </c>
      <c r="O582" s="99" t="str">
        <f t="shared" si="60"/>
        <v>0</v>
      </c>
      <c r="P582" s="119">
        <f t="shared" si="61"/>
        <v>1</v>
      </c>
      <c r="Q582" s="119">
        <f t="shared" si="62"/>
        <v>1</v>
      </c>
      <c r="S582" s="3">
        <v>1</v>
      </c>
    </row>
    <row r="583" spans="2:19">
      <c r="B583" s="116"/>
      <c r="C583" s="116"/>
      <c r="D583" s="116"/>
      <c r="E583" s="116" cm="1">
        <f t="array" ref="E583">IF(H582&lt;&gt;"",E582,IF(E582="","",IFERROR(MATCH(TRUE(),INDEX(INDEX(K:K,E582+1):K203&lt;&gt;"",0),0)+E582,"")))</f>
        <v>724</v>
      </c>
      <c r="F583" s="117" cm="1">
        <f t="array" ref="F583">IF(E583="","",IF(H582&lt;&gt;"",H582,INDEX(D:D,E583)))</f>
        <v>0</v>
      </c>
      <c r="G583" s="117" t="str">
        <f t="shared" si="57"/>
        <v>0</v>
      </c>
      <c r="H583" s="118" t="str">
        <f t="shared" si="58"/>
        <v/>
      </c>
      <c r="I583" s="116" t="str">
        <f>IF(AND(F583&lt;&gt;"",N10&gt;0,M583&gt;N10),"Mot &gt; limite","")</f>
        <v/>
      </c>
      <c r="M583" s="70">
        <f>IF(OR(F583="",N10="",N10&lt;=0),"",IF(LEN(F583)&lt;=N10,LEN(F583),IFERROR(FIND("♦",SUBSTITUTE(LEFT(F583,N10)," ","♦",LEN(LEFT(F583,N10))-LEN(SUBSTITUTE(LEFT(F583,N10)," ","")))),FIND(" ",F583&amp;" ",N10+1)-1)))</f>
        <v>1</v>
      </c>
      <c r="N583" s="119">
        <f t="shared" si="59"/>
        <v>566</v>
      </c>
      <c r="O583" s="99" t="str">
        <f t="shared" si="60"/>
        <v>0</v>
      </c>
      <c r="P583" s="119">
        <f t="shared" si="61"/>
        <v>1</v>
      </c>
      <c r="Q583" s="119">
        <f t="shared" si="62"/>
        <v>1</v>
      </c>
      <c r="S583" s="3">
        <v>1</v>
      </c>
    </row>
    <row r="584" spans="2:19">
      <c r="B584" s="116"/>
      <c r="C584" s="116"/>
      <c r="D584" s="116"/>
      <c r="E584" s="116" cm="1">
        <f t="array" ref="E584">IF(H583&lt;&gt;"",E583,IF(E583="","",IFERROR(MATCH(TRUE(),INDEX(INDEX(K:K,E583+1):K203&lt;&gt;"",0),0)+E583,"")))</f>
        <v>725</v>
      </c>
      <c r="F584" s="117" cm="1">
        <f t="array" ref="F584">IF(E584="","",IF(H583&lt;&gt;"",H583,INDEX(D:D,E584)))</f>
        <v>0</v>
      </c>
      <c r="G584" s="117" t="str">
        <f t="shared" si="57"/>
        <v>0</v>
      </c>
      <c r="H584" s="118" t="str">
        <f t="shared" si="58"/>
        <v/>
      </c>
      <c r="I584" s="116" t="str">
        <f>IF(AND(F584&lt;&gt;"",N10&gt;0,M584&gt;N10),"Mot &gt; limite","")</f>
        <v/>
      </c>
      <c r="M584" s="70">
        <f>IF(OR(F584="",N10="",N10&lt;=0),"",IF(LEN(F584)&lt;=N10,LEN(F584),IFERROR(FIND("♦",SUBSTITUTE(LEFT(F584,N10)," ","♦",LEN(LEFT(F584,N10))-LEN(SUBSTITUTE(LEFT(F584,N10)," ","")))),FIND(" ",F584&amp;" ",N10+1)-1)))</f>
        <v>1</v>
      </c>
      <c r="N584" s="119">
        <f t="shared" si="59"/>
        <v>567</v>
      </c>
      <c r="O584" s="99" t="str">
        <f t="shared" si="60"/>
        <v>0</v>
      </c>
      <c r="P584" s="119">
        <f t="shared" si="61"/>
        <v>1</v>
      </c>
      <c r="Q584" s="119">
        <f t="shared" si="62"/>
        <v>1</v>
      </c>
      <c r="S584" s="3">
        <v>1</v>
      </c>
    </row>
    <row r="585" spans="2:19">
      <c r="B585" s="116"/>
      <c r="C585" s="116"/>
      <c r="D585" s="116"/>
      <c r="E585" s="116" cm="1">
        <f t="array" ref="E585">IF(H584&lt;&gt;"",E584,IF(E584="","",IFERROR(MATCH(TRUE(),INDEX(INDEX(K:K,E584+1):K203&lt;&gt;"",0),0)+E584,"")))</f>
        <v>726</v>
      </c>
      <c r="F585" s="117" cm="1">
        <f t="array" ref="F585">IF(E585="","",IF(H584&lt;&gt;"",H584,INDEX(D:D,E585)))</f>
        <v>0</v>
      </c>
      <c r="G585" s="117" t="str">
        <f t="shared" si="57"/>
        <v>0</v>
      </c>
      <c r="H585" s="118" t="str">
        <f t="shared" si="58"/>
        <v/>
      </c>
      <c r="I585" s="116" t="str">
        <f>IF(AND(F585&lt;&gt;"",N10&gt;0,M585&gt;N10),"Mot &gt; limite","")</f>
        <v/>
      </c>
      <c r="M585" s="70">
        <f>IF(OR(F585="",N10="",N10&lt;=0),"",IF(LEN(F585)&lt;=N10,LEN(F585),IFERROR(FIND("♦",SUBSTITUTE(LEFT(F585,N10)," ","♦",LEN(LEFT(F585,N10))-LEN(SUBSTITUTE(LEFT(F585,N10)," ","")))),FIND(" ",F585&amp;" ",N10+1)-1)))</f>
        <v>1</v>
      </c>
      <c r="N585" s="119">
        <f t="shared" si="59"/>
        <v>568</v>
      </c>
      <c r="O585" s="99" t="str">
        <f t="shared" si="60"/>
        <v>0</v>
      </c>
      <c r="P585" s="119">
        <f t="shared" si="61"/>
        <v>1</v>
      </c>
      <c r="Q585" s="119">
        <f t="shared" si="62"/>
        <v>1</v>
      </c>
      <c r="S585" s="3">
        <v>1</v>
      </c>
    </row>
    <row r="586" spans="2:19">
      <c r="B586" s="116"/>
      <c r="C586" s="116"/>
      <c r="D586" s="116"/>
      <c r="E586" s="116" cm="1">
        <f t="array" ref="E586">IF(H585&lt;&gt;"",E585,IF(E585="","",IFERROR(MATCH(TRUE(),INDEX(INDEX(K:K,E585+1):K203&lt;&gt;"",0),0)+E585,"")))</f>
        <v>727</v>
      </c>
      <c r="F586" s="117" cm="1">
        <f t="array" ref="F586">IF(E586="","",IF(H585&lt;&gt;"",H585,INDEX(D:D,E586)))</f>
        <v>0</v>
      </c>
      <c r="G586" s="117" t="str">
        <f t="shared" si="57"/>
        <v>0</v>
      </c>
      <c r="H586" s="118" t="str">
        <f t="shared" si="58"/>
        <v/>
      </c>
      <c r="I586" s="116" t="str">
        <f>IF(AND(F586&lt;&gt;"",N10&gt;0,M586&gt;N10),"Mot &gt; limite","")</f>
        <v/>
      </c>
      <c r="M586" s="70">
        <f>IF(OR(F586="",N10="",N10&lt;=0),"",IF(LEN(F586)&lt;=N10,LEN(F586),IFERROR(FIND("♦",SUBSTITUTE(LEFT(F586,N10)," ","♦",LEN(LEFT(F586,N10))-LEN(SUBSTITUTE(LEFT(F586,N10)," ","")))),FIND(" ",F586&amp;" ",N10+1)-1)))</f>
        <v>1</v>
      </c>
      <c r="N586" s="119">
        <f t="shared" si="59"/>
        <v>569</v>
      </c>
      <c r="O586" s="99" t="str">
        <f t="shared" si="60"/>
        <v>0</v>
      </c>
      <c r="P586" s="119">
        <f t="shared" si="61"/>
        <v>1</v>
      </c>
      <c r="Q586" s="119">
        <f t="shared" si="62"/>
        <v>1</v>
      </c>
      <c r="S586" s="3">
        <v>1</v>
      </c>
    </row>
    <row r="587" spans="2:19">
      <c r="B587" s="116"/>
      <c r="C587" s="116"/>
      <c r="D587" s="116"/>
      <c r="E587" s="116" cm="1">
        <f t="array" ref="E587">IF(H586&lt;&gt;"",E586,IF(E586="","",IFERROR(MATCH(TRUE(),INDEX(INDEX(K:K,E586+1):K203&lt;&gt;"",0),0)+E586,"")))</f>
        <v>728</v>
      </c>
      <c r="F587" s="117" cm="1">
        <f t="array" ref="F587">IF(E587="","",IF(H586&lt;&gt;"",H586,INDEX(D:D,E587)))</f>
        <v>0</v>
      </c>
      <c r="G587" s="117" t="str">
        <f t="shared" si="57"/>
        <v>0</v>
      </c>
      <c r="H587" s="118" t="str">
        <f t="shared" si="58"/>
        <v/>
      </c>
      <c r="I587" s="116" t="str">
        <f>IF(AND(F587&lt;&gt;"",N10&gt;0,M587&gt;N10),"Mot &gt; limite","")</f>
        <v/>
      </c>
      <c r="M587" s="70">
        <f>IF(OR(F587="",N10="",N10&lt;=0),"",IF(LEN(F587)&lt;=N10,LEN(F587),IFERROR(FIND("♦",SUBSTITUTE(LEFT(F587,N10)," ","♦",LEN(LEFT(F587,N10))-LEN(SUBSTITUTE(LEFT(F587,N10)," ","")))),FIND(" ",F587&amp;" ",N10+1)-1)))</f>
        <v>1</v>
      </c>
      <c r="N587" s="119">
        <f t="shared" si="59"/>
        <v>570</v>
      </c>
      <c r="O587" s="99" t="str">
        <f t="shared" si="60"/>
        <v>0</v>
      </c>
      <c r="P587" s="119">
        <f t="shared" si="61"/>
        <v>1</v>
      </c>
      <c r="Q587" s="119">
        <f t="shared" si="62"/>
        <v>1</v>
      </c>
      <c r="S587" s="3">
        <v>1</v>
      </c>
    </row>
    <row r="588" spans="2:19">
      <c r="B588" s="116"/>
      <c r="C588" s="116"/>
      <c r="D588" s="116"/>
      <c r="E588" s="116" cm="1">
        <f t="array" ref="E588">IF(H587&lt;&gt;"",E587,IF(E587="","",IFERROR(MATCH(TRUE(),INDEX(INDEX(K:K,E587+1):K203&lt;&gt;"",0),0)+E587,"")))</f>
        <v>729</v>
      </c>
      <c r="F588" s="117" cm="1">
        <f t="array" ref="F588">IF(E588="","",IF(H587&lt;&gt;"",H587,INDEX(D:D,E588)))</f>
        <v>0</v>
      </c>
      <c r="G588" s="117" t="str">
        <f t="shared" si="57"/>
        <v>0</v>
      </c>
      <c r="H588" s="118" t="str">
        <f t="shared" si="58"/>
        <v/>
      </c>
      <c r="I588" s="116" t="str">
        <f>IF(AND(F588&lt;&gt;"",N10&gt;0,M588&gt;N10),"Mot &gt; limite","")</f>
        <v/>
      </c>
      <c r="M588" s="70">
        <f>IF(OR(F588="",N10="",N10&lt;=0),"",IF(LEN(F588)&lt;=N10,LEN(F588),IFERROR(FIND("♦",SUBSTITUTE(LEFT(F588,N10)," ","♦",LEN(LEFT(F588,N10))-LEN(SUBSTITUTE(LEFT(F588,N10)," ","")))),FIND(" ",F588&amp;" ",N10+1)-1)))</f>
        <v>1</v>
      </c>
      <c r="N588" s="119">
        <f t="shared" si="59"/>
        <v>571</v>
      </c>
      <c r="O588" s="99" t="str">
        <f t="shared" si="60"/>
        <v>0</v>
      </c>
      <c r="P588" s="119">
        <f t="shared" si="61"/>
        <v>1</v>
      </c>
      <c r="Q588" s="119">
        <f t="shared" si="62"/>
        <v>1</v>
      </c>
      <c r="S588" s="3">
        <v>1</v>
      </c>
    </row>
    <row r="589" spans="2:19">
      <c r="B589" s="116"/>
      <c r="C589" s="116"/>
      <c r="D589" s="116"/>
      <c r="E589" s="116" cm="1">
        <f t="array" ref="E589">IF(H588&lt;&gt;"",E588,IF(E588="","",IFERROR(MATCH(TRUE(),INDEX(INDEX(K:K,E588+1):K203&lt;&gt;"",0),0)+E588,"")))</f>
        <v>730</v>
      </c>
      <c r="F589" s="117" cm="1">
        <f t="array" ref="F589">IF(E589="","",IF(H588&lt;&gt;"",H588,INDEX(D:D,E589)))</f>
        <v>0</v>
      </c>
      <c r="G589" s="117" t="str">
        <f t="shared" si="57"/>
        <v>0</v>
      </c>
      <c r="H589" s="118" t="str">
        <f t="shared" si="58"/>
        <v/>
      </c>
      <c r="I589" s="116" t="str">
        <f>IF(AND(F589&lt;&gt;"",N10&gt;0,M589&gt;N10),"Mot &gt; limite","")</f>
        <v/>
      </c>
      <c r="M589" s="70">
        <f>IF(OR(F589="",N10="",N10&lt;=0),"",IF(LEN(F589)&lt;=N10,LEN(F589),IFERROR(FIND("♦",SUBSTITUTE(LEFT(F589,N10)," ","♦",LEN(LEFT(F589,N10))-LEN(SUBSTITUTE(LEFT(F589,N10)," ","")))),FIND(" ",F589&amp;" ",N10+1)-1)))</f>
        <v>1</v>
      </c>
      <c r="N589" s="119">
        <f t="shared" si="59"/>
        <v>572</v>
      </c>
      <c r="O589" s="99" t="str">
        <f t="shared" si="60"/>
        <v>0</v>
      </c>
      <c r="P589" s="119">
        <f t="shared" si="61"/>
        <v>1</v>
      </c>
      <c r="Q589" s="119">
        <f t="shared" si="62"/>
        <v>1</v>
      </c>
      <c r="S589" s="3">
        <v>1</v>
      </c>
    </row>
    <row r="590" spans="2:19">
      <c r="B590" s="116"/>
      <c r="C590" s="116"/>
      <c r="D590" s="116"/>
      <c r="E590" s="116" cm="1">
        <f t="array" ref="E590">IF(H589&lt;&gt;"",E589,IF(E589="","",IFERROR(MATCH(TRUE(),INDEX(INDEX(K:K,E589+1):K203&lt;&gt;"",0),0)+E589,"")))</f>
        <v>731</v>
      </c>
      <c r="F590" s="117" cm="1">
        <f t="array" ref="F590">IF(E590="","",IF(H589&lt;&gt;"",H589,INDEX(D:D,E590)))</f>
        <v>0</v>
      </c>
      <c r="G590" s="117" t="str">
        <f t="shared" si="57"/>
        <v>0</v>
      </c>
      <c r="H590" s="118" t="str">
        <f t="shared" si="58"/>
        <v/>
      </c>
      <c r="I590" s="116" t="str">
        <f>IF(AND(F590&lt;&gt;"",N10&gt;0,M590&gt;N10),"Mot &gt; limite","")</f>
        <v/>
      </c>
      <c r="M590" s="70">
        <f>IF(OR(F590="",N10="",N10&lt;=0),"",IF(LEN(F590)&lt;=N10,LEN(F590),IFERROR(FIND("♦",SUBSTITUTE(LEFT(F590,N10)," ","♦",LEN(LEFT(F590,N10))-LEN(SUBSTITUTE(LEFT(F590,N10)," ","")))),FIND(" ",F590&amp;" ",N10+1)-1)))</f>
        <v>1</v>
      </c>
      <c r="N590" s="119">
        <f t="shared" si="59"/>
        <v>573</v>
      </c>
      <c r="O590" s="99" t="str">
        <f t="shared" si="60"/>
        <v>0</v>
      </c>
      <c r="P590" s="119">
        <f t="shared" si="61"/>
        <v>1</v>
      </c>
      <c r="Q590" s="119">
        <f t="shared" si="62"/>
        <v>1</v>
      </c>
      <c r="S590" s="3">
        <v>1</v>
      </c>
    </row>
    <row r="591" spans="2:19">
      <c r="B591" s="116"/>
      <c r="C591" s="116"/>
      <c r="D591" s="116"/>
      <c r="E591" s="116" cm="1">
        <f t="array" ref="E591">IF(H590&lt;&gt;"",E590,IF(E590="","",IFERROR(MATCH(TRUE(),INDEX(INDEX(K:K,E590+1):K203&lt;&gt;"",0),0)+E590,"")))</f>
        <v>732</v>
      </c>
      <c r="F591" s="117" cm="1">
        <f t="array" ref="F591">IF(E591="","",IF(H590&lt;&gt;"",H590,INDEX(D:D,E591)))</f>
        <v>0</v>
      </c>
      <c r="G591" s="117" t="str">
        <f t="shared" si="57"/>
        <v>0</v>
      </c>
      <c r="H591" s="118" t="str">
        <f t="shared" si="58"/>
        <v/>
      </c>
      <c r="I591" s="116" t="str">
        <f>IF(AND(F591&lt;&gt;"",N10&gt;0,M591&gt;N10),"Mot &gt; limite","")</f>
        <v/>
      </c>
      <c r="M591" s="70">
        <f>IF(OR(F591="",N10="",N10&lt;=0),"",IF(LEN(F591)&lt;=N10,LEN(F591),IFERROR(FIND("♦",SUBSTITUTE(LEFT(F591,N10)," ","♦",LEN(LEFT(F591,N10))-LEN(SUBSTITUTE(LEFT(F591,N10)," ","")))),FIND(" ",F591&amp;" ",N10+1)-1)))</f>
        <v>1</v>
      </c>
      <c r="N591" s="119">
        <f t="shared" si="59"/>
        <v>574</v>
      </c>
      <c r="O591" s="99" t="str">
        <f t="shared" si="60"/>
        <v>0</v>
      </c>
      <c r="P591" s="119">
        <f t="shared" si="61"/>
        <v>1</v>
      </c>
      <c r="Q591" s="119">
        <f t="shared" si="62"/>
        <v>1</v>
      </c>
      <c r="S591" s="3">
        <v>1</v>
      </c>
    </row>
    <row r="592" spans="2:19">
      <c r="B592" s="116"/>
      <c r="C592" s="116"/>
      <c r="D592" s="116"/>
      <c r="E592" s="116" cm="1">
        <f t="array" ref="E592">IF(H591&lt;&gt;"",E591,IF(E591="","",IFERROR(MATCH(TRUE(),INDEX(INDEX(K:K,E591+1):K203&lt;&gt;"",0),0)+E591,"")))</f>
        <v>733</v>
      </c>
      <c r="F592" s="117" cm="1">
        <f t="array" ref="F592">IF(E592="","",IF(H591&lt;&gt;"",H591,INDEX(D:D,E592)))</f>
        <v>0</v>
      </c>
      <c r="G592" s="117" t="str">
        <f t="shared" si="57"/>
        <v>0</v>
      </c>
      <c r="H592" s="118" t="str">
        <f t="shared" si="58"/>
        <v/>
      </c>
      <c r="I592" s="116" t="str">
        <f>IF(AND(F592&lt;&gt;"",N10&gt;0,M592&gt;N10),"Mot &gt; limite","")</f>
        <v/>
      </c>
      <c r="M592" s="70">
        <f>IF(OR(F592="",N10="",N10&lt;=0),"",IF(LEN(F592)&lt;=N10,LEN(F592),IFERROR(FIND("♦",SUBSTITUTE(LEFT(F592,N10)," ","♦",LEN(LEFT(F592,N10))-LEN(SUBSTITUTE(LEFT(F592,N10)," ","")))),FIND(" ",F592&amp;" ",N10+1)-1)))</f>
        <v>1</v>
      </c>
      <c r="N592" s="119">
        <f t="shared" si="59"/>
        <v>575</v>
      </c>
      <c r="O592" s="99" t="str">
        <f t="shared" si="60"/>
        <v>0</v>
      </c>
      <c r="P592" s="119">
        <f t="shared" si="61"/>
        <v>1</v>
      </c>
      <c r="Q592" s="119">
        <f t="shared" si="62"/>
        <v>1</v>
      </c>
      <c r="S592" s="3">
        <v>1</v>
      </c>
    </row>
    <row r="593" spans="2:19">
      <c r="B593" s="116"/>
      <c r="C593" s="116"/>
      <c r="D593" s="116"/>
      <c r="E593" s="116" cm="1">
        <f t="array" ref="E593">IF(H592&lt;&gt;"",E592,IF(E592="","",IFERROR(MATCH(TRUE(),INDEX(INDEX(K:K,E592+1):K203&lt;&gt;"",0),0)+E592,"")))</f>
        <v>734</v>
      </c>
      <c r="F593" s="117" cm="1">
        <f t="array" ref="F593">IF(E593="","",IF(H592&lt;&gt;"",H592,INDEX(D:D,E593)))</f>
        <v>0</v>
      </c>
      <c r="G593" s="117" t="str">
        <f t="shared" si="57"/>
        <v>0</v>
      </c>
      <c r="H593" s="118" t="str">
        <f t="shared" si="58"/>
        <v/>
      </c>
      <c r="I593" s="116" t="str">
        <f>IF(AND(F593&lt;&gt;"",N10&gt;0,M593&gt;N10),"Mot &gt; limite","")</f>
        <v/>
      </c>
      <c r="M593" s="70">
        <f>IF(OR(F593="",N10="",N10&lt;=0),"",IF(LEN(F593)&lt;=N10,LEN(F593),IFERROR(FIND("♦",SUBSTITUTE(LEFT(F593,N10)," ","♦",LEN(LEFT(F593,N10))-LEN(SUBSTITUTE(LEFT(F593,N10)," ","")))),FIND(" ",F593&amp;" ",N10+1)-1)))</f>
        <v>1</v>
      </c>
      <c r="N593" s="119">
        <f t="shared" si="59"/>
        <v>576</v>
      </c>
      <c r="O593" s="99" t="str">
        <f t="shared" si="60"/>
        <v>0</v>
      </c>
      <c r="P593" s="119">
        <f t="shared" si="61"/>
        <v>1</v>
      </c>
      <c r="Q593" s="119">
        <f t="shared" si="62"/>
        <v>1</v>
      </c>
      <c r="S593" s="3">
        <v>1</v>
      </c>
    </row>
    <row r="594" spans="2:19">
      <c r="B594" s="116"/>
      <c r="C594" s="116"/>
      <c r="D594" s="116"/>
      <c r="E594" s="116" cm="1">
        <f t="array" ref="E594">IF(H593&lt;&gt;"",E593,IF(E593="","",IFERROR(MATCH(TRUE(),INDEX(INDEX(K:K,E593+1):K203&lt;&gt;"",0),0)+E593,"")))</f>
        <v>735</v>
      </c>
      <c r="F594" s="117" cm="1">
        <f t="array" ref="F594">IF(E594="","",IF(H593&lt;&gt;"",H593,INDEX(D:D,E594)))</f>
        <v>0</v>
      </c>
      <c r="G594" s="117" t="str">
        <f t="shared" ref="G594:G657" si="63">IF(OR(F594="",M594=""),"",LEFT(F594,M594))</f>
        <v>0</v>
      </c>
      <c r="H594" s="118" t="str">
        <f t="shared" ref="H594:H657" si="64">IF(OR(F594="",M594=""),"",TRIM(MID(F594,M594+1,99999)))</f>
        <v/>
      </c>
      <c r="I594" s="116" t="str">
        <f>IF(AND(F594&lt;&gt;"",N10&gt;0,M594&gt;N10),"Mot &gt; limite","")</f>
        <v/>
      </c>
      <c r="M594" s="70">
        <f>IF(OR(F594="",N10="",N10&lt;=0),"",IF(LEN(F594)&lt;=N10,LEN(F594),IFERROR(FIND("♦",SUBSTITUTE(LEFT(F594,N10)," ","♦",LEN(LEFT(F594,N10))-LEN(SUBSTITUTE(LEFT(F594,N10)," ","")))),FIND(" ",F594&amp;" ",N10+1)-1)))</f>
        <v>1</v>
      </c>
      <c r="N594" s="119">
        <f t="shared" ref="N594:N657" si="65">IF(O594="","",ROW()-17)</f>
        <v>577</v>
      </c>
      <c r="O594" s="99" t="str">
        <f t="shared" ref="O594:O657" si="66">G594</f>
        <v>0</v>
      </c>
      <c r="P594" s="119">
        <f t="shared" ref="P594:P657" si="67">IF(O594="","",LEN(TRIM(O594))-LEN(SUBSTITUTE(TRIM(O594)," ",""))+1)</f>
        <v>1</v>
      </c>
      <c r="Q594" s="119">
        <f t="shared" ref="Q594:Q657" si="68">IF(O594="","",LEN(O594))</f>
        <v>1</v>
      </c>
      <c r="S594" s="3">
        <v>1</v>
      </c>
    </row>
    <row r="595" spans="2:19">
      <c r="B595" s="116"/>
      <c r="C595" s="116"/>
      <c r="D595" s="116"/>
      <c r="E595" s="116" cm="1">
        <f t="array" ref="E595">IF(H594&lt;&gt;"",E594,IF(E594="","",IFERROR(MATCH(TRUE(),INDEX(INDEX(K:K,E594+1):K203&lt;&gt;"",0),0)+E594,"")))</f>
        <v>736</v>
      </c>
      <c r="F595" s="117" cm="1">
        <f t="array" ref="F595">IF(E595="","",IF(H594&lt;&gt;"",H594,INDEX(D:D,E595)))</f>
        <v>0</v>
      </c>
      <c r="G595" s="117" t="str">
        <f t="shared" si="63"/>
        <v>0</v>
      </c>
      <c r="H595" s="118" t="str">
        <f t="shared" si="64"/>
        <v/>
      </c>
      <c r="I595" s="116" t="str">
        <f>IF(AND(F595&lt;&gt;"",N10&gt;0,M595&gt;N10),"Mot &gt; limite","")</f>
        <v/>
      </c>
      <c r="M595" s="70">
        <f>IF(OR(F595="",N10="",N10&lt;=0),"",IF(LEN(F595)&lt;=N10,LEN(F595),IFERROR(FIND("♦",SUBSTITUTE(LEFT(F595,N10)," ","♦",LEN(LEFT(F595,N10))-LEN(SUBSTITUTE(LEFT(F595,N10)," ","")))),FIND(" ",F595&amp;" ",N10+1)-1)))</f>
        <v>1</v>
      </c>
      <c r="N595" s="119">
        <f t="shared" si="65"/>
        <v>578</v>
      </c>
      <c r="O595" s="99" t="str">
        <f t="shared" si="66"/>
        <v>0</v>
      </c>
      <c r="P595" s="119">
        <f t="shared" si="67"/>
        <v>1</v>
      </c>
      <c r="Q595" s="119">
        <f t="shared" si="68"/>
        <v>1</v>
      </c>
      <c r="S595" s="3">
        <v>1</v>
      </c>
    </row>
    <row r="596" spans="2:19">
      <c r="B596" s="116"/>
      <c r="C596" s="116"/>
      <c r="D596" s="116"/>
      <c r="E596" s="116" cm="1">
        <f t="array" ref="E596">IF(H595&lt;&gt;"",E595,IF(E595="","",IFERROR(MATCH(TRUE(),INDEX(INDEX(K:K,E595+1):K203&lt;&gt;"",0),0)+E595,"")))</f>
        <v>737</v>
      </c>
      <c r="F596" s="117" cm="1">
        <f t="array" ref="F596">IF(E596="","",IF(H595&lt;&gt;"",H595,INDEX(D:D,E596)))</f>
        <v>0</v>
      </c>
      <c r="G596" s="117" t="str">
        <f t="shared" si="63"/>
        <v>0</v>
      </c>
      <c r="H596" s="118" t="str">
        <f t="shared" si="64"/>
        <v/>
      </c>
      <c r="I596" s="116" t="str">
        <f>IF(AND(F596&lt;&gt;"",N10&gt;0,M596&gt;N10),"Mot &gt; limite","")</f>
        <v/>
      </c>
      <c r="M596" s="70">
        <f>IF(OR(F596="",N10="",N10&lt;=0),"",IF(LEN(F596)&lt;=N10,LEN(F596),IFERROR(FIND("♦",SUBSTITUTE(LEFT(F596,N10)," ","♦",LEN(LEFT(F596,N10))-LEN(SUBSTITUTE(LEFT(F596,N10)," ","")))),FIND(" ",F596&amp;" ",N10+1)-1)))</f>
        <v>1</v>
      </c>
      <c r="N596" s="119">
        <f t="shared" si="65"/>
        <v>579</v>
      </c>
      <c r="O596" s="99" t="str">
        <f t="shared" si="66"/>
        <v>0</v>
      </c>
      <c r="P596" s="119">
        <f t="shared" si="67"/>
        <v>1</v>
      </c>
      <c r="Q596" s="119">
        <f t="shared" si="68"/>
        <v>1</v>
      </c>
      <c r="S596" s="3">
        <v>1</v>
      </c>
    </row>
    <row r="597" spans="2:19">
      <c r="B597" s="116"/>
      <c r="C597" s="116"/>
      <c r="D597" s="116"/>
      <c r="E597" s="116" cm="1">
        <f t="array" ref="E597">IF(H596&lt;&gt;"",E596,IF(E596="","",IFERROR(MATCH(TRUE(),INDEX(INDEX(K:K,E596+1):K203&lt;&gt;"",0),0)+E596,"")))</f>
        <v>738</v>
      </c>
      <c r="F597" s="117" cm="1">
        <f t="array" ref="F597">IF(E597="","",IF(H596&lt;&gt;"",H596,INDEX(D:D,E597)))</f>
        <v>0</v>
      </c>
      <c r="G597" s="117" t="str">
        <f t="shared" si="63"/>
        <v>0</v>
      </c>
      <c r="H597" s="118" t="str">
        <f t="shared" si="64"/>
        <v/>
      </c>
      <c r="I597" s="116" t="str">
        <f>IF(AND(F597&lt;&gt;"",N10&gt;0,M597&gt;N10),"Mot &gt; limite","")</f>
        <v/>
      </c>
      <c r="M597" s="70">
        <f>IF(OR(F597="",N10="",N10&lt;=0),"",IF(LEN(F597)&lt;=N10,LEN(F597),IFERROR(FIND("♦",SUBSTITUTE(LEFT(F597,N10)," ","♦",LEN(LEFT(F597,N10))-LEN(SUBSTITUTE(LEFT(F597,N10)," ","")))),FIND(" ",F597&amp;" ",N10+1)-1)))</f>
        <v>1</v>
      </c>
      <c r="N597" s="119">
        <f t="shared" si="65"/>
        <v>580</v>
      </c>
      <c r="O597" s="99" t="str">
        <f t="shared" si="66"/>
        <v>0</v>
      </c>
      <c r="P597" s="119">
        <f t="shared" si="67"/>
        <v>1</v>
      </c>
      <c r="Q597" s="119">
        <f t="shared" si="68"/>
        <v>1</v>
      </c>
      <c r="S597" s="3">
        <v>1</v>
      </c>
    </row>
    <row r="598" spans="2:19">
      <c r="B598" s="116"/>
      <c r="C598" s="116"/>
      <c r="D598" s="116"/>
      <c r="E598" s="116" cm="1">
        <f t="array" ref="E598">IF(H597&lt;&gt;"",E597,IF(E597="","",IFERROR(MATCH(TRUE(),INDEX(INDEX(K:K,E597+1):K203&lt;&gt;"",0),0)+E597,"")))</f>
        <v>739</v>
      </c>
      <c r="F598" s="117" cm="1">
        <f t="array" ref="F598">IF(E598="","",IF(H597&lt;&gt;"",H597,INDEX(D:D,E598)))</f>
        <v>0</v>
      </c>
      <c r="G598" s="117" t="str">
        <f t="shared" si="63"/>
        <v>0</v>
      </c>
      <c r="H598" s="118" t="str">
        <f t="shared" si="64"/>
        <v/>
      </c>
      <c r="I598" s="116" t="str">
        <f>IF(AND(F598&lt;&gt;"",N10&gt;0,M598&gt;N10),"Mot &gt; limite","")</f>
        <v/>
      </c>
      <c r="M598" s="70">
        <f>IF(OR(F598="",N10="",N10&lt;=0),"",IF(LEN(F598)&lt;=N10,LEN(F598),IFERROR(FIND("♦",SUBSTITUTE(LEFT(F598,N10)," ","♦",LEN(LEFT(F598,N10))-LEN(SUBSTITUTE(LEFT(F598,N10)," ","")))),FIND(" ",F598&amp;" ",N10+1)-1)))</f>
        <v>1</v>
      </c>
      <c r="N598" s="119">
        <f t="shared" si="65"/>
        <v>581</v>
      </c>
      <c r="O598" s="99" t="str">
        <f t="shared" si="66"/>
        <v>0</v>
      </c>
      <c r="P598" s="119">
        <f t="shared" si="67"/>
        <v>1</v>
      </c>
      <c r="Q598" s="119">
        <f t="shared" si="68"/>
        <v>1</v>
      </c>
      <c r="S598" s="3">
        <v>1</v>
      </c>
    </row>
    <row r="599" spans="2:19">
      <c r="B599" s="116"/>
      <c r="C599" s="116"/>
      <c r="D599" s="116"/>
      <c r="E599" s="116" cm="1">
        <f t="array" ref="E599">IF(H598&lt;&gt;"",E598,IF(E598="","",IFERROR(MATCH(TRUE(),INDEX(INDEX(K:K,E598+1):K203&lt;&gt;"",0),0)+E598,"")))</f>
        <v>740</v>
      </c>
      <c r="F599" s="117" cm="1">
        <f t="array" ref="F599">IF(E599="","",IF(H598&lt;&gt;"",H598,INDEX(D:D,E599)))</f>
        <v>0</v>
      </c>
      <c r="G599" s="117" t="str">
        <f t="shared" si="63"/>
        <v>0</v>
      </c>
      <c r="H599" s="118" t="str">
        <f t="shared" si="64"/>
        <v/>
      </c>
      <c r="I599" s="116" t="str">
        <f>IF(AND(F599&lt;&gt;"",N10&gt;0,M599&gt;N10),"Mot &gt; limite","")</f>
        <v/>
      </c>
      <c r="M599" s="70">
        <f>IF(OR(F599="",N10="",N10&lt;=0),"",IF(LEN(F599)&lt;=N10,LEN(F599),IFERROR(FIND("♦",SUBSTITUTE(LEFT(F599,N10)," ","♦",LEN(LEFT(F599,N10))-LEN(SUBSTITUTE(LEFT(F599,N10)," ","")))),FIND(" ",F599&amp;" ",N10+1)-1)))</f>
        <v>1</v>
      </c>
      <c r="N599" s="119">
        <f t="shared" si="65"/>
        <v>582</v>
      </c>
      <c r="O599" s="99" t="str">
        <f t="shared" si="66"/>
        <v>0</v>
      </c>
      <c r="P599" s="119">
        <f t="shared" si="67"/>
        <v>1</v>
      </c>
      <c r="Q599" s="119">
        <f t="shared" si="68"/>
        <v>1</v>
      </c>
      <c r="S599" s="3">
        <v>1</v>
      </c>
    </row>
    <row r="600" spans="2:19">
      <c r="B600" s="116"/>
      <c r="C600" s="116"/>
      <c r="D600" s="116"/>
      <c r="E600" s="116" cm="1">
        <f t="array" ref="E600">IF(H599&lt;&gt;"",E599,IF(E599="","",IFERROR(MATCH(TRUE(),INDEX(INDEX(K:K,E599+1):K203&lt;&gt;"",0),0)+E599,"")))</f>
        <v>741</v>
      </c>
      <c r="F600" s="117" cm="1">
        <f t="array" ref="F600">IF(E600="","",IF(H599&lt;&gt;"",H599,INDEX(D:D,E600)))</f>
        <v>0</v>
      </c>
      <c r="G600" s="117" t="str">
        <f t="shared" si="63"/>
        <v>0</v>
      </c>
      <c r="H600" s="118" t="str">
        <f t="shared" si="64"/>
        <v/>
      </c>
      <c r="I600" s="116" t="str">
        <f>IF(AND(F600&lt;&gt;"",N10&gt;0,M600&gt;N10),"Mot &gt; limite","")</f>
        <v/>
      </c>
      <c r="M600" s="70">
        <f>IF(OR(F600="",N10="",N10&lt;=0),"",IF(LEN(F600)&lt;=N10,LEN(F600),IFERROR(FIND("♦",SUBSTITUTE(LEFT(F600,N10)," ","♦",LEN(LEFT(F600,N10))-LEN(SUBSTITUTE(LEFT(F600,N10)," ","")))),FIND(" ",F600&amp;" ",N10+1)-1)))</f>
        <v>1</v>
      </c>
      <c r="N600" s="119">
        <f t="shared" si="65"/>
        <v>583</v>
      </c>
      <c r="O600" s="99" t="str">
        <f t="shared" si="66"/>
        <v>0</v>
      </c>
      <c r="P600" s="119">
        <f t="shared" si="67"/>
        <v>1</v>
      </c>
      <c r="Q600" s="119">
        <f t="shared" si="68"/>
        <v>1</v>
      </c>
      <c r="S600" s="3">
        <v>1</v>
      </c>
    </row>
    <row r="601" spans="2:19">
      <c r="B601" s="116"/>
      <c r="C601" s="116"/>
      <c r="D601" s="116"/>
      <c r="E601" s="116" cm="1">
        <f t="array" ref="E601">IF(H600&lt;&gt;"",E600,IF(E600="","",IFERROR(MATCH(TRUE(),INDEX(INDEX(K:K,E600+1):K203&lt;&gt;"",0),0)+E600,"")))</f>
        <v>742</v>
      </c>
      <c r="F601" s="117" cm="1">
        <f t="array" ref="F601">IF(E601="","",IF(H600&lt;&gt;"",H600,INDEX(D:D,E601)))</f>
        <v>0</v>
      </c>
      <c r="G601" s="117" t="str">
        <f t="shared" si="63"/>
        <v>0</v>
      </c>
      <c r="H601" s="118" t="str">
        <f t="shared" si="64"/>
        <v/>
      </c>
      <c r="I601" s="116" t="str">
        <f>IF(AND(F601&lt;&gt;"",N10&gt;0,M601&gt;N10),"Mot &gt; limite","")</f>
        <v/>
      </c>
      <c r="M601" s="70">
        <f>IF(OR(F601="",N10="",N10&lt;=0),"",IF(LEN(F601)&lt;=N10,LEN(F601),IFERROR(FIND("♦",SUBSTITUTE(LEFT(F601,N10)," ","♦",LEN(LEFT(F601,N10))-LEN(SUBSTITUTE(LEFT(F601,N10)," ","")))),FIND(" ",F601&amp;" ",N10+1)-1)))</f>
        <v>1</v>
      </c>
      <c r="N601" s="119">
        <f t="shared" si="65"/>
        <v>584</v>
      </c>
      <c r="O601" s="99" t="str">
        <f t="shared" si="66"/>
        <v>0</v>
      </c>
      <c r="P601" s="119">
        <f t="shared" si="67"/>
        <v>1</v>
      </c>
      <c r="Q601" s="119">
        <f t="shared" si="68"/>
        <v>1</v>
      </c>
      <c r="S601" s="3">
        <v>1</v>
      </c>
    </row>
    <row r="602" spans="2:19">
      <c r="B602" s="116"/>
      <c r="C602" s="116"/>
      <c r="D602" s="116"/>
      <c r="E602" s="116" cm="1">
        <f t="array" ref="E602">IF(H601&lt;&gt;"",E601,IF(E601="","",IFERROR(MATCH(TRUE(),INDEX(INDEX(K:K,E601+1):K203&lt;&gt;"",0),0)+E601,"")))</f>
        <v>743</v>
      </c>
      <c r="F602" s="117" cm="1">
        <f t="array" ref="F602">IF(E602="","",IF(H601&lt;&gt;"",H601,INDEX(D:D,E602)))</f>
        <v>0</v>
      </c>
      <c r="G602" s="117" t="str">
        <f t="shared" si="63"/>
        <v>0</v>
      </c>
      <c r="H602" s="118" t="str">
        <f t="shared" si="64"/>
        <v/>
      </c>
      <c r="I602" s="116" t="str">
        <f>IF(AND(F602&lt;&gt;"",N10&gt;0,M602&gt;N10),"Mot &gt; limite","")</f>
        <v/>
      </c>
      <c r="M602" s="70">
        <f>IF(OR(F602="",N10="",N10&lt;=0),"",IF(LEN(F602)&lt;=N10,LEN(F602),IFERROR(FIND("♦",SUBSTITUTE(LEFT(F602,N10)," ","♦",LEN(LEFT(F602,N10))-LEN(SUBSTITUTE(LEFT(F602,N10)," ","")))),FIND(" ",F602&amp;" ",N10+1)-1)))</f>
        <v>1</v>
      </c>
      <c r="N602" s="119">
        <f t="shared" si="65"/>
        <v>585</v>
      </c>
      <c r="O602" s="99" t="str">
        <f t="shared" si="66"/>
        <v>0</v>
      </c>
      <c r="P602" s="119">
        <f t="shared" si="67"/>
        <v>1</v>
      </c>
      <c r="Q602" s="119">
        <f t="shared" si="68"/>
        <v>1</v>
      </c>
      <c r="S602" s="3">
        <v>1</v>
      </c>
    </row>
    <row r="603" spans="2:19">
      <c r="B603" s="116"/>
      <c r="C603" s="116"/>
      <c r="D603" s="116"/>
      <c r="E603" s="116" cm="1">
        <f t="array" ref="E603">IF(H602&lt;&gt;"",E602,IF(E602="","",IFERROR(MATCH(TRUE(),INDEX(INDEX(K:K,E602+1):K203&lt;&gt;"",0),0)+E602,"")))</f>
        <v>744</v>
      </c>
      <c r="F603" s="117" cm="1">
        <f t="array" ref="F603">IF(E603="","",IF(H602&lt;&gt;"",H602,INDEX(D:D,E603)))</f>
        <v>0</v>
      </c>
      <c r="G603" s="117" t="str">
        <f t="shared" si="63"/>
        <v>0</v>
      </c>
      <c r="H603" s="118" t="str">
        <f t="shared" si="64"/>
        <v/>
      </c>
      <c r="I603" s="116" t="str">
        <f>IF(AND(F603&lt;&gt;"",N10&gt;0,M603&gt;N10),"Mot &gt; limite","")</f>
        <v/>
      </c>
      <c r="M603" s="70">
        <f>IF(OR(F603="",N10="",N10&lt;=0),"",IF(LEN(F603)&lt;=N10,LEN(F603),IFERROR(FIND("♦",SUBSTITUTE(LEFT(F603,N10)," ","♦",LEN(LEFT(F603,N10))-LEN(SUBSTITUTE(LEFT(F603,N10)," ","")))),FIND(" ",F603&amp;" ",N10+1)-1)))</f>
        <v>1</v>
      </c>
      <c r="N603" s="119">
        <f t="shared" si="65"/>
        <v>586</v>
      </c>
      <c r="O603" s="99" t="str">
        <f t="shared" si="66"/>
        <v>0</v>
      </c>
      <c r="P603" s="119">
        <f t="shared" si="67"/>
        <v>1</v>
      </c>
      <c r="Q603" s="119">
        <f t="shared" si="68"/>
        <v>1</v>
      </c>
      <c r="S603" s="3">
        <v>1</v>
      </c>
    </row>
    <row r="604" spans="2:19">
      <c r="B604" s="116"/>
      <c r="C604" s="116"/>
      <c r="D604" s="116"/>
      <c r="E604" s="116" cm="1">
        <f t="array" ref="E604">IF(H603&lt;&gt;"",E603,IF(E603="","",IFERROR(MATCH(TRUE(),INDEX(INDEX(K:K,E603+1):K203&lt;&gt;"",0),0)+E603,"")))</f>
        <v>745</v>
      </c>
      <c r="F604" s="117" cm="1">
        <f t="array" ref="F604">IF(E604="","",IF(H603&lt;&gt;"",H603,INDEX(D:D,E604)))</f>
        <v>0</v>
      </c>
      <c r="G604" s="117" t="str">
        <f t="shared" si="63"/>
        <v>0</v>
      </c>
      <c r="H604" s="118" t="str">
        <f t="shared" si="64"/>
        <v/>
      </c>
      <c r="I604" s="116" t="str">
        <f>IF(AND(F604&lt;&gt;"",N10&gt;0,M604&gt;N10),"Mot &gt; limite","")</f>
        <v/>
      </c>
      <c r="M604" s="70">
        <f>IF(OR(F604="",N10="",N10&lt;=0),"",IF(LEN(F604)&lt;=N10,LEN(F604),IFERROR(FIND("♦",SUBSTITUTE(LEFT(F604,N10)," ","♦",LEN(LEFT(F604,N10))-LEN(SUBSTITUTE(LEFT(F604,N10)," ","")))),FIND(" ",F604&amp;" ",N10+1)-1)))</f>
        <v>1</v>
      </c>
      <c r="N604" s="119">
        <f t="shared" si="65"/>
        <v>587</v>
      </c>
      <c r="O604" s="99" t="str">
        <f t="shared" si="66"/>
        <v>0</v>
      </c>
      <c r="P604" s="119">
        <f t="shared" si="67"/>
        <v>1</v>
      </c>
      <c r="Q604" s="119">
        <f t="shared" si="68"/>
        <v>1</v>
      </c>
      <c r="S604" s="3">
        <v>1</v>
      </c>
    </row>
    <row r="605" spans="2:19">
      <c r="B605" s="116"/>
      <c r="C605" s="116"/>
      <c r="D605" s="116"/>
      <c r="E605" s="116" cm="1">
        <f t="array" ref="E605">IF(H604&lt;&gt;"",E604,IF(E604="","",IFERROR(MATCH(TRUE(),INDEX(INDEX(K:K,E604+1):K203&lt;&gt;"",0),0)+E604,"")))</f>
        <v>746</v>
      </c>
      <c r="F605" s="117" cm="1">
        <f t="array" ref="F605">IF(E605="","",IF(H604&lt;&gt;"",H604,INDEX(D:D,E605)))</f>
        <v>0</v>
      </c>
      <c r="G605" s="117" t="str">
        <f t="shared" si="63"/>
        <v>0</v>
      </c>
      <c r="H605" s="118" t="str">
        <f t="shared" si="64"/>
        <v/>
      </c>
      <c r="I605" s="116" t="str">
        <f>IF(AND(F605&lt;&gt;"",N10&gt;0,M605&gt;N10),"Mot &gt; limite","")</f>
        <v/>
      </c>
      <c r="M605" s="70">
        <f>IF(OR(F605="",N10="",N10&lt;=0),"",IF(LEN(F605)&lt;=N10,LEN(F605),IFERROR(FIND("♦",SUBSTITUTE(LEFT(F605,N10)," ","♦",LEN(LEFT(F605,N10))-LEN(SUBSTITUTE(LEFT(F605,N10)," ","")))),FIND(" ",F605&amp;" ",N10+1)-1)))</f>
        <v>1</v>
      </c>
      <c r="N605" s="119">
        <f t="shared" si="65"/>
        <v>588</v>
      </c>
      <c r="O605" s="99" t="str">
        <f t="shared" si="66"/>
        <v>0</v>
      </c>
      <c r="P605" s="119">
        <f t="shared" si="67"/>
        <v>1</v>
      </c>
      <c r="Q605" s="119">
        <f t="shared" si="68"/>
        <v>1</v>
      </c>
      <c r="S605" s="3">
        <v>1</v>
      </c>
    </row>
    <row r="606" spans="2:19">
      <c r="B606" s="116"/>
      <c r="C606" s="116"/>
      <c r="D606" s="116"/>
      <c r="E606" s="116" cm="1">
        <f t="array" ref="E606">IF(H605&lt;&gt;"",E605,IF(E605="","",IFERROR(MATCH(TRUE(),INDEX(INDEX(K:K,E605+1):K203&lt;&gt;"",0),0)+E605,"")))</f>
        <v>747</v>
      </c>
      <c r="F606" s="117" cm="1">
        <f t="array" ref="F606">IF(E606="","",IF(H605&lt;&gt;"",H605,INDEX(D:D,E606)))</f>
        <v>0</v>
      </c>
      <c r="G606" s="117" t="str">
        <f t="shared" si="63"/>
        <v>0</v>
      </c>
      <c r="H606" s="118" t="str">
        <f t="shared" si="64"/>
        <v/>
      </c>
      <c r="I606" s="116" t="str">
        <f>IF(AND(F606&lt;&gt;"",N10&gt;0,M606&gt;N10),"Mot &gt; limite","")</f>
        <v/>
      </c>
      <c r="M606" s="70">
        <f>IF(OR(F606="",N10="",N10&lt;=0),"",IF(LEN(F606)&lt;=N10,LEN(F606),IFERROR(FIND("♦",SUBSTITUTE(LEFT(F606,N10)," ","♦",LEN(LEFT(F606,N10))-LEN(SUBSTITUTE(LEFT(F606,N10)," ","")))),FIND(" ",F606&amp;" ",N10+1)-1)))</f>
        <v>1</v>
      </c>
      <c r="N606" s="119">
        <f t="shared" si="65"/>
        <v>589</v>
      </c>
      <c r="O606" s="99" t="str">
        <f t="shared" si="66"/>
        <v>0</v>
      </c>
      <c r="P606" s="119">
        <f t="shared" si="67"/>
        <v>1</v>
      </c>
      <c r="Q606" s="119">
        <f t="shared" si="68"/>
        <v>1</v>
      </c>
      <c r="S606" s="3">
        <v>1</v>
      </c>
    </row>
    <row r="607" spans="2:19">
      <c r="B607" s="116"/>
      <c r="C607" s="116"/>
      <c r="D607" s="116"/>
      <c r="E607" s="116" cm="1">
        <f t="array" ref="E607">IF(H606&lt;&gt;"",E606,IF(E606="","",IFERROR(MATCH(TRUE(),INDEX(INDEX(K:K,E606+1):K203&lt;&gt;"",0),0)+E606,"")))</f>
        <v>748</v>
      </c>
      <c r="F607" s="117" cm="1">
        <f t="array" ref="F607">IF(E607="","",IF(H606&lt;&gt;"",H606,INDEX(D:D,E607)))</f>
        <v>0</v>
      </c>
      <c r="G607" s="117" t="str">
        <f t="shared" si="63"/>
        <v>0</v>
      </c>
      <c r="H607" s="118" t="str">
        <f t="shared" si="64"/>
        <v/>
      </c>
      <c r="I607" s="116" t="str">
        <f>IF(AND(F607&lt;&gt;"",N10&gt;0,M607&gt;N10),"Mot &gt; limite","")</f>
        <v/>
      </c>
      <c r="M607" s="70">
        <f>IF(OR(F607="",N10="",N10&lt;=0),"",IF(LEN(F607)&lt;=N10,LEN(F607),IFERROR(FIND("♦",SUBSTITUTE(LEFT(F607,N10)," ","♦",LEN(LEFT(F607,N10))-LEN(SUBSTITUTE(LEFT(F607,N10)," ","")))),FIND(" ",F607&amp;" ",N10+1)-1)))</f>
        <v>1</v>
      </c>
      <c r="N607" s="119">
        <f t="shared" si="65"/>
        <v>590</v>
      </c>
      <c r="O607" s="99" t="str">
        <f t="shared" si="66"/>
        <v>0</v>
      </c>
      <c r="P607" s="119">
        <f t="shared" si="67"/>
        <v>1</v>
      </c>
      <c r="Q607" s="119">
        <f t="shared" si="68"/>
        <v>1</v>
      </c>
      <c r="S607" s="3">
        <v>1</v>
      </c>
    </row>
    <row r="608" spans="2:19">
      <c r="B608" s="116"/>
      <c r="C608" s="116"/>
      <c r="D608" s="116"/>
      <c r="E608" s="116" cm="1">
        <f t="array" ref="E608">IF(H607&lt;&gt;"",E607,IF(E607="","",IFERROR(MATCH(TRUE(),INDEX(INDEX(K:K,E607+1):K203&lt;&gt;"",0),0)+E607,"")))</f>
        <v>749</v>
      </c>
      <c r="F608" s="117" cm="1">
        <f t="array" ref="F608">IF(E608="","",IF(H607&lt;&gt;"",H607,INDEX(D:D,E608)))</f>
        <v>0</v>
      </c>
      <c r="G608" s="117" t="str">
        <f t="shared" si="63"/>
        <v>0</v>
      </c>
      <c r="H608" s="118" t="str">
        <f t="shared" si="64"/>
        <v/>
      </c>
      <c r="I608" s="116" t="str">
        <f>IF(AND(F608&lt;&gt;"",N10&gt;0,M608&gt;N10),"Mot &gt; limite","")</f>
        <v/>
      </c>
      <c r="M608" s="70">
        <f>IF(OR(F608="",N10="",N10&lt;=0),"",IF(LEN(F608)&lt;=N10,LEN(F608),IFERROR(FIND("♦",SUBSTITUTE(LEFT(F608,N10)," ","♦",LEN(LEFT(F608,N10))-LEN(SUBSTITUTE(LEFT(F608,N10)," ","")))),FIND(" ",F608&amp;" ",N10+1)-1)))</f>
        <v>1</v>
      </c>
      <c r="N608" s="119">
        <f t="shared" si="65"/>
        <v>591</v>
      </c>
      <c r="O608" s="99" t="str">
        <f t="shared" si="66"/>
        <v>0</v>
      </c>
      <c r="P608" s="119">
        <f t="shared" si="67"/>
        <v>1</v>
      </c>
      <c r="Q608" s="119">
        <f t="shared" si="68"/>
        <v>1</v>
      </c>
      <c r="S608" s="3">
        <v>1</v>
      </c>
    </row>
    <row r="609" spans="2:19">
      <c r="B609" s="116"/>
      <c r="C609" s="116"/>
      <c r="D609" s="116"/>
      <c r="E609" s="116" cm="1">
        <f t="array" ref="E609">IF(H608&lt;&gt;"",E608,IF(E608="","",IFERROR(MATCH(TRUE(),INDEX(INDEX(K:K,E608+1):K203&lt;&gt;"",0),0)+E608,"")))</f>
        <v>750</v>
      </c>
      <c r="F609" s="117" cm="1">
        <f t="array" ref="F609">IF(E609="","",IF(H608&lt;&gt;"",H608,INDEX(D:D,E609)))</f>
        <v>0</v>
      </c>
      <c r="G609" s="117" t="str">
        <f t="shared" si="63"/>
        <v>0</v>
      </c>
      <c r="H609" s="118" t="str">
        <f t="shared" si="64"/>
        <v/>
      </c>
      <c r="I609" s="116" t="str">
        <f>IF(AND(F609&lt;&gt;"",N10&gt;0,M609&gt;N10),"Mot &gt; limite","")</f>
        <v/>
      </c>
      <c r="M609" s="70">
        <f>IF(OR(F609="",N10="",N10&lt;=0),"",IF(LEN(F609)&lt;=N10,LEN(F609),IFERROR(FIND("♦",SUBSTITUTE(LEFT(F609,N10)," ","♦",LEN(LEFT(F609,N10))-LEN(SUBSTITUTE(LEFT(F609,N10)," ","")))),FIND(" ",F609&amp;" ",N10+1)-1)))</f>
        <v>1</v>
      </c>
      <c r="N609" s="119">
        <f t="shared" si="65"/>
        <v>592</v>
      </c>
      <c r="O609" s="99" t="str">
        <f t="shared" si="66"/>
        <v>0</v>
      </c>
      <c r="P609" s="119">
        <f t="shared" si="67"/>
        <v>1</v>
      </c>
      <c r="Q609" s="119">
        <f t="shared" si="68"/>
        <v>1</v>
      </c>
      <c r="S609" s="3">
        <v>1</v>
      </c>
    </row>
    <row r="610" spans="2:19">
      <c r="B610" s="116"/>
      <c r="C610" s="116"/>
      <c r="D610" s="116"/>
      <c r="E610" s="116" cm="1">
        <f t="array" ref="E610">IF(H609&lt;&gt;"",E609,IF(E609="","",IFERROR(MATCH(TRUE(),INDEX(INDEX(K:K,E609+1):K203&lt;&gt;"",0),0)+E609,"")))</f>
        <v>751</v>
      </c>
      <c r="F610" s="117" cm="1">
        <f t="array" ref="F610">IF(E610="","",IF(H609&lt;&gt;"",H609,INDEX(D:D,E610)))</f>
        <v>0</v>
      </c>
      <c r="G610" s="117" t="str">
        <f t="shared" si="63"/>
        <v>0</v>
      </c>
      <c r="H610" s="118" t="str">
        <f t="shared" si="64"/>
        <v/>
      </c>
      <c r="I610" s="116" t="str">
        <f>IF(AND(F610&lt;&gt;"",N10&gt;0,M610&gt;N10),"Mot &gt; limite","")</f>
        <v/>
      </c>
      <c r="M610" s="70">
        <f>IF(OR(F610="",N10="",N10&lt;=0),"",IF(LEN(F610)&lt;=N10,LEN(F610),IFERROR(FIND("♦",SUBSTITUTE(LEFT(F610,N10)," ","♦",LEN(LEFT(F610,N10))-LEN(SUBSTITUTE(LEFT(F610,N10)," ","")))),FIND(" ",F610&amp;" ",N10+1)-1)))</f>
        <v>1</v>
      </c>
      <c r="N610" s="119">
        <f t="shared" si="65"/>
        <v>593</v>
      </c>
      <c r="O610" s="99" t="str">
        <f t="shared" si="66"/>
        <v>0</v>
      </c>
      <c r="P610" s="119">
        <f t="shared" si="67"/>
        <v>1</v>
      </c>
      <c r="Q610" s="119">
        <f t="shared" si="68"/>
        <v>1</v>
      </c>
      <c r="S610" s="3">
        <v>1</v>
      </c>
    </row>
    <row r="611" spans="2:19">
      <c r="B611" s="116"/>
      <c r="C611" s="116"/>
      <c r="D611" s="116"/>
      <c r="E611" s="116" cm="1">
        <f t="array" ref="E611">IF(H610&lt;&gt;"",E610,IF(E610="","",IFERROR(MATCH(TRUE(),INDEX(INDEX(K:K,E610+1):K203&lt;&gt;"",0),0)+E610,"")))</f>
        <v>752</v>
      </c>
      <c r="F611" s="117" cm="1">
        <f t="array" ref="F611">IF(E611="","",IF(H610&lt;&gt;"",H610,INDEX(D:D,E611)))</f>
        <v>0</v>
      </c>
      <c r="G611" s="117" t="str">
        <f t="shared" si="63"/>
        <v>0</v>
      </c>
      <c r="H611" s="118" t="str">
        <f t="shared" si="64"/>
        <v/>
      </c>
      <c r="I611" s="116" t="str">
        <f>IF(AND(F611&lt;&gt;"",N10&gt;0,M611&gt;N10),"Mot &gt; limite","")</f>
        <v/>
      </c>
      <c r="M611" s="70">
        <f>IF(OR(F611="",N10="",N10&lt;=0),"",IF(LEN(F611)&lt;=N10,LEN(F611),IFERROR(FIND("♦",SUBSTITUTE(LEFT(F611,N10)," ","♦",LEN(LEFT(F611,N10))-LEN(SUBSTITUTE(LEFT(F611,N10)," ","")))),FIND(" ",F611&amp;" ",N10+1)-1)))</f>
        <v>1</v>
      </c>
      <c r="N611" s="119">
        <f t="shared" si="65"/>
        <v>594</v>
      </c>
      <c r="O611" s="99" t="str">
        <f t="shared" si="66"/>
        <v>0</v>
      </c>
      <c r="P611" s="119">
        <f t="shared" si="67"/>
        <v>1</v>
      </c>
      <c r="Q611" s="119">
        <f t="shared" si="68"/>
        <v>1</v>
      </c>
      <c r="S611" s="3">
        <v>1</v>
      </c>
    </row>
    <row r="612" spans="2:19">
      <c r="B612" s="116"/>
      <c r="C612" s="116"/>
      <c r="D612" s="116"/>
      <c r="E612" s="116" cm="1">
        <f t="array" ref="E612">IF(H611&lt;&gt;"",E611,IF(E611="","",IFERROR(MATCH(TRUE(),INDEX(INDEX(K:K,E611+1):K203&lt;&gt;"",0),0)+E611,"")))</f>
        <v>753</v>
      </c>
      <c r="F612" s="117" cm="1">
        <f t="array" ref="F612">IF(E612="","",IF(H611&lt;&gt;"",H611,INDEX(D:D,E612)))</f>
        <v>0</v>
      </c>
      <c r="G612" s="117" t="str">
        <f t="shared" si="63"/>
        <v>0</v>
      </c>
      <c r="H612" s="118" t="str">
        <f t="shared" si="64"/>
        <v/>
      </c>
      <c r="I612" s="116" t="str">
        <f>IF(AND(F612&lt;&gt;"",N10&gt;0,M612&gt;N10),"Mot &gt; limite","")</f>
        <v/>
      </c>
      <c r="M612" s="70">
        <f>IF(OR(F612="",N10="",N10&lt;=0),"",IF(LEN(F612)&lt;=N10,LEN(F612),IFERROR(FIND("♦",SUBSTITUTE(LEFT(F612,N10)," ","♦",LEN(LEFT(F612,N10))-LEN(SUBSTITUTE(LEFT(F612,N10)," ","")))),FIND(" ",F612&amp;" ",N10+1)-1)))</f>
        <v>1</v>
      </c>
      <c r="N612" s="119">
        <f t="shared" si="65"/>
        <v>595</v>
      </c>
      <c r="O612" s="99" t="str">
        <f t="shared" si="66"/>
        <v>0</v>
      </c>
      <c r="P612" s="119">
        <f t="shared" si="67"/>
        <v>1</v>
      </c>
      <c r="Q612" s="119">
        <f t="shared" si="68"/>
        <v>1</v>
      </c>
      <c r="S612" s="3">
        <v>1</v>
      </c>
    </row>
    <row r="613" spans="2:19">
      <c r="B613" s="116"/>
      <c r="C613" s="116"/>
      <c r="D613" s="116"/>
      <c r="E613" s="116" cm="1">
        <f t="array" ref="E613">IF(H612&lt;&gt;"",E612,IF(E612="","",IFERROR(MATCH(TRUE(),INDEX(INDEX(K:K,E612+1):K203&lt;&gt;"",0),0)+E612,"")))</f>
        <v>754</v>
      </c>
      <c r="F613" s="117" cm="1">
        <f t="array" ref="F613">IF(E613="","",IF(H612&lt;&gt;"",H612,INDEX(D:D,E613)))</f>
        <v>0</v>
      </c>
      <c r="G613" s="117" t="str">
        <f t="shared" si="63"/>
        <v>0</v>
      </c>
      <c r="H613" s="118" t="str">
        <f t="shared" si="64"/>
        <v/>
      </c>
      <c r="I613" s="116" t="str">
        <f>IF(AND(F613&lt;&gt;"",N10&gt;0,M613&gt;N10),"Mot &gt; limite","")</f>
        <v/>
      </c>
      <c r="M613" s="70">
        <f>IF(OR(F613="",N10="",N10&lt;=0),"",IF(LEN(F613)&lt;=N10,LEN(F613),IFERROR(FIND("♦",SUBSTITUTE(LEFT(F613,N10)," ","♦",LEN(LEFT(F613,N10))-LEN(SUBSTITUTE(LEFT(F613,N10)," ","")))),FIND(" ",F613&amp;" ",N10+1)-1)))</f>
        <v>1</v>
      </c>
      <c r="N613" s="119">
        <f t="shared" si="65"/>
        <v>596</v>
      </c>
      <c r="O613" s="99" t="str">
        <f t="shared" si="66"/>
        <v>0</v>
      </c>
      <c r="P613" s="119">
        <f t="shared" si="67"/>
        <v>1</v>
      </c>
      <c r="Q613" s="119">
        <f t="shared" si="68"/>
        <v>1</v>
      </c>
      <c r="S613" s="3">
        <v>1</v>
      </c>
    </row>
    <row r="614" spans="2:19">
      <c r="B614" s="116"/>
      <c r="C614" s="116"/>
      <c r="D614" s="116"/>
      <c r="E614" s="116" cm="1">
        <f t="array" ref="E614">IF(H613&lt;&gt;"",E613,IF(E613="","",IFERROR(MATCH(TRUE(),INDEX(INDEX(K:K,E613+1):K203&lt;&gt;"",0),0)+E613,"")))</f>
        <v>755</v>
      </c>
      <c r="F614" s="117" cm="1">
        <f t="array" ref="F614">IF(E614="","",IF(H613&lt;&gt;"",H613,INDEX(D:D,E614)))</f>
        <v>0</v>
      </c>
      <c r="G614" s="117" t="str">
        <f t="shared" si="63"/>
        <v>0</v>
      </c>
      <c r="H614" s="118" t="str">
        <f t="shared" si="64"/>
        <v/>
      </c>
      <c r="I614" s="116" t="str">
        <f>IF(AND(F614&lt;&gt;"",N10&gt;0,M614&gt;N10),"Mot &gt; limite","")</f>
        <v/>
      </c>
      <c r="M614" s="70">
        <f>IF(OR(F614="",N10="",N10&lt;=0),"",IF(LEN(F614)&lt;=N10,LEN(F614),IFERROR(FIND("♦",SUBSTITUTE(LEFT(F614,N10)," ","♦",LEN(LEFT(F614,N10))-LEN(SUBSTITUTE(LEFT(F614,N10)," ","")))),FIND(" ",F614&amp;" ",N10+1)-1)))</f>
        <v>1</v>
      </c>
      <c r="N614" s="119">
        <f t="shared" si="65"/>
        <v>597</v>
      </c>
      <c r="O614" s="99" t="str">
        <f t="shared" si="66"/>
        <v>0</v>
      </c>
      <c r="P614" s="119">
        <f t="shared" si="67"/>
        <v>1</v>
      </c>
      <c r="Q614" s="119">
        <f t="shared" si="68"/>
        <v>1</v>
      </c>
      <c r="S614" s="3">
        <v>1</v>
      </c>
    </row>
    <row r="615" spans="2:19">
      <c r="B615" s="116"/>
      <c r="C615" s="116"/>
      <c r="D615" s="116"/>
      <c r="E615" s="116" cm="1">
        <f t="array" ref="E615">IF(H614&lt;&gt;"",E614,IF(E614="","",IFERROR(MATCH(TRUE(),INDEX(INDEX(K:K,E614+1):K203&lt;&gt;"",0),0)+E614,"")))</f>
        <v>756</v>
      </c>
      <c r="F615" s="117" cm="1">
        <f t="array" ref="F615">IF(E615="","",IF(H614&lt;&gt;"",H614,INDEX(D:D,E615)))</f>
        <v>0</v>
      </c>
      <c r="G615" s="117" t="str">
        <f t="shared" si="63"/>
        <v>0</v>
      </c>
      <c r="H615" s="118" t="str">
        <f t="shared" si="64"/>
        <v/>
      </c>
      <c r="I615" s="116" t="str">
        <f>IF(AND(F615&lt;&gt;"",N10&gt;0,M615&gt;N10),"Mot &gt; limite","")</f>
        <v/>
      </c>
      <c r="M615" s="70">
        <f>IF(OR(F615="",N10="",N10&lt;=0),"",IF(LEN(F615)&lt;=N10,LEN(F615),IFERROR(FIND("♦",SUBSTITUTE(LEFT(F615,N10)," ","♦",LEN(LEFT(F615,N10))-LEN(SUBSTITUTE(LEFT(F615,N10)," ","")))),FIND(" ",F615&amp;" ",N10+1)-1)))</f>
        <v>1</v>
      </c>
      <c r="N615" s="119">
        <f t="shared" si="65"/>
        <v>598</v>
      </c>
      <c r="O615" s="99" t="str">
        <f t="shared" si="66"/>
        <v>0</v>
      </c>
      <c r="P615" s="119">
        <f t="shared" si="67"/>
        <v>1</v>
      </c>
      <c r="Q615" s="119">
        <f t="shared" si="68"/>
        <v>1</v>
      </c>
      <c r="S615" s="3">
        <v>1</v>
      </c>
    </row>
    <row r="616" spans="2:19">
      <c r="B616" s="116"/>
      <c r="C616" s="116"/>
      <c r="D616" s="116"/>
      <c r="E616" s="116" cm="1">
        <f t="array" ref="E616">IF(H615&lt;&gt;"",E615,IF(E615="","",IFERROR(MATCH(TRUE(),INDEX(INDEX(K:K,E615+1):K203&lt;&gt;"",0),0)+E615,"")))</f>
        <v>757</v>
      </c>
      <c r="F616" s="117" cm="1">
        <f t="array" ref="F616">IF(E616="","",IF(H615&lt;&gt;"",H615,INDEX(D:D,E616)))</f>
        <v>0</v>
      </c>
      <c r="G616" s="117" t="str">
        <f t="shared" si="63"/>
        <v>0</v>
      </c>
      <c r="H616" s="118" t="str">
        <f t="shared" si="64"/>
        <v/>
      </c>
      <c r="I616" s="116" t="str">
        <f>IF(AND(F616&lt;&gt;"",N10&gt;0,M616&gt;N10),"Mot &gt; limite","")</f>
        <v/>
      </c>
      <c r="M616" s="70">
        <f>IF(OR(F616="",N10="",N10&lt;=0),"",IF(LEN(F616)&lt;=N10,LEN(F616),IFERROR(FIND("♦",SUBSTITUTE(LEFT(F616,N10)," ","♦",LEN(LEFT(F616,N10))-LEN(SUBSTITUTE(LEFT(F616,N10)," ","")))),FIND(" ",F616&amp;" ",N10+1)-1)))</f>
        <v>1</v>
      </c>
      <c r="N616" s="119">
        <f t="shared" si="65"/>
        <v>599</v>
      </c>
      <c r="O616" s="99" t="str">
        <f t="shared" si="66"/>
        <v>0</v>
      </c>
      <c r="P616" s="119">
        <f t="shared" si="67"/>
        <v>1</v>
      </c>
      <c r="Q616" s="119">
        <f t="shared" si="68"/>
        <v>1</v>
      </c>
      <c r="S616" s="3">
        <v>1</v>
      </c>
    </row>
    <row r="617" spans="2:19">
      <c r="B617" s="116"/>
      <c r="C617" s="116"/>
      <c r="D617" s="116"/>
      <c r="E617" s="116" cm="1">
        <f t="array" ref="E617">IF(H616&lt;&gt;"",E616,IF(E616="","",IFERROR(MATCH(TRUE(),INDEX(INDEX(K:K,E616+1):K203&lt;&gt;"",0),0)+E616,"")))</f>
        <v>758</v>
      </c>
      <c r="F617" s="117" cm="1">
        <f t="array" ref="F617">IF(E617="","",IF(H616&lt;&gt;"",H616,INDEX(D:D,E617)))</f>
        <v>0</v>
      </c>
      <c r="G617" s="117" t="str">
        <f t="shared" si="63"/>
        <v>0</v>
      </c>
      <c r="H617" s="118" t="str">
        <f t="shared" si="64"/>
        <v/>
      </c>
      <c r="I617" s="116" t="str">
        <f>IF(AND(F617&lt;&gt;"",N10&gt;0,M617&gt;N10),"Mot &gt; limite","")</f>
        <v/>
      </c>
      <c r="M617" s="70">
        <f>IF(OR(F617="",N10="",N10&lt;=0),"",IF(LEN(F617)&lt;=N10,LEN(F617),IFERROR(FIND("♦",SUBSTITUTE(LEFT(F617,N10)," ","♦",LEN(LEFT(F617,N10))-LEN(SUBSTITUTE(LEFT(F617,N10)," ","")))),FIND(" ",F617&amp;" ",N10+1)-1)))</f>
        <v>1</v>
      </c>
      <c r="N617" s="119">
        <f t="shared" si="65"/>
        <v>600</v>
      </c>
      <c r="O617" s="99" t="str">
        <f t="shared" si="66"/>
        <v>0</v>
      </c>
      <c r="P617" s="119">
        <f t="shared" si="67"/>
        <v>1</v>
      </c>
      <c r="Q617" s="119">
        <f t="shared" si="68"/>
        <v>1</v>
      </c>
      <c r="S617" s="3">
        <v>1</v>
      </c>
    </row>
    <row r="618" spans="2:19">
      <c r="B618" s="116"/>
      <c r="C618" s="116"/>
      <c r="D618" s="116"/>
      <c r="E618" s="116" cm="1">
        <f t="array" ref="E618">IF(H617&lt;&gt;"",E617,IF(E617="","",IFERROR(MATCH(TRUE(),INDEX(INDEX(K:K,E617+1):K203&lt;&gt;"",0),0)+E617,"")))</f>
        <v>759</v>
      </c>
      <c r="F618" s="117" cm="1">
        <f t="array" ref="F618">IF(E618="","",IF(H617&lt;&gt;"",H617,INDEX(D:D,E618)))</f>
        <v>0</v>
      </c>
      <c r="G618" s="117" t="str">
        <f t="shared" si="63"/>
        <v>0</v>
      </c>
      <c r="H618" s="118" t="str">
        <f t="shared" si="64"/>
        <v/>
      </c>
      <c r="I618" s="116" t="str">
        <f>IF(AND(F618&lt;&gt;"",N10&gt;0,M618&gt;N10),"Mot &gt; limite","")</f>
        <v/>
      </c>
      <c r="M618" s="70">
        <f>IF(OR(F618="",N10="",N10&lt;=0),"",IF(LEN(F618)&lt;=N10,LEN(F618),IFERROR(FIND("♦",SUBSTITUTE(LEFT(F618,N10)," ","♦",LEN(LEFT(F618,N10))-LEN(SUBSTITUTE(LEFT(F618,N10)," ","")))),FIND(" ",F618&amp;" ",N10+1)-1)))</f>
        <v>1</v>
      </c>
      <c r="N618" s="119">
        <f t="shared" si="65"/>
        <v>601</v>
      </c>
      <c r="O618" s="99" t="str">
        <f t="shared" si="66"/>
        <v>0</v>
      </c>
      <c r="P618" s="119">
        <f t="shared" si="67"/>
        <v>1</v>
      </c>
      <c r="Q618" s="119">
        <f t="shared" si="68"/>
        <v>1</v>
      </c>
      <c r="S618" s="3">
        <v>1</v>
      </c>
    </row>
    <row r="619" spans="2:19">
      <c r="B619" s="116"/>
      <c r="C619" s="116"/>
      <c r="D619" s="116"/>
      <c r="E619" s="116" cm="1">
        <f t="array" ref="E619">IF(H618&lt;&gt;"",E618,IF(E618="","",IFERROR(MATCH(TRUE(),INDEX(INDEX(K:K,E618+1):K203&lt;&gt;"",0),0)+E618,"")))</f>
        <v>760</v>
      </c>
      <c r="F619" s="117" cm="1">
        <f t="array" ref="F619">IF(E619="","",IF(H618&lt;&gt;"",H618,INDEX(D:D,E619)))</f>
        <v>0</v>
      </c>
      <c r="G619" s="117" t="str">
        <f t="shared" si="63"/>
        <v>0</v>
      </c>
      <c r="H619" s="118" t="str">
        <f t="shared" si="64"/>
        <v/>
      </c>
      <c r="I619" s="116" t="str">
        <f>IF(AND(F619&lt;&gt;"",N10&gt;0,M619&gt;N10),"Mot &gt; limite","")</f>
        <v/>
      </c>
      <c r="M619" s="70">
        <f>IF(OR(F619="",N10="",N10&lt;=0),"",IF(LEN(F619)&lt;=N10,LEN(F619),IFERROR(FIND("♦",SUBSTITUTE(LEFT(F619,N10)," ","♦",LEN(LEFT(F619,N10))-LEN(SUBSTITUTE(LEFT(F619,N10)," ","")))),FIND(" ",F619&amp;" ",N10+1)-1)))</f>
        <v>1</v>
      </c>
      <c r="N619" s="119">
        <f t="shared" si="65"/>
        <v>602</v>
      </c>
      <c r="O619" s="99" t="str">
        <f t="shared" si="66"/>
        <v>0</v>
      </c>
      <c r="P619" s="119">
        <f t="shared" si="67"/>
        <v>1</v>
      </c>
      <c r="Q619" s="119">
        <f t="shared" si="68"/>
        <v>1</v>
      </c>
      <c r="S619" s="3">
        <v>1</v>
      </c>
    </row>
    <row r="620" spans="2:19">
      <c r="B620" s="116"/>
      <c r="C620" s="116"/>
      <c r="D620" s="116"/>
      <c r="E620" s="116" cm="1">
        <f t="array" ref="E620">IF(H619&lt;&gt;"",E619,IF(E619="","",IFERROR(MATCH(TRUE(),INDEX(INDEX(K:K,E619+1):K203&lt;&gt;"",0),0)+E619,"")))</f>
        <v>761</v>
      </c>
      <c r="F620" s="117" cm="1">
        <f t="array" ref="F620">IF(E620="","",IF(H619&lt;&gt;"",H619,INDEX(D:D,E620)))</f>
        <v>0</v>
      </c>
      <c r="G620" s="117" t="str">
        <f t="shared" si="63"/>
        <v>0</v>
      </c>
      <c r="H620" s="118" t="str">
        <f t="shared" si="64"/>
        <v/>
      </c>
      <c r="I620" s="116" t="str">
        <f>IF(AND(F620&lt;&gt;"",N10&gt;0,M620&gt;N10),"Mot &gt; limite","")</f>
        <v/>
      </c>
      <c r="M620" s="70">
        <f>IF(OR(F620="",N10="",N10&lt;=0),"",IF(LEN(F620)&lt;=N10,LEN(F620),IFERROR(FIND("♦",SUBSTITUTE(LEFT(F620,N10)," ","♦",LEN(LEFT(F620,N10))-LEN(SUBSTITUTE(LEFT(F620,N10)," ","")))),FIND(" ",F620&amp;" ",N10+1)-1)))</f>
        <v>1</v>
      </c>
      <c r="N620" s="119">
        <f t="shared" si="65"/>
        <v>603</v>
      </c>
      <c r="O620" s="99" t="str">
        <f t="shared" si="66"/>
        <v>0</v>
      </c>
      <c r="P620" s="119">
        <f t="shared" si="67"/>
        <v>1</v>
      </c>
      <c r="Q620" s="119">
        <f t="shared" si="68"/>
        <v>1</v>
      </c>
      <c r="S620" s="3">
        <v>1</v>
      </c>
    </row>
    <row r="621" spans="2:19">
      <c r="B621" s="116"/>
      <c r="C621" s="116"/>
      <c r="D621" s="116"/>
      <c r="E621" s="116" cm="1">
        <f t="array" ref="E621">IF(H620&lt;&gt;"",E620,IF(E620="","",IFERROR(MATCH(TRUE(),INDEX(INDEX(K:K,E620+1):K203&lt;&gt;"",0),0)+E620,"")))</f>
        <v>762</v>
      </c>
      <c r="F621" s="117" cm="1">
        <f t="array" ref="F621">IF(E621="","",IF(H620&lt;&gt;"",H620,INDEX(D:D,E621)))</f>
        <v>0</v>
      </c>
      <c r="G621" s="117" t="str">
        <f t="shared" si="63"/>
        <v>0</v>
      </c>
      <c r="H621" s="118" t="str">
        <f t="shared" si="64"/>
        <v/>
      </c>
      <c r="I621" s="116" t="str">
        <f>IF(AND(F621&lt;&gt;"",N10&gt;0,M621&gt;N10),"Mot &gt; limite","")</f>
        <v/>
      </c>
      <c r="M621" s="70">
        <f>IF(OR(F621="",N10="",N10&lt;=0),"",IF(LEN(F621)&lt;=N10,LEN(F621),IFERROR(FIND("♦",SUBSTITUTE(LEFT(F621,N10)," ","♦",LEN(LEFT(F621,N10))-LEN(SUBSTITUTE(LEFT(F621,N10)," ","")))),FIND(" ",F621&amp;" ",N10+1)-1)))</f>
        <v>1</v>
      </c>
      <c r="N621" s="119">
        <f t="shared" si="65"/>
        <v>604</v>
      </c>
      <c r="O621" s="99" t="str">
        <f t="shared" si="66"/>
        <v>0</v>
      </c>
      <c r="P621" s="119">
        <f t="shared" si="67"/>
        <v>1</v>
      </c>
      <c r="Q621" s="119">
        <f t="shared" si="68"/>
        <v>1</v>
      </c>
      <c r="S621" s="3">
        <v>1</v>
      </c>
    </row>
    <row r="622" spans="2:19">
      <c r="B622" s="116"/>
      <c r="C622" s="116"/>
      <c r="D622" s="116"/>
      <c r="E622" s="116" cm="1">
        <f t="array" ref="E622">IF(H621&lt;&gt;"",E621,IF(E621="","",IFERROR(MATCH(TRUE(),INDEX(INDEX(K:K,E621+1):K203&lt;&gt;"",0),0)+E621,"")))</f>
        <v>763</v>
      </c>
      <c r="F622" s="117" cm="1">
        <f t="array" ref="F622">IF(E622="","",IF(H621&lt;&gt;"",H621,INDEX(D:D,E622)))</f>
        <v>0</v>
      </c>
      <c r="G622" s="117" t="str">
        <f t="shared" si="63"/>
        <v>0</v>
      </c>
      <c r="H622" s="118" t="str">
        <f t="shared" si="64"/>
        <v/>
      </c>
      <c r="I622" s="116" t="str">
        <f>IF(AND(F622&lt;&gt;"",N10&gt;0,M622&gt;N10),"Mot &gt; limite","")</f>
        <v/>
      </c>
      <c r="M622" s="70">
        <f>IF(OR(F622="",N10="",N10&lt;=0),"",IF(LEN(F622)&lt;=N10,LEN(F622),IFERROR(FIND("♦",SUBSTITUTE(LEFT(F622,N10)," ","♦",LEN(LEFT(F622,N10))-LEN(SUBSTITUTE(LEFT(F622,N10)," ","")))),FIND(" ",F622&amp;" ",N10+1)-1)))</f>
        <v>1</v>
      </c>
      <c r="N622" s="119">
        <f t="shared" si="65"/>
        <v>605</v>
      </c>
      <c r="O622" s="99" t="str">
        <f t="shared" si="66"/>
        <v>0</v>
      </c>
      <c r="P622" s="119">
        <f t="shared" si="67"/>
        <v>1</v>
      </c>
      <c r="Q622" s="119">
        <f t="shared" si="68"/>
        <v>1</v>
      </c>
      <c r="S622" s="3">
        <v>1</v>
      </c>
    </row>
    <row r="623" spans="2:19">
      <c r="B623" s="116"/>
      <c r="C623" s="116"/>
      <c r="D623" s="116"/>
      <c r="E623" s="116" cm="1">
        <f t="array" ref="E623">IF(H622&lt;&gt;"",E622,IF(E622="","",IFERROR(MATCH(TRUE(),INDEX(INDEX(K:K,E622+1):K203&lt;&gt;"",0),0)+E622,"")))</f>
        <v>764</v>
      </c>
      <c r="F623" s="117" cm="1">
        <f t="array" ref="F623">IF(E623="","",IF(H622&lt;&gt;"",H622,INDEX(D:D,E623)))</f>
        <v>0</v>
      </c>
      <c r="G623" s="117" t="str">
        <f t="shared" si="63"/>
        <v>0</v>
      </c>
      <c r="H623" s="118" t="str">
        <f t="shared" si="64"/>
        <v/>
      </c>
      <c r="I623" s="116" t="str">
        <f>IF(AND(F623&lt;&gt;"",N10&gt;0,M623&gt;N10),"Mot &gt; limite","")</f>
        <v/>
      </c>
      <c r="M623" s="70">
        <f>IF(OR(F623="",N10="",N10&lt;=0),"",IF(LEN(F623)&lt;=N10,LEN(F623),IFERROR(FIND("♦",SUBSTITUTE(LEFT(F623,N10)," ","♦",LEN(LEFT(F623,N10))-LEN(SUBSTITUTE(LEFT(F623,N10)," ","")))),FIND(" ",F623&amp;" ",N10+1)-1)))</f>
        <v>1</v>
      </c>
      <c r="N623" s="119">
        <f t="shared" si="65"/>
        <v>606</v>
      </c>
      <c r="O623" s="99" t="str">
        <f t="shared" si="66"/>
        <v>0</v>
      </c>
      <c r="P623" s="119">
        <f t="shared" si="67"/>
        <v>1</v>
      </c>
      <c r="Q623" s="119">
        <f t="shared" si="68"/>
        <v>1</v>
      </c>
      <c r="S623" s="3">
        <v>1</v>
      </c>
    </row>
    <row r="624" spans="2:19">
      <c r="B624" s="116"/>
      <c r="C624" s="116"/>
      <c r="D624" s="116"/>
      <c r="E624" s="116" cm="1">
        <f t="array" ref="E624">IF(H623&lt;&gt;"",E623,IF(E623="","",IFERROR(MATCH(TRUE(),INDEX(INDEX(K:K,E623+1):K203&lt;&gt;"",0),0)+E623,"")))</f>
        <v>765</v>
      </c>
      <c r="F624" s="117" cm="1">
        <f t="array" ref="F624">IF(E624="","",IF(H623&lt;&gt;"",H623,INDEX(D:D,E624)))</f>
        <v>0</v>
      </c>
      <c r="G624" s="117" t="str">
        <f t="shared" si="63"/>
        <v>0</v>
      </c>
      <c r="H624" s="118" t="str">
        <f t="shared" si="64"/>
        <v/>
      </c>
      <c r="I624" s="116" t="str">
        <f>IF(AND(F624&lt;&gt;"",N10&gt;0,M624&gt;N10),"Mot &gt; limite","")</f>
        <v/>
      </c>
      <c r="M624" s="70">
        <f>IF(OR(F624="",N10="",N10&lt;=0),"",IF(LEN(F624)&lt;=N10,LEN(F624),IFERROR(FIND("♦",SUBSTITUTE(LEFT(F624,N10)," ","♦",LEN(LEFT(F624,N10))-LEN(SUBSTITUTE(LEFT(F624,N10)," ","")))),FIND(" ",F624&amp;" ",N10+1)-1)))</f>
        <v>1</v>
      </c>
      <c r="N624" s="119">
        <f t="shared" si="65"/>
        <v>607</v>
      </c>
      <c r="O624" s="99" t="str">
        <f t="shared" si="66"/>
        <v>0</v>
      </c>
      <c r="P624" s="119">
        <f t="shared" si="67"/>
        <v>1</v>
      </c>
      <c r="Q624" s="119">
        <f t="shared" si="68"/>
        <v>1</v>
      </c>
      <c r="S624" s="3">
        <v>1</v>
      </c>
    </row>
    <row r="625" spans="2:19">
      <c r="B625" s="116"/>
      <c r="C625" s="116"/>
      <c r="D625" s="116"/>
      <c r="E625" s="116" cm="1">
        <f t="array" ref="E625">IF(H624&lt;&gt;"",E624,IF(E624="","",IFERROR(MATCH(TRUE(),INDEX(INDEX(K:K,E624+1):K203&lt;&gt;"",0),0)+E624,"")))</f>
        <v>766</v>
      </c>
      <c r="F625" s="117" cm="1">
        <f t="array" ref="F625">IF(E625="","",IF(H624&lt;&gt;"",H624,INDEX(D:D,E625)))</f>
        <v>0</v>
      </c>
      <c r="G625" s="117" t="str">
        <f t="shared" si="63"/>
        <v>0</v>
      </c>
      <c r="H625" s="118" t="str">
        <f t="shared" si="64"/>
        <v/>
      </c>
      <c r="I625" s="116" t="str">
        <f>IF(AND(F625&lt;&gt;"",N10&gt;0,M625&gt;N10),"Mot &gt; limite","")</f>
        <v/>
      </c>
      <c r="M625" s="70">
        <f>IF(OR(F625="",N10="",N10&lt;=0),"",IF(LEN(F625)&lt;=N10,LEN(F625),IFERROR(FIND("♦",SUBSTITUTE(LEFT(F625,N10)," ","♦",LEN(LEFT(F625,N10))-LEN(SUBSTITUTE(LEFT(F625,N10)," ","")))),FIND(" ",F625&amp;" ",N10+1)-1)))</f>
        <v>1</v>
      </c>
      <c r="N625" s="119">
        <f t="shared" si="65"/>
        <v>608</v>
      </c>
      <c r="O625" s="99" t="str">
        <f t="shared" si="66"/>
        <v>0</v>
      </c>
      <c r="P625" s="119">
        <f t="shared" si="67"/>
        <v>1</v>
      </c>
      <c r="Q625" s="119">
        <f t="shared" si="68"/>
        <v>1</v>
      </c>
      <c r="S625" s="3">
        <v>1</v>
      </c>
    </row>
    <row r="626" spans="2:19">
      <c r="B626" s="116"/>
      <c r="C626" s="116"/>
      <c r="D626" s="116"/>
      <c r="E626" s="116" cm="1">
        <f t="array" ref="E626">IF(H625&lt;&gt;"",E625,IF(E625="","",IFERROR(MATCH(TRUE(),INDEX(INDEX(K:K,E625+1):K203&lt;&gt;"",0),0)+E625,"")))</f>
        <v>767</v>
      </c>
      <c r="F626" s="117" cm="1">
        <f t="array" ref="F626">IF(E626="","",IF(H625&lt;&gt;"",H625,INDEX(D:D,E626)))</f>
        <v>0</v>
      </c>
      <c r="G626" s="117" t="str">
        <f t="shared" si="63"/>
        <v>0</v>
      </c>
      <c r="H626" s="118" t="str">
        <f t="shared" si="64"/>
        <v/>
      </c>
      <c r="I626" s="116" t="str">
        <f>IF(AND(F626&lt;&gt;"",N10&gt;0,M626&gt;N10),"Mot &gt; limite","")</f>
        <v/>
      </c>
      <c r="M626" s="70">
        <f>IF(OR(F626="",N10="",N10&lt;=0),"",IF(LEN(F626)&lt;=N10,LEN(F626),IFERROR(FIND("♦",SUBSTITUTE(LEFT(F626,N10)," ","♦",LEN(LEFT(F626,N10))-LEN(SUBSTITUTE(LEFT(F626,N10)," ","")))),FIND(" ",F626&amp;" ",N10+1)-1)))</f>
        <v>1</v>
      </c>
      <c r="N626" s="119">
        <f t="shared" si="65"/>
        <v>609</v>
      </c>
      <c r="O626" s="99" t="str">
        <f t="shared" si="66"/>
        <v>0</v>
      </c>
      <c r="P626" s="119">
        <f t="shared" si="67"/>
        <v>1</v>
      </c>
      <c r="Q626" s="119">
        <f t="shared" si="68"/>
        <v>1</v>
      </c>
      <c r="S626" s="3">
        <v>1</v>
      </c>
    </row>
    <row r="627" spans="2:19">
      <c r="B627" s="116"/>
      <c r="C627" s="116"/>
      <c r="D627" s="116"/>
      <c r="E627" s="116" cm="1">
        <f t="array" ref="E627">IF(H626&lt;&gt;"",E626,IF(E626="","",IFERROR(MATCH(TRUE(),INDEX(INDEX(K:K,E626+1):K203&lt;&gt;"",0),0)+E626,"")))</f>
        <v>768</v>
      </c>
      <c r="F627" s="117" cm="1">
        <f t="array" ref="F627">IF(E627="","",IF(H626&lt;&gt;"",H626,INDEX(D:D,E627)))</f>
        <v>0</v>
      </c>
      <c r="G627" s="117" t="str">
        <f t="shared" si="63"/>
        <v>0</v>
      </c>
      <c r="H627" s="118" t="str">
        <f t="shared" si="64"/>
        <v/>
      </c>
      <c r="I627" s="116" t="str">
        <f>IF(AND(F627&lt;&gt;"",N10&gt;0,M627&gt;N10),"Mot &gt; limite","")</f>
        <v/>
      </c>
      <c r="M627" s="70">
        <f>IF(OR(F627="",N10="",N10&lt;=0),"",IF(LEN(F627)&lt;=N10,LEN(F627),IFERROR(FIND("♦",SUBSTITUTE(LEFT(F627,N10)," ","♦",LEN(LEFT(F627,N10))-LEN(SUBSTITUTE(LEFT(F627,N10)," ","")))),FIND(" ",F627&amp;" ",N10+1)-1)))</f>
        <v>1</v>
      </c>
      <c r="N627" s="119">
        <f t="shared" si="65"/>
        <v>610</v>
      </c>
      <c r="O627" s="99" t="str">
        <f t="shared" si="66"/>
        <v>0</v>
      </c>
      <c r="P627" s="119">
        <f t="shared" si="67"/>
        <v>1</v>
      </c>
      <c r="Q627" s="119">
        <f t="shared" si="68"/>
        <v>1</v>
      </c>
      <c r="S627" s="3">
        <v>1</v>
      </c>
    </row>
    <row r="628" spans="2:19">
      <c r="B628" s="116"/>
      <c r="C628" s="116"/>
      <c r="D628" s="116"/>
      <c r="E628" s="116" cm="1">
        <f t="array" ref="E628">IF(H627&lt;&gt;"",E627,IF(E627="","",IFERROR(MATCH(TRUE(),INDEX(INDEX(K:K,E627+1):K203&lt;&gt;"",0),0)+E627,"")))</f>
        <v>769</v>
      </c>
      <c r="F628" s="117" cm="1">
        <f t="array" ref="F628">IF(E628="","",IF(H627&lt;&gt;"",H627,INDEX(D:D,E628)))</f>
        <v>0</v>
      </c>
      <c r="G628" s="117" t="str">
        <f t="shared" si="63"/>
        <v>0</v>
      </c>
      <c r="H628" s="118" t="str">
        <f t="shared" si="64"/>
        <v/>
      </c>
      <c r="I628" s="116" t="str">
        <f>IF(AND(F628&lt;&gt;"",N10&gt;0,M628&gt;N10),"Mot &gt; limite","")</f>
        <v/>
      </c>
      <c r="M628" s="70">
        <f>IF(OR(F628="",N10="",N10&lt;=0),"",IF(LEN(F628)&lt;=N10,LEN(F628),IFERROR(FIND("♦",SUBSTITUTE(LEFT(F628,N10)," ","♦",LEN(LEFT(F628,N10))-LEN(SUBSTITUTE(LEFT(F628,N10)," ","")))),FIND(" ",F628&amp;" ",N10+1)-1)))</f>
        <v>1</v>
      </c>
      <c r="N628" s="119">
        <f t="shared" si="65"/>
        <v>611</v>
      </c>
      <c r="O628" s="99" t="str">
        <f t="shared" si="66"/>
        <v>0</v>
      </c>
      <c r="P628" s="119">
        <f t="shared" si="67"/>
        <v>1</v>
      </c>
      <c r="Q628" s="119">
        <f t="shared" si="68"/>
        <v>1</v>
      </c>
      <c r="S628" s="3">
        <v>1</v>
      </c>
    </row>
    <row r="629" spans="2:19">
      <c r="B629" s="116"/>
      <c r="C629" s="116"/>
      <c r="D629" s="116"/>
      <c r="E629" s="116" cm="1">
        <f t="array" ref="E629">IF(H628&lt;&gt;"",E628,IF(E628="","",IFERROR(MATCH(TRUE(),INDEX(INDEX(K:K,E628+1):K203&lt;&gt;"",0),0)+E628,"")))</f>
        <v>770</v>
      </c>
      <c r="F629" s="117" cm="1">
        <f t="array" ref="F629">IF(E629="","",IF(H628&lt;&gt;"",H628,INDEX(D:D,E629)))</f>
        <v>0</v>
      </c>
      <c r="G629" s="117" t="str">
        <f t="shared" si="63"/>
        <v>0</v>
      </c>
      <c r="H629" s="118" t="str">
        <f t="shared" si="64"/>
        <v/>
      </c>
      <c r="I629" s="116" t="str">
        <f>IF(AND(F629&lt;&gt;"",N10&gt;0,M629&gt;N10),"Mot &gt; limite","")</f>
        <v/>
      </c>
      <c r="M629" s="70">
        <f>IF(OR(F629="",N10="",N10&lt;=0),"",IF(LEN(F629)&lt;=N10,LEN(F629),IFERROR(FIND("♦",SUBSTITUTE(LEFT(F629,N10)," ","♦",LEN(LEFT(F629,N10))-LEN(SUBSTITUTE(LEFT(F629,N10)," ","")))),FIND(" ",F629&amp;" ",N10+1)-1)))</f>
        <v>1</v>
      </c>
      <c r="N629" s="119">
        <f t="shared" si="65"/>
        <v>612</v>
      </c>
      <c r="O629" s="99" t="str">
        <f t="shared" si="66"/>
        <v>0</v>
      </c>
      <c r="P629" s="119">
        <f t="shared" si="67"/>
        <v>1</v>
      </c>
      <c r="Q629" s="119">
        <f t="shared" si="68"/>
        <v>1</v>
      </c>
      <c r="S629" s="3">
        <v>1</v>
      </c>
    </row>
    <row r="630" spans="2:19">
      <c r="B630" s="116"/>
      <c r="C630" s="116"/>
      <c r="D630" s="116"/>
      <c r="E630" s="116" cm="1">
        <f t="array" ref="E630">IF(H629&lt;&gt;"",E629,IF(E629="","",IFERROR(MATCH(TRUE(),INDEX(INDEX(K:K,E629+1):K203&lt;&gt;"",0),0)+E629,"")))</f>
        <v>771</v>
      </c>
      <c r="F630" s="117" cm="1">
        <f t="array" ref="F630">IF(E630="","",IF(H629&lt;&gt;"",H629,INDEX(D:D,E630)))</f>
        <v>0</v>
      </c>
      <c r="G630" s="117" t="str">
        <f t="shared" si="63"/>
        <v>0</v>
      </c>
      <c r="H630" s="118" t="str">
        <f t="shared" si="64"/>
        <v/>
      </c>
      <c r="I630" s="116" t="str">
        <f>IF(AND(F630&lt;&gt;"",N10&gt;0,M630&gt;N10),"Mot &gt; limite","")</f>
        <v/>
      </c>
      <c r="M630" s="70">
        <f>IF(OR(F630="",N10="",N10&lt;=0),"",IF(LEN(F630)&lt;=N10,LEN(F630),IFERROR(FIND("♦",SUBSTITUTE(LEFT(F630,N10)," ","♦",LEN(LEFT(F630,N10))-LEN(SUBSTITUTE(LEFT(F630,N10)," ","")))),FIND(" ",F630&amp;" ",N10+1)-1)))</f>
        <v>1</v>
      </c>
      <c r="N630" s="119">
        <f t="shared" si="65"/>
        <v>613</v>
      </c>
      <c r="O630" s="99" t="str">
        <f t="shared" si="66"/>
        <v>0</v>
      </c>
      <c r="P630" s="119">
        <f t="shared" si="67"/>
        <v>1</v>
      </c>
      <c r="Q630" s="119">
        <f t="shared" si="68"/>
        <v>1</v>
      </c>
      <c r="S630" s="3">
        <v>1</v>
      </c>
    </row>
    <row r="631" spans="2:19">
      <c r="B631" s="116"/>
      <c r="C631" s="116"/>
      <c r="D631" s="116"/>
      <c r="E631" s="116" cm="1">
        <f t="array" ref="E631">IF(H630&lt;&gt;"",E630,IF(E630="","",IFERROR(MATCH(TRUE(),INDEX(INDEX(K:K,E630+1):K203&lt;&gt;"",0),0)+E630,"")))</f>
        <v>772</v>
      </c>
      <c r="F631" s="117" cm="1">
        <f t="array" ref="F631">IF(E631="","",IF(H630&lt;&gt;"",H630,INDEX(D:D,E631)))</f>
        <v>0</v>
      </c>
      <c r="G631" s="117" t="str">
        <f t="shared" si="63"/>
        <v>0</v>
      </c>
      <c r="H631" s="118" t="str">
        <f t="shared" si="64"/>
        <v/>
      </c>
      <c r="I631" s="116" t="str">
        <f>IF(AND(F631&lt;&gt;"",N10&gt;0,M631&gt;N10),"Mot &gt; limite","")</f>
        <v/>
      </c>
      <c r="M631" s="70">
        <f>IF(OR(F631="",N10="",N10&lt;=0),"",IF(LEN(F631)&lt;=N10,LEN(F631),IFERROR(FIND("♦",SUBSTITUTE(LEFT(F631,N10)," ","♦",LEN(LEFT(F631,N10))-LEN(SUBSTITUTE(LEFT(F631,N10)," ","")))),FIND(" ",F631&amp;" ",N10+1)-1)))</f>
        <v>1</v>
      </c>
      <c r="N631" s="119">
        <f t="shared" si="65"/>
        <v>614</v>
      </c>
      <c r="O631" s="99" t="str">
        <f t="shared" si="66"/>
        <v>0</v>
      </c>
      <c r="P631" s="119">
        <f t="shared" si="67"/>
        <v>1</v>
      </c>
      <c r="Q631" s="119">
        <f t="shared" si="68"/>
        <v>1</v>
      </c>
      <c r="S631" s="3">
        <v>1</v>
      </c>
    </row>
    <row r="632" spans="2:19">
      <c r="B632" s="116"/>
      <c r="C632" s="116"/>
      <c r="D632" s="116"/>
      <c r="E632" s="116" cm="1">
        <f t="array" ref="E632">IF(H631&lt;&gt;"",E631,IF(E631="","",IFERROR(MATCH(TRUE(),INDEX(INDEX(K:K,E631+1):K203&lt;&gt;"",0),0)+E631,"")))</f>
        <v>773</v>
      </c>
      <c r="F632" s="117" cm="1">
        <f t="array" ref="F632">IF(E632="","",IF(H631&lt;&gt;"",H631,INDEX(D:D,E632)))</f>
        <v>0</v>
      </c>
      <c r="G632" s="117" t="str">
        <f t="shared" si="63"/>
        <v>0</v>
      </c>
      <c r="H632" s="118" t="str">
        <f t="shared" si="64"/>
        <v/>
      </c>
      <c r="I632" s="116" t="str">
        <f>IF(AND(F632&lt;&gt;"",N10&gt;0,M632&gt;N10),"Mot &gt; limite","")</f>
        <v/>
      </c>
      <c r="M632" s="70">
        <f>IF(OR(F632="",N10="",N10&lt;=0),"",IF(LEN(F632)&lt;=N10,LEN(F632),IFERROR(FIND("♦",SUBSTITUTE(LEFT(F632,N10)," ","♦",LEN(LEFT(F632,N10))-LEN(SUBSTITUTE(LEFT(F632,N10)," ","")))),FIND(" ",F632&amp;" ",N10+1)-1)))</f>
        <v>1</v>
      </c>
      <c r="N632" s="119">
        <f t="shared" si="65"/>
        <v>615</v>
      </c>
      <c r="O632" s="99" t="str">
        <f t="shared" si="66"/>
        <v>0</v>
      </c>
      <c r="P632" s="119">
        <f t="shared" si="67"/>
        <v>1</v>
      </c>
      <c r="Q632" s="119">
        <f t="shared" si="68"/>
        <v>1</v>
      </c>
      <c r="S632" s="3">
        <v>1</v>
      </c>
    </row>
    <row r="633" spans="2:19">
      <c r="B633" s="116"/>
      <c r="C633" s="116"/>
      <c r="D633" s="116"/>
      <c r="E633" s="116" cm="1">
        <f t="array" ref="E633">IF(H632&lt;&gt;"",E632,IF(E632="","",IFERROR(MATCH(TRUE(),INDEX(INDEX(K:K,E632+1):K203&lt;&gt;"",0),0)+E632,"")))</f>
        <v>774</v>
      </c>
      <c r="F633" s="117" cm="1">
        <f t="array" ref="F633">IF(E633="","",IF(H632&lt;&gt;"",H632,INDEX(D:D,E633)))</f>
        <v>0</v>
      </c>
      <c r="G633" s="117" t="str">
        <f t="shared" si="63"/>
        <v>0</v>
      </c>
      <c r="H633" s="118" t="str">
        <f t="shared" si="64"/>
        <v/>
      </c>
      <c r="I633" s="116" t="str">
        <f>IF(AND(F633&lt;&gt;"",N10&gt;0,M633&gt;N10),"Mot &gt; limite","")</f>
        <v/>
      </c>
      <c r="M633" s="70">
        <f>IF(OR(F633="",N10="",N10&lt;=0),"",IF(LEN(F633)&lt;=N10,LEN(F633),IFERROR(FIND("♦",SUBSTITUTE(LEFT(F633,N10)," ","♦",LEN(LEFT(F633,N10))-LEN(SUBSTITUTE(LEFT(F633,N10)," ","")))),FIND(" ",F633&amp;" ",N10+1)-1)))</f>
        <v>1</v>
      </c>
      <c r="N633" s="119">
        <f t="shared" si="65"/>
        <v>616</v>
      </c>
      <c r="O633" s="99" t="str">
        <f t="shared" si="66"/>
        <v>0</v>
      </c>
      <c r="P633" s="119">
        <f t="shared" si="67"/>
        <v>1</v>
      </c>
      <c r="Q633" s="119">
        <f t="shared" si="68"/>
        <v>1</v>
      </c>
      <c r="S633" s="3">
        <v>1</v>
      </c>
    </row>
    <row r="634" spans="2:19">
      <c r="B634" s="116"/>
      <c r="C634" s="116"/>
      <c r="D634" s="116"/>
      <c r="E634" s="116" cm="1">
        <f t="array" ref="E634">IF(H633&lt;&gt;"",E633,IF(E633="","",IFERROR(MATCH(TRUE(),INDEX(INDEX(K:K,E633+1):K203&lt;&gt;"",0),0)+E633,"")))</f>
        <v>775</v>
      </c>
      <c r="F634" s="117" cm="1">
        <f t="array" ref="F634">IF(E634="","",IF(H633&lt;&gt;"",H633,INDEX(D:D,E634)))</f>
        <v>0</v>
      </c>
      <c r="G634" s="117" t="str">
        <f t="shared" si="63"/>
        <v>0</v>
      </c>
      <c r="H634" s="118" t="str">
        <f t="shared" si="64"/>
        <v/>
      </c>
      <c r="I634" s="116" t="str">
        <f>IF(AND(F634&lt;&gt;"",N10&gt;0,M634&gt;N10),"Mot &gt; limite","")</f>
        <v/>
      </c>
      <c r="M634" s="70">
        <f>IF(OR(F634="",N10="",N10&lt;=0),"",IF(LEN(F634)&lt;=N10,LEN(F634),IFERROR(FIND("♦",SUBSTITUTE(LEFT(F634,N10)," ","♦",LEN(LEFT(F634,N10))-LEN(SUBSTITUTE(LEFT(F634,N10)," ","")))),FIND(" ",F634&amp;" ",N10+1)-1)))</f>
        <v>1</v>
      </c>
      <c r="N634" s="119">
        <f t="shared" si="65"/>
        <v>617</v>
      </c>
      <c r="O634" s="99" t="str">
        <f t="shared" si="66"/>
        <v>0</v>
      </c>
      <c r="P634" s="119">
        <f t="shared" si="67"/>
        <v>1</v>
      </c>
      <c r="Q634" s="119">
        <f t="shared" si="68"/>
        <v>1</v>
      </c>
      <c r="S634" s="3">
        <v>1</v>
      </c>
    </row>
    <row r="635" spans="2:19">
      <c r="B635" s="116"/>
      <c r="C635" s="116"/>
      <c r="D635" s="116"/>
      <c r="E635" s="116" cm="1">
        <f t="array" ref="E635">IF(H634&lt;&gt;"",E634,IF(E634="","",IFERROR(MATCH(TRUE(),INDEX(INDEX(K:K,E634+1):K203&lt;&gt;"",0),0)+E634,"")))</f>
        <v>776</v>
      </c>
      <c r="F635" s="117" cm="1">
        <f t="array" ref="F635">IF(E635="","",IF(H634&lt;&gt;"",H634,INDEX(D:D,E635)))</f>
        <v>0</v>
      </c>
      <c r="G635" s="117" t="str">
        <f t="shared" si="63"/>
        <v>0</v>
      </c>
      <c r="H635" s="118" t="str">
        <f t="shared" si="64"/>
        <v/>
      </c>
      <c r="I635" s="116" t="str">
        <f>IF(AND(F635&lt;&gt;"",N10&gt;0,M635&gt;N10),"Mot &gt; limite","")</f>
        <v/>
      </c>
      <c r="M635" s="70">
        <f>IF(OR(F635="",N10="",N10&lt;=0),"",IF(LEN(F635)&lt;=N10,LEN(F635),IFERROR(FIND("♦",SUBSTITUTE(LEFT(F635,N10)," ","♦",LEN(LEFT(F635,N10))-LEN(SUBSTITUTE(LEFT(F635,N10)," ","")))),FIND(" ",F635&amp;" ",N10+1)-1)))</f>
        <v>1</v>
      </c>
      <c r="N635" s="119">
        <f t="shared" si="65"/>
        <v>618</v>
      </c>
      <c r="O635" s="99" t="str">
        <f t="shared" si="66"/>
        <v>0</v>
      </c>
      <c r="P635" s="119">
        <f t="shared" si="67"/>
        <v>1</v>
      </c>
      <c r="Q635" s="119">
        <f t="shared" si="68"/>
        <v>1</v>
      </c>
      <c r="S635" s="3">
        <v>1</v>
      </c>
    </row>
    <row r="636" spans="2:19">
      <c r="B636" s="116"/>
      <c r="C636" s="116"/>
      <c r="D636" s="116"/>
      <c r="E636" s="116" cm="1">
        <f t="array" ref="E636">IF(H635&lt;&gt;"",E635,IF(E635="","",IFERROR(MATCH(TRUE(),INDEX(INDEX(K:K,E635+1):K203&lt;&gt;"",0),0)+E635,"")))</f>
        <v>777</v>
      </c>
      <c r="F636" s="117" cm="1">
        <f t="array" ref="F636">IF(E636="","",IF(H635&lt;&gt;"",H635,INDEX(D:D,E636)))</f>
        <v>0</v>
      </c>
      <c r="G636" s="117" t="str">
        <f t="shared" si="63"/>
        <v>0</v>
      </c>
      <c r="H636" s="118" t="str">
        <f t="shared" si="64"/>
        <v/>
      </c>
      <c r="I636" s="116" t="str">
        <f>IF(AND(F636&lt;&gt;"",N10&gt;0,M636&gt;N10),"Mot &gt; limite","")</f>
        <v/>
      </c>
      <c r="M636" s="70">
        <f>IF(OR(F636="",N10="",N10&lt;=0),"",IF(LEN(F636)&lt;=N10,LEN(F636),IFERROR(FIND("♦",SUBSTITUTE(LEFT(F636,N10)," ","♦",LEN(LEFT(F636,N10))-LEN(SUBSTITUTE(LEFT(F636,N10)," ","")))),FIND(" ",F636&amp;" ",N10+1)-1)))</f>
        <v>1</v>
      </c>
      <c r="N636" s="119">
        <f t="shared" si="65"/>
        <v>619</v>
      </c>
      <c r="O636" s="99" t="str">
        <f t="shared" si="66"/>
        <v>0</v>
      </c>
      <c r="P636" s="119">
        <f t="shared" si="67"/>
        <v>1</v>
      </c>
      <c r="Q636" s="119">
        <f t="shared" si="68"/>
        <v>1</v>
      </c>
      <c r="S636" s="3">
        <v>1</v>
      </c>
    </row>
    <row r="637" spans="2:19">
      <c r="B637" s="116"/>
      <c r="C637" s="116"/>
      <c r="D637" s="116"/>
      <c r="E637" s="116" cm="1">
        <f t="array" ref="E637">IF(H636&lt;&gt;"",E636,IF(E636="","",IFERROR(MATCH(TRUE(),INDEX(INDEX(K:K,E636+1):K203&lt;&gt;"",0),0)+E636,"")))</f>
        <v>778</v>
      </c>
      <c r="F637" s="117" cm="1">
        <f t="array" ref="F637">IF(E637="","",IF(H636&lt;&gt;"",H636,INDEX(D:D,E637)))</f>
        <v>0</v>
      </c>
      <c r="G637" s="117" t="str">
        <f t="shared" si="63"/>
        <v>0</v>
      </c>
      <c r="H637" s="118" t="str">
        <f t="shared" si="64"/>
        <v/>
      </c>
      <c r="I637" s="116" t="str">
        <f>IF(AND(F637&lt;&gt;"",N10&gt;0,M637&gt;N10),"Mot &gt; limite","")</f>
        <v/>
      </c>
      <c r="M637" s="70">
        <f>IF(OR(F637="",N10="",N10&lt;=0),"",IF(LEN(F637)&lt;=N10,LEN(F637),IFERROR(FIND("♦",SUBSTITUTE(LEFT(F637,N10)," ","♦",LEN(LEFT(F637,N10))-LEN(SUBSTITUTE(LEFT(F637,N10)," ","")))),FIND(" ",F637&amp;" ",N10+1)-1)))</f>
        <v>1</v>
      </c>
      <c r="N637" s="119">
        <f t="shared" si="65"/>
        <v>620</v>
      </c>
      <c r="O637" s="99" t="str">
        <f t="shared" si="66"/>
        <v>0</v>
      </c>
      <c r="P637" s="119">
        <f t="shared" si="67"/>
        <v>1</v>
      </c>
      <c r="Q637" s="119">
        <f t="shared" si="68"/>
        <v>1</v>
      </c>
      <c r="S637" s="3">
        <v>1</v>
      </c>
    </row>
    <row r="638" spans="2:19">
      <c r="B638" s="116"/>
      <c r="C638" s="116"/>
      <c r="D638" s="116"/>
      <c r="E638" s="116" cm="1">
        <f t="array" ref="E638">IF(H637&lt;&gt;"",E637,IF(E637="","",IFERROR(MATCH(TRUE(),INDEX(INDEX(K:K,E637+1):K203&lt;&gt;"",0),0)+E637,"")))</f>
        <v>779</v>
      </c>
      <c r="F638" s="117" cm="1">
        <f t="array" ref="F638">IF(E638="","",IF(H637&lt;&gt;"",H637,INDEX(D:D,E638)))</f>
        <v>0</v>
      </c>
      <c r="G638" s="117" t="str">
        <f t="shared" si="63"/>
        <v>0</v>
      </c>
      <c r="H638" s="118" t="str">
        <f t="shared" si="64"/>
        <v/>
      </c>
      <c r="I638" s="116" t="str">
        <f>IF(AND(F638&lt;&gt;"",N10&gt;0,M638&gt;N10),"Mot &gt; limite","")</f>
        <v/>
      </c>
      <c r="M638" s="70">
        <f>IF(OR(F638="",N10="",N10&lt;=0),"",IF(LEN(F638)&lt;=N10,LEN(F638),IFERROR(FIND("♦",SUBSTITUTE(LEFT(F638,N10)," ","♦",LEN(LEFT(F638,N10))-LEN(SUBSTITUTE(LEFT(F638,N10)," ","")))),FIND(" ",F638&amp;" ",N10+1)-1)))</f>
        <v>1</v>
      </c>
      <c r="N638" s="119">
        <f t="shared" si="65"/>
        <v>621</v>
      </c>
      <c r="O638" s="99" t="str">
        <f t="shared" si="66"/>
        <v>0</v>
      </c>
      <c r="P638" s="119">
        <f t="shared" si="67"/>
        <v>1</v>
      </c>
      <c r="Q638" s="119">
        <f t="shared" si="68"/>
        <v>1</v>
      </c>
      <c r="S638" s="3">
        <v>1</v>
      </c>
    </row>
    <row r="639" spans="2:19">
      <c r="B639" s="116"/>
      <c r="C639" s="116"/>
      <c r="D639" s="116"/>
      <c r="E639" s="116" cm="1">
        <f t="array" ref="E639">IF(H638&lt;&gt;"",E638,IF(E638="","",IFERROR(MATCH(TRUE(),INDEX(INDEX(K:K,E638+1):K203&lt;&gt;"",0),0)+E638,"")))</f>
        <v>780</v>
      </c>
      <c r="F639" s="117" cm="1">
        <f t="array" ref="F639">IF(E639="","",IF(H638&lt;&gt;"",H638,INDEX(D:D,E639)))</f>
        <v>0</v>
      </c>
      <c r="G639" s="117" t="str">
        <f t="shared" si="63"/>
        <v>0</v>
      </c>
      <c r="H639" s="118" t="str">
        <f t="shared" si="64"/>
        <v/>
      </c>
      <c r="I639" s="116" t="str">
        <f>IF(AND(F639&lt;&gt;"",N10&gt;0,M639&gt;N10),"Mot &gt; limite","")</f>
        <v/>
      </c>
      <c r="M639" s="70">
        <f>IF(OR(F639="",N10="",N10&lt;=0),"",IF(LEN(F639)&lt;=N10,LEN(F639),IFERROR(FIND("♦",SUBSTITUTE(LEFT(F639,N10)," ","♦",LEN(LEFT(F639,N10))-LEN(SUBSTITUTE(LEFT(F639,N10)," ","")))),FIND(" ",F639&amp;" ",N10+1)-1)))</f>
        <v>1</v>
      </c>
      <c r="N639" s="119">
        <f t="shared" si="65"/>
        <v>622</v>
      </c>
      <c r="O639" s="99" t="str">
        <f t="shared" si="66"/>
        <v>0</v>
      </c>
      <c r="P639" s="119">
        <f t="shared" si="67"/>
        <v>1</v>
      </c>
      <c r="Q639" s="119">
        <f t="shared" si="68"/>
        <v>1</v>
      </c>
      <c r="S639" s="3">
        <v>1</v>
      </c>
    </row>
    <row r="640" spans="2:19">
      <c r="B640" s="116"/>
      <c r="C640" s="116"/>
      <c r="D640" s="116"/>
      <c r="E640" s="116" cm="1">
        <f t="array" ref="E640">IF(H639&lt;&gt;"",E639,IF(E639="","",IFERROR(MATCH(TRUE(),INDEX(INDEX(K:K,E639+1):K203&lt;&gt;"",0),0)+E639,"")))</f>
        <v>781</v>
      </c>
      <c r="F640" s="117" cm="1">
        <f t="array" ref="F640">IF(E640="","",IF(H639&lt;&gt;"",H639,INDEX(D:D,E640)))</f>
        <v>0</v>
      </c>
      <c r="G640" s="117" t="str">
        <f t="shared" si="63"/>
        <v>0</v>
      </c>
      <c r="H640" s="118" t="str">
        <f t="shared" si="64"/>
        <v/>
      </c>
      <c r="I640" s="116" t="str">
        <f>IF(AND(F640&lt;&gt;"",N10&gt;0,M640&gt;N10),"Mot &gt; limite","")</f>
        <v/>
      </c>
      <c r="M640" s="70">
        <f>IF(OR(F640="",N10="",N10&lt;=0),"",IF(LEN(F640)&lt;=N10,LEN(F640),IFERROR(FIND("♦",SUBSTITUTE(LEFT(F640,N10)," ","♦",LEN(LEFT(F640,N10))-LEN(SUBSTITUTE(LEFT(F640,N10)," ","")))),FIND(" ",F640&amp;" ",N10+1)-1)))</f>
        <v>1</v>
      </c>
      <c r="N640" s="119">
        <f t="shared" si="65"/>
        <v>623</v>
      </c>
      <c r="O640" s="99" t="str">
        <f t="shared" si="66"/>
        <v>0</v>
      </c>
      <c r="P640" s="119">
        <f t="shared" si="67"/>
        <v>1</v>
      </c>
      <c r="Q640" s="119">
        <f t="shared" si="68"/>
        <v>1</v>
      </c>
      <c r="S640" s="3">
        <v>1</v>
      </c>
    </row>
    <row r="641" spans="2:19">
      <c r="B641" s="116"/>
      <c r="C641" s="116"/>
      <c r="D641" s="116"/>
      <c r="E641" s="116" cm="1">
        <f t="array" ref="E641">IF(H640&lt;&gt;"",E640,IF(E640="","",IFERROR(MATCH(TRUE(),INDEX(INDEX(K:K,E640+1):K203&lt;&gt;"",0),0)+E640,"")))</f>
        <v>782</v>
      </c>
      <c r="F641" s="117" cm="1">
        <f t="array" ref="F641">IF(E641="","",IF(H640&lt;&gt;"",H640,INDEX(D:D,E641)))</f>
        <v>0</v>
      </c>
      <c r="G641" s="117" t="str">
        <f t="shared" si="63"/>
        <v>0</v>
      </c>
      <c r="H641" s="118" t="str">
        <f t="shared" si="64"/>
        <v/>
      </c>
      <c r="I641" s="116" t="str">
        <f>IF(AND(F641&lt;&gt;"",N10&gt;0,M641&gt;N10),"Mot &gt; limite","")</f>
        <v/>
      </c>
      <c r="M641" s="70">
        <f>IF(OR(F641="",N10="",N10&lt;=0),"",IF(LEN(F641)&lt;=N10,LEN(F641),IFERROR(FIND("♦",SUBSTITUTE(LEFT(F641,N10)," ","♦",LEN(LEFT(F641,N10))-LEN(SUBSTITUTE(LEFT(F641,N10)," ","")))),FIND(" ",F641&amp;" ",N10+1)-1)))</f>
        <v>1</v>
      </c>
      <c r="N641" s="119">
        <f t="shared" si="65"/>
        <v>624</v>
      </c>
      <c r="O641" s="99" t="str">
        <f t="shared" si="66"/>
        <v>0</v>
      </c>
      <c r="P641" s="119">
        <f t="shared" si="67"/>
        <v>1</v>
      </c>
      <c r="Q641" s="119">
        <f t="shared" si="68"/>
        <v>1</v>
      </c>
      <c r="S641" s="3">
        <v>1</v>
      </c>
    </row>
    <row r="642" spans="2:19">
      <c r="B642" s="116"/>
      <c r="C642" s="116"/>
      <c r="D642" s="116"/>
      <c r="E642" s="116" cm="1">
        <f t="array" ref="E642">IF(H641&lt;&gt;"",E641,IF(E641="","",IFERROR(MATCH(TRUE(),INDEX(INDEX(K:K,E641+1):K203&lt;&gt;"",0),0)+E641,"")))</f>
        <v>783</v>
      </c>
      <c r="F642" s="117" cm="1">
        <f t="array" ref="F642">IF(E642="","",IF(H641&lt;&gt;"",H641,INDEX(D:D,E642)))</f>
        <v>0</v>
      </c>
      <c r="G642" s="117" t="str">
        <f t="shared" si="63"/>
        <v>0</v>
      </c>
      <c r="H642" s="118" t="str">
        <f t="shared" si="64"/>
        <v/>
      </c>
      <c r="I642" s="116" t="str">
        <f>IF(AND(F642&lt;&gt;"",N10&gt;0,M642&gt;N10),"Mot &gt; limite","")</f>
        <v/>
      </c>
      <c r="M642" s="70">
        <f>IF(OR(F642="",N10="",N10&lt;=0),"",IF(LEN(F642)&lt;=N10,LEN(F642),IFERROR(FIND("♦",SUBSTITUTE(LEFT(F642,N10)," ","♦",LEN(LEFT(F642,N10))-LEN(SUBSTITUTE(LEFT(F642,N10)," ","")))),FIND(" ",F642&amp;" ",N10+1)-1)))</f>
        <v>1</v>
      </c>
      <c r="N642" s="119">
        <f t="shared" si="65"/>
        <v>625</v>
      </c>
      <c r="O642" s="99" t="str">
        <f t="shared" si="66"/>
        <v>0</v>
      </c>
      <c r="P642" s="119">
        <f t="shared" si="67"/>
        <v>1</v>
      </c>
      <c r="Q642" s="119">
        <f t="shared" si="68"/>
        <v>1</v>
      </c>
      <c r="S642" s="3">
        <v>1</v>
      </c>
    </row>
    <row r="643" spans="2:19">
      <c r="B643" s="116"/>
      <c r="C643" s="116"/>
      <c r="D643" s="116"/>
      <c r="E643" s="116" cm="1">
        <f t="array" ref="E643">IF(H642&lt;&gt;"",E642,IF(E642="","",IFERROR(MATCH(TRUE(),INDEX(INDEX(K:K,E642+1):K203&lt;&gt;"",0),0)+E642,"")))</f>
        <v>784</v>
      </c>
      <c r="F643" s="117" cm="1">
        <f t="array" ref="F643">IF(E643="","",IF(H642&lt;&gt;"",H642,INDEX(D:D,E643)))</f>
        <v>0</v>
      </c>
      <c r="G643" s="117" t="str">
        <f t="shared" si="63"/>
        <v>0</v>
      </c>
      <c r="H643" s="118" t="str">
        <f t="shared" si="64"/>
        <v/>
      </c>
      <c r="I643" s="116" t="str">
        <f>IF(AND(F643&lt;&gt;"",N10&gt;0,M643&gt;N10),"Mot &gt; limite","")</f>
        <v/>
      </c>
      <c r="M643" s="70">
        <f>IF(OR(F643="",N10="",N10&lt;=0),"",IF(LEN(F643)&lt;=N10,LEN(F643),IFERROR(FIND("♦",SUBSTITUTE(LEFT(F643,N10)," ","♦",LEN(LEFT(F643,N10))-LEN(SUBSTITUTE(LEFT(F643,N10)," ","")))),FIND(" ",F643&amp;" ",N10+1)-1)))</f>
        <v>1</v>
      </c>
      <c r="N643" s="119">
        <f t="shared" si="65"/>
        <v>626</v>
      </c>
      <c r="O643" s="99" t="str">
        <f t="shared" si="66"/>
        <v>0</v>
      </c>
      <c r="P643" s="119">
        <f t="shared" si="67"/>
        <v>1</v>
      </c>
      <c r="Q643" s="119">
        <f t="shared" si="68"/>
        <v>1</v>
      </c>
      <c r="S643" s="3">
        <v>1</v>
      </c>
    </row>
    <row r="644" spans="2:19">
      <c r="B644" s="116"/>
      <c r="C644" s="116"/>
      <c r="D644" s="116"/>
      <c r="E644" s="116" cm="1">
        <f t="array" ref="E644">IF(H643&lt;&gt;"",E643,IF(E643="","",IFERROR(MATCH(TRUE(),INDEX(INDEX(K:K,E643+1):K203&lt;&gt;"",0),0)+E643,"")))</f>
        <v>785</v>
      </c>
      <c r="F644" s="117" cm="1">
        <f t="array" ref="F644">IF(E644="","",IF(H643&lt;&gt;"",H643,INDEX(D:D,E644)))</f>
        <v>0</v>
      </c>
      <c r="G644" s="117" t="str">
        <f t="shared" si="63"/>
        <v>0</v>
      </c>
      <c r="H644" s="118" t="str">
        <f t="shared" si="64"/>
        <v/>
      </c>
      <c r="I644" s="116" t="str">
        <f>IF(AND(F644&lt;&gt;"",N10&gt;0,M644&gt;N10),"Mot &gt; limite","")</f>
        <v/>
      </c>
      <c r="M644" s="70">
        <f>IF(OR(F644="",N10="",N10&lt;=0),"",IF(LEN(F644)&lt;=N10,LEN(F644),IFERROR(FIND("♦",SUBSTITUTE(LEFT(F644,N10)," ","♦",LEN(LEFT(F644,N10))-LEN(SUBSTITUTE(LEFT(F644,N10)," ","")))),FIND(" ",F644&amp;" ",N10+1)-1)))</f>
        <v>1</v>
      </c>
      <c r="N644" s="119">
        <f t="shared" si="65"/>
        <v>627</v>
      </c>
      <c r="O644" s="99" t="str">
        <f t="shared" si="66"/>
        <v>0</v>
      </c>
      <c r="P644" s="119">
        <f t="shared" si="67"/>
        <v>1</v>
      </c>
      <c r="Q644" s="119">
        <f t="shared" si="68"/>
        <v>1</v>
      </c>
      <c r="S644" s="3">
        <v>1</v>
      </c>
    </row>
    <row r="645" spans="2:19">
      <c r="B645" s="116"/>
      <c r="C645" s="116"/>
      <c r="D645" s="116"/>
      <c r="E645" s="116" cm="1">
        <f t="array" ref="E645">IF(H644&lt;&gt;"",E644,IF(E644="","",IFERROR(MATCH(TRUE(),INDEX(INDEX(K:K,E644+1):K203&lt;&gt;"",0),0)+E644,"")))</f>
        <v>786</v>
      </c>
      <c r="F645" s="117" cm="1">
        <f t="array" ref="F645">IF(E645="","",IF(H644&lt;&gt;"",H644,INDEX(D:D,E645)))</f>
        <v>0</v>
      </c>
      <c r="G645" s="117" t="str">
        <f t="shared" si="63"/>
        <v>0</v>
      </c>
      <c r="H645" s="118" t="str">
        <f t="shared" si="64"/>
        <v/>
      </c>
      <c r="I645" s="116" t="str">
        <f>IF(AND(F645&lt;&gt;"",N10&gt;0,M645&gt;N10),"Mot &gt; limite","")</f>
        <v/>
      </c>
      <c r="M645" s="70">
        <f>IF(OR(F645="",N10="",N10&lt;=0),"",IF(LEN(F645)&lt;=N10,LEN(F645),IFERROR(FIND("♦",SUBSTITUTE(LEFT(F645,N10)," ","♦",LEN(LEFT(F645,N10))-LEN(SUBSTITUTE(LEFT(F645,N10)," ","")))),FIND(" ",F645&amp;" ",N10+1)-1)))</f>
        <v>1</v>
      </c>
      <c r="N645" s="119">
        <f t="shared" si="65"/>
        <v>628</v>
      </c>
      <c r="O645" s="99" t="str">
        <f t="shared" si="66"/>
        <v>0</v>
      </c>
      <c r="P645" s="119">
        <f t="shared" si="67"/>
        <v>1</v>
      </c>
      <c r="Q645" s="119">
        <f t="shared" si="68"/>
        <v>1</v>
      </c>
      <c r="S645" s="3">
        <v>1</v>
      </c>
    </row>
    <row r="646" spans="2:19">
      <c r="B646" s="116"/>
      <c r="C646" s="116"/>
      <c r="D646" s="116"/>
      <c r="E646" s="116" cm="1">
        <f t="array" ref="E646">IF(H645&lt;&gt;"",E645,IF(E645="","",IFERROR(MATCH(TRUE(),INDEX(INDEX(K:K,E645+1):K203&lt;&gt;"",0),0)+E645,"")))</f>
        <v>787</v>
      </c>
      <c r="F646" s="117" cm="1">
        <f t="array" ref="F646">IF(E646="","",IF(H645&lt;&gt;"",H645,INDEX(D:D,E646)))</f>
        <v>0</v>
      </c>
      <c r="G646" s="117" t="str">
        <f t="shared" si="63"/>
        <v>0</v>
      </c>
      <c r="H646" s="118" t="str">
        <f t="shared" si="64"/>
        <v/>
      </c>
      <c r="I646" s="116" t="str">
        <f>IF(AND(F646&lt;&gt;"",N10&gt;0,M646&gt;N10),"Mot &gt; limite","")</f>
        <v/>
      </c>
      <c r="M646" s="70">
        <f>IF(OR(F646="",N10="",N10&lt;=0),"",IF(LEN(F646)&lt;=N10,LEN(F646),IFERROR(FIND("♦",SUBSTITUTE(LEFT(F646,N10)," ","♦",LEN(LEFT(F646,N10))-LEN(SUBSTITUTE(LEFT(F646,N10)," ","")))),FIND(" ",F646&amp;" ",N10+1)-1)))</f>
        <v>1</v>
      </c>
      <c r="N646" s="119">
        <f t="shared" si="65"/>
        <v>629</v>
      </c>
      <c r="O646" s="99" t="str">
        <f t="shared" si="66"/>
        <v>0</v>
      </c>
      <c r="P646" s="119">
        <f t="shared" si="67"/>
        <v>1</v>
      </c>
      <c r="Q646" s="119">
        <f t="shared" si="68"/>
        <v>1</v>
      </c>
      <c r="S646" s="3">
        <v>1</v>
      </c>
    </row>
    <row r="647" spans="2:19">
      <c r="B647" s="116"/>
      <c r="C647" s="116"/>
      <c r="D647" s="116"/>
      <c r="E647" s="116" cm="1">
        <f t="array" ref="E647">IF(H646&lt;&gt;"",E646,IF(E646="","",IFERROR(MATCH(TRUE(),INDEX(INDEX(K:K,E646+1):K203&lt;&gt;"",0),0)+E646,"")))</f>
        <v>788</v>
      </c>
      <c r="F647" s="117" cm="1">
        <f t="array" ref="F647">IF(E647="","",IF(H646&lt;&gt;"",H646,INDEX(D:D,E647)))</f>
        <v>0</v>
      </c>
      <c r="G647" s="117" t="str">
        <f t="shared" si="63"/>
        <v>0</v>
      </c>
      <c r="H647" s="118" t="str">
        <f t="shared" si="64"/>
        <v/>
      </c>
      <c r="I647" s="116" t="str">
        <f>IF(AND(F647&lt;&gt;"",N10&gt;0,M647&gt;N10),"Mot &gt; limite","")</f>
        <v/>
      </c>
      <c r="M647" s="70">
        <f>IF(OR(F647="",N10="",N10&lt;=0),"",IF(LEN(F647)&lt;=N10,LEN(F647),IFERROR(FIND("♦",SUBSTITUTE(LEFT(F647,N10)," ","♦",LEN(LEFT(F647,N10))-LEN(SUBSTITUTE(LEFT(F647,N10)," ","")))),FIND(" ",F647&amp;" ",N10+1)-1)))</f>
        <v>1</v>
      </c>
      <c r="N647" s="119">
        <f t="shared" si="65"/>
        <v>630</v>
      </c>
      <c r="O647" s="99" t="str">
        <f t="shared" si="66"/>
        <v>0</v>
      </c>
      <c r="P647" s="119">
        <f t="shared" si="67"/>
        <v>1</v>
      </c>
      <c r="Q647" s="119">
        <f t="shared" si="68"/>
        <v>1</v>
      </c>
      <c r="S647" s="3">
        <v>1</v>
      </c>
    </row>
    <row r="648" spans="2:19">
      <c r="B648" s="116"/>
      <c r="C648" s="116"/>
      <c r="D648" s="116"/>
      <c r="E648" s="116" cm="1">
        <f t="array" ref="E648">IF(H647&lt;&gt;"",E647,IF(E647="","",IFERROR(MATCH(TRUE(),INDEX(INDEX(K:K,E647+1):K203&lt;&gt;"",0),0)+E647,"")))</f>
        <v>789</v>
      </c>
      <c r="F648" s="117" cm="1">
        <f t="array" ref="F648">IF(E648="","",IF(H647&lt;&gt;"",H647,INDEX(D:D,E648)))</f>
        <v>0</v>
      </c>
      <c r="G648" s="117" t="str">
        <f t="shared" si="63"/>
        <v>0</v>
      </c>
      <c r="H648" s="118" t="str">
        <f t="shared" si="64"/>
        <v/>
      </c>
      <c r="I648" s="116" t="str">
        <f>IF(AND(F648&lt;&gt;"",N10&gt;0,M648&gt;N10),"Mot &gt; limite","")</f>
        <v/>
      </c>
      <c r="M648" s="70">
        <f>IF(OR(F648="",N10="",N10&lt;=0),"",IF(LEN(F648)&lt;=N10,LEN(F648),IFERROR(FIND("♦",SUBSTITUTE(LEFT(F648,N10)," ","♦",LEN(LEFT(F648,N10))-LEN(SUBSTITUTE(LEFT(F648,N10)," ","")))),FIND(" ",F648&amp;" ",N10+1)-1)))</f>
        <v>1</v>
      </c>
      <c r="N648" s="119">
        <f t="shared" si="65"/>
        <v>631</v>
      </c>
      <c r="O648" s="99" t="str">
        <f t="shared" si="66"/>
        <v>0</v>
      </c>
      <c r="P648" s="119">
        <f t="shared" si="67"/>
        <v>1</v>
      </c>
      <c r="Q648" s="119">
        <f t="shared" si="68"/>
        <v>1</v>
      </c>
      <c r="S648" s="3">
        <v>1</v>
      </c>
    </row>
    <row r="649" spans="2:19">
      <c r="B649" s="116"/>
      <c r="C649" s="116"/>
      <c r="D649" s="116"/>
      <c r="E649" s="116" cm="1">
        <f t="array" ref="E649">IF(H648&lt;&gt;"",E648,IF(E648="","",IFERROR(MATCH(TRUE(),INDEX(INDEX(K:K,E648+1):K203&lt;&gt;"",0),0)+E648,"")))</f>
        <v>790</v>
      </c>
      <c r="F649" s="117" cm="1">
        <f t="array" ref="F649">IF(E649="","",IF(H648&lt;&gt;"",H648,INDEX(D:D,E649)))</f>
        <v>0</v>
      </c>
      <c r="G649" s="117" t="str">
        <f t="shared" si="63"/>
        <v>0</v>
      </c>
      <c r="H649" s="118" t="str">
        <f t="shared" si="64"/>
        <v/>
      </c>
      <c r="I649" s="116" t="str">
        <f>IF(AND(F649&lt;&gt;"",N10&gt;0,M649&gt;N10),"Mot &gt; limite","")</f>
        <v/>
      </c>
      <c r="M649" s="70">
        <f>IF(OR(F649="",N10="",N10&lt;=0),"",IF(LEN(F649)&lt;=N10,LEN(F649),IFERROR(FIND("♦",SUBSTITUTE(LEFT(F649,N10)," ","♦",LEN(LEFT(F649,N10))-LEN(SUBSTITUTE(LEFT(F649,N10)," ","")))),FIND(" ",F649&amp;" ",N10+1)-1)))</f>
        <v>1</v>
      </c>
      <c r="N649" s="119">
        <f t="shared" si="65"/>
        <v>632</v>
      </c>
      <c r="O649" s="99" t="str">
        <f t="shared" si="66"/>
        <v>0</v>
      </c>
      <c r="P649" s="119">
        <f t="shared" si="67"/>
        <v>1</v>
      </c>
      <c r="Q649" s="119">
        <f t="shared" si="68"/>
        <v>1</v>
      </c>
      <c r="S649" s="3">
        <v>1</v>
      </c>
    </row>
    <row r="650" spans="2:19">
      <c r="B650" s="116"/>
      <c r="C650" s="116"/>
      <c r="D650" s="116"/>
      <c r="E650" s="116" cm="1">
        <f t="array" ref="E650">IF(H649&lt;&gt;"",E649,IF(E649="","",IFERROR(MATCH(TRUE(),INDEX(INDEX(K:K,E649+1):K203&lt;&gt;"",0),0)+E649,"")))</f>
        <v>791</v>
      </c>
      <c r="F650" s="117" cm="1">
        <f t="array" ref="F650">IF(E650="","",IF(H649&lt;&gt;"",H649,INDEX(D:D,E650)))</f>
        <v>0</v>
      </c>
      <c r="G650" s="117" t="str">
        <f t="shared" si="63"/>
        <v>0</v>
      </c>
      <c r="H650" s="118" t="str">
        <f t="shared" si="64"/>
        <v/>
      </c>
      <c r="I650" s="116" t="str">
        <f>IF(AND(F650&lt;&gt;"",N10&gt;0,M650&gt;N10),"Mot &gt; limite","")</f>
        <v/>
      </c>
      <c r="M650" s="70">
        <f>IF(OR(F650="",N10="",N10&lt;=0),"",IF(LEN(F650)&lt;=N10,LEN(F650),IFERROR(FIND("♦",SUBSTITUTE(LEFT(F650,N10)," ","♦",LEN(LEFT(F650,N10))-LEN(SUBSTITUTE(LEFT(F650,N10)," ","")))),FIND(" ",F650&amp;" ",N10+1)-1)))</f>
        <v>1</v>
      </c>
      <c r="N650" s="119">
        <f t="shared" si="65"/>
        <v>633</v>
      </c>
      <c r="O650" s="99" t="str">
        <f t="shared" si="66"/>
        <v>0</v>
      </c>
      <c r="P650" s="119">
        <f t="shared" si="67"/>
        <v>1</v>
      </c>
      <c r="Q650" s="119">
        <f t="shared" si="68"/>
        <v>1</v>
      </c>
      <c r="S650" s="3">
        <v>1</v>
      </c>
    </row>
    <row r="651" spans="2:19">
      <c r="B651" s="116"/>
      <c r="C651" s="116"/>
      <c r="D651" s="116"/>
      <c r="E651" s="116" cm="1">
        <f t="array" ref="E651">IF(H650&lt;&gt;"",E650,IF(E650="","",IFERROR(MATCH(TRUE(),INDEX(INDEX(K:K,E650+1):K203&lt;&gt;"",0),0)+E650,"")))</f>
        <v>792</v>
      </c>
      <c r="F651" s="117" cm="1">
        <f t="array" ref="F651">IF(E651="","",IF(H650&lt;&gt;"",H650,INDEX(D:D,E651)))</f>
        <v>0</v>
      </c>
      <c r="G651" s="117" t="str">
        <f t="shared" si="63"/>
        <v>0</v>
      </c>
      <c r="H651" s="118" t="str">
        <f t="shared" si="64"/>
        <v/>
      </c>
      <c r="I651" s="116" t="str">
        <f>IF(AND(F651&lt;&gt;"",N10&gt;0,M651&gt;N10),"Mot &gt; limite","")</f>
        <v/>
      </c>
      <c r="M651" s="70">
        <f>IF(OR(F651="",N10="",N10&lt;=0),"",IF(LEN(F651)&lt;=N10,LEN(F651),IFERROR(FIND("♦",SUBSTITUTE(LEFT(F651,N10)," ","♦",LEN(LEFT(F651,N10))-LEN(SUBSTITUTE(LEFT(F651,N10)," ","")))),FIND(" ",F651&amp;" ",N10+1)-1)))</f>
        <v>1</v>
      </c>
      <c r="N651" s="119">
        <f t="shared" si="65"/>
        <v>634</v>
      </c>
      <c r="O651" s="99" t="str">
        <f t="shared" si="66"/>
        <v>0</v>
      </c>
      <c r="P651" s="119">
        <f t="shared" si="67"/>
        <v>1</v>
      </c>
      <c r="Q651" s="119">
        <f t="shared" si="68"/>
        <v>1</v>
      </c>
      <c r="S651" s="3">
        <v>1</v>
      </c>
    </row>
    <row r="652" spans="2:19">
      <c r="B652" s="116"/>
      <c r="C652" s="116"/>
      <c r="D652" s="116"/>
      <c r="E652" s="116" cm="1">
        <f t="array" ref="E652">IF(H651&lt;&gt;"",E651,IF(E651="","",IFERROR(MATCH(TRUE(),INDEX(INDEX(K:K,E651+1):K203&lt;&gt;"",0),0)+E651,"")))</f>
        <v>793</v>
      </c>
      <c r="F652" s="117" cm="1">
        <f t="array" ref="F652">IF(E652="","",IF(H651&lt;&gt;"",H651,INDEX(D:D,E652)))</f>
        <v>0</v>
      </c>
      <c r="G652" s="117" t="str">
        <f t="shared" si="63"/>
        <v>0</v>
      </c>
      <c r="H652" s="118" t="str">
        <f t="shared" si="64"/>
        <v/>
      </c>
      <c r="I652" s="116" t="str">
        <f>IF(AND(F652&lt;&gt;"",N10&gt;0,M652&gt;N10),"Mot &gt; limite","")</f>
        <v/>
      </c>
      <c r="M652" s="70">
        <f>IF(OR(F652="",N10="",N10&lt;=0),"",IF(LEN(F652)&lt;=N10,LEN(F652),IFERROR(FIND("♦",SUBSTITUTE(LEFT(F652,N10)," ","♦",LEN(LEFT(F652,N10))-LEN(SUBSTITUTE(LEFT(F652,N10)," ","")))),FIND(" ",F652&amp;" ",N10+1)-1)))</f>
        <v>1</v>
      </c>
      <c r="N652" s="119">
        <f t="shared" si="65"/>
        <v>635</v>
      </c>
      <c r="O652" s="99" t="str">
        <f t="shared" si="66"/>
        <v>0</v>
      </c>
      <c r="P652" s="119">
        <f t="shared" si="67"/>
        <v>1</v>
      </c>
      <c r="Q652" s="119">
        <f t="shared" si="68"/>
        <v>1</v>
      </c>
      <c r="S652" s="3">
        <v>1</v>
      </c>
    </row>
    <row r="653" spans="2:19">
      <c r="B653" s="116"/>
      <c r="C653" s="116"/>
      <c r="D653" s="116"/>
      <c r="E653" s="116" cm="1">
        <f t="array" ref="E653">IF(H652&lt;&gt;"",E652,IF(E652="","",IFERROR(MATCH(TRUE(),INDEX(INDEX(K:K,E652+1):K203&lt;&gt;"",0),0)+E652,"")))</f>
        <v>794</v>
      </c>
      <c r="F653" s="117" cm="1">
        <f t="array" ref="F653">IF(E653="","",IF(H652&lt;&gt;"",H652,INDEX(D:D,E653)))</f>
        <v>0</v>
      </c>
      <c r="G653" s="117" t="str">
        <f t="shared" si="63"/>
        <v>0</v>
      </c>
      <c r="H653" s="118" t="str">
        <f t="shared" si="64"/>
        <v/>
      </c>
      <c r="I653" s="116" t="str">
        <f>IF(AND(F653&lt;&gt;"",N10&gt;0,M653&gt;N10),"Mot &gt; limite","")</f>
        <v/>
      </c>
      <c r="M653" s="70">
        <f>IF(OR(F653="",N10="",N10&lt;=0),"",IF(LEN(F653)&lt;=N10,LEN(F653),IFERROR(FIND("♦",SUBSTITUTE(LEFT(F653,N10)," ","♦",LEN(LEFT(F653,N10))-LEN(SUBSTITUTE(LEFT(F653,N10)," ","")))),FIND(" ",F653&amp;" ",N10+1)-1)))</f>
        <v>1</v>
      </c>
      <c r="N653" s="119">
        <f t="shared" si="65"/>
        <v>636</v>
      </c>
      <c r="O653" s="99" t="str">
        <f t="shared" si="66"/>
        <v>0</v>
      </c>
      <c r="P653" s="119">
        <f t="shared" si="67"/>
        <v>1</v>
      </c>
      <c r="Q653" s="119">
        <f t="shared" si="68"/>
        <v>1</v>
      </c>
      <c r="S653" s="3">
        <v>1</v>
      </c>
    </row>
    <row r="654" spans="2:19">
      <c r="B654" s="116"/>
      <c r="C654" s="116"/>
      <c r="D654" s="116"/>
      <c r="E654" s="116" cm="1">
        <f t="array" ref="E654">IF(H653&lt;&gt;"",E653,IF(E653="","",IFERROR(MATCH(TRUE(),INDEX(INDEX(K:K,E653+1):K203&lt;&gt;"",0),0)+E653,"")))</f>
        <v>795</v>
      </c>
      <c r="F654" s="117" cm="1">
        <f t="array" ref="F654">IF(E654="","",IF(H653&lt;&gt;"",H653,INDEX(D:D,E654)))</f>
        <v>0</v>
      </c>
      <c r="G654" s="117" t="str">
        <f t="shared" si="63"/>
        <v>0</v>
      </c>
      <c r="H654" s="118" t="str">
        <f t="shared" si="64"/>
        <v/>
      </c>
      <c r="I654" s="116" t="str">
        <f>IF(AND(F654&lt;&gt;"",N10&gt;0,M654&gt;N10),"Mot &gt; limite","")</f>
        <v/>
      </c>
      <c r="M654" s="70">
        <f>IF(OR(F654="",N10="",N10&lt;=0),"",IF(LEN(F654)&lt;=N10,LEN(F654),IFERROR(FIND("♦",SUBSTITUTE(LEFT(F654,N10)," ","♦",LEN(LEFT(F654,N10))-LEN(SUBSTITUTE(LEFT(F654,N10)," ","")))),FIND(" ",F654&amp;" ",N10+1)-1)))</f>
        <v>1</v>
      </c>
      <c r="N654" s="119">
        <f t="shared" si="65"/>
        <v>637</v>
      </c>
      <c r="O654" s="99" t="str">
        <f t="shared" si="66"/>
        <v>0</v>
      </c>
      <c r="P654" s="119">
        <f t="shared" si="67"/>
        <v>1</v>
      </c>
      <c r="Q654" s="119">
        <f t="shared" si="68"/>
        <v>1</v>
      </c>
      <c r="S654" s="3">
        <v>1</v>
      </c>
    </row>
    <row r="655" spans="2:19">
      <c r="B655" s="116"/>
      <c r="C655" s="116"/>
      <c r="D655" s="116"/>
      <c r="E655" s="116" cm="1">
        <f t="array" ref="E655">IF(H654&lt;&gt;"",E654,IF(E654="","",IFERROR(MATCH(TRUE(),INDEX(INDEX(K:K,E654+1):K203&lt;&gt;"",0),0)+E654,"")))</f>
        <v>796</v>
      </c>
      <c r="F655" s="117" cm="1">
        <f t="array" ref="F655">IF(E655="","",IF(H654&lt;&gt;"",H654,INDEX(D:D,E655)))</f>
        <v>0</v>
      </c>
      <c r="G655" s="117" t="str">
        <f t="shared" si="63"/>
        <v>0</v>
      </c>
      <c r="H655" s="118" t="str">
        <f t="shared" si="64"/>
        <v/>
      </c>
      <c r="I655" s="116" t="str">
        <f>IF(AND(F655&lt;&gt;"",N10&gt;0,M655&gt;N10),"Mot &gt; limite","")</f>
        <v/>
      </c>
      <c r="M655" s="70">
        <f>IF(OR(F655="",N10="",N10&lt;=0),"",IF(LEN(F655)&lt;=N10,LEN(F655),IFERROR(FIND("♦",SUBSTITUTE(LEFT(F655,N10)," ","♦",LEN(LEFT(F655,N10))-LEN(SUBSTITUTE(LEFT(F655,N10)," ","")))),FIND(" ",F655&amp;" ",N10+1)-1)))</f>
        <v>1</v>
      </c>
      <c r="N655" s="119">
        <f t="shared" si="65"/>
        <v>638</v>
      </c>
      <c r="O655" s="99" t="str">
        <f t="shared" si="66"/>
        <v>0</v>
      </c>
      <c r="P655" s="119">
        <f t="shared" si="67"/>
        <v>1</v>
      </c>
      <c r="Q655" s="119">
        <f t="shared" si="68"/>
        <v>1</v>
      </c>
      <c r="S655" s="3">
        <v>1</v>
      </c>
    </row>
    <row r="656" spans="2:19">
      <c r="B656" s="116"/>
      <c r="C656" s="116"/>
      <c r="D656" s="116"/>
      <c r="E656" s="116" cm="1">
        <f t="array" ref="E656">IF(H655&lt;&gt;"",E655,IF(E655="","",IFERROR(MATCH(TRUE(),INDEX(INDEX(K:K,E655+1):K203&lt;&gt;"",0),0)+E655,"")))</f>
        <v>797</v>
      </c>
      <c r="F656" s="117" cm="1">
        <f t="array" ref="F656">IF(E656="","",IF(H655&lt;&gt;"",H655,INDEX(D:D,E656)))</f>
        <v>0</v>
      </c>
      <c r="G656" s="117" t="str">
        <f t="shared" si="63"/>
        <v>0</v>
      </c>
      <c r="H656" s="118" t="str">
        <f t="shared" si="64"/>
        <v/>
      </c>
      <c r="I656" s="116" t="str">
        <f>IF(AND(F656&lt;&gt;"",N10&gt;0,M656&gt;N10),"Mot &gt; limite","")</f>
        <v/>
      </c>
      <c r="M656" s="70">
        <f>IF(OR(F656="",N10="",N10&lt;=0),"",IF(LEN(F656)&lt;=N10,LEN(F656),IFERROR(FIND("♦",SUBSTITUTE(LEFT(F656,N10)," ","♦",LEN(LEFT(F656,N10))-LEN(SUBSTITUTE(LEFT(F656,N10)," ","")))),FIND(" ",F656&amp;" ",N10+1)-1)))</f>
        <v>1</v>
      </c>
      <c r="N656" s="119">
        <f t="shared" si="65"/>
        <v>639</v>
      </c>
      <c r="O656" s="99" t="str">
        <f t="shared" si="66"/>
        <v>0</v>
      </c>
      <c r="P656" s="119">
        <f t="shared" si="67"/>
        <v>1</v>
      </c>
      <c r="Q656" s="119">
        <f t="shared" si="68"/>
        <v>1</v>
      </c>
      <c r="S656" s="3">
        <v>1</v>
      </c>
    </row>
    <row r="657" spans="2:19">
      <c r="B657" s="116"/>
      <c r="C657" s="116"/>
      <c r="D657" s="116"/>
      <c r="E657" s="116" cm="1">
        <f t="array" ref="E657">IF(H656&lt;&gt;"",E656,IF(E656="","",IFERROR(MATCH(TRUE(),INDEX(INDEX(K:K,E656+1):K203&lt;&gt;"",0),0)+E656,"")))</f>
        <v>798</v>
      </c>
      <c r="F657" s="117" cm="1">
        <f t="array" ref="F657">IF(E657="","",IF(H656&lt;&gt;"",H656,INDEX(D:D,E657)))</f>
        <v>0</v>
      </c>
      <c r="G657" s="117" t="str">
        <f t="shared" si="63"/>
        <v>0</v>
      </c>
      <c r="H657" s="118" t="str">
        <f t="shared" si="64"/>
        <v/>
      </c>
      <c r="I657" s="116" t="str">
        <f>IF(AND(F657&lt;&gt;"",N10&gt;0,M657&gt;N10),"Mot &gt; limite","")</f>
        <v/>
      </c>
      <c r="M657" s="70">
        <f>IF(OR(F657="",N10="",N10&lt;=0),"",IF(LEN(F657)&lt;=N10,LEN(F657),IFERROR(FIND("♦",SUBSTITUTE(LEFT(F657,N10)," ","♦",LEN(LEFT(F657,N10))-LEN(SUBSTITUTE(LEFT(F657,N10)," ","")))),FIND(" ",F657&amp;" ",N10+1)-1)))</f>
        <v>1</v>
      </c>
      <c r="N657" s="119">
        <f t="shared" si="65"/>
        <v>640</v>
      </c>
      <c r="O657" s="99" t="str">
        <f t="shared" si="66"/>
        <v>0</v>
      </c>
      <c r="P657" s="119">
        <f t="shared" si="67"/>
        <v>1</v>
      </c>
      <c r="Q657" s="119">
        <f t="shared" si="68"/>
        <v>1</v>
      </c>
      <c r="S657" s="3">
        <v>1</v>
      </c>
    </row>
    <row r="658" spans="2:19">
      <c r="B658" s="116"/>
      <c r="C658" s="116"/>
      <c r="D658" s="116"/>
      <c r="E658" s="116" cm="1">
        <f t="array" ref="E658">IF(H657&lt;&gt;"",E657,IF(E657="","",IFERROR(MATCH(TRUE(),INDEX(INDEX(K:K,E657+1):K203&lt;&gt;"",0),0)+E657,"")))</f>
        <v>799</v>
      </c>
      <c r="F658" s="117" cm="1">
        <f t="array" ref="F658">IF(E658="","",IF(H657&lt;&gt;"",H657,INDEX(D:D,E658)))</f>
        <v>0</v>
      </c>
      <c r="G658" s="117" t="str">
        <f t="shared" ref="G658:G721" si="69">IF(OR(F658="",M658=""),"",LEFT(F658,M658))</f>
        <v>0</v>
      </c>
      <c r="H658" s="118" t="str">
        <f t="shared" ref="H658:H721" si="70">IF(OR(F658="",M658=""),"",TRIM(MID(F658,M658+1,99999)))</f>
        <v/>
      </c>
      <c r="I658" s="116" t="str">
        <f>IF(AND(F658&lt;&gt;"",N10&gt;0,M658&gt;N10),"Mot &gt; limite","")</f>
        <v/>
      </c>
      <c r="M658" s="70">
        <f>IF(OR(F658="",N10="",N10&lt;=0),"",IF(LEN(F658)&lt;=N10,LEN(F658),IFERROR(FIND("♦",SUBSTITUTE(LEFT(F658,N10)," ","♦",LEN(LEFT(F658,N10))-LEN(SUBSTITUTE(LEFT(F658,N10)," ","")))),FIND(" ",F658&amp;" ",N10+1)-1)))</f>
        <v>1</v>
      </c>
      <c r="N658" s="119">
        <f t="shared" ref="N658:N721" si="71">IF(O658="","",ROW()-17)</f>
        <v>641</v>
      </c>
      <c r="O658" s="99" t="str">
        <f t="shared" ref="O658:O721" si="72">G658</f>
        <v>0</v>
      </c>
      <c r="P658" s="119">
        <f t="shared" ref="P658:P721" si="73">IF(O658="","",LEN(TRIM(O658))-LEN(SUBSTITUTE(TRIM(O658)," ",""))+1)</f>
        <v>1</v>
      </c>
      <c r="Q658" s="119">
        <f t="shared" ref="Q658:Q721" si="74">IF(O658="","",LEN(O658))</f>
        <v>1</v>
      </c>
      <c r="S658" s="3">
        <v>1</v>
      </c>
    </row>
    <row r="659" spans="2:19">
      <c r="B659" s="116"/>
      <c r="C659" s="116"/>
      <c r="D659" s="116"/>
      <c r="E659" s="116" cm="1">
        <f t="array" ref="E659">IF(H658&lt;&gt;"",E658,IF(E658="","",IFERROR(MATCH(TRUE(),INDEX(INDEX(K:K,E658+1):K203&lt;&gt;"",0),0)+E658,"")))</f>
        <v>800</v>
      </c>
      <c r="F659" s="117" cm="1">
        <f t="array" ref="F659">IF(E659="","",IF(H658&lt;&gt;"",H658,INDEX(D:D,E659)))</f>
        <v>0</v>
      </c>
      <c r="G659" s="117" t="str">
        <f t="shared" si="69"/>
        <v>0</v>
      </c>
      <c r="H659" s="118" t="str">
        <f t="shared" si="70"/>
        <v/>
      </c>
      <c r="I659" s="116" t="str">
        <f>IF(AND(F659&lt;&gt;"",N10&gt;0,M659&gt;N10),"Mot &gt; limite","")</f>
        <v/>
      </c>
      <c r="M659" s="70">
        <f>IF(OR(F659="",N10="",N10&lt;=0),"",IF(LEN(F659)&lt;=N10,LEN(F659),IFERROR(FIND("♦",SUBSTITUTE(LEFT(F659,N10)," ","♦",LEN(LEFT(F659,N10))-LEN(SUBSTITUTE(LEFT(F659,N10)," ","")))),FIND(" ",F659&amp;" ",N10+1)-1)))</f>
        <v>1</v>
      </c>
      <c r="N659" s="119">
        <f t="shared" si="71"/>
        <v>642</v>
      </c>
      <c r="O659" s="99" t="str">
        <f t="shared" si="72"/>
        <v>0</v>
      </c>
      <c r="P659" s="119">
        <f t="shared" si="73"/>
        <v>1</v>
      </c>
      <c r="Q659" s="119">
        <f t="shared" si="74"/>
        <v>1</v>
      </c>
      <c r="S659" s="3">
        <v>1</v>
      </c>
    </row>
    <row r="660" spans="2:19">
      <c r="B660" s="116"/>
      <c r="C660" s="116"/>
      <c r="D660" s="116"/>
      <c r="E660" s="116" cm="1">
        <f t="array" ref="E660">IF(H659&lt;&gt;"",E659,IF(E659="","",IFERROR(MATCH(TRUE(),INDEX(INDEX(K:K,E659+1):K203&lt;&gt;"",0),0)+E659,"")))</f>
        <v>801</v>
      </c>
      <c r="F660" s="117" cm="1">
        <f t="array" ref="F660">IF(E660="","",IF(H659&lt;&gt;"",H659,INDEX(D:D,E660)))</f>
        <v>0</v>
      </c>
      <c r="G660" s="117" t="str">
        <f t="shared" si="69"/>
        <v>0</v>
      </c>
      <c r="H660" s="118" t="str">
        <f t="shared" si="70"/>
        <v/>
      </c>
      <c r="I660" s="116" t="str">
        <f>IF(AND(F660&lt;&gt;"",N10&gt;0,M660&gt;N10),"Mot &gt; limite","")</f>
        <v/>
      </c>
      <c r="M660" s="70">
        <f>IF(OR(F660="",N10="",N10&lt;=0),"",IF(LEN(F660)&lt;=N10,LEN(F660),IFERROR(FIND("♦",SUBSTITUTE(LEFT(F660,N10)," ","♦",LEN(LEFT(F660,N10))-LEN(SUBSTITUTE(LEFT(F660,N10)," ","")))),FIND(" ",F660&amp;" ",N10+1)-1)))</f>
        <v>1</v>
      </c>
      <c r="N660" s="119">
        <f t="shared" si="71"/>
        <v>643</v>
      </c>
      <c r="O660" s="99" t="str">
        <f t="shared" si="72"/>
        <v>0</v>
      </c>
      <c r="P660" s="119">
        <f t="shared" si="73"/>
        <v>1</v>
      </c>
      <c r="Q660" s="119">
        <f t="shared" si="74"/>
        <v>1</v>
      </c>
      <c r="S660" s="3">
        <v>1</v>
      </c>
    </row>
    <row r="661" spans="2:19">
      <c r="B661" s="116"/>
      <c r="C661" s="116"/>
      <c r="D661" s="116"/>
      <c r="E661" s="116" cm="1">
        <f t="array" ref="E661">IF(H660&lt;&gt;"",E660,IF(E660="","",IFERROR(MATCH(TRUE(),INDEX(INDEX(K:K,E660+1):K203&lt;&gt;"",0),0)+E660,"")))</f>
        <v>802</v>
      </c>
      <c r="F661" s="117" cm="1">
        <f t="array" ref="F661">IF(E661="","",IF(H660&lt;&gt;"",H660,INDEX(D:D,E661)))</f>
        <v>0</v>
      </c>
      <c r="G661" s="117" t="str">
        <f t="shared" si="69"/>
        <v>0</v>
      </c>
      <c r="H661" s="118" t="str">
        <f t="shared" si="70"/>
        <v/>
      </c>
      <c r="I661" s="116" t="str">
        <f>IF(AND(F661&lt;&gt;"",N10&gt;0,M661&gt;N10),"Mot &gt; limite","")</f>
        <v/>
      </c>
      <c r="M661" s="70">
        <f>IF(OR(F661="",N10="",N10&lt;=0),"",IF(LEN(F661)&lt;=N10,LEN(F661),IFERROR(FIND("♦",SUBSTITUTE(LEFT(F661,N10)," ","♦",LEN(LEFT(F661,N10))-LEN(SUBSTITUTE(LEFT(F661,N10)," ","")))),FIND(" ",F661&amp;" ",N10+1)-1)))</f>
        <v>1</v>
      </c>
      <c r="N661" s="119">
        <f t="shared" si="71"/>
        <v>644</v>
      </c>
      <c r="O661" s="99" t="str">
        <f t="shared" si="72"/>
        <v>0</v>
      </c>
      <c r="P661" s="119">
        <f t="shared" si="73"/>
        <v>1</v>
      </c>
      <c r="Q661" s="119">
        <f t="shared" si="74"/>
        <v>1</v>
      </c>
      <c r="S661" s="3">
        <v>1</v>
      </c>
    </row>
    <row r="662" spans="2:19">
      <c r="B662" s="116"/>
      <c r="C662" s="116"/>
      <c r="D662" s="116"/>
      <c r="E662" s="116" cm="1">
        <f t="array" ref="E662">IF(H661&lt;&gt;"",E661,IF(E661="","",IFERROR(MATCH(TRUE(),INDEX(INDEX(K:K,E661+1):K203&lt;&gt;"",0),0)+E661,"")))</f>
        <v>803</v>
      </c>
      <c r="F662" s="117" cm="1">
        <f t="array" ref="F662">IF(E662="","",IF(H661&lt;&gt;"",H661,INDEX(D:D,E662)))</f>
        <v>0</v>
      </c>
      <c r="G662" s="117" t="str">
        <f t="shared" si="69"/>
        <v>0</v>
      </c>
      <c r="H662" s="118" t="str">
        <f t="shared" si="70"/>
        <v/>
      </c>
      <c r="I662" s="116" t="str">
        <f>IF(AND(F662&lt;&gt;"",N10&gt;0,M662&gt;N10),"Mot &gt; limite","")</f>
        <v/>
      </c>
      <c r="M662" s="70">
        <f>IF(OR(F662="",N10="",N10&lt;=0),"",IF(LEN(F662)&lt;=N10,LEN(F662),IFERROR(FIND("♦",SUBSTITUTE(LEFT(F662,N10)," ","♦",LEN(LEFT(F662,N10))-LEN(SUBSTITUTE(LEFT(F662,N10)," ","")))),FIND(" ",F662&amp;" ",N10+1)-1)))</f>
        <v>1</v>
      </c>
      <c r="N662" s="119">
        <f t="shared" si="71"/>
        <v>645</v>
      </c>
      <c r="O662" s="99" t="str">
        <f t="shared" si="72"/>
        <v>0</v>
      </c>
      <c r="P662" s="119">
        <f t="shared" si="73"/>
        <v>1</v>
      </c>
      <c r="Q662" s="119">
        <f t="shared" si="74"/>
        <v>1</v>
      </c>
      <c r="S662" s="3">
        <v>1</v>
      </c>
    </row>
    <row r="663" spans="2:19">
      <c r="B663" s="116"/>
      <c r="C663" s="116"/>
      <c r="D663" s="116"/>
      <c r="E663" s="116" cm="1">
        <f t="array" ref="E663">IF(H662&lt;&gt;"",E662,IF(E662="","",IFERROR(MATCH(TRUE(),INDEX(INDEX(K:K,E662+1):K203&lt;&gt;"",0),0)+E662,"")))</f>
        <v>804</v>
      </c>
      <c r="F663" s="117" cm="1">
        <f t="array" ref="F663">IF(E663="","",IF(H662&lt;&gt;"",H662,INDEX(D:D,E663)))</f>
        <v>0</v>
      </c>
      <c r="G663" s="117" t="str">
        <f t="shared" si="69"/>
        <v>0</v>
      </c>
      <c r="H663" s="118" t="str">
        <f t="shared" si="70"/>
        <v/>
      </c>
      <c r="I663" s="116" t="str">
        <f>IF(AND(F663&lt;&gt;"",N10&gt;0,M663&gt;N10),"Mot &gt; limite","")</f>
        <v/>
      </c>
      <c r="M663" s="70">
        <f>IF(OR(F663="",N10="",N10&lt;=0),"",IF(LEN(F663)&lt;=N10,LEN(F663),IFERROR(FIND("♦",SUBSTITUTE(LEFT(F663,N10)," ","♦",LEN(LEFT(F663,N10))-LEN(SUBSTITUTE(LEFT(F663,N10)," ","")))),FIND(" ",F663&amp;" ",N10+1)-1)))</f>
        <v>1</v>
      </c>
      <c r="N663" s="119">
        <f t="shared" si="71"/>
        <v>646</v>
      </c>
      <c r="O663" s="99" t="str">
        <f t="shared" si="72"/>
        <v>0</v>
      </c>
      <c r="P663" s="119">
        <f t="shared" si="73"/>
        <v>1</v>
      </c>
      <c r="Q663" s="119">
        <f t="shared" si="74"/>
        <v>1</v>
      </c>
      <c r="S663" s="3">
        <v>1</v>
      </c>
    </row>
    <row r="664" spans="2:19">
      <c r="B664" s="116"/>
      <c r="C664" s="116"/>
      <c r="D664" s="116"/>
      <c r="E664" s="116" cm="1">
        <f t="array" ref="E664">IF(H663&lt;&gt;"",E663,IF(E663="","",IFERROR(MATCH(TRUE(),INDEX(INDEX(K:K,E663+1):K203&lt;&gt;"",0),0)+E663,"")))</f>
        <v>805</v>
      </c>
      <c r="F664" s="117" cm="1">
        <f t="array" ref="F664">IF(E664="","",IF(H663&lt;&gt;"",H663,INDEX(D:D,E664)))</f>
        <v>0</v>
      </c>
      <c r="G664" s="117" t="str">
        <f t="shared" si="69"/>
        <v>0</v>
      </c>
      <c r="H664" s="118" t="str">
        <f t="shared" si="70"/>
        <v/>
      </c>
      <c r="I664" s="116" t="str">
        <f>IF(AND(F664&lt;&gt;"",N10&gt;0,M664&gt;N10),"Mot &gt; limite","")</f>
        <v/>
      </c>
      <c r="M664" s="70">
        <f>IF(OR(F664="",N10="",N10&lt;=0),"",IF(LEN(F664)&lt;=N10,LEN(F664),IFERROR(FIND("♦",SUBSTITUTE(LEFT(F664,N10)," ","♦",LEN(LEFT(F664,N10))-LEN(SUBSTITUTE(LEFT(F664,N10)," ","")))),FIND(" ",F664&amp;" ",N10+1)-1)))</f>
        <v>1</v>
      </c>
      <c r="N664" s="119">
        <f t="shared" si="71"/>
        <v>647</v>
      </c>
      <c r="O664" s="99" t="str">
        <f t="shared" si="72"/>
        <v>0</v>
      </c>
      <c r="P664" s="119">
        <f t="shared" si="73"/>
        <v>1</v>
      </c>
      <c r="Q664" s="119">
        <f t="shared" si="74"/>
        <v>1</v>
      </c>
      <c r="S664" s="3">
        <v>1</v>
      </c>
    </row>
    <row r="665" spans="2:19">
      <c r="B665" s="116"/>
      <c r="C665" s="116"/>
      <c r="D665" s="116"/>
      <c r="E665" s="116" cm="1">
        <f t="array" ref="E665">IF(H664&lt;&gt;"",E664,IF(E664="","",IFERROR(MATCH(TRUE(),INDEX(INDEX(K:K,E664+1):K203&lt;&gt;"",0),0)+E664,"")))</f>
        <v>806</v>
      </c>
      <c r="F665" s="117" cm="1">
        <f t="array" ref="F665">IF(E665="","",IF(H664&lt;&gt;"",H664,INDEX(D:D,E665)))</f>
        <v>0</v>
      </c>
      <c r="G665" s="117" t="str">
        <f t="shared" si="69"/>
        <v>0</v>
      </c>
      <c r="H665" s="118" t="str">
        <f t="shared" si="70"/>
        <v/>
      </c>
      <c r="I665" s="116" t="str">
        <f>IF(AND(F665&lt;&gt;"",N10&gt;0,M665&gt;N10),"Mot &gt; limite","")</f>
        <v/>
      </c>
      <c r="M665" s="70">
        <f>IF(OR(F665="",N10="",N10&lt;=0),"",IF(LEN(F665)&lt;=N10,LEN(F665),IFERROR(FIND("♦",SUBSTITUTE(LEFT(F665,N10)," ","♦",LEN(LEFT(F665,N10))-LEN(SUBSTITUTE(LEFT(F665,N10)," ","")))),FIND(" ",F665&amp;" ",N10+1)-1)))</f>
        <v>1</v>
      </c>
      <c r="N665" s="119">
        <f t="shared" si="71"/>
        <v>648</v>
      </c>
      <c r="O665" s="99" t="str">
        <f t="shared" si="72"/>
        <v>0</v>
      </c>
      <c r="P665" s="119">
        <f t="shared" si="73"/>
        <v>1</v>
      </c>
      <c r="Q665" s="119">
        <f t="shared" si="74"/>
        <v>1</v>
      </c>
      <c r="S665" s="3">
        <v>1</v>
      </c>
    </row>
    <row r="666" spans="2:19">
      <c r="B666" s="116"/>
      <c r="C666" s="116"/>
      <c r="D666" s="116"/>
      <c r="E666" s="116" cm="1">
        <f t="array" ref="E666">IF(H665&lt;&gt;"",E665,IF(E665="","",IFERROR(MATCH(TRUE(),INDEX(INDEX(K:K,E665+1):K203&lt;&gt;"",0),0)+E665,"")))</f>
        <v>807</v>
      </c>
      <c r="F666" s="117" cm="1">
        <f t="array" ref="F666">IF(E666="","",IF(H665&lt;&gt;"",H665,INDEX(D:D,E666)))</f>
        <v>0</v>
      </c>
      <c r="G666" s="117" t="str">
        <f t="shared" si="69"/>
        <v>0</v>
      </c>
      <c r="H666" s="118" t="str">
        <f t="shared" si="70"/>
        <v/>
      </c>
      <c r="I666" s="116" t="str">
        <f>IF(AND(F666&lt;&gt;"",N10&gt;0,M666&gt;N10),"Mot &gt; limite","")</f>
        <v/>
      </c>
      <c r="M666" s="70">
        <f>IF(OR(F666="",N10="",N10&lt;=0),"",IF(LEN(F666)&lt;=N10,LEN(F666),IFERROR(FIND("♦",SUBSTITUTE(LEFT(F666,N10)," ","♦",LEN(LEFT(F666,N10))-LEN(SUBSTITUTE(LEFT(F666,N10)," ","")))),FIND(" ",F666&amp;" ",N10+1)-1)))</f>
        <v>1</v>
      </c>
      <c r="N666" s="119">
        <f t="shared" si="71"/>
        <v>649</v>
      </c>
      <c r="O666" s="99" t="str">
        <f t="shared" si="72"/>
        <v>0</v>
      </c>
      <c r="P666" s="119">
        <f t="shared" si="73"/>
        <v>1</v>
      </c>
      <c r="Q666" s="119">
        <f t="shared" si="74"/>
        <v>1</v>
      </c>
      <c r="S666" s="3">
        <v>1</v>
      </c>
    </row>
    <row r="667" spans="2:19">
      <c r="B667" s="116"/>
      <c r="C667" s="116"/>
      <c r="D667" s="116"/>
      <c r="E667" s="116" cm="1">
        <f t="array" ref="E667">IF(H666&lt;&gt;"",E666,IF(E666="","",IFERROR(MATCH(TRUE(),INDEX(INDEX(K:K,E666+1):K203&lt;&gt;"",0),0)+E666,"")))</f>
        <v>808</v>
      </c>
      <c r="F667" s="117" cm="1">
        <f t="array" ref="F667">IF(E667="","",IF(H666&lt;&gt;"",H666,INDEX(D:D,E667)))</f>
        <v>0</v>
      </c>
      <c r="G667" s="117" t="str">
        <f t="shared" si="69"/>
        <v>0</v>
      </c>
      <c r="H667" s="118" t="str">
        <f t="shared" si="70"/>
        <v/>
      </c>
      <c r="I667" s="116" t="str">
        <f>IF(AND(F667&lt;&gt;"",N10&gt;0,M667&gt;N10),"Mot &gt; limite","")</f>
        <v/>
      </c>
      <c r="M667" s="70">
        <f>IF(OR(F667="",N10="",N10&lt;=0),"",IF(LEN(F667)&lt;=N10,LEN(F667),IFERROR(FIND("♦",SUBSTITUTE(LEFT(F667,N10)," ","♦",LEN(LEFT(F667,N10))-LEN(SUBSTITUTE(LEFT(F667,N10)," ","")))),FIND(" ",F667&amp;" ",N10+1)-1)))</f>
        <v>1</v>
      </c>
      <c r="N667" s="119">
        <f t="shared" si="71"/>
        <v>650</v>
      </c>
      <c r="O667" s="99" t="str">
        <f t="shared" si="72"/>
        <v>0</v>
      </c>
      <c r="P667" s="119">
        <f t="shared" si="73"/>
        <v>1</v>
      </c>
      <c r="Q667" s="119">
        <f t="shared" si="74"/>
        <v>1</v>
      </c>
      <c r="S667" s="3">
        <v>1</v>
      </c>
    </row>
    <row r="668" spans="2:19">
      <c r="B668" s="116"/>
      <c r="C668" s="116"/>
      <c r="D668" s="116"/>
      <c r="E668" s="116" cm="1">
        <f t="array" ref="E668">IF(H667&lt;&gt;"",E667,IF(E667="","",IFERROR(MATCH(TRUE(),INDEX(INDEX(K:K,E667+1):K203&lt;&gt;"",0),0)+E667,"")))</f>
        <v>809</v>
      </c>
      <c r="F668" s="117" cm="1">
        <f t="array" ref="F668">IF(E668="","",IF(H667&lt;&gt;"",H667,INDEX(D:D,E668)))</f>
        <v>0</v>
      </c>
      <c r="G668" s="117" t="str">
        <f t="shared" si="69"/>
        <v>0</v>
      </c>
      <c r="H668" s="118" t="str">
        <f t="shared" si="70"/>
        <v/>
      </c>
      <c r="I668" s="116" t="str">
        <f>IF(AND(F668&lt;&gt;"",N10&gt;0,M668&gt;N10),"Mot &gt; limite","")</f>
        <v/>
      </c>
      <c r="M668" s="70">
        <f>IF(OR(F668="",N10="",N10&lt;=0),"",IF(LEN(F668)&lt;=N10,LEN(F668),IFERROR(FIND("♦",SUBSTITUTE(LEFT(F668,N10)," ","♦",LEN(LEFT(F668,N10))-LEN(SUBSTITUTE(LEFT(F668,N10)," ","")))),FIND(" ",F668&amp;" ",N10+1)-1)))</f>
        <v>1</v>
      </c>
      <c r="N668" s="119">
        <f t="shared" si="71"/>
        <v>651</v>
      </c>
      <c r="O668" s="99" t="str">
        <f t="shared" si="72"/>
        <v>0</v>
      </c>
      <c r="P668" s="119">
        <f t="shared" si="73"/>
        <v>1</v>
      </c>
      <c r="Q668" s="119">
        <f t="shared" si="74"/>
        <v>1</v>
      </c>
      <c r="S668" s="3">
        <v>1</v>
      </c>
    </row>
    <row r="669" spans="2:19">
      <c r="B669" s="116"/>
      <c r="C669" s="116"/>
      <c r="D669" s="116"/>
      <c r="E669" s="116" cm="1">
        <f t="array" ref="E669">IF(H668&lt;&gt;"",E668,IF(E668="","",IFERROR(MATCH(TRUE(),INDEX(INDEX(K:K,E668+1):K203&lt;&gt;"",0),0)+E668,"")))</f>
        <v>810</v>
      </c>
      <c r="F669" s="117" cm="1">
        <f t="array" ref="F669">IF(E669="","",IF(H668&lt;&gt;"",H668,INDEX(D:D,E669)))</f>
        <v>0</v>
      </c>
      <c r="G669" s="117" t="str">
        <f t="shared" si="69"/>
        <v>0</v>
      </c>
      <c r="H669" s="118" t="str">
        <f t="shared" si="70"/>
        <v/>
      </c>
      <c r="I669" s="116" t="str">
        <f>IF(AND(F669&lt;&gt;"",N10&gt;0,M669&gt;N10),"Mot &gt; limite","")</f>
        <v/>
      </c>
      <c r="M669" s="70">
        <f>IF(OR(F669="",N10="",N10&lt;=0),"",IF(LEN(F669)&lt;=N10,LEN(F669),IFERROR(FIND("♦",SUBSTITUTE(LEFT(F669,N10)," ","♦",LEN(LEFT(F669,N10))-LEN(SUBSTITUTE(LEFT(F669,N10)," ","")))),FIND(" ",F669&amp;" ",N10+1)-1)))</f>
        <v>1</v>
      </c>
      <c r="N669" s="119">
        <f t="shared" si="71"/>
        <v>652</v>
      </c>
      <c r="O669" s="99" t="str">
        <f t="shared" si="72"/>
        <v>0</v>
      </c>
      <c r="P669" s="119">
        <f t="shared" si="73"/>
        <v>1</v>
      </c>
      <c r="Q669" s="119">
        <f t="shared" si="74"/>
        <v>1</v>
      </c>
      <c r="S669" s="3">
        <v>1</v>
      </c>
    </row>
    <row r="670" spans="2:19">
      <c r="B670" s="116"/>
      <c r="C670" s="116"/>
      <c r="D670" s="116"/>
      <c r="E670" s="116" cm="1">
        <f t="array" ref="E670">IF(H669&lt;&gt;"",E669,IF(E669="","",IFERROR(MATCH(TRUE(),INDEX(INDEX(K:K,E669+1):K203&lt;&gt;"",0),0)+E669,"")))</f>
        <v>811</v>
      </c>
      <c r="F670" s="117" cm="1">
        <f t="array" ref="F670">IF(E670="","",IF(H669&lt;&gt;"",H669,INDEX(D:D,E670)))</f>
        <v>0</v>
      </c>
      <c r="G670" s="117" t="str">
        <f t="shared" si="69"/>
        <v>0</v>
      </c>
      <c r="H670" s="118" t="str">
        <f t="shared" si="70"/>
        <v/>
      </c>
      <c r="I670" s="116" t="str">
        <f>IF(AND(F670&lt;&gt;"",N10&gt;0,M670&gt;N10),"Mot &gt; limite","")</f>
        <v/>
      </c>
      <c r="M670" s="70">
        <f>IF(OR(F670="",N10="",N10&lt;=0),"",IF(LEN(F670)&lt;=N10,LEN(F670),IFERROR(FIND("♦",SUBSTITUTE(LEFT(F670,N10)," ","♦",LEN(LEFT(F670,N10))-LEN(SUBSTITUTE(LEFT(F670,N10)," ","")))),FIND(" ",F670&amp;" ",N10+1)-1)))</f>
        <v>1</v>
      </c>
      <c r="N670" s="119">
        <f t="shared" si="71"/>
        <v>653</v>
      </c>
      <c r="O670" s="99" t="str">
        <f t="shared" si="72"/>
        <v>0</v>
      </c>
      <c r="P670" s="119">
        <f t="shared" si="73"/>
        <v>1</v>
      </c>
      <c r="Q670" s="119">
        <f t="shared" si="74"/>
        <v>1</v>
      </c>
      <c r="S670" s="3">
        <v>1</v>
      </c>
    </row>
    <row r="671" spans="2:19">
      <c r="B671" s="116"/>
      <c r="C671" s="116"/>
      <c r="D671" s="116"/>
      <c r="E671" s="116" cm="1">
        <f t="array" ref="E671">IF(H670&lt;&gt;"",E670,IF(E670="","",IFERROR(MATCH(TRUE(),INDEX(INDEX(K:K,E670+1):K203&lt;&gt;"",0),0)+E670,"")))</f>
        <v>812</v>
      </c>
      <c r="F671" s="117" cm="1">
        <f t="array" ref="F671">IF(E671="","",IF(H670&lt;&gt;"",H670,INDEX(D:D,E671)))</f>
        <v>0</v>
      </c>
      <c r="G671" s="117" t="str">
        <f t="shared" si="69"/>
        <v>0</v>
      </c>
      <c r="H671" s="118" t="str">
        <f t="shared" si="70"/>
        <v/>
      </c>
      <c r="I671" s="116" t="str">
        <f>IF(AND(F671&lt;&gt;"",N10&gt;0,M671&gt;N10),"Mot &gt; limite","")</f>
        <v/>
      </c>
      <c r="M671" s="70">
        <f>IF(OR(F671="",N10="",N10&lt;=0),"",IF(LEN(F671)&lt;=N10,LEN(F671),IFERROR(FIND("♦",SUBSTITUTE(LEFT(F671,N10)," ","♦",LEN(LEFT(F671,N10))-LEN(SUBSTITUTE(LEFT(F671,N10)," ","")))),FIND(" ",F671&amp;" ",N10+1)-1)))</f>
        <v>1</v>
      </c>
      <c r="N671" s="119">
        <f t="shared" si="71"/>
        <v>654</v>
      </c>
      <c r="O671" s="99" t="str">
        <f t="shared" si="72"/>
        <v>0</v>
      </c>
      <c r="P671" s="119">
        <f t="shared" si="73"/>
        <v>1</v>
      </c>
      <c r="Q671" s="119">
        <f t="shared" si="74"/>
        <v>1</v>
      </c>
      <c r="S671" s="3">
        <v>1</v>
      </c>
    </row>
    <row r="672" spans="2:19">
      <c r="B672" s="116"/>
      <c r="C672" s="116"/>
      <c r="D672" s="116"/>
      <c r="E672" s="116" cm="1">
        <f t="array" ref="E672">IF(H671&lt;&gt;"",E671,IF(E671="","",IFERROR(MATCH(TRUE(),INDEX(INDEX(K:K,E671+1):K203&lt;&gt;"",0),0)+E671,"")))</f>
        <v>813</v>
      </c>
      <c r="F672" s="117" cm="1">
        <f t="array" ref="F672">IF(E672="","",IF(H671&lt;&gt;"",H671,INDEX(D:D,E672)))</f>
        <v>0</v>
      </c>
      <c r="G672" s="117" t="str">
        <f t="shared" si="69"/>
        <v>0</v>
      </c>
      <c r="H672" s="118" t="str">
        <f t="shared" si="70"/>
        <v/>
      </c>
      <c r="I672" s="116" t="str">
        <f>IF(AND(F672&lt;&gt;"",N10&gt;0,M672&gt;N10),"Mot &gt; limite","")</f>
        <v/>
      </c>
      <c r="M672" s="70">
        <f>IF(OR(F672="",N10="",N10&lt;=0),"",IF(LEN(F672)&lt;=N10,LEN(F672),IFERROR(FIND("♦",SUBSTITUTE(LEFT(F672,N10)," ","♦",LEN(LEFT(F672,N10))-LEN(SUBSTITUTE(LEFT(F672,N10)," ","")))),FIND(" ",F672&amp;" ",N10+1)-1)))</f>
        <v>1</v>
      </c>
      <c r="N672" s="119">
        <f t="shared" si="71"/>
        <v>655</v>
      </c>
      <c r="O672" s="99" t="str">
        <f t="shared" si="72"/>
        <v>0</v>
      </c>
      <c r="P672" s="119">
        <f t="shared" si="73"/>
        <v>1</v>
      </c>
      <c r="Q672" s="119">
        <f t="shared" si="74"/>
        <v>1</v>
      </c>
      <c r="S672" s="3">
        <v>1</v>
      </c>
    </row>
    <row r="673" spans="2:19">
      <c r="B673" s="116"/>
      <c r="C673" s="116"/>
      <c r="D673" s="116"/>
      <c r="E673" s="116" cm="1">
        <f t="array" ref="E673">IF(H672&lt;&gt;"",E672,IF(E672="","",IFERROR(MATCH(TRUE(),INDEX(INDEX(K:K,E672+1):K203&lt;&gt;"",0),0)+E672,"")))</f>
        <v>814</v>
      </c>
      <c r="F673" s="117" cm="1">
        <f t="array" ref="F673">IF(E673="","",IF(H672&lt;&gt;"",H672,INDEX(D:D,E673)))</f>
        <v>0</v>
      </c>
      <c r="G673" s="117" t="str">
        <f t="shared" si="69"/>
        <v>0</v>
      </c>
      <c r="H673" s="118" t="str">
        <f t="shared" si="70"/>
        <v/>
      </c>
      <c r="I673" s="116" t="str">
        <f>IF(AND(F673&lt;&gt;"",N10&gt;0,M673&gt;N10),"Mot &gt; limite","")</f>
        <v/>
      </c>
      <c r="M673" s="70">
        <f>IF(OR(F673="",N10="",N10&lt;=0),"",IF(LEN(F673)&lt;=N10,LEN(F673),IFERROR(FIND("♦",SUBSTITUTE(LEFT(F673,N10)," ","♦",LEN(LEFT(F673,N10))-LEN(SUBSTITUTE(LEFT(F673,N10)," ","")))),FIND(" ",F673&amp;" ",N10+1)-1)))</f>
        <v>1</v>
      </c>
      <c r="N673" s="119">
        <f t="shared" si="71"/>
        <v>656</v>
      </c>
      <c r="O673" s="99" t="str">
        <f t="shared" si="72"/>
        <v>0</v>
      </c>
      <c r="P673" s="119">
        <f t="shared" si="73"/>
        <v>1</v>
      </c>
      <c r="Q673" s="119">
        <f t="shared" si="74"/>
        <v>1</v>
      </c>
      <c r="S673" s="3">
        <v>1</v>
      </c>
    </row>
    <row r="674" spans="2:19">
      <c r="B674" s="116"/>
      <c r="C674" s="116"/>
      <c r="D674" s="116"/>
      <c r="E674" s="116" cm="1">
        <f t="array" ref="E674">IF(H673&lt;&gt;"",E673,IF(E673="","",IFERROR(MATCH(TRUE(),INDEX(INDEX(K:K,E673+1):K203&lt;&gt;"",0),0)+E673,"")))</f>
        <v>815</v>
      </c>
      <c r="F674" s="117" cm="1">
        <f t="array" ref="F674">IF(E674="","",IF(H673&lt;&gt;"",H673,INDEX(D:D,E674)))</f>
        <v>0</v>
      </c>
      <c r="G674" s="117" t="str">
        <f t="shared" si="69"/>
        <v>0</v>
      </c>
      <c r="H674" s="118" t="str">
        <f t="shared" si="70"/>
        <v/>
      </c>
      <c r="I674" s="116" t="str">
        <f>IF(AND(F674&lt;&gt;"",N10&gt;0,M674&gt;N10),"Mot &gt; limite","")</f>
        <v/>
      </c>
      <c r="M674" s="70">
        <f>IF(OR(F674="",N10="",N10&lt;=0),"",IF(LEN(F674)&lt;=N10,LEN(F674),IFERROR(FIND("♦",SUBSTITUTE(LEFT(F674,N10)," ","♦",LEN(LEFT(F674,N10))-LEN(SUBSTITUTE(LEFT(F674,N10)," ","")))),FIND(" ",F674&amp;" ",N10+1)-1)))</f>
        <v>1</v>
      </c>
      <c r="N674" s="119">
        <f t="shared" si="71"/>
        <v>657</v>
      </c>
      <c r="O674" s="99" t="str">
        <f t="shared" si="72"/>
        <v>0</v>
      </c>
      <c r="P674" s="119">
        <f t="shared" si="73"/>
        <v>1</v>
      </c>
      <c r="Q674" s="119">
        <f t="shared" si="74"/>
        <v>1</v>
      </c>
      <c r="S674" s="3">
        <v>1</v>
      </c>
    </row>
    <row r="675" spans="2:19">
      <c r="B675" s="116"/>
      <c r="C675" s="116"/>
      <c r="D675" s="116"/>
      <c r="E675" s="116" cm="1">
        <f t="array" ref="E675">IF(H674&lt;&gt;"",E674,IF(E674="","",IFERROR(MATCH(TRUE(),INDEX(INDEX(K:K,E674+1):K203&lt;&gt;"",0),0)+E674,"")))</f>
        <v>816</v>
      </c>
      <c r="F675" s="117" cm="1">
        <f t="array" ref="F675">IF(E675="","",IF(H674&lt;&gt;"",H674,INDEX(D:D,E675)))</f>
        <v>0</v>
      </c>
      <c r="G675" s="117" t="str">
        <f t="shared" si="69"/>
        <v>0</v>
      </c>
      <c r="H675" s="118" t="str">
        <f t="shared" si="70"/>
        <v/>
      </c>
      <c r="I675" s="116" t="str">
        <f>IF(AND(F675&lt;&gt;"",N10&gt;0,M675&gt;N10),"Mot &gt; limite","")</f>
        <v/>
      </c>
      <c r="M675" s="70">
        <f>IF(OR(F675="",N10="",N10&lt;=0),"",IF(LEN(F675)&lt;=N10,LEN(F675),IFERROR(FIND("♦",SUBSTITUTE(LEFT(F675,N10)," ","♦",LEN(LEFT(F675,N10))-LEN(SUBSTITUTE(LEFT(F675,N10)," ","")))),FIND(" ",F675&amp;" ",N10+1)-1)))</f>
        <v>1</v>
      </c>
      <c r="N675" s="119">
        <f t="shared" si="71"/>
        <v>658</v>
      </c>
      <c r="O675" s="99" t="str">
        <f t="shared" si="72"/>
        <v>0</v>
      </c>
      <c r="P675" s="119">
        <f t="shared" si="73"/>
        <v>1</v>
      </c>
      <c r="Q675" s="119">
        <f t="shared" si="74"/>
        <v>1</v>
      </c>
      <c r="S675" s="3">
        <v>1</v>
      </c>
    </row>
    <row r="676" spans="2:19">
      <c r="B676" s="116"/>
      <c r="C676" s="116"/>
      <c r="D676" s="116"/>
      <c r="E676" s="116" cm="1">
        <f t="array" ref="E676">IF(H675&lt;&gt;"",E675,IF(E675="","",IFERROR(MATCH(TRUE(),INDEX(INDEX(K:K,E675+1):K203&lt;&gt;"",0),0)+E675,"")))</f>
        <v>817</v>
      </c>
      <c r="F676" s="117" cm="1">
        <f t="array" ref="F676">IF(E676="","",IF(H675&lt;&gt;"",H675,INDEX(D:D,E676)))</f>
        <v>0</v>
      </c>
      <c r="G676" s="117" t="str">
        <f t="shared" si="69"/>
        <v>0</v>
      </c>
      <c r="H676" s="118" t="str">
        <f t="shared" si="70"/>
        <v/>
      </c>
      <c r="I676" s="116" t="str">
        <f>IF(AND(F676&lt;&gt;"",N10&gt;0,M676&gt;N10),"Mot &gt; limite","")</f>
        <v/>
      </c>
      <c r="M676" s="70">
        <f>IF(OR(F676="",N10="",N10&lt;=0),"",IF(LEN(F676)&lt;=N10,LEN(F676),IFERROR(FIND("♦",SUBSTITUTE(LEFT(F676,N10)," ","♦",LEN(LEFT(F676,N10))-LEN(SUBSTITUTE(LEFT(F676,N10)," ","")))),FIND(" ",F676&amp;" ",N10+1)-1)))</f>
        <v>1</v>
      </c>
      <c r="N676" s="119">
        <f t="shared" si="71"/>
        <v>659</v>
      </c>
      <c r="O676" s="99" t="str">
        <f t="shared" si="72"/>
        <v>0</v>
      </c>
      <c r="P676" s="119">
        <f t="shared" si="73"/>
        <v>1</v>
      </c>
      <c r="Q676" s="119">
        <f t="shared" si="74"/>
        <v>1</v>
      </c>
      <c r="S676" s="3">
        <v>1</v>
      </c>
    </row>
    <row r="677" spans="2:19">
      <c r="B677" s="116"/>
      <c r="C677" s="116"/>
      <c r="D677" s="116"/>
      <c r="E677" s="116" cm="1">
        <f t="array" ref="E677">IF(H676&lt;&gt;"",E676,IF(E676="","",IFERROR(MATCH(TRUE(),INDEX(INDEX(K:K,E676+1):K203&lt;&gt;"",0),0)+E676,"")))</f>
        <v>818</v>
      </c>
      <c r="F677" s="117" cm="1">
        <f t="array" ref="F677">IF(E677="","",IF(H676&lt;&gt;"",H676,INDEX(D:D,E677)))</f>
        <v>0</v>
      </c>
      <c r="G677" s="117" t="str">
        <f t="shared" si="69"/>
        <v>0</v>
      </c>
      <c r="H677" s="118" t="str">
        <f t="shared" si="70"/>
        <v/>
      </c>
      <c r="I677" s="116" t="str">
        <f>IF(AND(F677&lt;&gt;"",N10&gt;0,M677&gt;N10),"Mot &gt; limite","")</f>
        <v/>
      </c>
      <c r="M677" s="70">
        <f>IF(OR(F677="",N10="",N10&lt;=0),"",IF(LEN(F677)&lt;=N10,LEN(F677),IFERROR(FIND("♦",SUBSTITUTE(LEFT(F677,N10)," ","♦",LEN(LEFT(F677,N10))-LEN(SUBSTITUTE(LEFT(F677,N10)," ","")))),FIND(" ",F677&amp;" ",N10+1)-1)))</f>
        <v>1</v>
      </c>
      <c r="N677" s="119">
        <f t="shared" si="71"/>
        <v>660</v>
      </c>
      <c r="O677" s="99" t="str">
        <f t="shared" si="72"/>
        <v>0</v>
      </c>
      <c r="P677" s="119">
        <f t="shared" si="73"/>
        <v>1</v>
      </c>
      <c r="Q677" s="119">
        <f t="shared" si="74"/>
        <v>1</v>
      </c>
      <c r="S677" s="3">
        <v>1</v>
      </c>
    </row>
    <row r="678" spans="2:19">
      <c r="B678" s="116"/>
      <c r="C678" s="116"/>
      <c r="D678" s="116"/>
      <c r="E678" s="116" cm="1">
        <f t="array" ref="E678">IF(H677&lt;&gt;"",E677,IF(E677="","",IFERROR(MATCH(TRUE(),INDEX(INDEX(K:K,E677+1):K203&lt;&gt;"",0),0)+E677,"")))</f>
        <v>819</v>
      </c>
      <c r="F678" s="117" cm="1">
        <f t="array" ref="F678">IF(E678="","",IF(H677&lt;&gt;"",H677,INDEX(D:D,E678)))</f>
        <v>0</v>
      </c>
      <c r="G678" s="117" t="str">
        <f t="shared" si="69"/>
        <v>0</v>
      </c>
      <c r="H678" s="118" t="str">
        <f t="shared" si="70"/>
        <v/>
      </c>
      <c r="I678" s="116" t="str">
        <f>IF(AND(F678&lt;&gt;"",N10&gt;0,M678&gt;N10),"Mot &gt; limite","")</f>
        <v/>
      </c>
      <c r="M678" s="70">
        <f>IF(OR(F678="",N10="",N10&lt;=0),"",IF(LEN(F678)&lt;=N10,LEN(F678),IFERROR(FIND("♦",SUBSTITUTE(LEFT(F678,N10)," ","♦",LEN(LEFT(F678,N10))-LEN(SUBSTITUTE(LEFT(F678,N10)," ","")))),FIND(" ",F678&amp;" ",N10+1)-1)))</f>
        <v>1</v>
      </c>
      <c r="N678" s="119">
        <f t="shared" si="71"/>
        <v>661</v>
      </c>
      <c r="O678" s="99" t="str">
        <f t="shared" si="72"/>
        <v>0</v>
      </c>
      <c r="P678" s="119">
        <f t="shared" si="73"/>
        <v>1</v>
      </c>
      <c r="Q678" s="119">
        <f t="shared" si="74"/>
        <v>1</v>
      </c>
      <c r="S678" s="3">
        <v>1</v>
      </c>
    </row>
    <row r="679" spans="2:19">
      <c r="B679" s="116"/>
      <c r="C679" s="116"/>
      <c r="D679" s="116"/>
      <c r="E679" s="116" cm="1">
        <f t="array" ref="E679">IF(H678&lt;&gt;"",E678,IF(E678="","",IFERROR(MATCH(TRUE(),INDEX(INDEX(K:K,E678+1):K203&lt;&gt;"",0),0)+E678,"")))</f>
        <v>820</v>
      </c>
      <c r="F679" s="117" cm="1">
        <f t="array" ref="F679">IF(E679="","",IF(H678&lt;&gt;"",H678,INDEX(D:D,E679)))</f>
        <v>0</v>
      </c>
      <c r="G679" s="117" t="str">
        <f t="shared" si="69"/>
        <v>0</v>
      </c>
      <c r="H679" s="118" t="str">
        <f t="shared" si="70"/>
        <v/>
      </c>
      <c r="I679" s="116" t="str">
        <f>IF(AND(F679&lt;&gt;"",N10&gt;0,M679&gt;N10),"Mot &gt; limite","")</f>
        <v/>
      </c>
      <c r="M679" s="70">
        <f>IF(OR(F679="",N10="",N10&lt;=0),"",IF(LEN(F679)&lt;=N10,LEN(F679),IFERROR(FIND("♦",SUBSTITUTE(LEFT(F679,N10)," ","♦",LEN(LEFT(F679,N10))-LEN(SUBSTITUTE(LEFT(F679,N10)," ","")))),FIND(" ",F679&amp;" ",N10+1)-1)))</f>
        <v>1</v>
      </c>
      <c r="N679" s="119">
        <f t="shared" si="71"/>
        <v>662</v>
      </c>
      <c r="O679" s="99" t="str">
        <f t="shared" si="72"/>
        <v>0</v>
      </c>
      <c r="P679" s="119">
        <f t="shared" si="73"/>
        <v>1</v>
      </c>
      <c r="Q679" s="119">
        <f t="shared" si="74"/>
        <v>1</v>
      </c>
      <c r="S679" s="3">
        <v>1</v>
      </c>
    </row>
    <row r="680" spans="2:19">
      <c r="B680" s="116"/>
      <c r="C680" s="116"/>
      <c r="D680" s="116"/>
      <c r="E680" s="116" cm="1">
        <f t="array" ref="E680">IF(H679&lt;&gt;"",E679,IF(E679="","",IFERROR(MATCH(TRUE(),INDEX(INDEX(K:K,E679+1):K203&lt;&gt;"",0),0)+E679,"")))</f>
        <v>821</v>
      </c>
      <c r="F680" s="117" cm="1">
        <f t="array" ref="F680">IF(E680="","",IF(H679&lt;&gt;"",H679,INDEX(D:D,E680)))</f>
        <v>0</v>
      </c>
      <c r="G680" s="117" t="str">
        <f t="shared" si="69"/>
        <v>0</v>
      </c>
      <c r="H680" s="118" t="str">
        <f t="shared" si="70"/>
        <v/>
      </c>
      <c r="I680" s="116" t="str">
        <f>IF(AND(F680&lt;&gt;"",N10&gt;0,M680&gt;N10),"Mot &gt; limite","")</f>
        <v/>
      </c>
      <c r="M680" s="70">
        <f>IF(OR(F680="",N10="",N10&lt;=0),"",IF(LEN(F680)&lt;=N10,LEN(F680),IFERROR(FIND("♦",SUBSTITUTE(LEFT(F680,N10)," ","♦",LEN(LEFT(F680,N10))-LEN(SUBSTITUTE(LEFT(F680,N10)," ","")))),FIND(" ",F680&amp;" ",N10+1)-1)))</f>
        <v>1</v>
      </c>
      <c r="N680" s="119">
        <f t="shared" si="71"/>
        <v>663</v>
      </c>
      <c r="O680" s="99" t="str">
        <f t="shared" si="72"/>
        <v>0</v>
      </c>
      <c r="P680" s="119">
        <f t="shared" si="73"/>
        <v>1</v>
      </c>
      <c r="Q680" s="119">
        <f t="shared" si="74"/>
        <v>1</v>
      </c>
      <c r="S680" s="3">
        <v>1</v>
      </c>
    </row>
    <row r="681" spans="2:19">
      <c r="B681" s="116"/>
      <c r="C681" s="116"/>
      <c r="D681" s="116"/>
      <c r="E681" s="116" cm="1">
        <f t="array" ref="E681">IF(H680&lt;&gt;"",E680,IF(E680="","",IFERROR(MATCH(TRUE(),INDEX(INDEX(K:K,E680+1):K203&lt;&gt;"",0),0)+E680,"")))</f>
        <v>822</v>
      </c>
      <c r="F681" s="117" cm="1">
        <f t="array" ref="F681">IF(E681="","",IF(H680&lt;&gt;"",H680,INDEX(D:D,E681)))</f>
        <v>0</v>
      </c>
      <c r="G681" s="117" t="str">
        <f t="shared" si="69"/>
        <v>0</v>
      </c>
      <c r="H681" s="118" t="str">
        <f t="shared" si="70"/>
        <v/>
      </c>
      <c r="I681" s="116" t="str">
        <f>IF(AND(F681&lt;&gt;"",N10&gt;0,M681&gt;N10),"Mot &gt; limite","")</f>
        <v/>
      </c>
      <c r="M681" s="70">
        <f>IF(OR(F681="",N10="",N10&lt;=0),"",IF(LEN(F681)&lt;=N10,LEN(F681),IFERROR(FIND("♦",SUBSTITUTE(LEFT(F681,N10)," ","♦",LEN(LEFT(F681,N10))-LEN(SUBSTITUTE(LEFT(F681,N10)," ","")))),FIND(" ",F681&amp;" ",N10+1)-1)))</f>
        <v>1</v>
      </c>
      <c r="N681" s="119">
        <f t="shared" si="71"/>
        <v>664</v>
      </c>
      <c r="O681" s="99" t="str">
        <f t="shared" si="72"/>
        <v>0</v>
      </c>
      <c r="P681" s="119">
        <f t="shared" si="73"/>
        <v>1</v>
      </c>
      <c r="Q681" s="119">
        <f t="shared" si="74"/>
        <v>1</v>
      </c>
      <c r="S681" s="3">
        <v>1</v>
      </c>
    </row>
    <row r="682" spans="2:19">
      <c r="B682" s="116"/>
      <c r="C682" s="116"/>
      <c r="D682" s="116"/>
      <c r="E682" s="116" cm="1">
        <f t="array" ref="E682">IF(H681&lt;&gt;"",E681,IF(E681="","",IFERROR(MATCH(TRUE(),INDEX(INDEX(K:K,E681+1):K203&lt;&gt;"",0),0)+E681,"")))</f>
        <v>823</v>
      </c>
      <c r="F682" s="117" cm="1">
        <f t="array" ref="F682">IF(E682="","",IF(H681&lt;&gt;"",H681,INDEX(D:D,E682)))</f>
        <v>0</v>
      </c>
      <c r="G682" s="117" t="str">
        <f t="shared" si="69"/>
        <v>0</v>
      </c>
      <c r="H682" s="118" t="str">
        <f t="shared" si="70"/>
        <v/>
      </c>
      <c r="I682" s="116" t="str">
        <f>IF(AND(F682&lt;&gt;"",N10&gt;0,M682&gt;N10),"Mot &gt; limite","")</f>
        <v/>
      </c>
      <c r="M682" s="70">
        <f>IF(OR(F682="",N10="",N10&lt;=0),"",IF(LEN(F682)&lt;=N10,LEN(F682),IFERROR(FIND("♦",SUBSTITUTE(LEFT(F682,N10)," ","♦",LEN(LEFT(F682,N10))-LEN(SUBSTITUTE(LEFT(F682,N10)," ","")))),FIND(" ",F682&amp;" ",N10+1)-1)))</f>
        <v>1</v>
      </c>
      <c r="N682" s="119">
        <f t="shared" si="71"/>
        <v>665</v>
      </c>
      <c r="O682" s="99" t="str">
        <f t="shared" si="72"/>
        <v>0</v>
      </c>
      <c r="P682" s="119">
        <f t="shared" si="73"/>
        <v>1</v>
      </c>
      <c r="Q682" s="119">
        <f t="shared" si="74"/>
        <v>1</v>
      </c>
      <c r="S682" s="3">
        <v>1</v>
      </c>
    </row>
    <row r="683" spans="2:19">
      <c r="B683" s="116"/>
      <c r="C683" s="116"/>
      <c r="D683" s="116"/>
      <c r="E683" s="116" cm="1">
        <f t="array" ref="E683">IF(H682&lt;&gt;"",E682,IF(E682="","",IFERROR(MATCH(TRUE(),INDEX(INDEX(K:K,E682+1):K203&lt;&gt;"",0),0)+E682,"")))</f>
        <v>824</v>
      </c>
      <c r="F683" s="117" cm="1">
        <f t="array" ref="F683">IF(E683="","",IF(H682&lt;&gt;"",H682,INDEX(D:D,E683)))</f>
        <v>0</v>
      </c>
      <c r="G683" s="117" t="str">
        <f t="shared" si="69"/>
        <v>0</v>
      </c>
      <c r="H683" s="118" t="str">
        <f t="shared" si="70"/>
        <v/>
      </c>
      <c r="I683" s="116" t="str">
        <f>IF(AND(F683&lt;&gt;"",N10&gt;0,M683&gt;N10),"Mot &gt; limite","")</f>
        <v/>
      </c>
      <c r="M683" s="70">
        <f>IF(OR(F683="",N10="",N10&lt;=0),"",IF(LEN(F683)&lt;=N10,LEN(F683),IFERROR(FIND("♦",SUBSTITUTE(LEFT(F683,N10)," ","♦",LEN(LEFT(F683,N10))-LEN(SUBSTITUTE(LEFT(F683,N10)," ","")))),FIND(" ",F683&amp;" ",N10+1)-1)))</f>
        <v>1</v>
      </c>
      <c r="N683" s="119">
        <f t="shared" si="71"/>
        <v>666</v>
      </c>
      <c r="O683" s="99" t="str">
        <f t="shared" si="72"/>
        <v>0</v>
      </c>
      <c r="P683" s="119">
        <f t="shared" si="73"/>
        <v>1</v>
      </c>
      <c r="Q683" s="119">
        <f t="shared" si="74"/>
        <v>1</v>
      </c>
      <c r="S683" s="3">
        <v>1</v>
      </c>
    </row>
    <row r="684" spans="2:19">
      <c r="B684" s="116"/>
      <c r="C684" s="116"/>
      <c r="D684" s="116"/>
      <c r="E684" s="116" cm="1">
        <f t="array" ref="E684">IF(H683&lt;&gt;"",E683,IF(E683="","",IFERROR(MATCH(TRUE(),INDEX(INDEX(K:K,E683+1):K203&lt;&gt;"",0),0)+E683,"")))</f>
        <v>825</v>
      </c>
      <c r="F684" s="117" cm="1">
        <f t="array" ref="F684">IF(E684="","",IF(H683&lt;&gt;"",H683,INDEX(D:D,E684)))</f>
        <v>0</v>
      </c>
      <c r="G684" s="117" t="str">
        <f t="shared" si="69"/>
        <v>0</v>
      </c>
      <c r="H684" s="118" t="str">
        <f t="shared" si="70"/>
        <v/>
      </c>
      <c r="I684" s="116" t="str">
        <f>IF(AND(F684&lt;&gt;"",N10&gt;0,M684&gt;N10),"Mot &gt; limite","")</f>
        <v/>
      </c>
      <c r="M684" s="70">
        <f>IF(OR(F684="",N10="",N10&lt;=0),"",IF(LEN(F684)&lt;=N10,LEN(F684),IFERROR(FIND("♦",SUBSTITUTE(LEFT(F684,N10)," ","♦",LEN(LEFT(F684,N10))-LEN(SUBSTITUTE(LEFT(F684,N10)," ","")))),FIND(" ",F684&amp;" ",N10+1)-1)))</f>
        <v>1</v>
      </c>
      <c r="N684" s="119">
        <f t="shared" si="71"/>
        <v>667</v>
      </c>
      <c r="O684" s="99" t="str">
        <f t="shared" si="72"/>
        <v>0</v>
      </c>
      <c r="P684" s="119">
        <f t="shared" si="73"/>
        <v>1</v>
      </c>
      <c r="Q684" s="119">
        <f t="shared" si="74"/>
        <v>1</v>
      </c>
      <c r="S684" s="3">
        <v>1</v>
      </c>
    </row>
    <row r="685" spans="2:19">
      <c r="B685" s="116"/>
      <c r="C685" s="116"/>
      <c r="D685" s="116"/>
      <c r="E685" s="116" cm="1">
        <f t="array" ref="E685">IF(H684&lt;&gt;"",E684,IF(E684="","",IFERROR(MATCH(TRUE(),INDEX(INDEX(K:K,E684+1):K203&lt;&gt;"",0),0)+E684,"")))</f>
        <v>826</v>
      </c>
      <c r="F685" s="117" cm="1">
        <f t="array" ref="F685">IF(E685="","",IF(H684&lt;&gt;"",H684,INDEX(D:D,E685)))</f>
        <v>0</v>
      </c>
      <c r="G685" s="117" t="str">
        <f t="shared" si="69"/>
        <v>0</v>
      </c>
      <c r="H685" s="118" t="str">
        <f t="shared" si="70"/>
        <v/>
      </c>
      <c r="I685" s="116" t="str">
        <f>IF(AND(F685&lt;&gt;"",N10&gt;0,M685&gt;N10),"Mot &gt; limite","")</f>
        <v/>
      </c>
      <c r="M685" s="70">
        <f>IF(OR(F685="",N10="",N10&lt;=0),"",IF(LEN(F685)&lt;=N10,LEN(F685),IFERROR(FIND("♦",SUBSTITUTE(LEFT(F685,N10)," ","♦",LEN(LEFT(F685,N10))-LEN(SUBSTITUTE(LEFT(F685,N10)," ","")))),FIND(" ",F685&amp;" ",N10+1)-1)))</f>
        <v>1</v>
      </c>
      <c r="N685" s="119">
        <f t="shared" si="71"/>
        <v>668</v>
      </c>
      <c r="O685" s="99" t="str">
        <f t="shared" si="72"/>
        <v>0</v>
      </c>
      <c r="P685" s="119">
        <f t="shared" si="73"/>
        <v>1</v>
      </c>
      <c r="Q685" s="119">
        <f t="shared" si="74"/>
        <v>1</v>
      </c>
      <c r="S685" s="3">
        <v>1</v>
      </c>
    </row>
    <row r="686" spans="2:19">
      <c r="B686" s="116"/>
      <c r="C686" s="116"/>
      <c r="D686" s="116"/>
      <c r="E686" s="116" cm="1">
        <f t="array" ref="E686">IF(H685&lt;&gt;"",E685,IF(E685="","",IFERROR(MATCH(TRUE(),INDEX(INDEX(K:K,E685+1):K203&lt;&gt;"",0),0)+E685,"")))</f>
        <v>827</v>
      </c>
      <c r="F686" s="117" cm="1">
        <f t="array" ref="F686">IF(E686="","",IF(H685&lt;&gt;"",H685,INDEX(D:D,E686)))</f>
        <v>0</v>
      </c>
      <c r="G686" s="117" t="str">
        <f t="shared" si="69"/>
        <v>0</v>
      </c>
      <c r="H686" s="118" t="str">
        <f t="shared" si="70"/>
        <v/>
      </c>
      <c r="I686" s="116" t="str">
        <f>IF(AND(F686&lt;&gt;"",N10&gt;0,M686&gt;N10),"Mot &gt; limite","")</f>
        <v/>
      </c>
      <c r="M686" s="70">
        <f>IF(OR(F686="",N10="",N10&lt;=0),"",IF(LEN(F686)&lt;=N10,LEN(F686),IFERROR(FIND("♦",SUBSTITUTE(LEFT(F686,N10)," ","♦",LEN(LEFT(F686,N10))-LEN(SUBSTITUTE(LEFT(F686,N10)," ","")))),FIND(" ",F686&amp;" ",N10+1)-1)))</f>
        <v>1</v>
      </c>
      <c r="N686" s="119">
        <f t="shared" si="71"/>
        <v>669</v>
      </c>
      <c r="O686" s="99" t="str">
        <f t="shared" si="72"/>
        <v>0</v>
      </c>
      <c r="P686" s="119">
        <f t="shared" si="73"/>
        <v>1</v>
      </c>
      <c r="Q686" s="119">
        <f t="shared" si="74"/>
        <v>1</v>
      </c>
      <c r="S686" s="3">
        <v>1</v>
      </c>
    </row>
    <row r="687" spans="2:19">
      <c r="B687" s="116"/>
      <c r="C687" s="116"/>
      <c r="D687" s="116"/>
      <c r="E687" s="116" cm="1">
        <f t="array" ref="E687">IF(H686&lt;&gt;"",E686,IF(E686="","",IFERROR(MATCH(TRUE(),INDEX(INDEX(K:K,E686+1):K203&lt;&gt;"",0),0)+E686,"")))</f>
        <v>828</v>
      </c>
      <c r="F687" s="117" cm="1">
        <f t="array" ref="F687">IF(E687="","",IF(H686&lt;&gt;"",H686,INDEX(D:D,E687)))</f>
        <v>0</v>
      </c>
      <c r="G687" s="117" t="str">
        <f t="shared" si="69"/>
        <v>0</v>
      </c>
      <c r="H687" s="118" t="str">
        <f t="shared" si="70"/>
        <v/>
      </c>
      <c r="I687" s="116" t="str">
        <f>IF(AND(F687&lt;&gt;"",N10&gt;0,M687&gt;N10),"Mot &gt; limite","")</f>
        <v/>
      </c>
      <c r="M687" s="70">
        <f>IF(OR(F687="",N10="",N10&lt;=0),"",IF(LEN(F687)&lt;=N10,LEN(F687),IFERROR(FIND("♦",SUBSTITUTE(LEFT(F687,N10)," ","♦",LEN(LEFT(F687,N10))-LEN(SUBSTITUTE(LEFT(F687,N10)," ","")))),FIND(" ",F687&amp;" ",N10+1)-1)))</f>
        <v>1</v>
      </c>
      <c r="N687" s="119">
        <f t="shared" si="71"/>
        <v>670</v>
      </c>
      <c r="O687" s="99" t="str">
        <f t="shared" si="72"/>
        <v>0</v>
      </c>
      <c r="P687" s="119">
        <f t="shared" si="73"/>
        <v>1</v>
      </c>
      <c r="Q687" s="119">
        <f t="shared" si="74"/>
        <v>1</v>
      </c>
      <c r="S687" s="3">
        <v>1</v>
      </c>
    </row>
    <row r="688" spans="2:19">
      <c r="B688" s="116"/>
      <c r="C688" s="116"/>
      <c r="D688" s="116"/>
      <c r="E688" s="116" cm="1">
        <f t="array" ref="E688">IF(H687&lt;&gt;"",E687,IF(E687="","",IFERROR(MATCH(TRUE(),INDEX(INDEX(K:K,E687+1):K203&lt;&gt;"",0),0)+E687,"")))</f>
        <v>829</v>
      </c>
      <c r="F688" s="117" cm="1">
        <f t="array" ref="F688">IF(E688="","",IF(H687&lt;&gt;"",H687,INDEX(D:D,E688)))</f>
        <v>0</v>
      </c>
      <c r="G688" s="117" t="str">
        <f t="shared" si="69"/>
        <v>0</v>
      </c>
      <c r="H688" s="118" t="str">
        <f t="shared" si="70"/>
        <v/>
      </c>
      <c r="I688" s="116" t="str">
        <f>IF(AND(F688&lt;&gt;"",N10&gt;0,M688&gt;N10),"Mot &gt; limite","")</f>
        <v/>
      </c>
      <c r="M688" s="70">
        <f>IF(OR(F688="",N10="",N10&lt;=0),"",IF(LEN(F688)&lt;=N10,LEN(F688),IFERROR(FIND("♦",SUBSTITUTE(LEFT(F688,N10)," ","♦",LEN(LEFT(F688,N10))-LEN(SUBSTITUTE(LEFT(F688,N10)," ","")))),FIND(" ",F688&amp;" ",N10+1)-1)))</f>
        <v>1</v>
      </c>
      <c r="N688" s="119">
        <f t="shared" si="71"/>
        <v>671</v>
      </c>
      <c r="O688" s="99" t="str">
        <f t="shared" si="72"/>
        <v>0</v>
      </c>
      <c r="P688" s="119">
        <f t="shared" si="73"/>
        <v>1</v>
      </c>
      <c r="Q688" s="119">
        <f t="shared" si="74"/>
        <v>1</v>
      </c>
      <c r="S688" s="3">
        <v>1</v>
      </c>
    </row>
    <row r="689" spans="2:19">
      <c r="B689" s="116"/>
      <c r="C689" s="116"/>
      <c r="D689" s="116"/>
      <c r="E689" s="116" cm="1">
        <f t="array" ref="E689">IF(H688&lt;&gt;"",E688,IF(E688="","",IFERROR(MATCH(TRUE(),INDEX(INDEX(K:K,E688+1):K203&lt;&gt;"",0),0)+E688,"")))</f>
        <v>830</v>
      </c>
      <c r="F689" s="117" cm="1">
        <f t="array" ref="F689">IF(E689="","",IF(H688&lt;&gt;"",H688,INDEX(D:D,E689)))</f>
        <v>0</v>
      </c>
      <c r="G689" s="117" t="str">
        <f t="shared" si="69"/>
        <v>0</v>
      </c>
      <c r="H689" s="118" t="str">
        <f t="shared" si="70"/>
        <v/>
      </c>
      <c r="I689" s="116" t="str">
        <f>IF(AND(F689&lt;&gt;"",N10&gt;0,M689&gt;N10),"Mot &gt; limite","")</f>
        <v/>
      </c>
      <c r="M689" s="70">
        <f>IF(OR(F689="",N10="",N10&lt;=0),"",IF(LEN(F689)&lt;=N10,LEN(F689),IFERROR(FIND("♦",SUBSTITUTE(LEFT(F689,N10)," ","♦",LEN(LEFT(F689,N10))-LEN(SUBSTITUTE(LEFT(F689,N10)," ","")))),FIND(" ",F689&amp;" ",N10+1)-1)))</f>
        <v>1</v>
      </c>
      <c r="N689" s="119">
        <f t="shared" si="71"/>
        <v>672</v>
      </c>
      <c r="O689" s="99" t="str">
        <f t="shared" si="72"/>
        <v>0</v>
      </c>
      <c r="P689" s="119">
        <f t="shared" si="73"/>
        <v>1</v>
      </c>
      <c r="Q689" s="119">
        <f t="shared" si="74"/>
        <v>1</v>
      </c>
      <c r="S689" s="3">
        <v>1</v>
      </c>
    </row>
    <row r="690" spans="2:19">
      <c r="B690" s="116"/>
      <c r="C690" s="116"/>
      <c r="D690" s="116"/>
      <c r="E690" s="116" cm="1">
        <f t="array" ref="E690">IF(H689&lt;&gt;"",E689,IF(E689="","",IFERROR(MATCH(TRUE(),INDEX(INDEX(K:K,E689+1):K203&lt;&gt;"",0),0)+E689,"")))</f>
        <v>831</v>
      </c>
      <c r="F690" s="117" cm="1">
        <f t="array" ref="F690">IF(E690="","",IF(H689&lt;&gt;"",H689,INDEX(D:D,E690)))</f>
        <v>0</v>
      </c>
      <c r="G690" s="117" t="str">
        <f t="shared" si="69"/>
        <v>0</v>
      </c>
      <c r="H690" s="118" t="str">
        <f t="shared" si="70"/>
        <v/>
      </c>
      <c r="I690" s="116" t="str">
        <f>IF(AND(F690&lt;&gt;"",N10&gt;0,M690&gt;N10),"Mot &gt; limite","")</f>
        <v/>
      </c>
      <c r="M690" s="70">
        <f>IF(OR(F690="",N10="",N10&lt;=0),"",IF(LEN(F690)&lt;=N10,LEN(F690),IFERROR(FIND("♦",SUBSTITUTE(LEFT(F690,N10)," ","♦",LEN(LEFT(F690,N10))-LEN(SUBSTITUTE(LEFT(F690,N10)," ","")))),FIND(" ",F690&amp;" ",N10+1)-1)))</f>
        <v>1</v>
      </c>
      <c r="N690" s="119">
        <f t="shared" si="71"/>
        <v>673</v>
      </c>
      <c r="O690" s="99" t="str">
        <f t="shared" si="72"/>
        <v>0</v>
      </c>
      <c r="P690" s="119">
        <f t="shared" si="73"/>
        <v>1</v>
      </c>
      <c r="Q690" s="119">
        <f t="shared" si="74"/>
        <v>1</v>
      </c>
      <c r="S690" s="3">
        <v>1</v>
      </c>
    </row>
    <row r="691" spans="2:19">
      <c r="B691" s="116"/>
      <c r="C691" s="116"/>
      <c r="D691" s="116"/>
      <c r="E691" s="116" cm="1">
        <f t="array" ref="E691">IF(H690&lt;&gt;"",E690,IF(E690="","",IFERROR(MATCH(TRUE(),INDEX(INDEX(K:K,E690+1):K203&lt;&gt;"",0),0)+E690,"")))</f>
        <v>832</v>
      </c>
      <c r="F691" s="117" cm="1">
        <f t="array" ref="F691">IF(E691="","",IF(H690&lt;&gt;"",H690,INDEX(D:D,E691)))</f>
        <v>0</v>
      </c>
      <c r="G691" s="117" t="str">
        <f t="shared" si="69"/>
        <v>0</v>
      </c>
      <c r="H691" s="118" t="str">
        <f t="shared" si="70"/>
        <v/>
      </c>
      <c r="I691" s="116" t="str">
        <f>IF(AND(F691&lt;&gt;"",N10&gt;0,M691&gt;N10),"Mot &gt; limite","")</f>
        <v/>
      </c>
      <c r="M691" s="70">
        <f>IF(OR(F691="",N10="",N10&lt;=0),"",IF(LEN(F691)&lt;=N10,LEN(F691),IFERROR(FIND("♦",SUBSTITUTE(LEFT(F691,N10)," ","♦",LEN(LEFT(F691,N10))-LEN(SUBSTITUTE(LEFT(F691,N10)," ","")))),FIND(" ",F691&amp;" ",N10+1)-1)))</f>
        <v>1</v>
      </c>
      <c r="N691" s="119">
        <f t="shared" si="71"/>
        <v>674</v>
      </c>
      <c r="O691" s="99" t="str">
        <f t="shared" si="72"/>
        <v>0</v>
      </c>
      <c r="P691" s="119">
        <f t="shared" si="73"/>
        <v>1</v>
      </c>
      <c r="Q691" s="119">
        <f t="shared" si="74"/>
        <v>1</v>
      </c>
      <c r="S691" s="3">
        <v>1</v>
      </c>
    </row>
    <row r="692" spans="2:19">
      <c r="B692" s="116"/>
      <c r="C692" s="116"/>
      <c r="D692" s="116"/>
      <c r="E692" s="116" cm="1">
        <f t="array" ref="E692">IF(H691&lt;&gt;"",E691,IF(E691="","",IFERROR(MATCH(TRUE(),INDEX(INDEX(K:K,E691+1):K203&lt;&gt;"",0),0)+E691,"")))</f>
        <v>833</v>
      </c>
      <c r="F692" s="117" cm="1">
        <f t="array" ref="F692">IF(E692="","",IF(H691&lt;&gt;"",H691,INDEX(D:D,E692)))</f>
        <v>0</v>
      </c>
      <c r="G692" s="117" t="str">
        <f t="shared" si="69"/>
        <v>0</v>
      </c>
      <c r="H692" s="118" t="str">
        <f t="shared" si="70"/>
        <v/>
      </c>
      <c r="I692" s="116" t="str">
        <f>IF(AND(F692&lt;&gt;"",N10&gt;0,M692&gt;N10),"Mot &gt; limite","")</f>
        <v/>
      </c>
      <c r="M692" s="70">
        <f>IF(OR(F692="",N10="",N10&lt;=0),"",IF(LEN(F692)&lt;=N10,LEN(F692),IFERROR(FIND("♦",SUBSTITUTE(LEFT(F692,N10)," ","♦",LEN(LEFT(F692,N10))-LEN(SUBSTITUTE(LEFT(F692,N10)," ","")))),FIND(" ",F692&amp;" ",N10+1)-1)))</f>
        <v>1</v>
      </c>
      <c r="N692" s="119">
        <f t="shared" si="71"/>
        <v>675</v>
      </c>
      <c r="O692" s="99" t="str">
        <f t="shared" si="72"/>
        <v>0</v>
      </c>
      <c r="P692" s="119">
        <f t="shared" si="73"/>
        <v>1</v>
      </c>
      <c r="Q692" s="119">
        <f t="shared" si="74"/>
        <v>1</v>
      </c>
      <c r="S692" s="3">
        <v>1</v>
      </c>
    </row>
    <row r="693" spans="2:19">
      <c r="B693" s="116"/>
      <c r="C693" s="116"/>
      <c r="D693" s="116"/>
      <c r="E693" s="116" cm="1">
        <f t="array" ref="E693">IF(H692&lt;&gt;"",E692,IF(E692="","",IFERROR(MATCH(TRUE(),INDEX(INDEX(K:K,E692+1):K203&lt;&gt;"",0),0)+E692,"")))</f>
        <v>834</v>
      </c>
      <c r="F693" s="117" cm="1">
        <f t="array" ref="F693">IF(E693="","",IF(H692&lt;&gt;"",H692,INDEX(D:D,E693)))</f>
        <v>0</v>
      </c>
      <c r="G693" s="117" t="str">
        <f t="shared" si="69"/>
        <v>0</v>
      </c>
      <c r="H693" s="118" t="str">
        <f t="shared" si="70"/>
        <v/>
      </c>
      <c r="I693" s="116" t="str">
        <f>IF(AND(F693&lt;&gt;"",N10&gt;0,M693&gt;N10),"Mot &gt; limite","")</f>
        <v/>
      </c>
      <c r="M693" s="70">
        <f>IF(OR(F693="",N10="",N10&lt;=0),"",IF(LEN(F693)&lt;=N10,LEN(F693),IFERROR(FIND("♦",SUBSTITUTE(LEFT(F693,N10)," ","♦",LEN(LEFT(F693,N10))-LEN(SUBSTITUTE(LEFT(F693,N10)," ","")))),FIND(" ",F693&amp;" ",N10+1)-1)))</f>
        <v>1</v>
      </c>
      <c r="N693" s="119">
        <f t="shared" si="71"/>
        <v>676</v>
      </c>
      <c r="O693" s="99" t="str">
        <f t="shared" si="72"/>
        <v>0</v>
      </c>
      <c r="P693" s="119">
        <f t="shared" si="73"/>
        <v>1</v>
      </c>
      <c r="Q693" s="119">
        <f t="shared" si="74"/>
        <v>1</v>
      </c>
      <c r="S693" s="3">
        <v>1</v>
      </c>
    </row>
    <row r="694" spans="2:19">
      <c r="B694" s="116"/>
      <c r="C694" s="116"/>
      <c r="D694" s="116"/>
      <c r="E694" s="116" cm="1">
        <f t="array" ref="E694">IF(H693&lt;&gt;"",E693,IF(E693="","",IFERROR(MATCH(TRUE(),INDEX(INDEX(K:K,E693+1):K203&lt;&gt;"",0),0)+E693,"")))</f>
        <v>835</v>
      </c>
      <c r="F694" s="117" cm="1">
        <f t="array" ref="F694">IF(E694="","",IF(H693&lt;&gt;"",H693,INDEX(D:D,E694)))</f>
        <v>0</v>
      </c>
      <c r="G694" s="117" t="str">
        <f t="shared" si="69"/>
        <v>0</v>
      </c>
      <c r="H694" s="118" t="str">
        <f t="shared" si="70"/>
        <v/>
      </c>
      <c r="I694" s="116" t="str">
        <f>IF(AND(F694&lt;&gt;"",N10&gt;0,M694&gt;N10),"Mot &gt; limite","")</f>
        <v/>
      </c>
      <c r="M694" s="70">
        <f>IF(OR(F694="",N10="",N10&lt;=0),"",IF(LEN(F694)&lt;=N10,LEN(F694),IFERROR(FIND("♦",SUBSTITUTE(LEFT(F694,N10)," ","♦",LEN(LEFT(F694,N10))-LEN(SUBSTITUTE(LEFT(F694,N10)," ","")))),FIND(" ",F694&amp;" ",N10+1)-1)))</f>
        <v>1</v>
      </c>
      <c r="N694" s="119">
        <f t="shared" si="71"/>
        <v>677</v>
      </c>
      <c r="O694" s="99" t="str">
        <f t="shared" si="72"/>
        <v>0</v>
      </c>
      <c r="P694" s="119">
        <f t="shared" si="73"/>
        <v>1</v>
      </c>
      <c r="Q694" s="119">
        <f t="shared" si="74"/>
        <v>1</v>
      </c>
      <c r="S694" s="3">
        <v>1</v>
      </c>
    </row>
    <row r="695" spans="2:19">
      <c r="B695" s="116"/>
      <c r="C695" s="116"/>
      <c r="D695" s="116"/>
      <c r="E695" s="116" cm="1">
        <f t="array" ref="E695">IF(H694&lt;&gt;"",E694,IF(E694="","",IFERROR(MATCH(TRUE(),INDEX(INDEX(K:K,E694+1):K203&lt;&gt;"",0),0)+E694,"")))</f>
        <v>836</v>
      </c>
      <c r="F695" s="117" cm="1">
        <f t="array" ref="F695">IF(E695="","",IF(H694&lt;&gt;"",H694,INDEX(D:D,E695)))</f>
        <v>0</v>
      </c>
      <c r="G695" s="117" t="str">
        <f t="shared" si="69"/>
        <v>0</v>
      </c>
      <c r="H695" s="118" t="str">
        <f t="shared" si="70"/>
        <v/>
      </c>
      <c r="I695" s="116" t="str">
        <f>IF(AND(F695&lt;&gt;"",N10&gt;0,M695&gt;N10),"Mot &gt; limite","")</f>
        <v/>
      </c>
      <c r="M695" s="70">
        <f>IF(OR(F695="",N10="",N10&lt;=0),"",IF(LEN(F695)&lt;=N10,LEN(F695),IFERROR(FIND("♦",SUBSTITUTE(LEFT(F695,N10)," ","♦",LEN(LEFT(F695,N10))-LEN(SUBSTITUTE(LEFT(F695,N10)," ","")))),FIND(" ",F695&amp;" ",N10+1)-1)))</f>
        <v>1</v>
      </c>
      <c r="N695" s="119">
        <f t="shared" si="71"/>
        <v>678</v>
      </c>
      <c r="O695" s="99" t="str">
        <f t="shared" si="72"/>
        <v>0</v>
      </c>
      <c r="P695" s="119">
        <f t="shared" si="73"/>
        <v>1</v>
      </c>
      <c r="Q695" s="119">
        <f t="shared" si="74"/>
        <v>1</v>
      </c>
      <c r="S695" s="3">
        <v>1</v>
      </c>
    </row>
    <row r="696" spans="2:19">
      <c r="B696" s="116"/>
      <c r="C696" s="116"/>
      <c r="D696" s="116"/>
      <c r="E696" s="116" cm="1">
        <f t="array" ref="E696">IF(H695&lt;&gt;"",E695,IF(E695="","",IFERROR(MATCH(TRUE(),INDEX(INDEX(K:K,E695+1):K203&lt;&gt;"",0),0)+E695,"")))</f>
        <v>837</v>
      </c>
      <c r="F696" s="117" cm="1">
        <f t="array" ref="F696">IF(E696="","",IF(H695&lt;&gt;"",H695,INDEX(D:D,E696)))</f>
        <v>0</v>
      </c>
      <c r="G696" s="117" t="str">
        <f t="shared" si="69"/>
        <v>0</v>
      </c>
      <c r="H696" s="118" t="str">
        <f t="shared" si="70"/>
        <v/>
      </c>
      <c r="I696" s="116" t="str">
        <f>IF(AND(F696&lt;&gt;"",N10&gt;0,M696&gt;N10),"Mot &gt; limite","")</f>
        <v/>
      </c>
      <c r="M696" s="70">
        <f>IF(OR(F696="",N10="",N10&lt;=0),"",IF(LEN(F696)&lt;=N10,LEN(F696),IFERROR(FIND("♦",SUBSTITUTE(LEFT(F696,N10)," ","♦",LEN(LEFT(F696,N10))-LEN(SUBSTITUTE(LEFT(F696,N10)," ","")))),FIND(" ",F696&amp;" ",N10+1)-1)))</f>
        <v>1</v>
      </c>
      <c r="N696" s="119">
        <f t="shared" si="71"/>
        <v>679</v>
      </c>
      <c r="O696" s="99" t="str">
        <f t="shared" si="72"/>
        <v>0</v>
      </c>
      <c r="P696" s="119">
        <f t="shared" si="73"/>
        <v>1</v>
      </c>
      <c r="Q696" s="119">
        <f t="shared" si="74"/>
        <v>1</v>
      </c>
      <c r="S696" s="3">
        <v>1</v>
      </c>
    </row>
    <row r="697" spans="2:19">
      <c r="B697" s="116"/>
      <c r="C697" s="116"/>
      <c r="D697" s="116"/>
      <c r="E697" s="116" cm="1">
        <f t="array" ref="E697">IF(H696&lt;&gt;"",E696,IF(E696="","",IFERROR(MATCH(TRUE(),INDEX(INDEX(K:K,E696+1):K203&lt;&gt;"",0),0)+E696,"")))</f>
        <v>838</v>
      </c>
      <c r="F697" s="117" cm="1">
        <f t="array" ref="F697">IF(E697="","",IF(H696&lt;&gt;"",H696,INDEX(D:D,E697)))</f>
        <v>0</v>
      </c>
      <c r="G697" s="117" t="str">
        <f t="shared" si="69"/>
        <v>0</v>
      </c>
      <c r="H697" s="118" t="str">
        <f t="shared" si="70"/>
        <v/>
      </c>
      <c r="I697" s="116" t="str">
        <f>IF(AND(F697&lt;&gt;"",N10&gt;0,M697&gt;N10),"Mot &gt; limite","")</f>
        <v/>
      </c>
      <c r="M697" s="70">
        <f>IF(OR(F697="",N10="",N10&lt;=0),"",IF(LEN(F697)&lt;=N10,LEN(F697),IFERROR(FIND("♦",SUBSTITUTE(LEFT(F697,N10)," ","♦",LEN(LEFT(F697,N10))-LEN(SUBSTITUTE(LEFT(F697,N10)," ","")))),FIND(" ",F697&amp;" ",N10+1)-1)))</f>
        <v>1</v>
      </c>
      <c r="N697" s="119">
        <f t="shared" si="71"/>
        <v>680</v>
      </c>
      <c r="O697" s="99" t="str">
        <f t="shared" si="72"/>
        <v>0</v>
      </c>
      <c r="P697" s="119">
        <f t="shared" si="73"/>
        <v>1</v>
      </c>
      <c r="Q697" s="119">
        <f t="shared" si="74"/>
        <v>1</v>
      </c>
      <c r="S697" s="3">
        <v>1</v>
      </c>
    </row>
    <row r="698" spans="2:19">
      <c r="B698" s="116"/>
      <c r="C698" s="116"/>
      <c r="D698" s="116"/>
      <c r="E698" s="116" cm="1">
        <f t="array" ref="E698">IF(H697&lt;&gt;"",E697,IF(E697="","",IFERROR(MATCH(TRUE(),INDEX(INDEX(K:K,E697+1):K203&lt;&gt;"",0),0)+E697,"")))</f>
        <v>839</v>
      </c>
      <c r="F698" s="117" cm="1">
        <f t="array" ref="F698">IF(E698="","",IF(H697&lt;&gt;"",H697,INDEX(D:D,E698)))</f>
        <v>0</v>
      </c>
      <c r="G698" s="117" t="str">
        <f t="shared" si="69"/>
        <v>0</v>
      </c>
      <c r="H698" s="118" t="str">
        <f t="shared" si="70"/>
        <v/>
      </c>
      <c r="I698" s="116" t="str">
        <f>IF(AND(F698&lt;&gt;"",N10&gt;0,M698&gt;N10),"Mot &gt; limite","")</f>
        <v/>
      </c>
      <c r="M698" s="70">
        <f>IF(OR(F698="",N10="",N10&lt;=0),"",IF(LEN(F698)&lt;=N10,LEN(F698),IFERROR(FIND("♦",SUBSTITUTE(LEFT(F698,N10)," ","♦",LEN(LEFT(F698,N10))-LEN(SUBSTITUTE(LEFT(F698,N10)," ","")))),FIND(" ",F698&amp;" ",N10+1)-1)))</f>
        <v>1</v>
      </c>
      <c r="N698" s="119">
        <f t="shared" si="71"/>
        <v>681</v>
      </c>
      <c r="O698" s="99" t="str">
        <f t="shared" si="72"/>
        <v>0</v>
      </c>
      <c r="P698" s="119">
        <f t="shared" si="73"/>
        <v>1</v>
      </c>
      <c r="Q698" s="119">
        <f t="shared" si="74"/>
        <v>1</v>
      </c>
      <c r="S698" s="3">
        <v>1</v>
      </c>
    </row>
    <row r="699" spans="2:19">
      <c r="B699" s="116"/>
      <c r="C699" s="116"/>
      <c r="D699" s="116"/>
      <c r="E699" s="116" cm="1">
        <f t="array" ref="E699">IF(H698&lt;&gt;"",E698,IF(E698="","",IFERROR(MATCH(TRUE(),INDEX(INDEX(K:K,E698+1):K203&lt;&gt;"",0),0)+E698,"")))</f>
        <v>840</v>
      </c>
      <c r="F699" s="117" cm="1">
        <f t="array" ref="F699">IF(E699="","",IF(H698&lt;&gt;"",H698,INDEX(D:D,E699)))</f>
        <v>0</v>
      </c>
      <c r="G699" s="117" t="str">
        <f t="shared" si="69"/>
        <v>0</v>
      </c>
      <c r="H699" s="118" t="str">
        <f t="shared" si="70"/>
        <v/>
      </c>
      <c r="I699" s="116" t="str">
        <f>IF(AND(F699&lt;&gt;"",N10&gt;0,M699&gt;N10),"Mot &gt; limite","")</f>
        <v/>
      </c>
      <c r="M699" s="70">
        <f>IF(OR(F699="",N10="",N10&lt;=0),"",IF(LEN(F699)&lt;=N10,LEN(F699),IFERROR(FIND("♦",SUBSTITUTE(LEFT(F699,N10)," ","♦",LEN(LEFT(F699,N10))-LEN(SUBSTITUTE(LEFT(F699,N10)," ","")))),FIND(" ",F699&amp;" ",N10+1)-1)))</f>
        <v>1</v>
      </c>
      <c r="N699" s="119">
        <f t="shared" si="71"/>
        <v>682</v>
      </c>
      <c r="O699" s="99" t="str">
        <f t="shared" si="72"/>
        <v>0</v>
      </c>
      <c r="P699" s="119">
        <f t="shared" si="73"/>
        <v>1</v>
      </c>
      <c r="Q699" s="119">
        <f t="shared" si="74"/>
        <v>1</v>
      </c>
      <c r="S699" s="3">
        <v>1</v>
      </c>
    </row>
    <row r="700" spans="2:19">
      <c r="B700" s="116"/>
      <c r="C700" s="116"/>
      <c r="D700" s="116"/>
      <c r="E700" s="116" cm="1">
        <f t="array" ref="E700">IF(H699&lt;&gt;"",E699,IF(E699="","",IFERROR(MATCH(TRUE(),INDEX(INDEX(K:K,E699+1):K203&lt;&gt;"",0),0)+E699,"")))</f>
        <v>841</v>
      </c>
      <c r="F700" s="117" cm="1">
        <f t="array" ref="F700">IF(E700="","",IF(H699&lt;&gt;"",H699,INDEX(D:D,E700)))</f>
        <v>0</v>
      </c>
      <c r="G700" s="117" t="str">
        <f t="shared" si="69"/>
        <v>0</v>
      </c>
      <c r="H700" s="118" t="str">
        <f t="shared" si="70"/>
        <v/>
      </c>
      <c r="I700" s="116" t="str">
        <f>IF(AND(F700&lt;&gt;"",N10&gt;0,M700&gt;N10),"Mot &gt; limite","")</f>
        <v/>
      </c>
      <c r="M700" s="70">
        <f>IF(OR(F700="",N10="",N10&lt;=0),"",IF(LEN(F700)&lt;=N10,LEN(F700),IFERROR(FIND("♦",SUBSTITUTE(LEFT(F700,N10)," ","♦",LEN(LEFT(F700,N10))-LEN(SUBSTITUTE(LEFT(F700,N10)," ","")))),FIND(" ",F700&amp;" ",N10+1)-1)))</f>
        <v>1</v>
      </c>
      <c r="N700" s="119">
        <f t="shared" si="71"/>
        <v>683</v>
      </c>
      <c r="O700" s="99" t="str">
        <f t="shared" si="72"/>
        <v>0</v>
      </c>
      <c r="P700" s="119">
        <f t="shared" si="73"/>
        <v>1</v>
      </c>
      <c r="Q700" s="119">
        <f t="shared" si="74"/>
        <v>1</v>
      </c>
      <c r="S700" s="3">
        <v>1</v>
      </c>
    </row>
    <row r="701" spans="2:19">
      <c r="B701" s="116"/>
      <c r="C701" s="116"/>
      <c r="D701" s="116"/>
      <c r="E701" s="116" cm="1">
        <f t="array" ref="E701">IF(H700&lt;&gt;"",E700,IF(E700="","",IFERROR(MATCH(TRUE(),INDEX(INDEX(K:K,E700+1):K203&lt;&gt;"",0),0)+E700,"")))</f>
        <v>842</v>
      </c>
      <c r="F701" s="117" cm="1">
        <f t="array" ref="F701">IF(E701="","",IF(H700&lt;&gt;"",H700,INDEX(D:D,E701)))</f>
        <v>0</v>
      </c>
      <c r="G701" s="117" t="str">
        <f t="shared" si="69"/>
        <v>0</v>
      </c>
      <c r="H701" s="118" t="str">
        <f t="shared" si="70"/>
        <v/>
      </c>
      <c r="I701" s="116" t="str">
        <f>IF(AND(F701&lt;&gt;"",N10&gt;0,M701&gt;N10),"Mot &gt; limite","")</f>
        <v/>
      </c>
      <c r="M701" s="70">
        <f>IF(OR(F701="",N10="",N10&lt;=0),"",IF(LEN(F701)&lt;=N10,LEN(F701),IFERROR(FIND("♦",SUBSTITUTE(LEFT(F701,N10)," ","♦",LEN(LEFT(F701,N10))-LEN(SUBSTITUTE(LEFT(F701,N10)," ","")))),FIND(" ",F701&amp;" ",N10+1)-1)))</f>
        <v>1</v>
      </c>
      <c r="N701" s="119">
        <f t="shared" si="71"/>
        <v>684</v>
      </c>
      <c r="O701" s="99" t="str">
        <f t="shared" si="72"/>
        <v>0</v>
      </c>
      <c r="P701" s="119">
        <f t="shared" si="73"/>
        <v>1</v>
      </c>
      <c r="Q701" s="119">
        <f t="shared" si="74"/>
        <v>1</v>
      </c>
      <c r="S701" s="3">
        <v>1</v>
      </c>
    </row>
    <row r="702" spans="2:19">
      <c r="B702" s="116"/>
      <c r="C702" s="116"/>
      <c r="D702" s="116"/>
      <c r="E702" s="116" cm="1">
        <f t="array" ref="E702">IF(H701&lt;&gt;"",E701,IF(E701="","",IFERROR(MATCH(TRUE(),INDEX(INDEX(K:K,E701+1):K203&lt;&gt;"",0),0)+E701,"")))</f>
        <v>843</v>
      </c>
      <c r="F702" s="117" cm="1">
        <f t="array" ref="F702">IF(E702="","",IF(H701&lt;&gt;"",H701,INDEX(D:D,E702)))</f>
        <v>0</v>
      </c>
      <c r="G702" s="117" t="str">
        <f t="shared" si="69"/>
        <v>0</v>
      </c>
      <c r="H702" s="118" t="str">
        <f t="shared" si="70"/>
        <v/>
      </c>
      <c r="I702" s="116" t="str">
        <f>IF(AND(F702&lt;&gt;"",N10&gt;0,M702&gt;N10),"Mot &gt; limite","")</f>
        <v/>
      </c>
      <c r="M702" s="70">
        <f>IF(OR(F702="",N10="",N10&lt;=0),"",IF(LEN(F702)&lt;=N10,LEN(F702),IFERROR(FIND("♦",SUBSTITUTE(LEFT(F702,N10)," ","♦",LEN(LEFT(F702,N10))-LEN(SUBSTITUTE(LEFT(F702,N10)," ","")))),FIND(" ",F702&amp;" ",N10+1)-1)))</f>
        <v>1</v>
      </c>
      <c r="N702" s="119">
        <f t="shared" si="71"/>
        <v>685</v>
      </c>
      <c r="O702" s="99" t="str">
        <f t="shared" si="72"/>
        <v>0</v>
      </c>
      <c r="P702" s="119">
        <f t="shared" si="73"/>
        <v>1</v>
      </c>
      <c r="Q702" s="119">
        <f t="shared" si="74"/>
        <v>1</v>
      </c>
      <c r="S702" s="3">
        <v>1</v>
      </c>
    </row>
    <row r="703" spans="2:19">
      <c r="B703" s="116"/>
      <c r="C703" s="116"/>
      <c r="D703" s="116"/>
      <c r="E703" s="116" cm="1">
        <f t="array" ref="E703">IF(H702&lt;&gt;"",E702,IF(E702="","",IFERROR(MATCH(TRUE(),INDEX(INDEX(K:K,E702+1):K203&lt;&gt;"",0),0)+E702,"")))</f>
        <v>844</v>
      </c>
      <c r="F703" s="117" cm="1">
        <f t="array" ref="F703">IF(E703="","",IF(H702&lt;&gt;"",H702,INDEX(D:D,E703)))</f>
        <v>0</v>
      </c>
      <c r="G703" s="117" t="str">
        <f t="shared" si="69"/>
        <v>0</v>
      </c>
      <c r="H703" s="118" t="str">
        <f t="shared" si="70"/>
        <v/>
      </c>
      <c r="I703" s="116" t="str">
        <f>IF(AND(F703&lt;&gt;"",N10&gt;0,M703&gt;N10),"Mot &gt; limite","")</f>
        <v/>
      </c>
      <c r="M703" s="70">
        <f>IF(OR(F703="",N10="",N10&lt;=0),"",IF(LEN(F703)&lt;=N10,LEN(F703),IFERROR(FIND("♦",SUBSTITUTE(LEFT(F703,N10)," ","♦",LEN(LEFT(F703,N10))-LEN(SUBSTITUTE(LEFT(F703,N10)," ","")))),FIND(" ",F703&amp;" ",N10+1)-1)))</f>
        <v>1</v>
      </c>
      <c r="N703" s="119">
        <f t="shared" si="71"/>
        <v>686</v>
      </c>
      <c r="O703" s="99" t="str">
        <f t="shared" si="72"/>
        <v>0</v>
      </c>
      <c r="P703" s="119">
        <f t="shared" si="73"/>
        <v>1</v>
      </c>
      <c r="Q703" s="119">
        <f t="shared" si="74"/>
        <v>1</v>
      </c>
      <c r="S703" s="3">
        <v>1</v>
      </c>
    </row>
    <row r="704" spans="2:19">
      <c r="B704" s="116"/>
      <c r="C704" s="116"/>
      <c r="D704" s="116"/>
      <c r="E704" s="116" cm="1">
        <f t="array" ref="E704">IF(H703&lt;&gt;"",E703,IF(E703="","",IFERROR(MATCH(TRUE(),INDEX(INDEX(K:K,E703+1):K203&lt;&gt;"",0),0)+E703,"")))</f>
        <v>845</v>
      </c>
      <c r="F704" s="117" cm="1">
        <f t="array" ref="F704">IF(E704="","",IF(H703&lt;&gt;"",H703,INDEX(D:D,E704)))</f>
        <v>0</v>
      </c>
      <c r="G704" s="117" t="str">
        <f t="shared" si="69"/>
        <v>0</v>
      </c>
      <c r="H704" s="118" t="str">
        <f t="shared" si="70"/>
        <v/>
      </c>
      <c r="I704" s="116" t="str">
        <f>IF(AND(F704&lt;&gt;"",N10&gt;0,M704&gt;N10),"Mot &gt; limite","")</f>
        <v/>
      </c>
      <c r="M704" s="70">
        <f>IF(OR(F704="",N10="",N10&lt;=0),"",IF(LEN(F704)&lt;=N10,LEN(F704),IFERROR(FIND("♦",SUBSTITUTE(LEFT(F704,N10)," ","♦",LEN(LEFT(F704,N10))-LEN(SUBSTITUTE(LEFT(F704,N10)," ","")))),FIND(" ",F704&amp;" ",N10+1)-1)))</f>
        <v>1</v>
      </c>
      <c r="N704" s="119">
        <f t="shared" si="71"/>
        <v>687</v>
      </c>
      <c r="O704" s="99" t="str">
        <f t="shared" si="72"/>
        <v>0</v>
      </c>
      <c r="P704" s="119">
        <f t="shared" si="73"/>
        <v>1</v>
      </c>
      <c r="Q704" s="119">
        <f t="shared" si="74"/>
        <v>1</v>
      </c>
      <c r="S704" s="3">
        <v>1</v>
      </c>
    </row>
    <row r="705" spans="2:19">
      <c r="B705" s="116"/>
      <c r="C705" s="116"/>
      <c r="D705" s="116"/>
      <c r="E705" s="116" cm="1">
        <f t="array" ref="E705">IF(H704&lt;&gt;"",E704,IF(E704="","",IFERROR(MATCH(TRUE(),INDEX(INDEX(K:K,E704+1):K203&lt;&gt;"",0),0)+E704,"")))</f>
        <v>846</v>
      </c>
      <c r="F705" s="117" cm="1">
        <f t="array" ref="F705">IF(E705="","",IF(H704&lt;&gt;"",H704,INDEX(D:D,E705)))</f>
        <v>0</v>
      </c>
      <c r="G705" s="117" t="str">
        <f t="shared" si="69"/>
        <v>0</v>
      </c>
      <c r="H705" s="118" t="str">
        <f t="shared" si="70"/>
        <v/>
      </c>
      <c r="I705" s="116" t="str">
        <f>IF(AND(F705&lt;&gt;"",N10&gt;0,M705&gt;N10),"Mot &gt; limite","")</f>
        <v/>
      </c>
      <c r="M705" s="70">
        <f>IF(OR(F705="",N10="",N10&lt;=0),"",IF(LEN(F705)&lt;=N10,LEN(F705),IFERROR(FIND("♦",SUBSTITUTE(LEFT(F705,N10)," ","♦",LEN(LEFT(F705,N10))-LEN(SUBSTITUTE(LEFT(F705,N10)," ","")))),FIND(" ",F705&amp;" ",N10+1)-1)))</f>
        <v>1</v>
      </c>
      <c r="N705" s="119">
        <f t="shared" si="71"/>
        <v>688</v>
      </c>
      <c r="O705" s="99" t="str">
        <f t="shared" si="72"/>
        <v>0</v>
      </c>
      <c r="P705" s="119">
        <f t="shared" si="73"/>
        <v>1</v>
      </c>
      <c r="Q705" s="119">
        <f t="shared" si="74"/>
        <v>1</v>
      </c>
      <c r="S705" s="3">
        <v>1</v>
      </c>
    </row>
    <row r="706" spans="2:19">
      <c r="B706" s="116"/>
      <c r="C706" s="116"/>
      <c r="D706" s="116"/>
      <c r="E706" s="116" cm="1">
        <f t="array" ref="E706">IF(H705&lt;&gt;"",E705,IF(E705="","",IFERROR(MATCH(TRUE(),INDEX(INDEX(K:K,E705+1):K203&lt;&gt;"",0),0)+E705,"")))</f>
        <v>847</v>
      </c>
      <c r="F706" s="117" cm="1">
        <f t="array" ref="F706">IF(E706="","",IF(H705&lt;&gt;"",H705,INDEX(D:D,E706)))</f>
        <v>0</v>
      </c>
      <c r="G706" s="117" t="str">
        <f t="shared" si="69"/>
        <v>0</v>
      </c>
      <c r="H706" s="118" t="str">
        <f t="shared" si="70"/>
        <v/>
      </c>
      <c r="I706" s="116" t="str">
        <f>IF(AND(F706&lt;&gt;"",N10&gt;0,M706&gt;N10),"Mot &gt; limite","")</f>
        <v/>
      </c>
      <c r="M706" s="70">
        <f>IF(OR(F706="",N10="",N10&lt;=0),"",IF(LEN(F706)&lt;=N10,LEN(F706),IFERROR(FIND("♦",SUBSTITUTE(LEFT(F706,N10)," ","♦",LEN(LEFT(F706,N10))-LEN(SUBSTITUTE(LEFT(F706,N10)," ","")))),FIND(" ",F706&amp;" ",N10+1)-1)))</f>
        <v>1</v>
      </c>
      <c r="N706" s="119">
        <f t="shared" si="71"/>
        <v>689</v>
      </c>
      <c r="O706" s="99" t="str">
        <f t="shared" si="72"/>
        <v>0</v>
      </c>
      <c r="P706" s="119">
        <f t="shared" si="73"/>
        <v>1</v>
      </c>
      <c r="Q706" s="119">
        <f t="shared" si="74"/>
        <v>1</v>
      </c>
      <c r="S706" s="3">
        <v>1</v>
      </c>
    </row>
    <row r="707" spans="2:19">
      <c r="B707" s="116"/>
      <c r="C707" s="116"/>
      <c r="D707" s="116"/>
      <c r="E707" s="116" cm="1">
        <f t="array" ref="E707">IF(H706&lt;&gt;"",E706,IF(E706="","",IFERROR(MATCH(TRUE(),INDEX(INDEX(K:K,E706+1):K203&lt;&gt;"",0),0)+E706,"")))</f>
        <v>848</v>
      </c>
      <c r="F707" s="117" cm="1">
        <f t="array" ref="F707">IF(E707="","",IF(H706&lt;&gt;"",H706,INDEX(D:D,E707)))</f>
        <v>0</v>
      </c>
      <c r="G707" s="117" t="str">
        <f t="shared" si="69"/>
        <v>0</v>
      </c>
      <c r="H707" s="118" t="str">
        <f t="shared" si="70"/>
        <v/>
      </c>
      <c r="I707" s="116" t="str">
        <f>IF(AND(F707&lt;&gt;"",N10&gt;0,M707&gt;N10),"Mot &gt; limite","")</f>
        <v/>
      </c>
      <c r="M707" s="70">
        <f>IF(OR(F707="",N10="",N10&lt;=0),"",IF(LEN(F707)&lt;=N10,LEN(F707),IFERROR(FIND("♦",SUBSTITUTE(LEFT(F707,N10)," ","♦",LEN(LEFT(F707,N10))-LEN(SUBSTITUTE(LEFT(F707,N10)," ","")))),FIND(" ",F707&amp;" ",N10+1)-1)))</f>
        <v>1</v>
      </c>
      <c r="N707" s="119">
        <f t="shared" si="71"/>
        <v>690</v>
      </c>
      <c r="O707" s="99" t="str">
        <f t="shared" si="72"/>
        <v>0</v>
      </c>
      <c r="P707" s="119">
        <f t="shared" si="73"/>
        <v>1</v>
      </c>
      <c r="Q707" s="119">
        <f t="shared" si="74"/>
        <v>1</v>
      </c>
      <c r="S707" s="3">
        <v>1</v>
      </c>
    </row>
    <row r="708" spans="2:19">
      <c r="B708" s="116"/>
      <c r="C708" s="116"/>
      <c r="D708" s="116"/>
      <c r="E708" s="116" cm="1">
        <f t="array" ref="E708">IF(H707&lt;&gt;"",E707,IF(E707="","",IFERROR(MATCH(TRUE(),INDEX(INDEX(K:K,E707+1):K203&lt;&gt;"",0),0)+E707,"")))</f>
        <v>849</v>
      </c>
      <c r="F708" s="117" cm="1">
        <f t="array" ref="F708">IF(E708="","",IF(H707&lt;&gt;"",H707,INDEX(D:D,E708)))</f>
        <v>0</v>
      </c>
      <c r="G708" s="117" t="str">
        <f t="shared" si="69"/>
        <v>0</v>
      </c>
      <c r="H708" s="118" t="str">
        <f t="shared" si="70"/>
        <v/>
      </c>
      <c r="I708" s="116" t="str">
        <f>IF(AND(F708&lt;&gt;"",N10&gt;0,M708&gt;N10),"Mot &gt; limite","")</f>
        <v/>
      </c>
      <c r="M708" s="70">
        <f>IF(OR(F708="",N10="",N10&lt;=0),"",IF(LEN(F708)&lt;=N10,LEN(F708),IFERROR(FIND("♦",SUBSTITUTE(LEFT(F708,N10)," ","♦",LEN(LEFT(F708,N10))-LEN(SUBSTITUTE(LEFT(F708,N10)," ","")))),FIND(" ",F708&amp;" ",N10+1)-1)))</f>
        <v>1</v>
      </c>
      <c r="N708" s="119">
        <f t="shared" si="71"/>
        <v>691</v>
      </c>
      <c r="O708" s="99" t="str">
        <f t="shared" si="72"/>
        <v>0</v>
      </c>
      <c r="P708" s="119">
        <f t="shared" si="73"/>
        <v>1</v>
      </c>
      <c r="Q708" s="119">
        <f t="shared" si="74"/>
        <v>1</v>
      </c>
      <c r="S708" s="3">
        <v>1</v>
      </c>
    </row>
    <row r="709" spans="2:19">
      <c r="B709" s="116"/>
      <c r="C709" s="116"/>
      <c r="D709" s="116"/>
      <c r="E709" s="116" cm="1">
        <f t="array" ref="E709">IF(H708&lt;&gt;"",E708,IF(E708="","",IFERROR(MATCH(TRUE(),INDEX(INDEX(K:K,E708+1):K203&lt;&gt;"",0),0)+E708,"")))</f>
        <v>850</v>
      </c>
      <c r="F709" s="117" cm="1">
        <f t="array" ref="F709">IF(E709="","",IF(H708&lt;&gt;"",H708,INDEX(D:D,E709)))</f>
        <v>0</v>
      </c>
      <c r="G709" s="117" t="str">
        <f t="shared" si="69"/>
        <v>0</v>
      </c>
      <c r="H709" s="118" t="str">
        <f t="shared" si="70"/>
        <v/>
      </c>
      <c r="I709" s="116" t="str">
        <f>IF(AND(F709&lt;&gt;"",N10&gt;0,M709&gt;N10),"Mot &gt; limite","")</f>
        <v/>
      </c>
      <c r="M709" s="70">
        <f>IF(OR(F709="",N10="",N10&lt;=0),"",IF(LEN(F709)&lt;=N10,LEN(F709),IFERROR(FIND("♦",SUBSTITUTE(LEFT(F709,N10)," ","♦",LEN(LEFT(F709,N10))-LEN(SUBSTITUTE(LEFT(F709,N10)," ","")))),FIND(" ",F709&amp;" ",N10+1)-1)))</f>
        <v>1</v>
      </c>
      <c r="N709" s="119">
        <f t="shared" si="71"/>
        <v>692</v>
      </c>
      <c r="O709" s="99" t="str">
        <f t="shared" si="72"/>
        <v>0</v>
      </c>
      <c r="P709" s="119">
        <f t="shared" si="73"/>
        <v>1</v>
      </c>
      <c r="Q709" s="119">
        <f t="shared" si="74"/>
        <v>1</v>
      </c>
      <c r="S709" s="3">
        <v>1</v>
      </c>
    </row>
    <row r="710" spans="2:19">
      <c r="B710" s="116"/>
      <c r="C710" s="116"/>
      <c r="D710" s="116"/>
      <c r="E710" s="116" cm="1">
        <f t="array" ref="E710">IF(H709&lt;&gt;"",E709,IF(E709="","",IFERROR(MATCH(TRUE(),INDEX(INDEX(K:K,E709+1):K203&lt;&gt;"",0),0)+E709,"")))</f>
        <v>851</v>
      </c>
      <c r="F710" s="117" cm="1">
        <f t="array" ref="F710">IF(E710="","",IF(H709&lt;&gt;"",H709,INDEX(D:D,E710)))</f>
        <v>0</v>
      </c>
      <c r="G710" s="117" t="str">
        <f t="shared" si="69"/>
        <v>0</v>
      </c>
      <c r="H710" s="118" t="str">
        <f t="shared" si="70"/>
        <v/>
      </c>
      <c r="I710" s="116" t="str">
        <f>IF(AND(F710&lt;&gt;"",N10&gt;0,M710&gt;N10),"Mot &gt; limite","")</f>
        <v/>
      </c>
      <c r="M710" s="70">
        <f>IF(OR(F710="",N10="",N10&lt;=0),"",IF(LEN(F710)&lt;=N10,LEN(F710),IFERROR(FIND("♦",SUBSTITUTE(LEFT(F710,N10)," ","♦",LEN(LEFT(F710,N10))-LEN(SUBSTITUTE(LEFT(F710,N10)," ","")))),FIND(" ",F710&amp;" ",N10+1)-1)))</f>
        <v>1</v>
      </c>
      <c r="N710" s="119">
        <f t="shared" si="71"/>
        <v>693</v>
      </c>
      <c r="O710" s="99" t="str">
        <f t="shared" si="72"/>
        <v>0</v>
      </c>
      <c r="P710" s="119">
        <f t="shared" si="73"/>
        <v>1</v>
      </c>
      <c r="Q710" s="119">
        <f t="shared" si="74"/>
        <v>1</v>
      </c>
      <c r="S710" s="3">
        <v>1</v>
      </c>
    </row>
    <row r="711" spans="2:19">
      <c r="B711" s="116"/>
      <c r="C711" s="116"/>
      <c r="D711" s="116"/>
      <c r="E711" s="116" cm="1">
        <f t="array" ref="E711">IF(H710&lt;&gt;"",E710,IF(E710="","",IFERROR(MATCH(TRUE(),INDEX(INDEX(K:K,E710+1):K203&lt;&gt;"",0),0)+E710,"")))</f>
        <v>852</v>
      </c>
      <c r="F711" s="117" cm="1">
        <f t="array" ref="F711">IF(E711="","",IF(H710&lt;&gt;"",H710,INDEX(D:D,E711)))</f>
        <v>0</v>
      </c>
      <c r="G711" s="117" t="str">
        <f t="shared" si="69"/>
        <v>0</v>
      </c>
      <c r="H711" s="118" t="str">
        <f t="shared" si="70"/>
        <v/>
      </c>
      <c r="I711" s="116" t="str">
        <f>IF(AND(F711&lt;&gt;"",N10&gt;0,M711&gt;N10),"Mot &gt; limite","")</f>
        <v/>
      </c>
      <c r="M711" s="70">
        <f>IF(OR(F711="",N10="",N10&lt;=0),"",IF(LEN(F711)&lt;=N10,LEN(F711),IFERROR(FIND("♦",SUBSTITUTE(LEFT(F711,N10)," ","♦",LEN(LEFT(F711,N10))-LEN(SUBSTITUTE(LEFT(F711,N10)," ","")))),FIND(" ",F711&amp;" ",N10+1)-1)))</f>
        <v>1</v>
      </c>
      <c r="N711" s="119">
        <f t="shared" si="71"/>
        <v>694</v>
      </c>
      <c r="O711" s="99" t="str">
        <f t="shared" si="72"/>
        <v>0</v>
      </c>
      <c r="P711" s="119">
        <f t="shared" si="73"/>
        <v>1</v>
      </c>
      <c r="Q711" s="119">
        <f t="shared" si="74"/>
        <v>1</v>
      </c>
      <c r="S711" s="3">
        <v>1</v>
      </c>
    </row>
    <row r="712" spans="2:19">
      <c r="B712" s="116"/>
      <c r="C712" s="116"/>
      <c r="D712" s="116"/>
      <c r="E712" s="116" cm="1">
        <f t="array" ref="E712">IF(H711&lt;&gt;"",E711,IF(E711="","",IFERROR(MATCH(TRUE(),INDEX(INDEX(K:K,E711+1):K203&lt;&gt;"",0),0)+E711,"")))</f>
        <v>853</v>
      </c>
      <c r="F712" s="117" cm="1">
        <f t="array" ref="F712">IF(E712="","",IF(H711&lt;&gt;"",H711,INDEX(D:D,E712)))</f>
        <v>0</v>
      </c>
      <c r="G712" s="117" t="str">
        <f t="shared" si="69"/>
        <v>0</v>
      </c>
      <c r="H712" s="118" t="str">
        <f t="shared" si="70"/>
        <v/>
      </c>
      <c r="I712" s="116" t="str">
        <f>IF(AND(F712&lt;&gt;"",N10&gt;0,M712&gt;N10),"Mot &gt; limite","")</f>
        <v/>
      </c>
      <c r="M712" s="70">
        <f>IF(OR(F712="",N10="",N10&lt;=0),"",IF(LEN(F712)&lt;=N10,LEN(F712),IFERROR(FIND("♦",SUBSTITUTE(LEFT(F712,N10)," ","♦",LEN(LEFT(F712,N10))-LEN(SUBSTITUTE(LEFT(F712,N10)," ","")))),FIND(" ",F712&amp;" ",N10+1)-1)))</f>
        <v>1</v>
      </c>
      <c r="N712" s="119">
        <f t="shared" si="71"/>
        <v>695</v>
      </c>
      <c r="O712" s="99" t="str">
        <f t="shared" si="72"/>
        <v>0</v>
      </c>
      <c r="P712" s="119">
        <f t="shared" si="73"/>
        <v>1</v>
      </c>
      <c r="Q712" s="119">
        <f t="shared" si="74"/>
        <v>1</v>
      </c>
      <c r="S712" s="3">
        <v>1</v>
      </c>
    </row>
    <row r="713" spans="2:19">
      <c r="B713" s="116"/>
      <c r="C713" s="116"/>
      <c r="D713" s="116"/>
      <c r="E713" s="116" cm="1">
        <f t="array" ref="E713">IF(H712&lt;&gt;"",E712,IF(E712="","",IFERROR(MATCH(TRUE(),INDEX(INDEX(K:K,E712+1):K203&lt;&gt;"",0),0)+E712,"")))</f>
        <v>854</v>
      </c>
      <c r="F713" s="117" cm="1">
        <f t="array" ref="F713">IF(E713="","",IF(H712&lt;&gt;"",H712,INDEX(D:D,E713)))</f>
        <v>0</v>
      </c>
      <c r="G713" s="117" t="str">
        <f t="shared" si="69"/>
        <v>0</v>
      </c>
      <c r="H713" s="118" t="str">
        <f t="shared" si="70"/>
        <v/>
      </c>
      <c r="I713" s="116" t="str">
        <f>IF(AND(F713&lt;&gt;"",N10&gt;0,M713&gt;N10),"Mot &gt; limite","")</f>
        <v/>
      </c>
      <c r="M713" s="70">
        <f>IF(OR(F713="",N10="",N10&lt;=0),"",IF(LEN(F713)&lt;=N10,LEN(F713),IFERROR(FIND("♦",SUBSTITUTE(LEFT(F713,N10)," ","♦",LEN(LEFT(F713,N10))-LEN(SUBSTITUTE(LEFT(F713,N10)," ","")))),FIND(" ",F713&amp;" ",N10+1)-1)))</f>
        <v>1</v>
      </c>
      <c r="N713" s="119">
        <f t="shared" si="71"/>
        <v>696</v>
      </c>
      <c r="O713" s="99" t="str">
        <f t="shared" si="72"/>
        <v>0</v>
      </c>
      <c r="P713" s="119">
        <f t="shared" si="73"/>
        <v>1</v>
      </c>
      <c r="Q713" s="119">
        <f t="shared" si="74"/>
        <v>1</v>
      </c>
      <c r="S713" s="3">
        <v>1</v>
      </c>
    </row>
    <row r="714" spans="2:19">
      <c r="B714" s="116"/>
      <c r="C714" s="116"/>
      <c r="D714" s="116"/>
      <c r="E714" s="116" cm="1">
        <f t="array" ref="E714">IF(H713&lt;&gt;"",E713,IF(E713="","",IFERROR(MATCH(TRUE(),INDEX(INDEX(K:K,E713+1):K203&lt;&gt;"",0),0)+E713,"")))</f>
        <v>855</v>
      </c>
      <c r="F714" s="117" cm="1">
        <f t="array" ref="F714">IF(E714="","",IF(H713&lt;&gt;"",H713,INDEX(D:D,E714)))</f>
        <v>0</v>
      </c>
      <c r="G714" s="117" t="str">
        <f t="shared" si="69"/>
        <v>0</v>
      </c>
      <c r="H714" s="118" t="str">
        <f t="shared" si="70"/>
        <v/>
      </c>
      <c r="I714" s="116" t="str">
        <f>IF(AND(F714&lt;&gt;"",N10&gt;0,M714&gt;N10),"Mot &gt; limite","")</f>
        <v/>
      </c>
      <c r="M714" s="70">
        <f>IF(OR(F714="",N10="",N10&lt;=0),"",IF(LEN(F714)&lt;=N10,LEN(F714),IFERROR(FIND("♦",SUBSTITUTE(LEFT(F714,N10)," ","♦",LEN(LEFT(F714,N10))-LEN(SUBSTITUTE(LEFT(F714,N10)," ","")))),FIND(" ",F714&amp;" ",N10+1)-1)))</f>
        <v>1</v>
      </c>
      <c r="N714" s="119">
        <f t="shared" si="71"/>
        <v>697</v>
      </c>
      <c r="O714" s="99" t="str">
        <f t="shared" si="72"/>
        <v>0</v>
      </c>
      <c r="P714" s="119">
        <f t="shared" si="73"/>
        <v>1</v>
      </c>
      <c r="Q714" s="119">
        <f t="shared" si="74"/>
        <v>1</v>
      </c>
      <c r="S714" s="3">
        <v>1</v>
      </c>
    </row>
    <row r="715" spans="2:19">
      <c r="B715" s="116"/>
      <c r="C715" s="116"/>
      <c r="D715" s="116"/>
      <c r="E715" s="116" cm="1">
        <f t="array" ref="E715">IF(H714&lt;&gt;"",E714,IF(E714="","",IFERROR(MATCH(TRUE(),INDEX(INDEX(K:K,E714+1):K203&lt;&gt;"",0),0)+E714,"")))</f>
        <v>856</v>
      </c>
      <c r="F715" s="117" cm="1">
        <f t="array" ref="F715">IF(E715="","",IF(H714&lt;&gt;"",H714,INDEX(D:D,E715)))</f>
        <v>0</v>
      </c>
      <c r="G715" s="117" t="str">
        <f t="shared" si="69"/>
        <v>0</v>
      </c>
      <c r="H715" s="118" t="str">
        <f t="shared" si="70"/>
        <v/>
      </c>
      <c r="I715" s="116" t="str">
        <f>IF(AND(F715&lt;&gt;"",N10&gt;0,M715&gt;N10),"Mot &gt; limite","")</f>
        <v/>
      </c>
      <c r="M715" s="70">
        <f>IF(OR(F715="",N10="",N10&lt;=0),"",IF(LEN(F715)&lt;=N10,LEN(F715),IFERROR(FIND("♦",SUBSTITUTE(LEFT(F715,N10)," ","♦",LEN(LEFT(F715,N10))-LEN(SUBSTITUTE(LEFT(F715,N10)," ","")))),FIND(" ",F715&amp;" ",N10+1)-1)))</f>
        <v>1</v>
      </c>
      <c r="N715" s="119">
        <f t="shared" si="71"/>
        <v>698</v>
      </c>
      <c r="O715" s="99" t="str">
        <f t="shared" si="72"/>
        <v>0</v>
      </c>
      <c r="P715" s="119">
        <f t="shared" si="73"/>
        <v>1</v>
      </c>
      <c r="Q715" s="119">
        <f t="shared" si="74"/>
        <v>1</v>
      </c>
      <c r="S715" s="3">
        <v>1</v>
      </c>
    </row>
    <row r="716" spans="2:19">
      <c r="B716" s="116"/>
      <c r="C716" s="116"/>
      <c r="D716" s="116"/>
      <c r="E716" s="116" cm="1">
        <f t="array" ref="E716">IF(H715&lt;&gt;"",E715,IF(E715="","",IFERROR(MATCH(TRUE(),INDEX(INDEX(K:K,E715+1):K203&lt;&gt;"",0),0)+E715,"")))</f>
        <v>857</v>
      </c>
      <c r="F716" s="117" cm="1">
        <f t="array" ref="F716">IF(E716="","",IF(H715&lt;&gt;"",H715,INDEX(D:D,E716)))</f>
        <v>0</v>
      </c>
      <c r="G716" s="117" t="str">
        <f t="shared" si="69"/>
        <v>0</v>
      </c>
      <c r="H716" s="118" t="str">
        <f t="shared" si="70"/>
        <v/>
      </c>
      <c r="I716" s="116" t="str">
        <f>IF(AND(F716&lt;&gt;"",N10&gt;0,M716&gt;N10),"Mot &gt; limite","")</f>
        <v/>
      </c>
      <c r="M716" s="70">
        <f>IF(OR(F716="",N10="",N10&lt;=0),"",IF(LEN(F716)&lt;=N10,LEN(F716),IFERROR(FIND("♦",SUBSTITUTE(LEFT(F716,N10)," ","♦",LEN(LEFT(F716,N10))-LEN(SUBSTITUTE(LEFT(F716,N10)," ","")))),FIND(" ",F716&amp;" ",N10+1)-1)))</f>
        <v>1</v>
      </c>
      <c r="N716" s="119">
        <f t="shared" si="71"/>
        <v>699</v>
      </c>
      <c r="O716" s="99" t="str">
        <f t="shared" si="72"/>
        <v>0</v>
      </c>
      <c r="P716" s="119">
        <f t="shared" si="73"/>
        <v>1</v>
      </c>
      <c r="Q716" s="119">
        <f t="shared" si="74"/>
        <v>1</v>
      </c>
      <c r="S716" s="3">
        <v>1</v>
      </c>
    </row>
    <row r="717" spans="2:19">
      <c r="B717" s="116"/>
      <c r="C717" s="116"/>
      <c r="D717" s="116"/>
      <c r="E717" s="116" cm="1">
        <f t="array" ref="E717">IF(H716&lt;&gt;"",E716,IF(E716="","",IFERROR(MATCH(TRUE(),INDEX(INDEX(K:K,E716+1):K203&lt;&gt;"",0),0)+E716,"")))</f>
        <v>858</v>
      </c>
      <c r="F717" s="117" cm="1">
        <f t="array" ref="F717">IF(E717="","",IF(H716&lt;&gt;"",H716,INDEX(D:D,E717)))</f>
        <v>0</v>
      </c>
      <c r="G717" s="117" t="str">
        <f t="shared" si="69"/>
        <v>0</v>
      </c>
      <c r="H717" s="118" t="str">
        <f t="shared" si="70"/>
        <v/>
      </c>
      <c r="I717" s="116" t="str">
        <f>IF(AND(F717&lt;&gt;"",N10&gt;0,M717&gt;N10),"Mot &gt; limite","")</f>
        <v/>
      </c>
      <c r="M717" s="70">
        <f>IF(OR(F717="",N10="",N10&lt;=0),"",IF(LEN(F717)&lt;=N10,LEN(F717),IFERROR(FIND("♦",SUBSTITUTE(LEFT(F717,N10)," ","♦",LEN(LEFT(F717,N10))-LEN(SUBSTITUTE(LEFT(F717,N10)," ","")))),FIND(" ",F717&amp;" ",N10+1)-1)))</f>
        <v>1</v>
      </c>
      <c r="N717" s="119">
        <f t="shared" si="71"/>
        <v>700</v>
      </c>
      <c r="O717" s="99" t="str">
        <f t="shared" si="72"/>
        <v>0</v>
      </c>
      <c r="P717" s="119">
        <f t="shared" si="73"/>
        <v>1</v>
      </c>
      <c r="Q717" s="119">
        <f t="shared" si="74"/>
        <v>1</v>
      </c>
      <c r="S717" s="3">
        <v>1</v>
      </c>
    </row>
    <row r="718" spans="2:19">
      <c r="B718" s="116"/>
      <c r="C718" s="116"/>
      <c r="D718" s="116"/>
      <c r="E718" s="116" cm="1">
        <f t="array" ref="E718">IF(H717&lt;&gt;"",E717,IF(E717="","",IFERROR(MATCH(TRUE(),INDEX(INDEX(K:K,E717+1):K203&lt;&gt;"",0),0)+E717,"")))</f>
        <v>859</v>
      </c>
      <c r="F718" s="117" cm="1">
        <f t="array" ref="F718">IF(E718="","",IF(H717&lt;&gt;"",H717,INDEX(D:D,E718)))</f>
        <v>0</v>
      </c>
      <c r="G718" s="117" t="str">
        <f t="shared" si="69"/>
        <v>0</v>
      </c>
      <c r="H718" s="118" t="str">
        <f t="shared" si="70"/>
        <v/>
      </c>
      <c r="I718" s="116" t="str">
        <f>IF(AND(F718&lt;&gt;"",N10&gt;0,M718&gt;N10),"Mot &gt; limite","")</f>
        <v/>
      </c>
      <c r="M718" s="70">
        <f>IF(OR(F718="",N10="",N10&lt;=0),"",IF(LEN(F718)&lt;=N10,LEN(F718),IFERROR(FIND("♦",SUBSTITUTE(LEFT(F718,N10)," ","♦",LEN(LEFT(F718,N10))-LEN(SUBSTITUTE(LEFT(F718,N10)," ","")))),FIND(" ",F718&amp;" ",N10+1)-1)))</f>
        <v>1</v>
      </c>
      <c r="N718" s="119">
        <f t="shared" si="71"/>
        <v>701</v>
      </c>
      <c r="O718" s="99" t="str">
        <f t="shared" si="72"/>
        <v>0</v>
      </c>
      <c r="P718" s="119">
        <f t="shared" si="73"/>
        <v>1</v>
      </c>
      <c r="Q718" s="119">
        <f t="shared" si="74"/>
        <v>1</v>
      </c>
      <c r="S718" s="3">
        <v>1</v>
      </c>
    </row>
    <row r="719" spans="2:19">
      <c r="B719" s="116"/>
      <c r="C719" s="116"/>
      <c r="D719" s="116"/>
      <c r="E719" s="116" cm="1">
        <f t="array" ref="E719">IF(H718&lt;&gt;"",E718,IF(E718="","",IFERROR(MATCH(TRUE(),INDEX(INDEX(K:K,E718+1):K203&lt;&gt;"",0),0)+E718,"")))</f>
        <v>860</v>
      </c>
      <c r="F719" s="117" cm="1">
        <f t="array" ref="F719">IF(E719="","",IF(H718&lt;&gt;"",H718,INDEX(D:D,E719)))</f>
        <v>0</v>
      </c>
      <c r="G719" s="117" t="str">
        <f t="shared" si="69"/>
        <v>0</v>
      </c>
      <c r="H719" s="118" t="str">
        <f t="shared" si="70"/>
        <v/>
      </c>
      <c r="I719" s="116" t="str">
        <f>IF(AND(F719&lt;&gt;"",N10&gt;0,M719&gt;N10),"Mot &gt; limite","")</f>
        <v/>
      </c>
      <c r="M719" s="70">
        <f>IF(OR(F719="",N10="",N10&lt;=0),"",IF(LEN(F719)&lt;=N10,LEN(F719),IFERROR(FIND("♦",SUBSTITUTE(LEFT(F719,N10)," ","♦",LEN(LEFT(F719,N10))-LEN(SUBSTITUTE(LEFT(F719,N10)," ","")))),FIND(" ",F719&amp;" ",N10+1)-1)))</f>
        <v>1</v>
      </c>
      <c r="N719" s="119">
        <f t="shared" si="71"/>
        <v>702</v>
      </c>
      <c r="O719" s="99" t="str">
        <f t="shared" si="72"/>
        <v>0</v>
      </c>
      <c r="P719" s="119">
        <f t="shared" si="73"/>
        <v>1</v>
      </c>
      <c r="Q719" s="119">
        <f t="shared" si="74"/>
        <v>1</v>
      </c>
      <c r="S719" s="3">
        <v>1</v>
      </c>
    </row>
    <row r="720" spans="2:19">
      <c r="B720" s="116"/>
      <c r="C720" s="116"/>
      <c r="D720" s="116"/>
      <c r="E720" s="116" cm="1">
        <f t="array" ref="E720">IF(H719&lt;&gt;"",E719,IF(E719="","",IFERROR(MATCH(TRUE(),INDEX(INDEX(K:K,E719+1):K203&lt;&gt;"",0),0)+E719,"")))</f>
        <v>861</v>
      </c>
      <c r="F720" s="117" cm="1">
        <f t="array" ref="F720">IF(E720="","",IF(H719&lt;&gt;"",H719,INDEX(D:D,E720)))</f>
        <v>0</v>
      </c>
      <c r="G720" s="117" t="str">
        <f t="shared" si="69"/>
        <v>0</v>
      </c>
      <c r="H720" s="118" t="str">
        <f t="shared" si="70"/>
        <v/>
      </c>
      <c r="I720" s="116" t="str">
        <f>IF(AND(F720&lt;&gt;"",N10&gt;0,M720&gt;N10),"Mot &gt; limite","")</f>
        <v/>
      </c>
      <c r="M720" s="70">
        <f>IF(OR(F720="",N10="",N10&lt;=0),"",IF(LEN(F720)&lt;=N10,LEN(F720),IFERROR(FIND("♦",SUBSTITUTE(LEFT(F720,N10)," ","♦",LEN(LEFT(F720,N10))-LEN(SUBSTITUTE(LEFT(F720,N10)," ","")))),FIND(" ",F720&amp;" ",N10+1)-1)))</f>
        <v>1</v>
      </c>
      <c r="N720" s="119">
        <f t="shared" si="71"/>
        <v>703</v>
      </c>
      <c r="O720" s="99" t="str">
        <f t="shared" si="72"/>
        <v>0</v>
      </c>
      <c r="P720" s="119">
        <f t="shared" si="73"/>
        <v>1</v>
      </c>
      <c r="Q720" s="119">
        <f t="shared" si="74"/>
        <v>1</v>
      </c>
      <c r="S720" s="3">
        <v>1</v>
      </c>
    </row>
    <row r="721" spans="2:19">
      <c r="B721" s="116"/>
      <c r="C721" s="116"/>
      <c r="D721" s="116"/>
      <c r="E721" s="116" cm="1">
        <f t="array" ref="E721">IF(H720&lt;&gt;"",E720,IF(E720="","",IFERROR(MATCH(TRUE(),INDEX(INDEX(K:K,E720+1):K203&lt;&gt;"",0),0)+E720,"")))</f>
        <v>862</v>
      </c>
      <c r="F721" s="117" cm="1">
        <f t="array" ref="F721">IF(E721="","",IF(H720&lt;&gt;"",H720,INDEX(D:D,E721)))</f>
        <v>0</v>
      </c>
      <c r="G721" s="117" t="str">
        <f t="shared" si="69"/>
        <v>0</v>
      </c>
      <c r="H721" s="118" t="str">
        <f t="shared" si="70"/>
        <v/>
      </c>
      <c r="I721" s="116" t="str">
        <f>IF(AND(F721&lt;&gt;"",N10&gt;0,M721&gt;N10),"Mot &gt; limite","")</f>
        <v/>
      </c>
      <c r="M721" s="70">
        <f>IF(OR(F721="",N10="",N10&lt;=0),"",IF(LEN(F721)&lt;=N10,LEN(F721),IFERROR(FIND("♦",SUBSTITUTE(LEFT(F721,N10)," ","♦",LEN(LEFT(F721,N10))-LEN(SUBSTITUTE(LEFT(F721,N10)," ","")))),FIND(" ",F721&amp;" ",N10+1)-1)))</f>
        <v>1</v>
      </c>
      <c r="N721" s="119">
        <f t="shared" si="71"/>
        <v>704</v>
      </c>
      <c r="O721" s="99" t="str">
        <f t="shared" si="72"/>
        <v>0</v>
      </c>
      <c r="P721" s="119">
        <f t="shared" si="73"/>
        <v>1</v>
      </c>
      <c r="Q721" s="119">
        <f t="shared" si="74"/>
        <v>1</v>
      </c>
      <c r="S721" s="3">
        <v>1</v>
      </c>
    </row>
    <row r="722" spans="2:19">
      <c r="B722" s="116"/>
      <c r="C722" s="116"/>
      <c r="D722" s="116"/>
      <c r="E722" s="116" cm="1">
        <f t="array" ref="E722">IF(H721&lt;&gt;"",E721,IF(E721="","",IFERROR(MATCH(TRUE(),INDEX(INDEX(K:K,E721+1):K203&lt;&gt;"",0),0)+E721,"")))</f>
        <v>863</v>
      </c>
      <c r="F722" s="117" cm="1">
        <f t="array" ref="F722">IF(E722="","",IF(H721&lt;&gt;"",H721,INDEX(D:D,E722)))</f>
        <v>0</v>
      </c>
      <c r="G722" s="117" t="str">
        <f t="shared" ref="G722:G785" si="75">IF(OR(F722="",M722=""),"",LEFT(F722,M722))</f>
        <v>0</v>
      </c>
      <c r="H722" s="118" t="str">
        <f t="shared" ref="H722:H785" si="76">IF(OR(F722="",M722=""),"",TRIM(MID(F722,M722+1,99999)))</f>
        <v/>
      </c>
      <c r="I722" s="116" t="str">
        <f>IF(AND(F722&lt;&gt;"",N10&gt;0,M722&gt;N10),"Mot &gt; limite","")</f>
        <v/>
      </c>
      <c r="M722" s="70">
        <f>IF(OR(F722="",N10="",N10&lt;=0),"",IF(LEN(F722)&lt;=N10,LEN(F722),IFERROR(FIND("♦",SUBSTITUTE(LEFT(F722,N10)," ","♦",LEN(LEFT(F722,N10))-LEN(SUBSTITUTE(LEFT(F722,N10)," ","")))),FIND(" ",F722&amp;" ",N10+1)-1)))</f>
        <v>1</v>
      </c>
      <c r="N722" s="119">
        <f t="shared" ref="N722:N785" si="77">IF(O722="","",ROW()-17)</f>
        <v>705</v>
      </c>
      <c r="O722" s="99" t="str">
        <f t="shared" ref="O722:O785" si="78">G722</f>
        <v>0</v>
      </c>
      <c r="P722" s="119">
        <f t="shared" ref="P722:P785" si="79">IF(O722="","",LEN(TRIM(O722))-LEN(SUBSTITUTE(TRIM(O722)," ",""))+1)</f>
        <v>1</v>
      </c>
      <c r="Q722" s="119">
        <f t="shared" ref="Q722:Q785" si="80">IF(O722="","",LEN(O722))</f>
        <v>1</v>
      </c>
      <c r="S722" s="3">
        <v>1</v>
      </c>
    </row>
    <row r="723" spans="2:19">
      <c r="B723" s="116"/>
      <c r="C723" s="116"/>
      <c r="D723" s="116"/>
      <c r="E723" s="116" cm="1">
        <f t="array" ref="E723">IF(H722&lt;&gt;"",E722,IF(E722="","",IFERROR(MATCH(TRUE(),INDEX(INDEX(K:K,E722+1):K203&lt;&gt;"",0),0)+E722,"")))</f>
        <v>864</v>
      </c>
      <c r="F723" s="117" cm="1">
        <f t="array" ref="F723">IF(E723="","",IF(H722&lt;&gt;"",H722,INDEX(D:D,E723)))</f>
        <v>0</v>
      </c>
      <c r="G723" s="117" t="str">
        <f t="shared" si="75"/>
        <v>0</v>
      </c>
      <c r="H723" s="118" t="str">
        <f t="shared" si="76"/>
        <v/>
      </c>
      <c r="I723" s="116" t="str">
        <f>IF(AND(F723&lt;&gt;"",N10&gt;0,M723&gt;N10),"Mot &gt; limite","")</f>
        <v/>
      </c>
      <c r="M723" s="70">
        <f>IF(OR(F723="",N10="",N10&lt;=0),"",IF(LEN(F723)&lt;=N10,LEN(F723),IFERROR(FIND("♦",SUBSTITUTE(LEFT(F723,N10)," ","♦",LEN(LEFT(F723,N10))-LEN(SUBSTITUTE(LEFT(F723,N10)," ","")))),FIND(" ",F723&amp;" ",N10+1)-1)))</f>
        <v>1</v>
      </c>
      <c r="N723" s="119">
        <f t="shared" si="77"/>
        <v>706</v>
      </c>
      <c r="O723" s="99" t="str">
        <f t="shared" si="78"/>
        <v>0</v>
      </c>
      <c r="P723" s="119">
        <f t="shared" si="79"/>
        <v>1</v>
      </c>
      <c r="Q723" s="119">
        <f t="shared" si="80"/>
        <v>1</v>
      </c>
      <c r="S723" s="3">
        <v>1</v>
      </c>
    </row>
    <row r="724" spans="2:19">
      <c r="B724" s="116"/>
      <c r="C724" s="116"/>
      <c r="D724" s="116"/>
      <c r="E724" s="116" cm="1">
        <f t="array" ref="E724">IF(H723&lt;&gt;"",E723,IF(E723="","",IFERROR(MATCH(TRUE(),INDEX(INDEX(K:K,E723+1):K203&lt;&gt;"",0),0)+E723,"")))</f>
        <v>865</v>
      </c>
      <c r="F724" s="117" cm="1">
        <f t="array" ref="F724">IF(E724="","",IF(H723&lt;&gt;"",H723,INDEX(D:D,E724)))</f>
        <v>0</v>
      </c>
      <c r="G724" s="117" t="str">
        <f t="shared" si="75"/>
        <v>0</v>
      </c>
      <c r="H724" s="118" t="str">
        <f t="shared" si="76"/>
        <v/>
      </c>
      <c r="I724" s="116" t="str">
        <f>IF(AND(F724&lt;&gt;"",N10&gt;0,M724&gt;N10),"Mot &gt; limite","")</f>
        <v/>
      </c>
      <c r="M724" s="70">
        <f>IF(OR(F724="",N10="",N10&lt;=0),"",IF(LEN(F724)&lt;=N10,LEN(F724),IFERROR(FIND("♦",SUBSTITUTE(LEFT(F724,N10)," ","♦",LEN(LEFT(F724,N10))-LEN(SUBSTITUTE(LEFT(F724,N10)," ","")))),FIND(" ",F724&amp;" ",N10+1)-1)))</f>
        <v>1</v>
      </c>
      <c r="N724" s="119">
        <f t="shared" si="77"/>
        <v>707</v>
      </c>
      <c r="O724" s="99" t="str">
        <f t="shared" si="78"/>
        <v>0</v>
      </c>
      <c r="P724" s="119">
        <f t="shared" si="79"/>
        <v>1</v>
      </c>
      <c r="Q724" s="119">
        <f t="shared" si="80"/>
        <v>1</v>
      </c>
      <c r="S724" s="3">
        <v>1</v>
      </c>
    </row>
    <row r="725" spans="2:19">
      <c r="B725" s="116"/>
      <c r="C725" s="116"/>
      <c r="D725" s="116"/>
      <c r="E725" s="116" cm="1">
        <f t="array" ref="E725">IF(H724&lt;&gt;"",E724,IF(E724="","",IFERROR(MATCH(TRUE(),INDEX(INDEX(K:K,E724+1):K203&lt;&gt;"",0),0)+E724,"")))</f>
        <v>866</v>
      </c>
      <c r="F725" s="117" cm="1">
        <f t="array" ref="F725">IF(E725="","",IF(H724&lt;&gt;"",H724,INDEX(D:D,E725)))</f>
        <v>0</v>
      </c>
      <c r="G725" s="117" t="str">
        <f t="shared" si="75"/>
        <v>0</v>
      </c>
      <c r="H725" s="118" t="str">
        <f t="shared" si="76"/>
        <v/>
      </c>
      <c r="I725" s="116" t="str">
        <f>IF(AND(F725&lt;&gt;"",N10&gt;0,M725&gt;N10),"Mot &gt; limite","")</f>
        <v/>
      </c>
      <c r="M725" s="70">
        <f>IF(OR(F725="",N10="",N10&lt;=0),"",IF(LEN(F725)&lt;=N10,LEN(F725),IFERROR(FIND("♦",SUBSTITUTE(LEFT(F725,N10)," ","♦",LEN(LEFT(F725,N10))-LEN(SUBSTITUTE(LEFT(F725,N10)," ","")))),FIND(" ",F725&amp;" ",N10+1)-1)))</f>
        <v>1</v>
      </c>
      <c r="N725" s="119">
        <f t="shared" si="77"/>
        <v>708</v>
      </c>
      <c r="O725" s="99" t="str">
        <f t="shared" si="78"/>
        <v>0</v>
      </c>
      <c r="P725" s="119">
        <f t="shared" si="79"/>
        <v>1</v>
      </c>
      <c r="Q725" s="119">
        <f t="shared" si="80"/>
        <v>1</v>
      </c>
      <c r="S725" s="3">
        <v>1</v>
      </c>
    </row>
    <row r="726" spans="2:19">
      <c r="B726" s="116"/>
      <c r="C726" s="116"/>
      <c r="D726" s="116"/>
      <c r="E726" s="116" cm="1">
        <f t="array" ref="E726">IF(H725&lt;&gt;"",E725,IF(E725="","",IFERROR(MATCH(TRUE(),INDEX(INDEX(K:K,E725+1):K203&lt;&gt;"",0),0)+E725,"")))</f>
        <v>867</v>
      </c>
      <c r="F726" s="117" cm="1">
        <f t="array" ref="F726">IF(E726="","",IF(H725&lt;&gt;"",H725,INDEX(D:D,E726)))</f>
        <v>0</v>
      </c>
      <c r="G726" s="117" t="str">
        <f t="shared" si="75"/>
        <v>0</v>
      </c>
      <c r="H726" s="118" t="str">
        <f t="shared" si="76"/>
        <v/>
      </c>
      <c r="I726" s="116" t="str">
        <f>IF(AND(F726&lt;&gt;"",N10&gt;0,M726&gt;N10),"Mot &gt; limite","")</f>
        <v/>
      </c>
      <c r="M726" s="70">
        <f>IF(OR(F726="",N10="",N10&lt;=0),"",IF(LEN(F726)&lt;=N10,LEN(F726),IFERROR(FIND("♦",SUBSTITUTE(LEFT(F726,N10)," ","♦",LEN(LEFT(F726,N10))-LEN(SUBSTITUTE(LEFT(F726,N10)," ","")))),FIND(" ",F726&amp;" ",N10+1)-1)))</f>
        <v>1</v>
      </c>
      <c r="N726" s="119">
        <f t="shared" si="77"/>
        <v>709</v>
      </c>
      <c r="O726" s="99" t="str">
        <f t="shared" si="78"/>
        <v>0</v>
      </c>
      <c r="P726" s="119">
        <f t="shared" si="79"/>
        <v>1</v>
      </c>
      <c r="Q726" s="119">
        <f t="shared" si="80"/>
        <v>1</v>
      </c>
      <c r="S726" s="3">
        <v>1</v>
      </c>
    </row>
    <row r="727" spans="2:19">
      <c r="B727" s="116"/>
      <c r="C727" s="116"/>
      <c r="D727" s="116"/>
      <c r="E727" s="116" cm="1">
        <f t="array" ref="E727">IF(H726&lt;&gt;"",E726,IF(E726="","",IFERROR(MATCH(TRUE(),INDEX(INDEX(K:K,E726+1):K203&lt;&gt;"",0),0)+E726,"")))</f>
        <v>868</v>
      </c>
      <c r="F727" s="117" cm="1">
        <f t="array" ref="F727">IF(E727="","",IF(H726&lt;&gt;"",H726,INDEX(D:D,E727)))</f>
        <v>0</v>
      </c>
      <c r="G727" s="117" t="str">
        <f t="shared" si="75"/>
        <v>0</v>
      </c>
      <c r="H727" s="118" t="str">
        <f t="shared" si="76"/>
        <v/>
      </c>
      <c r="I727" s="116" t="str">
        <f>IF(AND(F727&lt;&gt;"",N10&gt;0,M727&gt;N10),"Mot &gt; limite","")</f>
        <v/>
      </c>
      <c r="M727" s="70">
        <f>IF(OR(F727="",N10="",N10&lt;=0),"",IF(LEN(F727)&lt;=N10,LEN(F727),IFERROR(FIND("♦",SUBSTITUTE(LEFT(F727,N10)," ","♦",LEN(LEFT(F727,N10))-LEN(SUBSTITUTE(LEFT(F727,N10)," ","")))),FIND(" ",F727&amp;" ",N10+1)-1)))</f>
        <v>1</v>
      </c>
      <c r="N727" s="119">
        <f t="shared" si="77"/>
        <v>710</v>
      </c>
      <c r="O727" s="99" t="str">
        <f t="shared" si="78"/>
        <v>0</v>
      </c>
      <c r="P727" s="119">
        <f t="shared" si="79"/>
        <v>1</v>
      </c>
      <c r="Q727" s="119">
        <f t="shared" si="80"/>
        <v>1</v>
      </c>
      <c r="S727" s="3">
        <v>1</v>
      </c>
    </row>
    <row r="728" spans="2:19">
      <c r="B728" s="116"/>
      <c r="C728" s="116"/>
      <c r="D728" s="116"/>
      <c r="E728" s="116" cm="1">
        <f t="array" ref="E728">IF(H727&lt;&gt;"",E727,IF(E727="","",IFERROR(MATCH(TRUE(),INDEX(INDEX(K:K,E727+1):K203&lt;&gt;"",0),0)+E727,"")))</f>
        <v>869</v>
      </c>
      <c r="F728" s="117" cm="1">
        <f t="array" ref="F728">IF(E728="","",IF(H727&lt;&gt;"",H727,INDEX(D:D,E728)))</f>
        <v>0</v>
      </c>
      <c r="G728" s="117" t="str">
        <f t="shared" si="75"/>
        <v>0</v>
      </c>
      <c r="H728" s="118" t="str">
        <f t="shared" si="76"/>
        <v/>
      </c>
      <c r="I728" s="116" t="str">
        <f>IF(AND(F728&lt;&gt;"",N10&gt;0,M728&gt;N10),"Mot &gt; limite","")</f>
        <v/>
      </c>
      <c r="M728" s="70">
        <f>IF(OR(F728="",N10="",N10&lt;=0),"",IF(LEN(F728)&lt;=N10,LEN(F728),IFERROR(FIND("♦",SUBSTITUTE(LEFT(F728,N10)," ","♦",LEN(LEFT(F728,N10))-LEN(SUBSTITUTE(LEFT(F728,N10)," ","")))),FIND(" ",F728&amp;" ",N10+1)-1)))</f>
        <v>1</v>
      </c>
      <c r="N728" s="119">
        <f t="shared" si="77"/>
        <v>711</v>
      </c>
      <c r="O728" s="99" t="str">
        <f t="shared" si="78"/>
        <v>0</v>
      </c>
      <c r="P728" s="119">
        <f t="shared" si="79"/>
        <v>1</v>
      </c>
      <c r="Q728" s="119">
        <f t="shared" si="80"/>
        <v>1</v>
      </c>
      <c r="S728" s="3">
        <v>1</v>
      </c>
    </row>
    <row r="729" spans="2:19">
      <c r="B729" s="116"/>
      <c r="C729" s="116"/>
      <c r="D729" s="116"/>
      <c r="E729" s="116" cm="1">
        <f t="array" ref="E729">IF(H728&lt;&gt;"",E728,IF(E728="","",IFERROR(MATCH(TRUE(),INDEX(INDEX(K:K,E728+1):K203&lt;&gt;"",0),0)+E728,"")))</f>
        <v>870</v>
      </c>
      <c r="F729" s="117" cm="1">
        <f t="array" ref="F729">IF(E729="","",IF(H728&lt;&gt;"",H728,INDEX(D:D,E729)))</f>
        <v>0</v>
      </c>
      <c r="G729" s="117" t="str">
        <f t="shared" si="75"/>
        <v>0</v>
      </c>
      <c r="H729" s="118" t="str">
        <f t="shared" si="76"/>
        <v/>
      </c>
      <c r="I729" s="116" t="str">
        <f>IF(AND(F729&lt;&gt;"",N10&gt;0,M729&gt;N10),"Mot &gt; limite","")</f>
        <v/>
      </c>
      <c r="M729" s="70">
        <f>IF(OR(F729="",N10="",N10&lt;=0),"",IF(LEN(F729)&lt;=N10,LEN(F729),IFERROR(FIND("♦",SUBSTITUTE(LEFT(F729,N10)," ","♦",LEN(LEFT(F729,N10))-LEN(SUBSTITUTE(LEFT(F729,N10)," ","")))),FIND(" ",F729&amp;" ",N10+1)-1)))</f>
        <v>1</v>
      </c>
      <c r="N729" s="119">
        <f t="shared" si="77"/>
        <v>712</v>
      </c>
      <c r="O729" s="99" t="str">
        <f t="shared" si="78"/>
        <v>0</v>
      </c>
      <c r="P729" s="119">
        <f t="shared" si="79"/>
        <v>1</v>
      </c>
      <c r="Q729" s="119">
        <f t="shared" si="80"/>
        <v>1</v>
      </c>
      <c r="S729" s="3">
        <v>1</v>
      </c>
    </row>
    <row r="730" spans="2:19">
      <c r="B730" s="116"/>
      <c r="C730" s="116"/>
      <c r="D730" s="116"/>
      <c r="E730" s="116" cm="1">
        <f t="array" ref="E730">IF(H729&lt;&gt;"",E729,IF(E729="","",IFERROR(MATCH(TRUE(),INDEX(INDEX(K:K,E729+1):K203&lt;&gt;"",0),0)+E729,"")))</f>
        <v>871</v>
      </c>
      <c r="F730" s="117" cm="1">
        <f t="array" ref="F730">IF(E730="","",IF(H729&lt;&gt;"",H729,INDEX(D:D,E730)))</f>
        <v>0</v>
      </c>
      <c r="G730" s="117" t="str">
        <f t="shared" si="75"/>
        <v>0</v>
      </c>
      <c r="H730" s="118" t="str">
        <f t="shared" si="76"/>
        <v/>
      </c>
      <c r="I730" s="116" t="str">
        <f>IF(AND(F730&lt;&gt;"",N10&gt;0,M730&gt;N10),"Mot &gt; limite","")</f>
        <v/>
      </c>
      <c r="M730" s="70">
        <f>IF(OR(F730="",N10="",N10&lt;=0),"",IF(LEN(F730)&lt;=N10,LEN(F730),IFERROR(FIND("♦",SUBSTITUTE(LEFT(F730,N10)," ","♦",LEN(LEFT(F730,N10))-LEN(SUBSTITUTE(LEFT(F730,N10)," ","")))),FIND(" ",F730&amp;" ",N10+1)-1)))</f>
        <v>1</v>
      </c>
      <c r="N730" s="119">
        <f t="shared" si="77"/>
        <v>713</v>
      </c>
      <c r="O730" s="99" t="str">
        <f t="shared" si="78"/>
        <v>0</v>
      </c>
      <c r="P730" s="119">
        <f t="shared" si="79"/>
        <v>1</v>
      </c>
      <c r="Q730" s="119">
        <f t="shared" si="80"/>
        <v>1</v>
      </c>
      <c r="S730" s="3">
        <v>1</v>
      </c>
    </row>
    <row r="731" spans="2:19">
      <c r="B731" s="116"/>
      <c r="C731" s="116"/>
      <c r="D731" s="116"/>
      <c r="E731" s="116" cm="1">
        <f t="array" ref="E731">IF(H730&lt;&gt;"",E730,IF(E730="","",IFERROR(MATCH(TRUE(),INDEX(INDEX(K:K,E730+1):K203&lt;&gt;"",0),0)+E730,"")))</f>
        <v>872</v>
      </c>
      <c r="F731" s="117" cm="1">
        <f t="array" ref="F731">IF(E731="","",IF(H730&lt;&gt;"",H730,INDEX(D:D,E731)))</f>
        <v>0</v>
      </c>
      <c r="G731" s="117" t="str">
        <f t="shared" si="75"/>
        <v>0</v>
      </c>
      <c r="H731" s="118" t="str">
        <f t="shared" si="76"/>
        <v/>
      </c>
      <c r="I731" s="116" t="str">
        <f>IF(AND(F731&lt;&gt;"",N10&gt;0,M731&gt;N10),"Mot &gt; limite","")</f>
        <v/>
      </c>
      <c r="M731" s="70">
        <f>IF(OR(F731="",N10="",N10&lt;=0),"",IF(LEN(F731)&lt;=N10,LEN(F731),IFERROR(FIND("♦",SUBSTITUTE(LEFT(F731,N10)," ","♦",LEN(LEFT(F731,N10))-LEN(SUBSTITUTE(LEFT(F731,N10)," ","")))),FIND(" ",F731&amp;" ",N10+1)-1)))</f>
        <v>1</v>
      </c>
      <c r="N731" s="119">
        <f t="shared" si="77"/>
        <v>714</v>
      </c>
      <c r="O731" s="99" t="str">
        <f t="shared" si="78"/>
        <v>0</v>
      </c>
      <c r="P731" s="119">
        <f t="shared" si="79"/>
        <v>1</v>
      </c>
      <c r="Q731" s="119">
        <f t="shared" si="80"/>
        <v>1</v>
      </c>
      <c r="S731" s="3">
        <v>1</v>
      </c>
    </row>
    <row r="732" spans="2:19">
      <c r="B732" s="116"/>
      <c r="C732" s="116"/>
      <c r="D732" s="116"/>
      <c r="E732" s="116" cm="1">
        <f t="array" ref="E732">IF(H731&lt;&gt;"",E731,IF(E731="","",IFERROR(MATCH(TRUE(),INDEX(INDEX(K:K,E731+1):K203&lt;&gt;"",0),0)+E731,"")))</f>
        <v>873</v>
      </c>
      <c r="F732" s="117" cm="1">
        <f t="array" ref="F732">IF(E732="","",IF(H731&lt;&gt;"",H731,INDEX(D:D,E732)))</f>
        <v>0</v>
      </c>
      <c r="G732" s="117" t="str">
        <f t="shared" si="75"/>
        <v>0</v>
      </c>
      <c r="H732" s="118" t="str">
        <f t="shared" si="76"/>
        <v/>
      </c>
      <c r="I732" s="116" t="str">
        <f>IF(AND(F732&lt;&gt;"",N10&gt;0,M732&gt;N10),"Mot &gt; limite","")</f>
        <v/>
      </c>
      <c r="M732" s="70">
        <f>IF(OR(F732="",N10="",N10&lt;=0),"",IF(LEN(F732)&lt;=N10,LEN(F732),IFERROR(FIND("♦",SUBSTITUTE(LEFT(F732,N10)," ","♦",LEN(LEFT(F732,N10))-LEN(SUBSTITUTE(LEFT(F732,N10)," ","")))),FIND(" ",F732&amp;" ",N10+1)-1)))</f>
        <v>1</v>
      </c>
      <c r="N732" s="119">
        <f t="shared" si="77"/>
        <v>715</v>
      </c>
      <c r="O732" s="99" t="str">
        <f t="shared" si="78"/>
        <v>0</v>
      </c>
      <c r="P732" s="119">
        <f t="shared" si="79"/>
        <v>1</v>
      </c>
      <c r="Q732" s="119">
        <f t="shared" si="80"/>
        <v>1</v>
      </c>
      <c r="S732" s="3">
        <v>1</v>
      </c>
    </row>
    <row r="733" spans="2:19">
      <c r="B733" s="116"/>
      <c r="C733" s="116"/>
      <c r="D733" s="116"/>
      <c r="E733" s="116" cm="1">
        <f t="array" ref="E733">IF(H732&lt;&gt;"",E732,IF(E732="","",IFERROR(MATCH(TRUE(),INDEX(INDEX(K:K,E732+1):K203&lt;&gt;"",0),0)+E732,"")))</f>
        <v>874</v>
      </c>
      <c r="F733" s="117" cm="1">
        <f t="array" ref="F733">IF(E733="","",IF(H732&lt;&gt;"",H732,INDEX(D:D,E733)))</f>
        <v>0</v>
      </c>
      <c r="G733" s="117" t="str">
        <f t="shared" si="75"/>
        <v>0</v>
      </c>
      <c r="H733" s="118" t="str">
        <f t="shared" si="76"/>
        <v/>
      </c>
      <c r="I733" s="116" t="str">
        <f>IF(AND(F733&lt;&gt;"",N10&gt;0,M733&gt;N10),"Mot &gt; limite","")</f>
        <v/>
      </c>
      <c r="M733" s="70">
        <f>IF(OR(F733="",N10="",N10&lt;=0),"",IF(LEN(F733)&lt;=N10,LEN(F733),IFERROR(FIND("♦",SUBSTITUTE(LEFT(F733,N10)," ","♦",LEN(LEFT(F733,N10))-LEN(SUBSTITUTE(LEFT(F733,N10)," ","")))),FIND(" ",F733&amp;" ",N10+1)-1)))</f>
        <v>1</v>
      </c>
      <c r="N733" s="119">
        <f t="shared" si="77"/>
        <v>716</v>
      </c>
      <c r="O733" s="99" t="str">
        <f t="shared" si="78"/>
        <v>0</v>
      </c>
      <c r="P733" s="119">
        <f t="shared" si="79"/>
        <v>1</v>
      </c>
      <c r="Q733" s="119">
        <f t="shared" si="80"/>
        <v>1</v>
      </c>
      <c r="S733" s="3">
        <v>1</v>
      </c>
    </row>
    <row r="734" spans="2:19">
      <c r="B734" s="116"/>
      <c r="C734" s="116"/>
      <c r="D734" s="116"/>
      <c r="E734" s="116" cm="1">
        <f t="array" ref="E734">IF(H733&lt;&gt;"",E733,IF(E733="","",IFERROR(MATCH(TRUE(),INDEX(INDEX(K:K,E733+1):K203&lt;&gt;"",0),0)+E733,"")))</f>
        <v>875</v>
      </c>
      <c r="F734" s="117" cm="1">
        <f t="array" ref="F734">IF(E734="","",IF(H733&lt;&gt;"",H733,INDEX(D:D,E734)))</f>
        <v>0</v>
      </c>
      <c r="G734" s="117" t="str">
        <f t="shared" si="75"/>
        <v>0</v>
      </c>
      <c r="H734" s="118" t="str">
        <f t="shared" si="76"/>
        <v/>
      </c>
      <c r="I734" s="116" t="str">
        <f>IF(AND(F734&lt;&gt;"",N10&gt;0,M734&gt;N10),"Mot &gt; limite","")</f>
        <v/>
      </c>
      <c r="M734" s="70">
        <f>IF(OR(F734="",N10="",N10&lt;=0),"",IF(LEN(F734)&lt;=N10,LEN(F734),IFERROR(FIND("♦",SUBSTITUTE(LEFT(F734,N10)," ","♦",LEN(LEFT(F734,N10))-LEN(SUBSTITUTE(LEFT(F734,N10)," ","")))),FIND(" ",F734&amp;" ",N10+1)-1)))</f>
        <v>1</v>
      </c>
      <c r="N734" s="119">
        <f t="shared" si="77"/>
        <v>717</v>
      </c>
      <c r="O734" s="99" t="str">
        <f t="shared" si="78"/>
        <v>0</v>
      </c>
      <c r="P734" s="119">
        <f t="shared" si="79"/>
        <v>1</v>
      </c>
      <c r="Q734" s="119">
        <f t="shared" si="80"/>
        <v>1</v>
      </c>
      <c r="S734" s="3">
        <v>1</v>
      </c>
    </row>
    <row r="735" spans="2:19">
      <c r="B735" s="116"/>
      <c r="C735" s="116"/>
      <c r="D735" s="116"/>
      <c r="E735" s="116" cm="1">
        <f t="array" ref="E735">IF(H734&lt;&gt;"",E734,IF(E734="","",IFERROR(MATCH(TRUE(),INDEX(INDEX(K:K,E734+1):K203&lt;&gt;"",0),0)+E734,"")))</f>
        <v>876</v>
      </c>
      <c r="F735" s="117" cm="1">
        <f t="array" ref="F735">IF(E735="","",IF(H734&lt;&gt;"",H734,INDEX(D:D,E735)))</f>
        <v>0</v>
      </c>
      <c r="G735" s="117" t="str">
        <f t="shared" si="75"/>
        <v>0</v>
      </c>
      <c r="H735" s="118" t="str">
        <f t="shared" si="76"/>
        <v/>
      </c>
      <c r="I735" s="116" t="str">
        <f>IF(AND(F735&lt;&gt;"",N10&gt;0,M735&gt;N10),"Mot &gt; limite","")</f>
        <v/>
      </c>
      <c r="M735" s="70">
        <f>IF(OR(F735="",N10="",N10&lt;=0),"",IF(LEN(F735)&lt;=N10,LEN(F735),IFERROR(FIND("♦",SUBSTITUTE(LEFT(F735,N10)," ","♦",LEN(LEFT(F735,N10))-LEN(SUBSTITUTE(LEFT(F735,N10)," ","")))),FIND(" ",F735&amp;" ",N10+1)-1)))</f>
        <v>1</v>
      </c>
      <c r="N735" s="119">
        <f t="shared" si="77"/>
        <v>718</v>
      </c>
      <c r="O735" s="99" t="str">
        <f t="shared" si="78"/>
        <v>0</v>
      </c>
      <c r="P735" s="119">
        <f t="shared" si="79"/>
        <v>1</v>
      </c>
      <c r="Q735" s="119">
        <f t="shared" si="80"/>
        <v>1</v>
      </c>
      <c r="S735" s="3">
        <v>1</v>
      </c>
    </row>
    <row r="736" spans="2:19">
      <c r="B736" s="116"/>
      <c r="C736" s="116"/>
      <c r="D736" s="116"/>
      <c r="E736" s="116" cm="1">
        <f t="array" ref="E736">IF(H735&lt;&gt;"",E735,IF(E735="","",IFERROR(MATCH(TRUE(),INDEX(INDEX(K:K,E735+1):K203&lt;&gt;"",0),0)+E735,"")))</f>
        <v>877</v>
      </c>
      <c r="F736" s="117" cm="1">
        <f t="array" ref="F736">IF(E736="","",IF(H735&lt;&gt;"",H735,INDEX(D:D,E736)))</f>
        <v>0</v>
      </c>
      <c r="G736" s="117" t="str">
        <f t="shared" si="75"/>
        <v>0</v>
      </c>
      <c r="H736" s="118" t="str">
        <f t="shared" si="76"/>
        <v/>
      </c>
      <c r="I736" s="116" t="str">
        <f>IF(AND(F736&lt;&gt;"",N10&gt;0,M736&gt;N10),"Mot &gt; limite","")</f>
        <v/>
      </c>
      <c r="M736" s="70">
        <f>IF(OR(F736="",N10="",N10&lt;=0),"",IF(LEN(F736)&lt;=N10,LEN(F736),IFERROR(FIND("♦",SUBSTITUTE(LEFT(F736,N10)," ","♦",LEN(LEFT(F736,N10))-LEN(SUBSTITUTE(LEFT(F736,N10)," ","")))),FIND(" ",F736&amp;" ",N10+1)-1)))</f>
        <v>1</v>
      </c>
      <c r="N736" s="119">
        <f t="shared" si="77"/>
        <v>719</v>
      </c>
      <c r="O736" s="99" t="str">
        <f t="shared" si="78"/>
        <v>0</v>
      </c>
      <c r="P736" s="119">
        <f t="shared" si="79"/>
        <v>1</v>
      </c>
      <c r="Q736" s="119">
        <f t="shared" si="80"/>
        <v>1</v>
      </c>
      <c r="S736" s="3">
        <v>1</v>
      </c>
    </row>
    <row r="737" spans="2:19">
      <c r="B737" s="116"/>
      <c r="C737" s="116"/>
      <c r="D737" s="116"/>
      <c r="E737" s="116" cm="1">
        <f t="array" ref="E737">IF(H736&lt;&gt;"",E736,IF(E736="","",IFERROR(MATCH(TRUE(),INDEX(INDEX(K:K,E736+1):K203&lt;&gt;"",0),0)+E736,"")))</f>
        <v>878</v>
      </c>
      <c r="F737" s="117" cm="1">
        <f t="array" ref="F737">IF(E737="","",IF(H736&lt;&gt;"",H736,INDEX(D:D,E737)))</f>
        <v>0</v>
      </c>
      <c r="G737" s="117" t="str">
        <f t="shared" si="75"/>
        <v>0</v>
      </c>
      <c r="H737" s="118" t="str">
        <f t="shared" si="76"/>
        <v/>
      </c>
      <c r="I737" s="116" t="str">
        <f>IF(AND(F737&lt;&gt;"",N10&gt;0,M737&gt;N10),"Mot &gt; limite","")</f>
        <v/>
      </c>
      <c r="M737" s="70">
        <f>IF(OR(F737="",N10="",N10&lt;=0),"",IF(LEN(F737)&lt;=N10,LEN(F737),IFERROR(FIND("♦",SUBSTITUTE(LEFT(F737,N10)," ","♦",LEN(LEFT(F737,N10))-LEN(SUBSTITUTE(LEFT(F737,N10)," ","")))),FIND(" ",F737&amp;" ",N10+1)-1)))</f>
        <v>1</v>
      </c>
      <c r="N737" s="119">
        <f t="shared" si="77"/>
        <v>720</v>
      </c>
      <c r="O737" s="99" t="str">
        <f t="shared" si="78"/>
        <v>0</v>
      </c>
      <c r="P737" s="119">
        <f t="shared" si="79"/>
        <v>1</v>
      </c>
      <c r="Q737" s="119">
        <f t="shared" si="80"/>
        <v>1</v>
      </c>
      <c r="S737" s="3">
        <v>1</v>
      </c>
    </row>
    <row r="738" spans="2:19">
      <c r="B738" s="116"/>
      <c r="C738" s="116"/>
      <c r="D738" s="116"/>
      <c r="E738" s="116" cm="1">
        <f t="array" ref="E738">IF(H737&lt;&gt;"",E737,IF(E737="","",IFERROR(MATCH(TRUE(),INDEX(INDEX(K:K,E737+1):K203&lt;&gt;"",0),0)+E737,"")))</f>
        <v>879</v>
      </c>
      <c r="F738" s="117" cm="1">
        <f t="array" ref="F738">IF(E738="","",IF(H737&lt;&gt;"",H737,INDEX(D:D,E738)))</f>
        <v>0</v>
      </c>
      <c r="G738" s="117" t="str">
        <f t="shared" si="75"/>
        <v>0</v>
      </c>
      <c r="H738" s="118" t="str">
        <f t="shared" si="76"/>
        <v/>
      </c>
      <c r="I738" s="116" t="str">
        <f>IF(AND(F738&lt;&gt;"",N10&gt;0,M738&gt;N10),"Mot &gt; limite","")</f>
        <v/>
      </c>
      <c r="M738" s="70">
        <f>IF(OR(F738="",N10="",N10&lt;=0),"",IF(LEN(F738)&lt;=N10,LEN(F738),IFERROR(FIND("♦",SUBSTITUTE(LEFT(F738,N10)," ","♦",LEN(LEFT(F738,N10))-LEN(SUBSTITUTE(LEFT(F738,N10)," ","")))),FIND(" ",F738&amp;" ",N10+1)-1)))</f>
        <v>1</v>
      </c>
      <c r="N738" s="119">
        <f t="shared" si="77"/>
        <v>721</v>
      </c>
      <c r="O738" s="99" t="str">
        <f t="shared" si="78"/>
        <v>0</v>
      </c>
      <c r="P738" s="119">
        <f t="shared" si="79"/>
        <v>1</v>
      </c>
      <c r="Q738" s="119">
        <f t="shared" si="80"/>
        <v>1</v>
      </c>
      <c r="S738" s="3">
        <v>1</v>
      </c>
    </row>
    <row r="739" spans="2:19">
      <c r="B739" s="116"/>
      <c r="C739" s="116"/>
      <c r="D739" s="116"/>
      <c r="E739" s="116" cm="1">
        <f t="array" ref="E739">IF(H738&lt;&gt;"",E738,IF(E738="","",IFERROR(MATCH(TRUE(),INDEX(INDEX(K:K,E738+1):K203&lt;&gt;"",0),0)+E738,"")))</f>
        <v>880</v>
      </c>
      <c r="F739" s="117" cm="1">
        <f t="array" ref="F739">IF(E739="","",IF(H738&lt;&gt;"",H738,INDEX(D:D,E739)))</f>
        <v>0</v>
      </c>
      <c r="G739" s="117" t="str">
        <f t="shared" si="75"/>
        <v>0</v>
      </c>
      <c r="H739" s="118" t="str">
        <f t="shared" si="76"/>
        <v/>
      </c>
      <c r="I739" s="116" t="str">
        <f>IF(AND(F739&lt;&gt;"",N10&gt;0,M739&gt;N10),"Mot &gt; limite","")</f>
        <v/>
      </c>
      <c r="M739" s="70">
        <f>IF(OR(F739="",N10="",N10&lt;=0),"",IF(LEN(F739)&lt;=N10,LEN(F739),IFERROR(FIND("♦",SUBSTITUTE(LEFT(F739,N10)," ","♦",LEN(LEFT(F739,N10))-LEN(SUBSTITUTE(LEFT(F739,N10)," ","")))),FIND(" ",F739&amp;" ",N10+1)-1)))</f>
        <v>1</v>
      </c>
      <c r="N739" s="119">
        <f t="shared" si="77"/>
        <v>722</v>
      </c>
      <c r="O739" s="99" t="str">
        <f t="shared" si="78"/>
        <v>0</v>
      </c>
      <c r="P739" s="119">
        <f t="shared" si="79"/>
        <v>1</v>
      </c>
      <c r="Q739" s="119">
        <f t="shared" si="80"/>
        <v>1</v>
      </c>
      <c r="S739" s="3">
        <v>1</v>
      </c>
    </row>
    <row r="740" spans="2:19">
      <c r="B740" s="116"/>
      <c r="C740" s="116"/>
      <c r="D740" s="116"/>
      <c r="E740" s="116" cm="1">
        <f t="array" ref="E740">IF(H739&lt;&gt;"",E739,IF(E739="","",IFERROR(MATCH(TRUE(),INDEX(INDEX(K:K,E739+1):K203&lt;&gt;"",0),0)+E739,"")))</f>
        <v>881</v>
      </c>
      <c r="F740" s="117" cm="1">
        <f t="array" ref="F740">IF(E740="","",IF(H739&lt;&gt;"",H739,INDEX(D:D,E740)))</f>
        <v>0</v>
      </c>
      <c r="G740" s="117" t="str">
        <f t="shared" si="75"/>
        <v>0</v>
      </c>
      <c r="H740" s="118" t="str">
        <f t="shared" si="76"/>
        <v/>
      </c>
      <c r="I740" s="116" t="str">
        <f>IF(AND(F740&lt;&gt;"",N10&gt;0,M740&gt;N10),"Mot &gt; limite","")</f>
        <v/>
      </c>
      <c r="M740" s="70">
        <f>IF(OR(F740="",N10="",N10&lt;=0),"",IF(LEN(F740)&lt;=N10,LEN(F740),IFERROR(FIND("♦",SUBSTITUTE(LEFT(F740,N10)," ","♦",LEN(LEFT(F740,N10))-LEN(SUBSTITUTE(LEFT(F740,N10)," ","")))),FIND(" ",F740&amp;" ",N10+1)-1)))</f>
        <v>1</v>
      </c>
      <c r="N740" s="119">
        <f t="shared" si="77"/>
        <v>723</v>
      </c>
      <c r="O740" s="99" t="str">
        <f t="shared" si="78"/>
        <v>0</v>
      </c>
      <c r="P740" s="119">
        <f t="shared" si="79"/>
        <v>1</v>
      </c>
      <c r="Q740" s="119">
        <f t="shared" si="80"/>
        <v>1</v>
      </c>
      <c r="S740" s="3">
        <v>1</v>
      </c>
    </row>
    <row r="741" spans="2:19">
      <c r="B741" s="116"/>
      <c r="C741" s="116"/>
      <c r="D741" s="116"/>
      <c r="E741" s="116" cm="1">
        <f t="array" ref="E741">IF(H740&lt;&gt;"",E740,IF(E740="","",IFERROR(MATCH(TRUE(),INDEX(INDEX(K:K,E740+1):K203&lt;&gt;"",0),0)+E740,"")))</f>
        <v>882</v>
      </c>
      <c r="F741" s="117" cm="1">
        <f t="array" ref="F741">IF(E741="","",IF(H740&lt;&gt;"",H740,INDEX(D:D,E741)))</f>
        <v>0</v>
      </c>
      <c r="G741" s="117" t="str">
        <f t="shared" si="75"/>
        <v>0</v>
      </c>
      <c r="H741" s="118" t="str">
        <f t="shared" si="76"/>
        <v/>
      </c>
      <c r="I741" s="116" t="str">
        <f>IF(AND(F741&lt;&gt;"",N10&gt;0,M741&gt;N10),"Mot &gt; limite","")</f>
        <v/>
      </c>
      <c r="M741" s="70">
        <f>IF(OR(F741="",N10="",N10&lt;=0),"",IF(LEN(F741)&lt;=N10,LEN(F741),IFERROR(FIND("♦",SUBSTITUTE(LEFT(F741,N10)," ","♦",LEN(LEFT(F741,N10))-LEN(SUBSTITUTE(LEFT(F741,N10)," ","")))),FIND(" ",F741&amp;" ",N10+1)-1)))</f>
        <v>1</v>
      </c>
      <c r="N741" s="119">
        <f t="shared" si="77"/>
        <v>724</v>
      </c>
      <c r="O741" s="99" t="str">
        <f t="shared" si="78"/>
        <v>0</v>
      </c>
      <c r="P741" s="119">
        <f t="shared" si="79"/>
        <v>1</v>
      </c>
      <c r="Q741" s="119">
        <f t="shared" si="80"/>
        <v>1</v>
      </c>
      <c r="S741" s="3">
        <v>1</v>
      </c>
    </row>
    <row r="742" spans="2:19">
      <c r="B742" s="116"/>
      <c r="C742" s="116"/>
      <c r="D742" s="116"/>
      <c r="E742" s="116" cm="1">
        <f t="array" ref="E742">IF(H741&lt;&gt;"",E741,IF(E741="","",IFERROR(MATCH(TRUE(),INDEX(INDEX(K:K,E741+1):K203&lt;&gt;"",0),0)+E741,"")))</f>
        <v>883</v>
      </c>
      <c r="F742" s="117" cm="1">
        <f t="array" ref="F742">IF(E742="","",IF(H741&lt;&gt;"",H741,INDEX(D:D,E742)))</f>
        <v>0</v>
      </c>
      <c r="G742" s="117" t="str">
        <f t="shared" si="75"/>
        <v>0</v>
      </c>
      <c r="H742" s="118" t="str">
        <f t="shared" si="76"/>
        <v/>
      </c>
      <c r="I742" s="116" t="str">
        <f>IF(AND(F742&lt;&gt;"",N10&gt;0,M742&gt;N10),"Mot &gt; limite","")</f>
        <v/>
      </c>
      <c r="M742" s="70">
        <f>IF(OR(F742="",N10="",N10&lt;=0),"",IF(LEN(F742)&lt;=N10,LEN(F742),IFERROR(FIND("♦",SUBSTITUTE(LEFT(F742,N10)," ","♦",LEN(LEFT(F742,N10))-LEN(SUBSTITUTE(LEFT(F742,N10)," ","")))),FIND(" ",F742&amp;" ",N10+1)-1)))</f>
        <v>1</v>
      </c>
      <c r="N742" s="119">
        <f t="shared" si="77"/>
        <v>725</v>
      </c>
      <c r="O742" s="99" t="str">
        <f t="shared" si="78"/>
        <v>0</v>
      </c>
      <c r="P742" s="119">
        <f t="shared" si="79"/>
        <v>1</v>
      </c>
      <c r="Q742" s="119">
        <f t="shared" si="80"/>
        <v>1</v>
      </c>
      <c r="S742" s="3">
        <v>1</v>
      </c>
    </row>
    <row r="743" spans="2:19">
      <c r="B743" s="116"/>
      <c r="C743" s="116"/>
      <c r="D743" s="116"/>
      <c r="E743" s="116" cm="1">
        <f t="array" ref="E743">IF(H742&lt;&gt;"",E742,IF(E742="","",IFERROR(MATCH(TRUE(),INDEX(INDEX(K:K,E742+1):K203&lt;&gt;"",0),0)+E742,"")))</f>
        <v>884</v>
      </c>
      <c r="F743" s="117" cm="1">
        <f t="array" ref="F743">IF(E743="","",IF(H742&lt;&gt;"",H742,INDEX(D:D,E743)))</f>
        <v>0</v>
      </c>
      <c r="G743" s="117" t="str">
        <f t="shared" si="75"/>
        <v>0</v>
      </c>
      <c r="H743" s="118" t="str">
        <f t="shared" si="76"/>
        <v/>
      </c>
      <c r="I743" s="116" t="str">
        <f>IF(AND(F743&lt;&gt;"",N10&gt;0,M743&gt;N10),"Mot &gt; limite","")</f>
        <v/>
      </c>
      <c r="M743" s="70">
        <f>IF(OR(F743="",N10="",N10&lt;=0),"",IF(LEN(F743)&lt;=N10,LEN(F743),IFERROR(FIND("♦",SUBSTITUTE(LEFT(F743,N10)," ","♦",LEN(LEFT(F743,N10))-LEN(SUBSTITUTE(LEFT(F743,N10)," ","")))),FIND(" ",F743&amp;" ",N10+1)-1)))</f>
        <v>1</v>
      </c>
      <c r="N743" s="119">
        <f t="shared" si="77"/>
        <v>726</v>
      </c>
      <c r="O743" s="99" t="str">
        <f t="shared" si="78"/>
        <v>0</v>
      </c>
      <c r="P743" s="119">
        <f t="shared" si="79"/>
        <v>1</v>
      </c>
      <c r="Q743" s="119">
        <f t="shared" si="80"/>
        <v>1</v>
      </c>
      <c r="S743" s="3">
        <v>1</v>
      </c>
    </row>
    <row r="744" spans="2:19">
      <c r="B744" s="116"/>
      <c r="C744" s="116"/>
      <c r="D744" s="116"/>
      <c r="E744" s="116" cm="1">
        <f t="array" ref="E744">IF(H743&lt;&gt;"",E743,IF(E743="","",IFERROR(MATCH(TRUE(),INDEX(INDEX(K:K,E743+1):K203&lt;&gt;"",0),0)+E743,"")))</f>
        <v>885</v>
      </c>
      <c r="F744" s="117" cm="1">
        <f t="array" ref="F744">IF(E744="","",IF(H743&lt;&gt;"",H743,INDEX(D:D,E744)))</f>
        <v>0</v>
      </c>
      <c r="G744" s="117" t="str">
        <f t="shared" si="75"/>
        <v>0</v>
      </c>
      <c r="H744" s="118" t="str">
        <f t="shared" si="76"/>
        <v/>
      </c>
      <c r="I744" s="116" t="str">
        <f>IF(AND(F744&lt;&gt;"",N10&gt;0,M744&gt;N10),"Mot &gt; limite","")</f>
        <v/>
      </c>
      <c r="M744" s="70">
        <f>IF(OR(F744="",N10="",N10&lt;=0),"",IF(LEN(F744)&lt;=N10,LEN(F744),IFERROR(FIND("♦",SUBSTITUTE(LEFT(F744,N10)," ","♦",LEN(LEFT(F744,N10))-LEN(SUBSTITUTE(LEFT(F744,N10)," ","")))),FIND(" ",F744&amp;" ",N10+1)-1)))</f>
        <v>1</v>
      </c>
      <c r="N744" s="119">
        <f t="shared" si="77"/>
        <v>727</v>
      </c>
      <c r="O744" s="99" t="str">
        <f t="shared" si="78"/>
        <v>0</v>
      </c>
      <c r="P744" s="119">
        <f t="shared" si="79"/>
        <v>1</v>
      </c>
      <c r="Q744" s="119">
        <f t="shared" si="80"/>
        <v>1</v>
      </c>
      <c r="S744" s="3">
        <v>1</v>
      </c>
    </row>
    <row r="745" spans="2:19">
      <c r="B745" s="116"/>
      <c r="C745" s="116"/>
      <c r="D745" s="116"/>
      <c r="E745" s="116" cm="1">
        <f t="array" ref="E745">IF(H744&lt;&gt;"",E744,IF(E744="","",IFERROR(MATCH(TRUE(),INDEX(INDEX(K:K,E744+1):K203&lt;&gt;"",0),0)+E744,"")))</f>
        <v>886</v>
      </c>
      <c r="F745" s="117" cm="1">
        <f t="array" ref="F745">IF(E745="","",IF(H744&lt;&gt;"",H744,INDEX(D:D,E745)))</f>
        <v>0</v>
      </c>
      <c r="G745" s="117" t="str">
        <f t="shared" si="75"/>
        <v>0</v>
      </c>
      <c r="H745" s="118" t="str">
        <f t="shared" si="76"/>
        <v/>
      </c>
      <c r="I745" s="116" t="str">
        <f>IF(AND(F745&lt;&gt;"",N10&gt;0,M745&gt;N10),"Mot &gt; limite","")</f>
        <v/>
      </c>
      <c r="M745" s="70">
        <f>IF(OR(F745="",N10="",N10&lt;=0),"",IF(LEN(F745)&lt;=N10,LEN(F745),IFERROR(FIND("♦",SUBSTITUTE(LEFT(F745,N10)," ","♦",LEN(LEFT(F745,N10))-LEN(SUBSTITUTE(LEFT(F745,N10)," ","")))),FIND(" ",F745&amp;" ",N10+1)-1)))</f>
        <v>1</v>
      </c>
      <c r="N745" s="119">
        <f t="shared" si="77"/>
        <v>728</v>
      </c>
      <c r="O745" s="99" t="str">
        <f t="shared" si="78"/>
        <v>0</v>
      </c>
      <c r="P745" s="119">
        <f t="shared" si="79"/>
        <v>1</v>
      </c>
      <c r="Q745" s="119">
        <f t="shared" si="80"/>
        <v>1</v>
      </c>
      <c r="S745" s="3">
        <v>1</v>
      </c>
    </row>
    <row r="746" spans="2:19">
      <c r="B746" s="116"/>
      <c r="C746" s="116"/>
      <c r="D746" s="116"/>
      <c r="E746" s="116" cm="1">
        <f t="array" ref="E746">IF(H745&lt;&gt;"",E745,IF(E745="","",IFERROR(MATCH(TRUE(),INDEX(INDEX(K:K,E745+1):K203&lt;&gt;"",0),0)+E745,"")))</f>
        <v>887</v>
      </c>
      <c r="F746" s="117" cm="1">
        <f t="array" ref="F746">IF(E746="","",IF(H745&lt;&gt;"",H745,INDEX(D:D,E746)))</f>
        <v>0</v>
      </c>
      <c r="G746" s="117" t="str">
        <f t="shared" si="75"/>
        <v>0</v>
      </c>
      <c r="H746" s="118" t="str">
        <f t="shared" si="76"/>
        <v/>
      </c>
      <c r="I746" s="116" t="str">
        <f>IF(AND(F746&lt;&gt;"",N10&gt;0,M746&gt;N10),"Mot &gt; limite","")</f>
        <v/>
      </c>
      <c r="M746" s="70">
        <f>IF(OR(F746="",N10="",N10&lt;=0),"",IF(LEN(F746)&lt;=N10,LEN(F746),IFERROR(FIND("♦",SUBSTITUTE(LEFT(F746,N10)," ","♦",LEN(LEFT(F746,N10))-LEN(SUBSTITUTE(LEFT(F746,N10)," ","")))),FIND(" ",F746&amp;" ",N10+1)-1)))</f>
        <v>1</v>
      </c>
      <c r="N746" s="119">
        <f t="shared" si="77"/>
        <v>729</v>
      </c>
      <c r="O746" s="99" t="str">
        <f t="shared" si="78"/>
        <v>0</v>
      </c>
      <c r="P746" s="119">
        <f t="shared" si="79"/>
        <v>1</v>
      </c>
      <c r="Q746" s="119">
        <f t="shared" si="80"/>
        <v>1</v>
      </c>
      <c r="S746" s="3">
        <v>1</v>
      </c>
    </row>
    <row r="747" spans="2:19">
      <c r="B747" s="116"/>
      <c r="C747" s="116"/>
      <c r="D747" s="116"/>
      <c r="E747" s="116" cm="1">
        <f t="array" ref="E747">IF(H746&lt;&gt;"",E746,IF(E746="","",IFERROR(MATCH(TRUE(),INDEX(INDEX(K:K,E746+1):K203&lt;&gt;"",0),0)+E746,"")))</f>
        <v>888</v>
      </c>
      <c r="F747" s="117" cm="1">
        <f t="array" ref="F747">IF(E747="","",IF(H746&lt;&gt;"",H746,INDEX(D:D,E747)))</f>
        <v>0</v>
      </c>
      <c r="G747" s="117" t="str">
        <f t="shared" si="75"/>
        <v>0</v>
      </c>
      <c r="H747" s="118" t="str">
        <f t="shared" si="76"/>
        <v/>
      </c>
      <c r="I747" s="116" t="str">
        <f>IF(AND(F747&lt;&gt;"",N10&gt;0,M747&gt;N10),"Mot &gt; limite","")</f>
        <v/>
      </c>
      <c r="M747" s="70">
        <f>IF(OR(F747="",N10="",N10&lt;=0),"",IF(LEN(F747)&lt;=N10,LEN(F747),IFERROR(FIND("♦",SUBSTITUTE(LEFT(F747,N10)," ","♦",LEN(LEFT(F747,N10))-LEN(SUBSTITUTE(LEFT(F747,N10)," ","")))),FIND(" ",F747&amp;" ",N10+1)-1)))</f>
        <v>1</v>
      </c>
      <c r="N747" s="119">
        <f t="shared" si="77"/>
        <v>730</v>
      </c>
      <c r="O747" s="99" t="str">
        <f t="shared" si="78"/>
        <v>0</v>
      </c>
      <c r="P747" s="119">
        <f t="shared" si="79"/>
        <v>1</v>
      </c>
      <c r="Q747" s="119">
        <f t="shared" si="80"/>
        <v>1</v>
      </c>
      <c r="S747" s="3">
        <v>1</v>
      </c>
    </row>
    <row r="748" spans="2:19">
      <c r="B748" s="116"/>
      <c r="C748" s="116"/>
      <c r="D748" s="116"/>
      <c r="E748" s="116" cm="1">
        <f t="array" ref="E748">IF(H747&lt;&gt;"",E747,IF(E747="","",IFERROR(MATCH(TRUE(),INDEX(INDEX(K:K,E747+1):K203&lt;&gt;"",0),0)+E747,"")))</f>
        <v>889</v>
      </c>
      <c r="F748" s="117" cm="1">
        <f t="array" ref="F748">IF(E748="","",IF(H747&lt;&gt;"",H747,INDEX(D:D,E748)))</f>
        <v>0</v>
      </c>
      <c r="G748" s="117" t="str">
        <f t="shared" si="75"/>
        <v>0</v>
      </c>
      <c r="H748" s="118" t="str">
        <f t="shared" si="76"/>
        <v/>
      </c>
      <c r="I748" s="116" t="str">
        <f>IF(AND(F748&lt;&gt;"",N10&gt;0,M748&gt;N10),"Mot &gt; limite","")</f>
        <v/>
      </c>
      <c r="M748" s="70">
        <f>IF(OR(F748="",N10="",N10&lt;=0),"",IF(LEN(F748)&lt;=N10,LEN(F748),IFERROR(FIND("♦",SUBSTITUTE(LEFT(F748,N10)," ","♦",LEN(LEFT(F748,N10))-LEN(SUBSTITUTE(LEFT(F748,N10)," ","")))),FIND(" ",F748&amp;" ",N10+1)-1)))</f>
        <v>1</v>
      </c>
      <c r="N748" s="119">
        <f t="shared" si="77"/>
        <v>731</v>
      </c>
      <c r="O748" s="99" t="str">
        <f t="shared" si="78"/>
        <v>0</v>
      </c>
      <c r="P748" s="119">
        <f t="shared" si="79"/>
        <v>1</v>
      </c>
      <c r="Q748" s="119">
        <f t="shared" si="80"/>
        <v>1</v>
      </c>
      <c r="S748" s="3">
        <v>1</v>
      </c>
    </row>
    <row r="749" spans="2:19">
      <c r="B749" s="116"/>
      <c r="C749" s="116"/>
      <c r="D749" s="116"/>
      <c r="E749" s="116" cm="1">
        <f t="array" ref="E749">IF(H748&lt;&gt;"",E748,IF(E748="","",IFERROR(MATCH(TRUE(),INDEX(INDEX(K:K,E748+1):K203&lt;&gt;"",0),0)+E748,"")))</f>
        <v>890</v>
      </c>
      <c r="F749" s="117" cm="1">
        <f t="array" ref="F749">IF(E749="","",IF(H748&lt;&gt;"",H748,INDEX(D:D,E749)))</f>
        <v>0</v>
      </c>
      <c r="G749" s="117" t="str">
        <f t="shared" si="75"/>
        <v>0</v>
      </c>
      <c r="H749" s="118" t="str">
        <f t="shared" si="76"/>
        <v/>
      </c>
      <c r="I749" s="116" t="str">
        <f>IF(AND(F749&lt;&gt;"",N10&gt;0,M749&gt;N10),"Mot &gt; limite","")</f>
        <v/>
      </c>
      <c r="M749" s="70">
        <f>IF(OR(F749="",N10="",N10&lt;=0),"",IF(LEN(F749)&lt;=N10,LEN(F749),IFERROR(FIND("♦",SUBSTITUTE(LEFT(F749,N10)," ","♦",LEN(LEFT(F749,N10))-LEN(SUBSTITUTE(LEFT(F749,N10)," ","")))),FIND(" ",F749&amp;" ",N10+1)-1)))</f>
        <v>1</v>
      </c>
      <c r="N749" s="119">
        <f t="shared" si="77"/>
        <v>732</v>
      </c>
      <c r="O749" s="99" t="str">
        <f t="shared" si="78"/>
        <v>0</v>
      </c>
      <c r="P749" s="119">
        <f t="shared" si="79"/>
        <v>1</v>
      </c>
      <c r="Q749" s="119">
        <f t="shared" si="80"/>
        <v>1</v>
      </c>
      <c r="S749" s="3">
        <v>1</v>
      </c>
    </row>
    <row r="750" spans="2:19">
      <c r="B750" s="116"/>
      <c r="C750" s="116"/>
      <c r="D750" s="116"/>
      <c r="E750" s="116" cm="1">
        <f t="array" ref="E750">IF(H749&lt;&gt;"",E749,IF(E749="","",IFERROR(MATCH(TRUE(),INDEX(INDEX(K:K,E749+1):K203&lt;&gt;"",0),0)+E749,"")))</f>
        <v>891</v>
      </c>
      <c r="F750" s="117" cm="1">
        <f t="array" ref="F750">IF(E750="","",IF(H749&lt;&gt;"",H749,INDEX(D:D,E750)))</f>
        <v>0</v>
      </c>
      <c r="G750" s="117" t="str">
        <f t="shared" si="75"/>
        <v>0</v>
      </c>
      <c r="H750" s="118" t="str">
        <f t="shared" si="76"/>
        <v/>
      </c>
      <c r="I750" s="116" t="str">
        <f>IF(AND(F750&lt;&gt;"",N10&gt;0,M750&gt;N10),"Mot &gt; limite","")</f>
        <v/>
      </c>
      <c r="M750" s="70">
        <f>IF(OR(F750="",N10="",N10&lt;=0),"",IF(LEN(F750)&lt;=N10,LEN(F750),IFERROR(FIND("♦",SUBSTITUTE(LEFT(F750,N10)," ","♦",LEN(LEFT(F750,N10))-LEN(SUBSTITUTE(LEFT(F750,N10)," ","")))),FIND(" ",F750&amp;" ",N10+1)-1)))</f>
        <v>1</v>
      </c>
      <c r="N750" s="119">
        <f t="shared" si="77"/>
        <v>733</v>
      </c>
      <c r="O750" s="99" t="str">
        <f t="shared" si="78"/>
        <v>0</v>
      </c>
      <c r="P750" s="119">
        <f t="shared" si="79"/>
        <v>1</v>
      </c>
      <c r="Q750" s="119">
        <f t="shared" si="80"/>
        <v>1</v>
      </c>
      <c r="S750" s="3">
        <v>1</v>
      </c>
    </row>
    <row r="751" spans="2:19">
      <c r="B751" s="116"/>
      <c r="C751" s="116"/>
      <c r="D751" s="116"/>
      <c r="E751" s="116" cm="1">
        <f t="array" ref="E751">IF(H750&lt;&gt;"",E750,IF(E750="","",IFERROR(MATCH(TRUE(),INDEX(INDEX(K:K,E750+1):K203&lt;&gt;"",0),0)+E750,"")))</f>
        <v>892</v>
      </c>
      <c r="F751" s="117" cm="1">
        <f t="array" ref="F751">IF(E751="","",IF(H750&lt;&gt;"",H750,INDEX(D:D,E751)))</f>
        <v>0</v>
      </c>
      <c r="G751" s="117" t="str">
        <f t="shared" si="75"/>
        <v>0</v>
      </c>
      <c r="H751" s="118" t="str">
        <f t="shared" si="76"/>
        <v/>
      </c>
      <c r="I751" s="116" t="str">
        <f>IF(AND(F751&lt;&gt;"",N10&gt;0,M751&gt;N10),"Mot &gt; limite","")</f>
        <v/>
      </c>
      <c r="M751" s="70">
        <f>IF(OR(F751="",N10="",N10&lt;=0),"",IF(LEN(F751)&lt;=N10,LEN(F751),IFERROR(FIND("♦",SUBSTITUTE(LEFT(F751,N10)," ","♦",LEN(LEFT(F751,N10))-LEN(SUBSTITUTE(LEFT(F751,N10)," ","")))),FIND(" ",F751&amp;" ",N10+1)-1)))</f>
        <v>1</v>
      </c>
      <c r="N751" s="119">
        <f t="shared" si="77"/>
        <v>734</v>
      </c>
      <c r="O751" s="99" t="str">
        <f t="shared" si="78"/>
        <v>0</v>
      </c>
      <c r="P751" s="119">
        <f t="shared" si="79"/>
        <v>1</v>
      </c>
      <c r="Q751" s="119">
        <f t="shared" si="80"/>
        <v>1</v>
      </c>
      <c r="S751" s="3">
        <v>1</v>
      </c>
    </row>
    <row r="752" spans="2:19">
      <c r="B752" s="116"/>
      <c r="C752" s="116"/>
      <c r="D752" s="116"/>
      <c r="E752" s="116" cm="1">
        <f t="array" ref="E752">IF(H751&lt;&gt;"",E751,IF(E751="","",IFERROR(MATCH(TRUE(),INDEX(INDEX(K:K,E751+1):K203&lt;&gt;"",0),0)+E751,"")))</f>
        <v>893</v>
      </c>
      <c r="F752" s="117" cm="1">
        <f t="array" ref="F752">IF(E752="","",IF(H751&lt;&gt;"",H751,INDEX(D:D,E752)))</f>
        <v>0</v>
      </c>
      <c r="G752" s="117" t="str">
        <f t="shared" si="75"/>
        <v>0</v>
      </c>
      <c r="H752" s="118" t="str">
        <f t="shared" si="76"/>
        <v/>
      </c>
      <c r="I752" s="116" t="str">
        <f>IF(AND(F752&lt;&gt;"",N10&gt;0,M752&gt;N10),"Mot &gt; limite","")</f>
        <v/>
      </c>
      <c r="M752" s="70">
        <f>IF(OR(F752="",N10="",N10&lt;=0),"",IF(LEN(F752)&lt;=N10,LEN(F752),IFERROR(FIND("♦",SUBSTITUTE(LEFT(F752,N10)," ","♦",LEN(LEFT(F752,N10))-LEN(SUBSTITUTE(LEFT(F752,N10)," ","")))),FIND(" ",F752&amp;" ",N10+1)-1)))</f>
        <v>1</v>
      </c>
      <c r="N752" s="119">
        <f t="shared" si="77"/>
        <v>735</v>
      </c>
      <c r="O752" s="99" t="str">
        <f t="shared" si="78"/>
        <v>0</v>
      </c>
      <c r="P752" s="119">
        <f t="shared" si="79"/>
        <v>1</v>
      </c>
      <c r="Q752" s="119">
        <f t="shared" si="80"/>
        <v>1</v>
      </c>
      <c r="S752" s="3">
        <v>1</v>
      </c>
    </row>
    <row r="753" spans="2:19">
      <c r="B753" s="116"/>
      <c r="C753" s="116"/>
      <c r="D753" s="116"/>
      <c r="E753" s="116" cm="1">
        <f t="array" ref="E753">IF(H752&lt;&gt;"",E752,IF(E752="","",IFERROR(MATCH(TRUE(),INDEX(INDEX(K:K,E752+1):K203&lt;&gt;"",0),0)+E752,"")))</f>
        <v>894</v>
      </c>
      <c r="F753" s="117" cm="1">
        <f t="array" ref="F753">IF(E753="","",IF(H752&lt;&gt;"",H752,INDEX(D:D,E753)))</f>
        <v>0</v>
      </c>
      <c r="G753" s="117" t="str">
        <f t="shared" si="75"/>
        <v>0</v>
      </c>
      <c r="H753" s="118" t="str">
        <f t="shared" si="76"/>
        <v/>
      </c>
      <c r="I753" s="116" t="str">
        <f>IF(AND(F753&lt;&gt;"",N10&gt;0,M753&gt;N10),"Mot &gt; limite","")</f>
        <v/>
      </c>
      <c r="M753" s="70">
        <f>IF(OR(F753="",N10="",N10&lt;=0),"",IF(LEN(F753)&lt;=N10,LEN(F753),IFERROR(FIND("♦",SUBSTITUTE(LEFT(F753,N10)," ","♦",LEN(LEFT(F753,N10))-LEN(SUBSTITUTE(LEFT(F753,N10)," ","")))),FIND(" ",F753&amp;" ",N10+1)-1)))</f>
        <v>1</v>
      </c>
      <c r="N753" s="119">
        <f t="shared" si="77"/>
        <v>736</v>
      </c>
      <c r="O753" s="99" t="str">
        <f t="shared" si="78"/>
        <v>0</v>
      </c>
      <c r="P753" s="119">
        <f t="shared" si="79"/>
        <v>1</v>
      </c>
      <c r="Q753" s="119">
        <f t="shared" si="80"/>
        <v>1</v>
      </c>
      <c r="S753" s="3">
        <v>1</v>
      </c>
    </row>
    <row r="754" spans="2:19">
      <c r="B754" s="116"/>
      <c r="C754" s="116"/>
      <c r="D754" s="116"/>
      <c r="E754" s="116" cm="1">
        <f t="array" ref="E754">IF(H753&lt;&gt;"",E753,IF(E753="","",IFERROR(MATCH(TRUE(),INDEX(INDEX(K:K,E753+1):K203&lt;&gt;"",0),0)+E753,"")))</f>
        <v>895</v>
      </c>
      <c r="F754" s="117" cm="1">
        <f t="array" ref="F754">IF(E754="","",IF(H753&lt;&gt;"",H753,INDEX(D:D,E754)))</f>
        <v>0</v>
      </c>
      <c r="G754" s="117" t="str">
        <f t="shared" si="75"/>
        <v>0</v>
      </c>
      <c r="H754" s="118" t="str">
        <f t="shared" si="76"/>
        <v/>
      </c>
      <c r="I754" s="116" t="str">
        <f>IF(AND(F754&lt;&gt;"",N10&gt;0,M754&gt;N10),"Mot &gt; limite","")</f>
        <v/>
      </c>
      <c r="M754" s="70">
        <f>IF(OR(F754="",N10="",N10&lt;=0),"",IF(LEN(F754)&lt;=N10,LEN(F754),IFERROR(FIND("♦",SUBSTITUTE(LEFT(F754,N10)," ","♦",LEN(LEFT(F754,N10))-LEN(SUBSTITUTE(LEFT(F754,N10)," ","")))),FIND(" ",F754&amp;" ",N10+1)-1)))</f>
        <v>1</v>
      </c>
      <c r="N754" s="119">
        <f t="shared" si="77"/>
        <v>737</v>
      </c>
      <c r="O754" s="99" t="str">
        <f t="shared" si="78"/>
        <v>0</v>
      </c>
      <c r="P754" s="119">
        <f t="shared" si="79"/>
        <v>1</v>
      </c>
      <c r="Q754" s="119">
        <f t="shared" si="80"/>
        <v>1</v>
      </c>
      <c r="S754" s="3">
        <v>1</v>
      </c>
    </row>
    <row r="755" spans="2:19">
      <c r="B755" s="116"/>
      <c r="C755" s="116"/>
      <c r="D755" s="116"/>
      <c r="E755" s="116" cm="1">
        <f t="array" ref="E755">IF(H754&lt;&gt;"",E754,IF(E754="","",IFERROR(MATCH(TRUE(),INDEX(INDEX(K:K,E754+1):K203&lt;&gt;"",0),0)+E754,"")))</f>
        <v>896</v>
      </c>
      <c r="F755" s="117" cm="1">
        <f t="array" ref="F755">IF(E755="","",IF(H754&lt;&gt;"",H754,INDEX(D:D,E755)))</f>
        <v>0</v>
      </c>
      <c r="G755" s="117" t="str">
        <f t="shared" si="75"/>
        <v>0</v>
      </c>
      <c r="H755" s="118" t="str">
        <f t="shared" si="76"/>
        <v/>
      </c>
      <c r="I755" s="116" t="str">
        <f>IF(AND(F755&lt;&gt;"",N10&gt;0,M755&gt;N10),"Mot &gt; limite","")</f>
        <v/>
      </c>
      <c r="M755" s="70">
        <f>IF(OR(F755="",N10="",N10&lt;=0),"",IF(LEN(F755)&lt;=N10,LEN(F755),IFERROR(FIND("♦",SUBSTITUTE(LEFT(F755,N10)," ","♦",LEN(LEFT(F755,N10))-LEN(SUBSTITUTE(LEFT(F755,N10)," ","")))),FIND(" ",F755&amp;" ",N10+1)-1)))</f>
        <v>1</v>
      </c>
      <c r="N755" s="119">
        <f t="shared" si="77"/>
        <v>738</v>
      </c>
      <c r="O755" s="99" t="str">
        <f t="shared" si="78"/>
        <v>0</v>
      </c>
      <c r="P755" s="119">
        <f t="shared" si="79"/>
        <v>1</v>
      </c>
      <c r="Q755" s="119">
        <f t="shared" si="80"/>
        <v>1</v>
      </c>
      <c r="S755" s="3">
        <v>1</v>
      </c>
    </row>
    <row r="756" spans="2:19">
      <c r="B756" s="116"/>
      <c r="C756" s="116"/>
      <c r="D756" s="116"/>
      <c r="E756" s="116" cm="1">
        <f t="array" ref="E756">IF(H755&lt;&gt;"",E755,IF(E755="","",IFERROR(MATCH(TRUE(),INDEX(INDEX(K:K,E755+1):K203&lt;&gt;"",0),0)+E755,"")))</f>
        <v>897</v>
      </c>
      <c r="F756" s="117" cm="1">
        <f t="array" ref="F756">IF(E756="","",IF(H755&lt;&gt;"",H755,INDEX(D:D,E756)))</f>
        <v>0</v>
      </c>
      <c r="G756" s="117" t="str">
        <f t="shared" si="75"/>
        <v>0</v>
      </c>
      <c r="H756" s="118" t="str">
        <f t="shared" si="76"/>
        <v/>
      </c>
      <c r="I756" s="116" t="str">
        <f>IF(AND(F756&lt;&gt;"",N10&gt;0,M756&gt;N10),"Mot &gt; limite","")</f>
        <v/>
      </c>
      <c r="M756" s="70">
        <f>IF(OR(F756="",N10="",N10&lt;=0),"",IF(LEN(F756)&lt;=N10,LEN(F756),IFERROR(FIND("♦",SUBSTITUTE(LEFT(F756,N10)," ","♦",LEN(LEFT(F756,N10))-LEN(SUBSTITUTE(LEFT(F756,N10)," ","")))),FIND(" ",F756&amp;" ",N10+1)-1)))</f>
        <v>1</v>
      </c>
      <c r="N756" s="119">
        <f t="shared" si="77"/>
        <v>739</v>
      </c>
      <c r="O756" s="99" t="str">
        <f t="shared" si="78"/>
        <v>0</v>
      </c>
      <c r="P756" s="119">
        <f t="shared" si="79"/>
        <v>1</v>
      </c>
      <c r="Q756" s="119">
        <f t="shared" si="80"/>
        <v>1</v>
      </c>
      <c r="S756" s="3">
        <v>1</v>
      </c>
    </row>
    <row r="757" spans="2:19">
      <c r="B757" s="116"/>
      <c r="C757" s="116"/>
      <c r="D757" s="116"/>
      <c r="E757" s="116" cm="1">
        <f t="array" ref="E757">IF(H756&lt;&gt;"",E756,IF(E756="","",IFERROR(MATCH(TRUE(),INDEX(INDEX(K:K,E756+1):K203&lt;&gt;"",0),0)+E756,"")))</f>
        <v>898</v>
      </c>
      <c r="F757" s="117" cm="1">
        <f t="array" ref="F757">IF(E757="","",IF(H756&lt;&gt;"",H756,INDEX(D:D,E757)))</f>
        <v>0</v>
      </c>
      <c r="G757" s="117" t="str">
        <f t="shared" si="75"/>
        <v>0</v>
      </c>
      <c r="H757" s="118" t="str">
        <f t="shared" si="76"/>
        <v/>
      </c>
      <c r="I757" s="116" t="str">
        <f>IF(AND(F757&lt;&gt;"",N10&gt;0,M757&gt;N10),"Mot &gt; limite","")</f>
        <v/>
      </c>
      <c r="M757" s="70">
        <f>IF(OR(F757="",N10="",N10&lt;=0),"",IF(LEN(F757)&lt;=N10,LEN(F757),IFERROR(FIND("♦",SUBSTITUTE(LEFT(F757,N10)," ","♦",LEN(LEFT(F757,N10))-LEN(SUBSTITUTE(LEFT(F757,N10)," ","")))),FIND(" ",F757&amp;" ",N10+1)-1)))</f>
        <v>1</v>
      </c>
      <c r="N757" s="119">
        <f t="shared" si="77"/>
        <v>740</v>
      </c>
      <c r="O757" s="99" t="str">
        <f t="shared" si="78"/>
        <v>0</v>
      </c>
      <c r="P757" s="119">
        <f t="shared" si="79"/>
        <v>1</v>
      </c>
      <c r="Q757" s="119">
        <f t="shared" si="80"/>
        <v>1</v>
      </c>
      <c r="S757" s="3">
        <v>1</v>
      </c>
    </row>
    <row r="758" spans="2:19">
      <c r="B758" s="116"/>
      <c r="C758" s="116"/>
      <c r="D758" s="116"/>
      <c r="E758" s="116" cm="1">
        <f t="array" ref="E758">IF(H757&lt;&gt;"",E757,IF(E757="","",IFERROR(MATCH(TRUE(),INDEX(INDEX(K:K,E757+1):K203&lt;&gt;"",0),0)+E757,"")))</f>
        <v>899</v>
      </c>
      <c r="F758" s="117" cm="1">
        <f t="array" ref="F758">IF(E758="","",IF(H757&lt;&gt;"",H757,INDEX(D:D,E758)))</f>
        <v>0</v>
      </c>
      <c r="G758" s="117" t="str">
        <f t="shared" si="75"/>
        <v>0</v>
      </c>
      <c r="H758" s="118" t="str">
        <f t="shared" si="76"/>
        <v/>
      </c>
      <c r="I758" s="116" t="str">
        <f>IF(AND(F758&lt;&gt;"",N10&gt;0,M758&gt;N10),"Mot &gt; limite","")</f>
        <v/>
      </c>
      <c r="M758" s="70">
        <f>IF(OR(F758="",N10="",N10&lt;=0),"",IF(LEN(F758)&lt;=N10,LEN(F758),IFERROR(FIND("♦",SUBSTITUTE(LEFT(F758,N10)," ","♦",LEN(LEFT(F758,N10))-LEN(SUBSTITUTE(LEFT(F758,N10)," ","")))),FIND(" ",F758&amp;" ",N10+1)-1)))</f>
        <v>1</v>
      </c>
      <c r="N758" s="119">
        <f t="shared" si="77"/>
        <v>741</v>
      </c>
      <c r="O758" s="99" t="str">
        <f t="shared" si="78"/>
        <v>0</v>
      </c>
      <c r="P758" s="119">
        <f t="shared" si="79"/>
        <v>1</v>
      </c>
      <c r="Q758" s="119">
        <f t="shared" si="80"/>
        <v>1</v>
      </c>
      <c r="S758" s="3">
        <v>1</v>
      </c>
    </row>
    <row r="759" spans="2:19">
      <c r="B759" s="116"/>
      <c r="C759" s="116"/>
      <c r="D759" s="116"/>
      <c r="E759" s="116" cm="1">
        <f t="array" ref="E759">IF(H758&lt;&gt;"",E758,IF(E758="","",IFERROR(MATCH(TRUE(),INDEX(INDEX(K:K,E758+1):K203&lt;&gt;"",0),0)+E758,"")))</f>
        <v>900</v>
      </c>
      <c r="F759" s="117" cm="1">
        <f t="array" ref="F759">IF(E759="","",IF(H758&lt;&gt;"",H758,INDEX(D:D,E759)))</f>
        <v>0</v>
      </c>
      <c r="G759" s="117" t="str">
        <f t="shared" si="75"/>
        <v>0</v>
      </c>
      <c r="H759" s="118" t="str">
        <f t="shared" si="76"/>
        <v/>
      </c>
      <c r="I759" s="116" t="str">
        <f>IF(AND(F759&lt;&gt;"",N10&gt;0,M759&gt;N10),"Mot &gt; limite","")</f>
        <v/>
      </c>
      <c r="M759" s="70">
        <f>IF(OR(F759="",N10="",N10&lt;=0),"",IF(LEN(F759)&lt;=N10,LEN(F759),IFERROR(FIND("♦",SUBSTITUTE(LEFT(F759,N10)," ","♦",LEN(LEFT(F759,N10))-LEN(SUBSTITUTE(LEFT(F759,N10)," ","")))),FIND(" ",F759&amp;" ",N10+1)-1)))</f>
        <v>1</v>
      </c>
      <c r="N759" s="119">
        <f t="shared" si="77"/>
        <v>742</v>
      </c>
      <c r="O759" s="99" t="str">
        <f t="shared" si="78"/>
        <v>0</v>
      </c>
      <c r="P759" s="119">
        <f t="shared" si="79"/>
        <v>1</v>
      </c>
      <c r="Q759" s="119">
        <f t="shared" si="80"/>
        <v>1</v>
      </c>
      <c r="S759" s="3">
        <v>1</v>
      </c>
    </row>
    <row r="760" spans="2:19">
      <c r="B760" s="116"/>
      <c r="C760" s="116"/>
      <c r="D760" s="116"/>
      <c r="E760" s="116" cm="1">
        <f t="array" ref="E760">IF(H759&lt;&gt;"",E759,IF(E759="","",IFERROR(MATCH(TRUE(),INDEX(INDEX(K:K,E759+1):K203&lt;&gt;"",0),0)+E759,"")))</f>
        <v>901</v>
      </c>
      <c r="F760" s="117" cm="1">
        <f t="array" ref="F760">IF(E760="","",IF(H759&lt;&gt;"",H759,INDEX(D:D,E760)))</f>
        <v>0</v>
      </c>
      <c r="G760" s="117" t="str">
        <f t="shared" si="75"/>
        <v>0</v>
      </c>
      <c r="H760" s="118" t="str">
        <f t="shared" si="76"/>
        <v/>
      </c>
      <c r="I760" s="116" t="str">
        <f>IF(AND(F760&lt;&gt;"",N10&gt;0,M760&gt;N10),"Mot &gt; limite","")</f>
        <v/>
      </c>
      <c r="M760" s="70">
        <f>IF(OR(F760="",N10="",N10&lt;=0),"",IF(LEN(F760)&lt;=N10,LEN(F760),IFERROR(FIND("♦",SUBSTITUTE(LEFT(F760,N10)," ","♦",LEN(LEFT(F760,N10))-LEN(SUBSTITUTE(LEFT(F760,N10)," ","")))),FIND(" ",F760&amp;" ",N10+1)-1)))</f>
        <v>1</v>
      </c>
      <c r="N760" s="119">
        <f t="shared" si="77"/>
        <v>743</v>
      </c>
      <c r="O760" s="99" t="str">
        <f t="shared" si="78"/>
        <v>0</v>
      </c>
      <c r="P760" s="119">
        <f t="shared" si="79"/>
        <v>1</v>
      </c>
      <c r="Q760" s="119">
        <f t="shared" si="80"/>
        <v>1</v>
      </c>
      <c r="S760" s="3">
        <v>1</v>
      </c>
    </row>
    <row r="761" spans="2:19">
      <c r="B761" s="116"/>
      <c r="C761" s="116"/>
      <c r="D761" s="116"/>
      <c r="E761" s="116" cm="1">
        <f t="array" ref="E761">IF(H760&lt;&gt;"",E760,IF(E760="","",IFERROR(MATCH(TRUE(),INDEX(INDEX(K:K,E760+1):K203&lt;&gt;"",0),0)+E760,"")))</f>
        <v>902</v>
      </c>
      <c r="F761" s="117" cm="1">
        <f t="array" ref="F761">IF(E761="","",IF(H760&lt;&gt;"",H760,INDEX(D:D,E761)))</f>
        <v>0</v>
      </c>
      <c r="G761" s="117" t="str">
        <f t="shared" si="75"/>
        <v>0</v>
      </c>
      <c r="H761" s="118" t="str">
        <f t="shared" si="76"/>
        <v/>
      </c>
      <c r="I761" s="116" t="str">
        <f>IF(AND(F761&lt;&gt;"",N10&gt;0,M761&gt;N10),"Mot &gt; limite","")</f>
        <v/>
      </c>
      <c r="M761" s="70">
        <f>IF(OR(F761="",N10="",N10&lt;=0),"",IF(LEN(F761)&lt;=N10,LEN(F761),IFERROR(FIND("♦",SUBSTITUTE(LEFT(F761,N10)," ","♦",LEN(LEFT(F761,N10))-LEN(SUBSTITUTE(LEFT(F761,N10)," ","")))),FIND(" ",F761&amp;" ",N10+1)-1)))</f>
        <v>1</v>
      </c>
      <c r="N761" s="119">
        <f t="shared" si="77"/>
        <v>744</v>
      </c>
      <c r="O761" s="99" t="str">
        <f t="shared" si="78"/>
        <v>0</v>
      </c>
      <c r="P761" s="119">
        <f t="shared" si="79"/>
        <v>1</v>
      </c>
      <c r="Q761" s="119">
        <f t="shared" si="80"/>
        <v>1</v>
      </c>
      <c r="S761" s="3">
        <v>1</v>
      </c>
    </row>
    <row r="762" spans="2:19">
      <c r="B762" s="116"/>
      <c r="C762" s="116"/>
      <c r="D762" s="116"/>
      <c r="E762" s="116" cm="1">
        <f t="array" ref="E762">IF(H761&lt;&gt;"",E761,IF(E761="","",IFERROR(MATCH(TRUE(),INDEX(INDEX(K:K,E761+1):K203&lt;&gt;"",0),0)+E761,"")))</f>
        <v>903</v>
      </c>
      <c r="F762" s="117" cm="1">
        <f t="array" ref="F762">IF(E762="","",IF(H761&lt;&gt;"",H761,INDEX(D:D,E762)))</f>
        <v>0</v>
      </c>
      <c r="G762" s="117" t="str">
        <f t="shared" si="75"/>
        <v>0</v>
      </c>
      <c r="H762" s="118" t="str">
        <f t="shared" si="76"/>
        <v/>
      </c>
      <c r="I762" s="116" t="str">
        <f>IF(AND(F762&lt;&gt;"",N10&gt;0,M762&gt;N10),"Mot &gt; limite","")</f>
        <v/>
      </c>
      <c r="M762" s="70">
        <f>IF(OR(F762="",N10="",N10&lt;=0),"",IF(LEN(F762)&lt;=N10,LEN(F762),IFERROR(FIND("♦",SUBSTITUTE(LEFT(F762,N10)," ","♦",LEN(LEFT(F762,N10))-LEN(SUBSTITUTE(LEFT(F762,N10)," ","")))),FIND(" ",F762&amp;" ",N10+1)-1)))</f>
        <v>1</v>
      </c>
      <c r="N762" s="119">
        <f t="shared" si="77"/>
        <v>745</v>
      </c>
      <c r="O762" s="99" t="str">
        <f t="shared" si="78"/>
        <v>0</v>
      </c>
      <c r="P762" s="119">
        <f t="shared" si="79"/>
        <v>1</v>
      </c>
      <c r="Q762" s="119">
        <f t="shared" si="80"/>
        <v>1</v>
      </c>
      <c r="S762" s="3">
        <v>1</v>
      </c>
    </row>
    <row r="763" spans="2:19">
      <c r="B763" s="116"/>
      <c r="C763" s="116"/>
      <c r="D763" s="116"/>
      <c r="E763" s="116" cm="1">
        <f t="array" ref="E763">IF(H762&lt;&gt;"",E762,IF(E762="","",IFERROR(MATCH(TRUE(),INDEX(INDEX(K:K,E762+1):K203&lt;&gt;"",0),0)+E762,"")))</f>
        <v>904</v>
      </c>
      <c r="F763" s="117" cm="1">
        <f t="array" ref="F763">IF(E763="","",IF(H762&lt;&gt;"",H762,INDEX(D:D,E763)))</f>
        <v>0</v>
      </c>
      <c r="G763" s="117" t="str">
        <f t="shared" si="75"/>
        <v>0</v>
      </c>
      <c r="H763" s="118" t="str">
        <f t="shared" si="76"/>
        <v/>
      </c>
      <c r="I763" s="116" t="str">
        <f>IF(AND(F763&lt;&gt;"",N10&gt;0,M763&gt;N10),"Mot &gt; limite","")</f>
        <v/>
      </c>
      <c r="M763" s="70">
        <f>IF(OR(F763="",N10="",N10&lt;=0),"",IF(LEN(F763)&lt;=N10,LEN(F763),IFERROR(FIND("♦",SUBSTITUTE(LEFT(F763,N10)," ","♦",LEN(LEFT(F763,N10))-LEN(SUBSTITUTE(LEFT(F763,N10)," ","")))),FIND(" ",F763&amp;" ",N10+1)-1)))</f>
        <v>1</v>
      </c>
      <c r="N763" s="119">
        <f t="shared" si="77"/>
        <v>746</v>
      </c>
      <c r="O763" s="99" t="str">
        <f t="shared" si="78"/>
        <v>0</v>
      </c>
      <c r="P763" s="119">
        <f t="shared" si="79"/>
        <v>1</v>
      </c>
      <c r="Q763" s="119">
        <f t="shared" si="80"/>
        <v>1</v>
      </c>
      <c r="S763" s="3">
        <v>1</v>
      </c>
    </row>
    <row r="764" spans="2:19">
      <c r="B764" s="116"/>
      <c r="C764" s="116"/>
      <c r="D764" s="116"/>
      <c r="E764" s="116" cm="1">
        <f t="array" ref="E764">IF(H763&lt;&gt;"",E763,IF(E763="","",IFERROR(MATCH(TRUE(),INDEX(INDEX(K:K,E763+1):K203&lt;&gt;"",0),0)+E763,"")))</f>
        <v>905</v>
      </c>
      <c r="F764" s="117" cm="1">
        <f t="array" ref="F764">IF(E764="","",IF(H763&lt;&gt;"",H763,INDEX(D:D,E764)))</f>
        <v>0</v>
      </c>
      <c r="G764" s="117" t="str">
        <f t="shared" si="75"/>
        <v>0</v>
      </c>
      <c r="H764" s="118" t="str">
        <f t="shared" si="76"/>
        <v/>
      </c>
      <c r="I764" s="116" t="str">
        <f>IF(AND(F764&lt;&gt;"",N10&gt;0,M764&gt;N10),"Mot &gt; limite","")</f>
        <v/>
      </c>
      <c r="M764" s="70">
        <f>IF(OR(F764="",N10="",N10&lt;=0),"",IF(LEN(F764)&lt;=N10,LEN(F764),IFERROR(FIND("♦",SUBSTITUTE(LEFT(F764,N10)," ","♦",LEN(LEFT(F764,N10))-LEN(SUBSTITUTE(LEFT(F764,N10)," ","")))),FIND(" ",F764&amp;" ",N10+1)-1)))</f>
        <v>1</v>
      </c>
      <c r="N764" s="119">
        <f t="shared" si="77"/>
        <v>747</v>
      </c>
      <c r="O764" s="99" t="str">
        <f t="shared" si="78"/>
        <v>0</v>
      </c>
      <c r="P764" s="119">
        <f t="shared" si="79"/>
        <v>1</v>
      </c>
      <c r="Q764" s="119">
        <f t="shared" si="80"/>
        <v>1</v>
      </c>
      <c r="S764" s="3">
        <v>1</v>
      </c>
    </row>
    <row r="765" spans="2:19">
      <c r="B765" s="116"/>
      <c r="C765" s="116"/>
      <c r="D765" s="116"/>
      <c r="E765" s="116" cm="1">
        <f t="array" ref="E765">IF(H764&lt;&gt;"",E764,IF(E764="","",IFERROR(MATCH(TRUE(),INDEX(INDEX(K:K,E764+1):K203&lt;&gt;"",0),0)+E764,"")))</f>
        <v>906</v>
      </c>
      <c r="F765" s="117" cm="1">
        <f t="array" ref="F765">IF(E765="","",IF(H764&lt;&gt;"",H764,INDEX(D:D,E765)))</f>
        <v>0</v>
      </c>
      <c r="G765" s="117" t="str">
        <f t="shared" si="75"/>
        <v>0</v>
      </c>
      <c r="H765" s="118" t="str">
        <f t="shared" si="76"/>
        <v/>
      </c>
      <c r="I765" s="116" t="str">
        <f>IF(AND(F765&lt;&gt;"",N10&gt;0,M765&gt;N10),"Mot &gt; limite","")</f>
        <v/>
      </c>
      <c r="M765" s="70">
        <f>IF(OR(F765="",N10="",N10&lt;=0),"",IF(LEN(F765)&lt;=N10,LEN(F765),IFERROR(FIND("♦",SUBSTITUTE(LEFT(F765,N10)," ","♦",LEN(LEFT(F765,N10))-LEN(SUBSTITUTE(LEFT(F765,N10)," ","")))),FIND(" ",F765&amp;" ",N10+1)-1)))</f>
        <v>1</v>
      </c>
      <c r="N765" s="119">
        <f t="shared" si="77"/>
        <v>748</v>
      </c>
      <c r="O765" s="99" t="str">
        <f t="shared" si="78"/>
        <v>0</v>
      </c>
      <c r="P765" s="119">
        <f t="shared" si="79"/>
        <v>1</v>
      </c>
      <c r="Q765" s="119">
        <f t="shared" si="80"/>
        <v>1</v>
      </c>
      <c r="S765" s="3">
        <v>1</v>
      </c>
    </row>
    <row r="766" spans="2:19">
      <c r="B766" s="116"/>
      <c r="C766" s="116"/>
      <c r="D766" s="116"/>
      <c r="E766" s="116" cm="1">
        <f t="array" ref="E766">IF(H765&lt;&gt;"",E765,IF(E765="","",IFERROR(MATCH(TRUE(),INDEX(INDEX(K:K,E765+1):K203&lt;&gt;"",0),0)+E765,"")))</f>
        <v>907</v>
      </c>
      <c r="F766" s="117" cm="1">
        <f t="array" ref="F766">IF(E766="","",IF(H765&lt;&gt;"",H765,INDEX(D:D,E766)))</f>
        <v>0</v>
      </c>
      <c r="G766" s="117" t="str">
        <f t="shared" si="75"/>
        <v>0</v>
      </c>
      <c r="H766" s="118" t="str">
        <f t="shared" si="76"/>
        <v/>
      </c>
      <c r="I766" s="116" t="str">
        <f>IF(AND(F766&lt;&gt;"",N10&gt;0,M766&gt;N10),"Mot &gt; limite","")</f>
        <v/>
      </c>
      <c r="M766" s="70">
        <f>IF(OR(F766="",N10="",N10&lt;=0),"",IF(LEN(F766)&lt;=N10,LEN(F766),IFERROR(FIND("♦",SUBSTITUTE(LEFT(F766,N10)," ","♦",LEN(LEFT(F766,N10))-LEN(SUBSTITUTE(LEFT(F766,N10)," ","")))),FIND(" ",F766&amp;" ",N10+1)-1)))</f>
        <v>1</v>
      </c>
      <c r="N766" s="119">
        <f t="shared" si="77"/>
        <v>749</v>
      </c>
      <c r="O766" s="99" t="str">
        <f t="shared" si="78"/>
        <v>0</v>
      </c>
      <c r="P766" s="119">
        <f t="shared" si="79"/>
        <v>1</v>
      </c>
      <c r="Q766" s="119">
        <f t="shared" si="80"/>
        <v>1</v>
      </c>
      <c r="S766" s="3">
        <v>1</v>
      </c>
    </row>
    <row r="767" spans="2:19">
      <c r="B767" s="116"/>
      <c r="C767" s="116"/>
      <c r="D767" s="116"/>
      <c r="E767" s="116" cm="1">
        <f t="array" ref="E767">IF(H766&lt;&gt;"",E766,IF(E766="","",IFERROR(MATCH(TRUE(),INDEX(INDEX(K:K,E766+1):K203&lt;&gt;"",0),0)+E766,"")))</f>
        <v>908</v>
      </c>
      <c r="F767" s="117" cm="1">
        <f t="array" ref="F767">IF(E767="","",IF(H766&lt;&gt;"",H766,INDEX(D:D,E767)))</f>
        <v>0</v>
      </c>
      <c r="G767" s="117" t="str">
        <f t="shared" si="75"/>
        <v>0</v>
      </c>
      <c r="H767" s="118" t="str">
        <f t="shared" si="76"/>
        <v/>
      </c>
      <c r="I767" s="116" t="str">
        <f>IF(AND(F767&lt;&gt;"",N10&gt;0,M767&gt;N10),"Mot &gt; limite","")</f>
        <v/>
      </c>
      <c r="M767" s="70">
        <f>IF(OR(F767="",N10="",N10&lt;=0),"",IF(LEN(F767)&lt;=N10,LEN(F767),IFERROR(FIND("♦",SUBSTITUTE(LEFT(F767,N10)," ","♦",LEN(LEFT(F767,N10))-LEN(SUBSTITUTE(LEFT(F767,N10)," ","")))),FIND(" ",F767&amp;" ",N10+1)-1)))</f>
        <v>1</v>
      </c>
      <c r="N767" s="119">
        <f t="shared" si="77"/>
        <v>750</v>
      </c>
      <c r="O767" s="99" t="str">
        <f t="shared" si="78"/>
        <v>0</v>
      </c>
      <c r="P767" s="119">
        <f t="shared" si="79"/>
        <v>1</v>
      </c>
      <c r="Q767" s="119">
        <f t="shared" si="80"/>
        <v>1</v>
      </c>
      <c r="S767" s="3">
        <v>1</v>
      </c>
    </row>
    <row r="768" spans="2:19">
      <c r="B768" s="116"/>
      <c r="C768" s="116"/>
      <c r="D768" s="116"/>
      <c r="E768" s="116" cm="1">
        <f t="array" ref="E768">IF(H767&lt;&gt;"",E767,IF(E767="","",IFERROR(MATCH(TRUE(),INDEX(INDEX(K:K,E767+1):K203&lt;&gt;"",0),0)+E767,"")))</f>
        <v>909</v>
      </c>
      <c r="F768" s="117" cm="1">
        <f t="array" ref="F768">IF(E768="","",IF(H767&lt;&gt;"",H767,INDEX(D:D,E768)))</f>
        <v>0</v>
      </c>
      <c r="G768" s="117" t="str">
        <f t="shared" si="75"/>
        <v>0</v>
      </c>
      <c r="H768" s="118" t="str">
        <f t="shared" si="76"/>
        <v/>
      </c>
      <c r="I768" s="116" t="str">
        <f>IF(AND(F768&lt;&gt;"",N10&gt;0,M768&gt;N10),"Mot &gt; limite","")</f>
        <v/>
      </c>
      <c r="M768" s="70">
        <f>IF(OR(F768="",N10="",N10&lt;=0),"",IF(LEN(F768)&lt;=N10,LEN(F768),IFERROR(FIND("♦",SUBSTITUTE(LEFT(F768,N10)," ","♦",LEN(LEFT(F768,N10))-LEN(SUBSTITUTE(LEFT(F768,N10)," ","")))),FIND(" ",F768&amp;" ",N10+1)-1)))</f>
        <v>1</v>
      </c>
      <c r="N768" s="119">
        <f t="shared" si="77"/>
        <v>751</v>
      </c>
      <c r="O768" s="99" t="str">
        <f t="shared" si="78"/>
        <v>0</v>
      </c>
      <c r="P768" s="119">
        <f t="shared" si="79"/>
        <v>1</v>
      </c>
      <c r="Q768" s="119">
        <f t="shared" si="80"/>
        <v>1</v>
      </c>
      <c r="S768" s="3">
        <v>1</v>
      </c>
    </row>
    <row r="769" spans="2:19">
      <c r="B769" s="116"/>
      <c r="C769" s="116"/>
      <c r="D769" s="116"/>
      <c r="E769" s="116" cm="1">
        <f t="array" ref="E769">IF(H768&lt;&gt;"",E768,IF(E768="","",IFERROR(MATCH(TRUE(),INDEX(INDEX(K:K,E768+1):K203&lt;&gt;"",0),0)+E768,"")))</f>
        <v>910</v>
      </c>
      <c r="F769" s="117" cm="1">
        <f t="array" ref="F769">IF(E769="","",IF(H768&lt;&gt;"",H768,INDEX(D:D,E769)))</f>
        <v>0</v>
      </c>
      <c r="G769" s="117" t="str">
        <f t="shared" si="75"/>
        <v>0</v>
      </c>
      <c r="H769" s="118" t="str">
        <f t="shared" si="76"/>
        <v/>
      </c>
      <c r="I769" s="116" t="str">
        <f>IF(AND(F769&lt;&gt;"",N10&gt;0,M769&gt;N10),"Mot &gt; limite","")</f>
        <v/>
      </c>
      <c r="M769" s="70">
        <f>IF(OR(F769="",N10="",N10&lt;=0),"",IF(LEN(F769)&lt;=N10,LEN(F769),IFERROR(FIND("♦",SUBSTITUTE(LEFT(F769,N10)," ","♦",LEN(LEFT(F769,N10))-LEN(SUBSTITUTE(LEFT(F769,N10)," ","")))),FIND(" ",F769&amp;" ",N10+1)-1)))</f>
        <v>1</v>
      </c>
      <c r="N769" s="119">
        <f t="shared" si="77"/>
        <v>752</v>
      </c>
      <c r="O769" s="99" t="str">
        <f t="shared" si="78"/>
        <v>0</v>
      </c>
      <c r="P769" s="119">
        <f t="shared" si="79"/>
        <v>1</v>
      </c>
      <c r="Q769" s="119">
        <f t="shared" si="80"/>
        <v>1</v>
      </c>
      <c r="S769" s="3">
        <v>1</v>
      </c>
    </row>
    <row r="770" spans="2:19">
      <c r="B770" s="116"/>
      <c r="C770" s="116"/>
      <c r="D770" s="116"/>
      <c r="E770" s="116" cm="1">
        <f t="array" ref="E770">IF(H769&lt;&gt;"",E769,IF(E769="","",IFERROR(MATCH(TRUE(),INDEX(INDEX(K:K,E769+1):K203&lt;&gt;"",0),0)+E769,"")))</f>
        <v>911</v>
      </c>
      <c r="F770" s="117" cm="1">
        <f t="array" ref="F770">IF(E770="","",IF(H769&lt;&gt;"",H769,INDEX(D:D,E770)))</f>
        <v>0</v>
      </c>
      <c r="G770" s="117" t="str">
        <f t="shared" si="75"/>
        <v>0</v>
      </c>
      <c r="H770" s="118" t="str">
        <f t="shared" si="76"/>
        <v/>
      </c>
      <c r="I770" s="116" t="str">
        <f>IF(AND(F770&lt;&gt;"",N10&gt;0,M770&gt;N10),"Mot &gt; limite","")</f>
        <v/>
      </c>
      <c r="M770" s="70">
        <f>IF(OR(F770="",N10="",N10&lt;=0),"",IF(LEN(F770)&lt;=N10,LEN(F770),IFERROR(FIND("♦",SUBSTITUTE(LEFT(F770,N10)," ","♦",LEN(LEFT(F770,N10))-LEN(SUBSTITUTE(LEFT(F770,N10)," ","")))),FIND(" ",F770&amp;" ",N10+1)-1)))</f>
        <v>1</v>
      </c>
      <c r="N770" s="119">
        <f t="shared" si="77"/>
        <v>753</v>
      </c>
      <c r="O770" s="99" t="str">
        <f t="shared" si="78"/>
        <v>0</v>
      </c>
      <c r="P770" s="119">
        <f t="shared" si="79"/>
        <v>1</v>
      </c>
      <c r="Q770" s="119">
        <f t="shared" si="80"/>
        <v>1</v>
      </c>
      <c r="S770" s="3">
        <v>1</v>
      </c>
    </row>
    <row r="771" spans="2:19">
      <c r="B771" s="116"/>
      <c r="C771" s="116"/>
      <c r="D771" s="116"/>
      <c r="E771" s="116" cm="1">
        <f t="array" ref="E771">IF(H770&lt;&gt;"",E770,IF(E770="","",IFERROR(MATCH(TRUE(),INDEX(INDEX(K:K,E770+1):K203&lt;&gt;"",0),0)+E770,"")))</f>
        <v>912</v>
      </c>
      <c r="F771" s="117" cm="1">
        <f t="array" ref="F771">IF(E771="","",IF(H770&lt;&gt;"",H770,INDEX(D:D,E771)))</f>
        <v>0</v>
      </c>
      <c r="G771" s="117" t="str">
        <f t="shared" si="75"/>
        <v>0</v>
      </c>
      <c r="H771" s="118" t="str">
        <f t="shared" si="76"/>
        <v/>
      </c>
      <c r="I771" s="116" t="str">
        <f>IF(AND(F771&lt;&gt;"",N10&gt;0,M771&gt;N10),"Mot &gt; limite","")</f>
        <v/>
      </c>
      <c r="M771" s="70">
        <f>IF(OR(F771="",N10="",N10&lt;=0),"",IF(LEN(F771)&lt;=N10,LEN(F771),IFERROR(FIND("♦",SUBSTITUTE(LEFT(F771,N10)," ","♦",LEN(LEFT(F771,N10))-LEN(SUBSTITUTE(LEFT(F771,N10)," ","")))),FIND(" ",F771&amp;" ",N10+1)-1)))</f>
        <v>1</v>
      </c>
      <c r="N771" s="119">
        <f t="shared" si="77"/>
        <v>754</v>
      </c>
      <c r="O771" s="99" t="str">
        <f t="shared" si="78"/>
        <v>0</v>
      </c>
      <c r="P771" s="119">
        <f t="shared" si="79"/>
        <v>1</v>
      </c>
      <c r="Q771" s="119">
        <f t="shared" si="80"/>
        <v>1</v>
      </c>
      <c r="S771" s="3">
        <v>1</v>
      </c>
    </row>
    <row r="772" spans="2:19">
      <c r="B772" s="116"/>
      <c r="C772" s="116"/>
      <c r="D772" s="116"/>
      <c r="E772" s="116" cm="1">
        <f t="array" ref="E772">IF(H771&lt;&gt;"",E771,IF(E771="","",IFERROR(MATCH(TRUE(),INDEX(INDEX(K:K,E771+1):K203&lt;&gt;"",0),0)+E771,"")))</f>
        <v>913</v>
      </c>
      <c r="F772" s="117" cm="1">
        <f t="array" ref="F772">IF(E772="","",IF(H771&lt;&gt;"",H771,INDEX(D:D,E772)))</f>
        <v>0</v>
      </c>
      <c r="G772" s="117" t="str">
        <f t="shared" si="75"/>
        <v>0</v>
      </c>
      <c r="H772" s="118" t="str">
        <f t="shared" si="76"/>
        <v/>
      </c>
      <c r="I772" s="116" t="str">
        <f>IF(AND(F772&lt;&gt;"",N10&gt;0,M772&gt;N10),"Mot &gt; limite","")</f>
        <v/>
      </c>
      <c r="M772" s="70">
        <f>IF(OR(F772="",N10="",N10&lt;=0),"",IF(LEN(F772)&lt;=N10,LEN(F772),IFERROR(FIND("♦",SUBSTITUTE(LEFT(F772,N10)," ","♦",LEN(LEFT(F772,N10))-LEN(SUBSTITUTE(LEFT(F772,N10)," ","")))),FIND(" ",F772&amp;" ",N10+1)-1)))</f>
        <v>1</v>
      </c>
      <c r="N772" s="119">
        <f t="shared" si="77"/>
        <v>755</v>
      </c>
      <c r="O772" s="99" t="str">
        <f t="shared" si="78"/>
        <v>0</v>
      </c>
      <c r="P772" s="119">
        <f t="shared" si="79"/>
        <v>1</v>
      </c>
      <c r="Q772" s="119">
        <f t="shared" si="80"/>
        <v>1</v>
      </c>
      <c r="S772" s="3">
        <v>1</v>
      </c>
    </row>
    <row r="773" spans="2:19">
      <c r="B773" s="116"/>
      <c r="C773" s="116"/>
      <c r="D773" s="116"/>
      <c r="E773" s="116" cm="1">
        <f t="array" ref="E773">IF(H772&lt;&gt;"",E772,IF(E772="","",IFERROR(MATCH(TRUE(),INDEX(INDEX(K:K,E772+1):K203&lt;&gt;"",0),0)+E772,"")))</f>
        <v>914</v>
      </c>
      <c r="F773" s="117" cm="1">
        <f t="array" ref="F773">IF(E773="","",IF(H772&lt;&gt;"",H772,INDEX(D:D,E773)))</f>
        <v>0</v>
      </c>
      <c r="G773" s="117" t="str">
        <f t="shared" si="75"/>
        <v>0</v>
      </c>
      <c r="H773" s="118" t="str">
        <f t="shared" si="76"/>
        <v/>
      </c>
      <c r="I773" s="116" t="str">
        <f>IF(AND(F773&lt;&gt;"",N10&gt;0,M773&gt;N10),"Mot &gt; limite","")</f>
        <v/>
      </c>
      <c r="M773" s="70">
        <f>IF(OR(F773="",N10="",N10&lt;=0),"",IF(LEN(F773)&lt;=N10,LEN(F773),IFERROR(FIND("♦",SUBSTITUTE(LEFT(F773,N10)," ","♦",LEN(LEFT(F773,N10))-LEN(SUBSTITUTE(LEFT(F773,N10)," ","")))),FIND(" ",F773&amp;" ",N10+1)-1)))</f>
        <v>1</v>
      </c>
      <c r="N773" s="119">
        <f t="shared" si="77"/>
        <v>756</v>
      </c>
      <c r="O773" s="99" t="str">
        <f t="shared" si="78"/>
        <v>0</v>
      </c>
      <c r="P773" s="119">
        <f t="shared" si="79"/>
        <v>1</v>
      </c>
      <c r="Q773" s="119">
        <f t="shared" si="80"/>
        <v>1</v>
      </c>
      <c r="S773" s="3">
        <v>1</v>
      </c>
    </row>
    <row r="774" spans="2:19">
      <c r="B774" s="116"/>
      <c r="C774" s="116"/>
      <c r="D774" s="116"/>
      <c r="E774" s="116" cm="1">
        <f t="array" ref="E774">IF(H773&lt;&gt;"",E773,IF(E773="","",IFERROR(MATCH(TRUE(),INDEX(INDEX(K:K,E773+1):K203&lt;&gt;"",0),0)+E773,"")))</f>
        <v>915</v>
      </c>
      <c r="F774" s="117" cm="1">
        <f t="array" ref="F774">IF(E774="","",IF(H773&lt;&gt;"",H773,INDEX(D:D,E774)))</f>
        <v>0</v>
      </c>
      <c r="G774" s="117" t="str">
        <f t="shared" si="75"/>
        <v>0</v>
      </c>
      <c r="H774" s="118" t="str">
        <f t="shared" si="76"/>
        <v/>
      </c>
      <c r="I774" s="116" t="str">
        <f>IF(AND(F774&lt;&gt;"",N10&gt;0,M774&gt;N10),"Mot &gt; limite","")</f>
        <v/>
      </c>
      <c r="M774" s="70">
        <f>IF(OR(F774="",N10="",N10&lt;=0),"",IF(LEN(F774)&lt;=N10,LEN(F774),IFERROR(FIND("♦",SUBSTITUTE(LEFT(F774,N10)," ","♦",LEN(LEFT(F774,N10))-LEN(SUBSTITUTE(LEFT(F774,N10)," ","")))),FIND(" ",F774&amp;" ",N10+1)-1)))</f>
        <v>1</v>
      </c>
      <c r="N774" s="119">
        <f t="shared" si="77"/>
        <v>757</v>
      </c>
      <c r="O774" s="99" t="str">
        <f t="shared" si="78"/>
        <v>0</v>
      </c>
      <c r="P774" s="119">
        <f t="shared" si="79"/>
        <v>1</v>
      </c>
      <c r="Q774" s="119">
        <f t="shared" si="80"/>
        <v>1</v>
      </c>
      <c r="S774" s="3">
        <v>1</v>
      </c>
    </row>
    <row r="775" spans="2:19">
      <c r="B775" s="116"/>
      <c r="C775" s="116"/>
      <c r="D775" s="116"/>
      <c r="E775" s="116" cm="1">
        <f t="array" ref="E775">IF(H774&lt;&gt;"",E774,IF(E774="","",IFERROR(MATCH(TRUE(),INDEX(INDEX(K:K,E774+1):K203&lt;&gt;"",0),0)+E774,"")))</f>
        <v>916</v>
      </c>
      <c r="F775" s="117" cm="1">
        <f t="array" ref="F775">IF(E775="","",IF(H774&lt;&gt;"",H774,INDEX(D:D,E775)))</f>
        <v>0</v>
      </c>
      <c r="G775" s="117" t="str">
        <f t="shared" si="75"/>
        <v>0</v>
      </c>
      <c r="H775" s="118" t="str">
        <f t="shared" si="76"/>
        <v/>
      </c>
      <c r="I775" s="116" t="str">
        <f>IF(AND(F775&lt;&gt;"",N10&gt;0,M775&gt;N10),"Mot &gt; limite","")</f>
        <v/>
      </c>
      <c r="M775" s="70">
        <f>IF(OR(F775="",N10="",N10&lt;=0),"",IF(LEN(F775)&lt;=N10,LEN(F775),IFERROR(FIND("♦",SUBSTITUTE(LEFT(F775,N10)," ","♦",LEN(LEFT(F775,N10))-LEN(SUBSTITUTE(LEFT(F775,N10)," ","")))),FIND(" ",F775&amp;" ",N10+1)-1)))</f>
        <v>1</v>
      </c>
      <c r="N775" s="119">
        <f t="shared" si="77"/>
        <v>758</v>
      </c>
      <c r="O775" s="99" t="str">
        <f t="shared" si="78"/>
        <v>0</v>
      </c>
      <c r="P775" s="119">
        <f t="shared" si="79"/>
        <v>1</v>
      </c>
      <c r="Q775" s="119">
        <f t="shared" si="80"/>
        <v>1</v>
      </c>
      <c r="S775" s="3">
        <v>1</v>
      </c>
    </row>
    <row r="776" spans="2:19">
      <c r="B776" s="116"/>
      <c r="C776" s="116"/>
      <c r="D776" s="116"/>
      <c r="E776" s="116" cm="1">
        <f t="array" ref="E776">IF(H775&lt;&gt;"",E775,IF(E775="","",IFERROR(MATCH(TRUE(),INDEX(INDEX(K:K,E775+1):K203&lt;&gt;"",0),0)+E775,"")))</f>
        <v>917</v>
      </c>
      <c r="F776" s="117" cm="1">
        <f t="array" ref="F776">IF(E776="","",IF(H775&lt;&gt;"",H775,INDEX(D:D,E776)))</f>
        <v>0</v>
      </c>
      <c r="G776" s="117" t="str">
        <f t="shared" si="75"/>
        <v>0</v>
      </c>
      <c r="H776" s="118" t="str">
        <f t="shared" si="76"/>
        <v/>
      </c>
      <c r="I776" s="116" t="str">
        <f>IF(AND(F776&lt;&gt;"",N10&gt;0,M776&gt;N10),"Mot &gt; limite","")</f>
        <v/>
      </c>
      <c r="M776" s="70">
        <f>IF(OR(F776="",N10="",N10&lt;=0),"",IF(LEN(F776)&lt;=N10,LEN(F776),IFERROR(FIND("♦",SUBSTITUTE(LEFT(F776,N10)," ","♦",LEN(LEFT(F776,N10))-LEN(SUBSTITUTE(LEFT(F776,N10)," ","")))),FIND(" ",F776&amp;" ",N10+1)-1)))</f>
        <v>1</v>
      </c>
      <c r="N776" s="119">
        <f t="shared" si="77"/>
        <v>759</v>
      </c>
      <c r="O776" s="99" t="str">
        <f t="shared" si="78"/>
        <v>0</v>
      </c>
      <c r="P776" s="119">
        <f t="shared" si="79"/>
        <v>1</v>
      </c>
      <c r="Q776" s="119">
        <f t="shared" si="80"/>
        <v>1</v>
      </c>
      <c r="S776" s="3">
        <v>1</v>
      </c>
    </row>
    <row r="777" spans="2:19">
      <c r="B777" s="116"/>
      <c r="C777" s="116"/>
      <c r="D777" s="116"/>
      <c r="E777" s="116" cm="1">
        <f t="array" ref="E777">IF(H776&lt;&gt;"",E776,IF(E776="","",IFERROR(MATCH(TRUE(),INDEX(INDEX(K:K,E776+1):K203&lt;&gt;"",0),0)+E776,"")))</f>
        <v>918</v>
      </c>
      <c r="F777" s="117" cm="1">
        <f t="array" ref="F777">IF(E777="","",IF(H776&lt;&gt;"",H776,INDEX(D:D,E777)))</f>
        <v>0</v>
      </c>
      <c r="G777" s="117" t="str">
        <f t="shared" si="75"/>
        <v>0</v>
      </c>
      <c r="H777" s="118" t="str">
        <f t="shared" si="76"/>
        <v/>
      </c>
      <c r="I777" s="116" t="str">
        <f>IF(AND(F777&lt;&gt;"",N10&gt;0,M777&gt;N10),"Mot &gt; limite","")</f>
        <v/>
      </c>
      <c r="M777" s="70">
        <f>IF(OR(F777="",N10="",N10&lt;=0),"",IF(LEN(F777)&lt;=N10,LEN(F777),IFERROR(FIND("♦",SUBSTITUTE(LEFT(F777,N10)," ","♦",LEN(LEFT(F777,N10))-LEN(SUBSTITUTE(LEFT(F777,N10)," ","")))),FIND(" ",F777&amp;" ",N10+1)-1)))</f>
        <v>1</v>
      </c>
      <c r="N777" s="119">
        <f t="shared" si="77"/>
        <v>760</v>
      </c>
      <c r="O777" s="99" t="str">
        <f t="shared" si="78"/>
        <v>0</v>
      </c>
      <c r="P777" s="119">
        <f t="shared" si="79"/>
        <v>1</v>
      </c>
      <c r="Q777" s="119">
        <f t="shared" si="80"/>
        <v>1</v>
      </c>
      <c r="S777" s="3">
        <v>1</v>
      </c>
    </row>
    <row r="778" spans="2:19">
      <c r="B778" s="116"/>
      <c r="C778" s="116"/>
      <c r="D778" s="116"/>
      <c r="E778" s="116" cm="1">
        <f t="array" ref="E778">IF(H777&lt;&gt;"",E777,IF(E777="","",IFERROR(MATCH(TRUE(),INDEX(INDEX(K:K,E777+1):K203&lt;&gt;"",0),0)+E777,"")))</f>
        <v>919</v>
      </c>
      <c r="F778" s="117" cm="1">
        <f t="array" ref="F778">IF(E778="","",IF(H777&lt;&gt;"",H777,INDEX(D:D,E778)))</f>
        <v>0</v>
      </c>
      <c r="G778" s="117" t="str">
        <f t="shared" si="75"/>
        <v>0</v>
      </c>
      <c r="H778" s="118" t="str">
        <f t="shared" si="76"/>
        <v/>
      </c>
      <c r="I778" s="116" t="str">
        <f>IF(AND(F778&lt;&gt;"",N10&gt;0,M778&gt;N10),"Mot &gt; limite","")</f>
        <v/>
      </c>
      <c r="M778" s="70">
        <f>IF(OR(F778="",N10="",N10&lt;=0),"",IF(LEN(F778)&lt;=N10,LEN(F778),IFERROR(FIND("♦",SUBSTITUTE(LEFT(F778,N10)," ","♦",LEN(LEFT(F778,N10))-LEN(SUBSTITUTE(LEFT(F778,N10)," ","")))),FIND(" ",F778&amp;" ",N10+1)-1)))</f>
        <v>1</v>
      </c>
      <c r="N778" s="119">
        <f t="shared" si="77"/>
        <v>761</v>
      </c>
      <c r="O778" s="99" t="str">
        <f t="shared" si="78"/>
        <v>0</v>
      </c>
      <c r="P778" s="119">
        <f t="shared" si="79"/>
        <v>1</v>
      </c>
      <c r="Q778" s="119">
        <f t="shared" si="80"/>
        <v>1</v>
      </c>
      <c r="S778" s="3">
        <v>1</v>
      </c>
    </row>
    <row r="779" spans="2:19">
      <c r="B779" s="116"/>
      <c r="C779" s="116"/>
      <c r="D779" s="116"/>
      <c r="E779" s="116" cm="1">
        <f t="array" ref="E779">IF(H778&lt;&gt;"",E778,IF(E778="","",IFERROR(MATCH(TRUE(),INDEX(INDEX(K:K,E778+1):K203&lt;&gt;"",0),0)+E778,"")))</f>
        <v>920</v>
      </c>
      <c r="F779" s="117" cm="1">
        <f t="array" ref="F779">IF(E779="","",IF(H778&lt;&gt;"",H778,INDEX(D:D,E779)))</f>
        <v>0</v>
      </c>
      <c r="G779" s="117" t="str">
        <f t="shared" si="75"/>
        <v>0</v>
      </c>
      <c r="H779" s="118" t="str">
        <f t="shared" si="76"/>
        <v/>
      </c>
      <c r="I779" s="116" t="str">
        <f>IF(AND(F779&lt;&gt;"",N10&gt;0,M779&gt;N10),"Mot &gt; limite","")</f>
        <v/>
      </c>
      <c r="M779" s="70">
        <f>IF(OR(F779="",N10="",N10&lt;=0),"",IF(LEN(F779)&lt;=N10,LEN(F779),IFERROR(FIND("♦",SUBSTITUTE(LEFT(F779,N10)," ","♦",LEN(LEFT(F779,N10))-LEN(SUBSTITUTE(LEFT(F779,N10)," ","")))),FIND(" ",F779&amp;" ",N10+1)-1)))</f>
        <v>1</v>
      </c>
      <c r="N779" s="119">
        <f t="shared" si="77"/>
        <v>762</v>
      </c>
      <c r="O779" s="99" t="str">
        <f t="shared" si="78"/>
        <v>0</v>
      </c>
      <c r="P779" s="119">
        <f t="shared" si="79"/>
        <v>1</v>
      </c>
      <c r="Q779" s="119">
        <f t="shared" si="80"/>
        <v>1</v>
      </c>
      <c r="S779" s="3">
        <v>1</v>
      </c>
    </row>
    <row r="780" spans="2:19">
      <c r="B780" s="116"/>
      <c r="C780" s="116"/>
      <c r="D780" s="116"/>
      <c r="E780" s="116" cm="1">
        <f t="array" ref="E780">IF(H779&lt;&gt;"",E779,IF(E779="","",IFERROR(MATCH(TRUE(),INDEX(INDEX(K:K,E779+1):K203&lt;&gt;"",0),0)+E779,"")))</f>
        <v>921</v>
      </c>
      <c r="F780" s="117" cm="1">
        <f t="array" ref="F780">IF(E780="","",IF(H779&lt;&gt;"",H779,INDEX(D:D,E780)))</f>
        <v>0</v>
      </c>
      <c r="G780" s="117" t="str">
        <f t="shared" si="75"/>
        <v>0</v>
      </c>
      <c r="H780" s="118" t="str">
        <f t="shared" si="76"/>
        <v/>
      </c>
      <c r="I780" s="116" t="str">
        <f>IF(AND(F780&lt;&gt;"",N10&gt;0,M780&gt;N10),"Mot &gt; limite","")</f>
        <v/>
      </c>
      <c r="M780" s="70">
        <f>IF(OR(F780="",N10="",N10&lt;=0),"",IF(LEN(F780)&lt;=N10,LEN(F780),IFERROR(FIND("♦",SUBSTITUTE(LEFT(F780,N10)," ","♦",LEN(LEFT(F780,N10))-LEN(SUBSTITUTE(LEFT(F780,N10)," ","")))),FIND(" ",F780&amp;" ",N10+1)-1)))</f>
        <v>1</v>
      </c>
      <c r="N780" s="119">
        <f t="shared" si="77"/>
        <v>763</v>
      </c>
      <c r="O780" s="99" t="str">
        <f t="shared" si="78"/>
        <v>0</v>
      </c>
      <c r="P780" s="119">
        <f t="shared" si="79"/>
        <v>1</v>
      </c>
      <c r="Q780" s="119">
        <f t="shared" si="80"/>
        <v>1</v>
      </c>
      <c r="S780" s="3">
        <v>1</v>
      </c>
    </row>
    <row r="781" spans="2:19">
      <c r="B781" s="116"/>
      <c r="C781" s="116"/>
      <c r="D781" s="116"/>
      <c r="E781" s="116" cm="1">
        <f t="array" ref="E781">IF(H780&lt;&gt;"",E780,IF(E780="","",IFERROR(MATCH(TRUE(),INDEX(INDEX(K:K,E780+1):K203&lt;&gt;"",0),0)+E780,"")))</f>
        <v>922</v>
      </c>
      <c r="F781" s="117" cm="1">
        <f t="array" ref="F781">IF(E781="","",IF(H780&lt;&gt;"",H780,INDEX(D:D,E781)))</f>
        <v>0</v>
      </c>
      <c r="G781" s="117" t="str">
        <f t="shared" si="75"/>
        <v>0</v>
      </c>
      <c r="H781" s="118" t="str">
        <f t="shared" si="76"/>
        <v/>
      </c>
      <c r="I781" s="116" t="str">
        <f>IF(AND(F781&lt;&gt;"",N10&gt;0,M781&gt;N10),"Mot &gt; limite","")</f>
        <v/>
      </c>
      <c r="M781" s="70">
        <f>IF(OR(F781="",N10="",N10&lt;=0),"",IF(LEN(F781)&lt;=N10,LEN(F781),IFERROR(FIND("♦",SUBSTITUTE(LEFT(F781,N10)," ","♦",LEN(LEFT(F781,N10))-LEN(SUBSTITUTE(LEFT(F781,N10)," ","")))),FIND(" ",F781&amp;" ",N10+1)-1)))</f>
        <v>1</v>
      </c>
      <c r="N781" s="119">
        <f t="shared" si="77"/>
        <v>764</v>
      </c>
      <c r="O781" s="99" t="str">
        <f t="shared" si="78"/>
        <v>0</v>
      </c>
      <c r="P781" s="119">
        <f t="shared" si="79"/>
        <v>1</v>
      </c>
      <c r="Q781" s="119">
        <f t="shared" si="80"/>
        <v>1</v>
      </c>
      <c r="S781" s="3">
        <v>1</v>
      </c>
    </row>
    <row r="782" spans="2:19">
      <c r="B782" s="116"/>
      <c r="C782" s="116"/>
      <c r="D782" s="116"/>
      <c r="E782" s="116" cm="1">
        <f t="array" ref="E782">IF(H781&lt;&gt;"",E781,IF(E781="","",IFERROR(MATCH(TRUE(),INDEX(INDEX(K:K,E781+1):K203&lt;&gt;"",0),0)+E781,"")))</f>
        <v>923</v>
      </c>
      <c r="F782" s="117" cm="1">
        <f t="array" ref="F782">IF(E782="","",IF(H781&lt;&gt;"",H781,INDEX(D:D,E782)))</f>
        <v>0</v>
      </c>
      <c r="G782" s="117" t="str">
        <f t="shared" si="75"/>
        <v>0</v>
      </c>
      <c r="H782" s="118" t="str">
        <f t="shared" si="76"/>
        <v/>
      </c>
      <c r="I782" s="116" t="str">
        <f>IF(AND(F782&lt;&gt;"",N10&gt;0,M782&gt;N10),"Mot &gt; limite","")</f>
        <v/>
      </c>
      <c r="M782" s="70">
        <f>IF(OR(F782="",N10="",N10&lt;=0),"",IF(LEN(F782)&lt;=N10,LEN(F782),IFERROR(FIND("♦",SUBSTITUTE(LEFT(F782,N10)," ","♦",LEN(LEFT(F782,N10))-LEN(SUBSTITUTE(LEFT(F782,N10)," ","")))),FIND(" ",F782&amp;" ",N10+1)-1)))</f>
        <v>1</v>
      </c>
      <c r="N782" s="119">
        <f t="shared" si="77"/>
        <v>765</v>
      </c>
      <c r="O782" s="99" t="str">
        <f t="shared" si="78"/>
        <v>0</v>
      </c>
      <c r="P782" s="119">
        <f t="shared" si="79"/>
        <v>1</v>
      </c>
      <c r="Q782" s="119">
        <f t="shared" si="80"/>
        <v>1</v>
      </c>
      <c r="S782" s="3">
        <v>1</v>
      </c>
    </row>
    <row r="783" spans="2:19">
      <c r="B783" s="116"/>
      <c r="C783" s="116"/>
      <c r="D783" s="116"/>
      <c r="E783" s="116" cm="1">
        <f t="array" ref="E783">IF(H782&lt;&gt;"",E782,IF(E782="","",IFERROR(MATCH(TRUE(),INDEX(INDEX(K:K,E782+1):K203&lt;&gt;"",0),0)+E782,"")))</f>
        <v>924</v>
      </c>
      <c r="F783" s="117" cm="1">
        <f t="array" ref="F783">IF(E783="","",IF(H782&lt;&gt;"",H782,INDEX(D:D,E783)))</f>
        <v>0</v>
      </c>
      <c r="G783" s="117" t="str">
        <f t="shared" si="75"/>
        <v>0</v>
      </c>
      <c r="H783" s="118" t="str">
        <f t="shared" si="76"/>
        <v/>
      </c>
      <c r="I783" s="116" t="str">
        <f>IF(AND(F783&lt;&gt;"",N10&gt;0,M783&gt;N10),"Mot &gt; limite","")</f>
        <v/>
      </c>
      <c r="M783" s="70">
        <f>IF(OR(F783="",N10="",N10&lt;=0),"",IF(LEN(F783)&lt;=N10,LEN(F783),IFERROR(FIND("♦",SUBSTITUTE(LEFT(F783,N10)," ","♦",LEN(LEFT(F783,N10))-LEN(SUBSTITUTE(LEFT(F783,N10)," ","")))),FIND(" ",F783&amp;" ",N10+1)-1)))</f>
        <v>1</v>
      </c>
      <c r="N783" s="119">
        <f t="shared" si="77"/>
        <v>766</v>
      </c>
      <c r="O783" s="99" t="str">
        <f t="shared" si="78"/>
        <v>0</v>
      </c>
      <c r="P783" s="119">
        <f t="shared" si="79"/>
        <v>1</v>
      </c>
      <c r="Q783" s="119">
        <f t="shared" si="80"/>
        <v>1</v>
      </c>
      <c r="S783" s="3">
        <v>1</v>
      </c>
    </row>
    <row r="784" spans="2:19">
      <c r="B784" s="116"/>
      <c r="C784" s="116"/>
      <c r="D784" s="116"/>
      <c r="E784" s="116" cm="1">
        <f t="array" ref="E784">IF(H783&lt;&gt;"",E783,IF(E783="","",IFERROR(MATCH(TRUE(),INDEX(INDEX(K:K,E783+1):K203&lt;&gt;"",0),0)+E783,"")))</f>
        <v>925</v>
      </c>
      <c r="F784" s="117" cm="1">
        <f t="array" ref="F784">IF(E784="","",IF(H783&lt;&gt;"",H783,INDEX(D:D,E784)))</f>
        <v>0</v>
      </c>
      <c r="G784" s="117" t="str">
        <f t="shared" si="75"/>
        <v>0</v>
      </c>
      <c r="H784" s="118" t="str">
        <f t="shared" si="76"/>
        <v/>
      </c>
      <c r="I784" s="116" t="str">
        <f>IF(AND(F784&lt;&gt;"",N10&gt;0,M784&gt;N10),"Mot &gt; limite","")</f>
        <v/>
      </c>
      <c r="M784" s="70">
        <f>IF(OR(F784="",N10="",N10&lt;=0),"",IF(LEN(F784)&lt;=N10,LEN(F784),IFERROR(FIND("♦",SUBSTITUTE(LEFT(F784,N10)," ","♦",LEN(LEFT(F784,N10))-LEN(SUBSTITUTE(LEFT(F784,N10)," ","")))),FIND(" ",F784&amp;" ",N10+1)-1)))</f>
        <v>1</v>
      </c>
      <c r="N784" s="119">
        <f t="shared" si="77"/>
        <v>767</v>
      </c>
      <c r="O784" s="99" t="str">
        <f t="shared" si="78"/>
        <v>0</v>
      </c>
      <c r="P784" s="119">
        <f t="shared" si="79"/>
        <v>1</v>
      </c>
      <c r="Q784" s="119">
        <f t="shared" si="80"/>
        <v>1</v>
      </c>
      <c r="S784" s="3">
        <v>1</v>
      </c>
    </row>
    <row r="785" spans="2:19">
      <c r="B785" s="116"/>
      <c r="C785" s="116"/>
      <c r="D785" s="116"/>
      <c r="E785" s="116" cm="1">
        <f t="array" ref="E785">IF(H784&lt;&gt;"",E784,IF(E784="","",IFERROR(MATCH(TRUE(),INDEX(INDEX(K:K,E784+1):K203&lt;&gt;"",0),0)+E784,"")))</f>
        <v>926</v>
      </c>
      <c r="F785" s="117" cm="1">
        <f t="array" ref="F785">IF(E785="","",IF(H784&lt;&gt;"",H784,INDEX(D:D,E785)))</f>
        <v>0</v>
      </c>
      <c r="G785" s="117" t="str">
        <f t="shared" si="75"/>
        <v>0</v>
      </c>
      <c r="H785" s="118" t="str">
        <f t="shared" si="76"/>
        <v/>
      </c>
      <c r="I785" s="116" t="str">
        <f>IF(AND(F785&lt;&gt;"",N10&gt;0,M785&gt;N10),"Mot &gt; limite","")</f>
        <v/>
      </c>
      <c r="M785" s="70">
        <f>IF(OR(F785="",N10="",N10&lt;=0),"",IF(LEN(F785)&lt;=N10,LEN(F785),IFERROR(FIND("♦",SUBSTITUTE(LEFT(F785,N10)," ","♦",LEN(LEFT(F785,N10))-LEN(SUBSTITUTE(LEFT(F785,N10)," ","")))),FIND(" ",F785&amp;" ",N10+1)-1)))</f>
        <v>1</v>
      </c>
      <c r="N785" s="119">
        <f t="shared" si="77"/>
        <v>768</v>
      </c>
      <c r="O785" s="99" t="str">
        <f t="shared" si="78"/>
        <v>0</v>
      </c>
      <c r="P785" s="119">
        <f t="shared" si="79"/>
        <v>1</v>
      </c>
      <c r="Q785" s="119">
        <f t="shared" si="80"/>
        <v>1</v>
      </c>
      <c r="S785" s="3">
        <v>1</v>
      </c>
    </row>
    <row r="786" spans="2:19">
      <c r="B786" s="116"/>
      <c r="C786" s="116"/>
      <c r="D786" s="116"/>
      <c r="E786" s="116" cm="1">
        <f t="array" ref="E786">IF(H785&lt;&gt;"",E785,IF(E785="","",IFERROR(MATCH(TRUE(),INDEX(INDEX(K:K,E785+1):K203&lt;&gt;"",0),0)+E785,"")))</f>
        <v>927</v>
      </c>
      <c r="F786" s="117" cm="1">
        <f t="array" ref="F786">IF(E786="","",IF(H785&lt;&gt;"",H785,INDEX(D:D,E786)))</f>
        <v>0</v>
      </c>
      <c r="G786" s="117" t="str">
        <f t="shared" ref="G786:G849" si="81">IF(OR(F786="",M786=""),"",LEFT(F786,M786))</f>
        <v>0</v>
      </c>
      <c r="H786" s="118" t="str">
        <f t="shared" ref="H786:H849" si="82">IF(OR(F786="",M786=""),"",TRIM(MID(F786,M786+1,99999)))</f>
        <v/>
      </c>
      <c r="I786" s="116" t="str">
        <f>IF(AND(F786&lt;&gt;"",N10&gt;0,M786&gt;N10),"Mot &gt; limite","")</f>
        <v/>
      </c>
      <c r="M786" s="70">
        <f>IF(OR(F786="",N10="",N10&lt;=0),"",IF(LEN(F786)&lt;=N10,LEN(F786),IFERROR(FIND("♦",SUBSTITUTE(LEFT(F786,N10)," ","♦",LEN(LEFT(F786,N10))-LEN(SUBSTITUTE(LEFT(F786,N10)," ","")))),FIND(" ",F786&amp;" ",N10+1)-1)))</f>
        <v>1</v>
      </c>
      <c r="N786" s="119">
        <f t="shared" ref="N786:N849" si="83">IF(O786="","",ROW()-17)</f>
        <v>769</v>
      </c>
      <c r="O786" s="99" t="str">
        <f t="shared" ref="O786:O849" si="84">G786</f>
        <v>0</v>
      </c>
      <c r="P786" s="119">
        <f t="shared" ref="P786:P849" si="85">IF(O786="","",LEN(TRIM(O786))-LEN(SUBSTITUTE(TRIM(O786)," ",""))+1)</f>
        <v>1</v>
      </c>
      <c r="Q786" s="119">
        <f t="shared" ref="Q786:Q849" si="86">IF(O786="","",LEN(O786))</f>
        <v>1</v>
      </c>
      <c r="S786" s="3">
        <v>1</v>
      </c>
    </row>
    <row r="787" spans="2:19">
      <c r="B787" s="116"/>
      <c r="C787" s="116"/>
      <c r="D787" s="116"/>
      <c r="E787" s="116" cm="1">
        <f t="array" ref="E787">IF(H786&lt;&gt;"",E786,IF(E786="","",IFERROR(MATCH(TRUE(),INDEX(INDEX(K:K,E786+1):K203&lt;&gt;"",0),0)+E786,"")))</f>
        <v>928</v>
      </c>
      <c r="F787" s="117" cm="1">
        <f t="array" ref="F787">IF(E787="","",IF(H786&lt;&gt;"",H786,INDEX(D:D,E787)))</f>
        <v>0</v>
      </c>
      <c r="G787" s="117" t="str">
        <f t="shared" si="81"/>
        <v>0</v>
      </c>
      <c r="H787" s="118" t="str">
        <f t="shared" si="82"/>
        <v/>
      </c>
      <c r="I787" s="116" t="str">
        <f>IF(AND(F787&lt;&gt;"",N10&gt;0,M787&gt;N10),"Mot &gt; limite","")</f>
        <v/>
      </c>
      <c r="M787" s="70">
        <f>IF(OR(F787="",N10="",N10&lt;=0),"",IF(LEN(F787)&lt;=N10,LEN(F787),IFERROR(FIND("♦",SUBSTITUTE(LEFT(F787,N10)," ","♦",LEN(LEFT(F787,N10))-LEN(SUBSTITUTE(LEFT(F787,N10)," ","")))),FIND(" ",F787&amp;" ",N10+1)-1)))</f>
        <v>1</v>
      </c>
      <c r="N787" s="119">
        <f t="shared" si="83"/>
        <v>770</v>
      </c>
      <c r="O787" s="99" t="str">
        <f t="shared" si="84"/>
        <v>0</v>
      </c>
      <c r="P787" s="119">
        <f t="shared" si="85"/>
        <v>1</v>
      </c>
      <c r="Q787" s="119">
        <f t="shared" si="86"/>
        <v>1</v>
      </c>
      <c r="S787" s="3">
        <v>1</v>
      </c>
    </row>
    <row r="788" spans="2:19">
      <c r="B788" s="116"/>
      <c r="C788" s="116"/>
      <c r="D788" s="116"/>
      <c r="E788" s="116" cm="1">
        <f t="array" ref="E788">IF(H787&lt;&gt;"",E787,IF(E787="","",IFERROR(MATCH(TRUE(),INDEX(INDEX(K:K,E787+1):K203&lt;&gt;"",0),0)+E787,"")))</f>
        <v>929</v>
      </c>
      <c r="F788" s="117" cm="1">
        <f t="array" ref="F788">IF(E788="","",IF(H787&lt;&gt;"",H787,INDEX(D:D,E788)))</f>
        <v>0</v>
      </c>
      <c r="G788" s="117" t="str">
        <f t="shared" si="81"/>
        <v>0</v>
      </c>
      <c r="H788" s="118" t="str">
        <f t="shared" si="82"/>
        <v/>
      </c>
      <c r="I788" s="116" t="str">
        <f>IF(AND(F788&lt;&gt;"",N10&gt;0,M788&gt;N10),"Mot &gt; limite","")</f>
        <v/>
      </c>
      <c r="M788" s="70">
        <f>IF(OR(F788="",N10="",N10&lt;=0),"",IF(LEN(F788)&lt;=N10,LEN(F788),IFERROR(FIND("♦",SUBSTITUTE(LEFT(F788,N10)," ","♦",LEN(LEFT(F788,N10))-LEN(SUBSTITUTE(LEFT(F788,N10)," ","")))),FIND(" ",F788&amp;" ",N10+1)-1)))</f>
        <v>1</v>
      </c>
      <c r="N788" s="119">
        <f t="shared" si="83"/>
        <v>771</v>
      </c>
      <c r="O788" s="99" t="str">
        <f t="shared" si="84"/>
        <v>0</v>
      </c>
      <c r="P788" s="119">
        <f t="shared" si="85"/>
        <v>1</v>
      </c>
      <c r="Q788" s="119">
        <f t="shared" si="86"/>
        <v>1</v>
      </c>
      <c r="S788" s="3">
        <v>1</v>
      </c>
    </row>
    <row r="789" spans="2:19">
      <c r="B789" s="116"/>
      <c r="C789" s="116"/>
      <c r="D789" s="116"/>
      <c r="E789" s="116" cm="1">
        <f t="array" ref="E789">IF(H788&lt;&gt;"",E788,IF(E788="","",IFERROR(MATCH(TRUE(),INDEX(INDEX(K:K,E788+1):K203&lt;&gt;"",0),0)+E788,"")))</f>
        <v>930</v>
      </c>
      <c r="F789" s="117" cm="1">
        <f t="array" ref="F789">IF(E789="","",IF(H788&lt;&gt;"",H788,INDEX(D:D,E789)))</f>
        <v>0</v>
      </c>
      <c r="G789" s="117" t="str">
        <f t="shared" si="81"/>
        <v>0</v>
      </c>
      <c r="H789" s="118" t="str">
        <f t="shared" si="82"/>
        <v/>
      </c>
      <c r="I789" s="116" t="str">
        <f>IF(AND(F789&lt;&gt;"",N10&gt;0,M789&gt;N10),"Mot &gt; limite","")</f>
        <v/>
      </c>
      <c r="M789" s="70">
        <f>IF(OR(F789="",N10="",N10&lt;=0),"",IF(LEN(F789)&lt;=N10,LEN(F789),IFERROR(FIND("♦",SUBSTITUTE(LEFT(F789,N10)," ","♦",LEN(LEFT(F789,N10))-LEN(SUBSTITUTE(LEFT(F789,N10)," ","")))),FIND(" ",F789&amp;" ",N10+1)-1)))</f>
        <v>1</v>
      </c>
      <c r="N789" s="119">
        <f t="shared" si="83"/>
        <v>772</v>
      </c>
      <c r="O789" s="99" t="str">
        <f t="shared" si="84"/>
        <v>0</v>
      </c>
      <c r="P789" s="119">
        <f t="shared" si="85"/>
        <v>1</v>
      </c>
      <c r="Q789" s="119">
        <f t="shared" si="86"/>
        <v>1</v>
      </c>
      <c r="S789" s="3">
        <v>1</v>
      </c>
    </row>
    <row r="790" spans="2:19">
      <c r="B790" s="116"/>
      <c r="C790" s="116"/>
      <c r="D790" s="116"/>
      <c r="E790" s="116" cm="1">
        <f t="array" ref="E790">IF(H789&lt;&gt;"",E789,IF(E789="","",IFERROR(MATCH(TRUE(),INDEX(INDEX(K:K,E789+1):K203&lt;&gt;"",0),0)+E789,"")))</f>
        <v>931</v>
      </c>
      <c r="F790" s="117" cm="1">
        <f t="array" ref="F790">IF(E790="","",IF(H789&lt;&gt;"",H789,INDEX(D:D,E790)))</f>
        <v>0</v>
      </c>
      <c r="G790" s="117" t="str">
        <f t="shared" si="81"/>
        <v>0</v>
      </c>
      <c r="H790" s="118" t="str">
        <f t="shared" si="82"/>
        <v/>
      </c>
      <c r="I790" s="116" t="str">
        <f>IF(AND(F790&lt;&gt;"",N10&gt;0,M790&gt;N10),"Mot &gt; limite","")</f>
        <v/>
      </c>
      <c r="M790" s="70">
        <f>IF(OR(F790="",N10="",N10&lt;=0),"",IF(LEN(F790)&lt;=N10,LEN(F790),IFERROR(FIND("♦",SUBSTITUTE(LEFT(F790,N10)," ","♦",LEN(LEFT(F790,N10))-LEN(SUBSTITUTE(LEFT(F790,N10)," ","")))),FIND(" ",F790&amp;" ",N10+1)-1)))</f>
        <v>1</v>
      </c>
      <c r="N790" s="119">
        <f t="shared" si="83"/>
        <v>773</v>
      </c>
      <c r="O790" s="99" t="str">
        <f t="shared" si="84"/>
        <v>0</v>
      </c>
      <c r="P790" s="119">
        <f t="shared" si="85"/>
        <v>1</v>
      </c>
      <c r="Q790" s="119">
        <f t="shared" si="86"/>
        <v>1</v>
      </c>
      <c r="S790" s="3">
        <v>1</v>
      </c>
    </row>
    <row r="791" spans="2:19">
      <c r="B791" s="116"/>
      <c r="C791" s="116"/>
      <c r="D791" s="116"/>
      <c r="E791" s="116" cm="1">
        <f t="array" ref="E791">IF(H790&lt;&gt;"",E790,IF(E790="","",IFERROR(MATCH(TRUE(),INDEX(INDEX(K:K,E790+1):K203&lt;&gt;"",0),0)+E790,"")))</f>
        <v>932</v>
      </c>
      <c r="F791" s="117" cm="1">
        <f t="array" ref="F791">IF(E791="","",IF(H790&lt;&gt;"",H790,INDEX(D:D,E791)))</f>
        <v>0</v>
      </c>
      <c r="G791" s="117" t="str">
        <f t="shared" si="81"/>
        <v>0</v>
      </c>
      <c r="H791" s="118" t="str">
        <f t="shared" si="82"/>
        <v/>
      </c>
      <c r="I791" s="116" t="str">
        <f>IF(AND(F791&lt;&gt;"",N10&gt;0,M791&gt;N10),"Mot &gt; limite","")</f>
        <v/>
      </c>
      <c r="M791" s="70">
        <f>IF(OR(F791="",N10="",N10&lt;=0),"",IF(LEN(F791)&lt;=N10,LEN(F791),IFERROR(FIND("♦",SUBSTITUTE(LEFT(F791,N10)," ","♦",LEN(LEFT(F791,N10))-LEN(SUBSTITUTE(LEFT(F791,N10)," ","")))),FIND(" ",F791&amp;" ",N10+1)-1)))</f>
        <v>1</v>
      </c>
      <c r="N791" s="119">
        <f t="shared" si="83"/>
        <v>774</v>
      </c>
      <c r="O791" s="99" t="str">
        <f t="shared" si="84"/>
        <v>0</v>
      </c>
      <c r="P791" s="119">
        <f t="shared" si="85"/>
        <v>1</v>
      </c>
      <c r="Q791" s="119">
        <f t="shared" si="86"/>
        <v>1</v>
      </c>
      <c r="S791" s="3">
        <v>1</v>
      </c>
    </row>
    <row r="792" spans="2:19">
      <c r="B792" s="116"/>
      <c r="C792" s="116"/>
      <c r="D792" s="116"/>
      <c r="E792" s="116" cm="1">
        <f t="array" ref="E792">IF(H791&lt;&gt;"",E791,IF(E791="","",IFERROR(MATCH(TRUE(),INDEX(INDEX(K:K,E791+1):K203&lt;&gt;"",0),0)+E791,"")))</f>
        <v>933</v>
      </c>
      <c r="F792" s="117" cm="1">
        <f t="array" ref="F792">IF(E792="","",IF(H791&lt;&gt;"",H791,INDEX(D:D,E792)))</f>
        <v>0</v>
      </c>
      <c r="G792" s="117" t="str">
        <f t="shared" si="81"/>
        <v>0</v>
      </c>
      <c r="H792" s="118" t="str">
        <f t="shared" si="82"/>
        <v/>
      </c>
      <c r="I792" s="116" t="str">
        <f>IF(AND(F792&lt;&gt;"",N10&gt;0,M792&gt;N10),"Mot &gt; limite","")</f>
        <v/>
      </c>
      <c r="M792" s="70">
        <f>IF(OR(F792="",N10="",N10&lt;=0),"",IF(LEN(F792)&lt;=N10,LEN(F792),IFERROR(FIND("♦",SUBSTITUTE(LEFT(F792,N10)," ","♦",LEN(LEFT(F792,N10))-LEN(SUBSTITUTE(LEFT(F792,N10)," ","")))),FIND(" ",F792&amp;" ",N10+1)-1)))</f>
        <v>1</v>
      </c>
      <c r="N792" s="119">
        <f t="shared" si="83"/>
        <v>775</v>
      </c>
      <c r="O792" s="99" t="str">
        <f t="shared" si="84"/>
        <v>0</v>
      </c>
      <c r="P792" s="119">
        <f t="shared" si="85"/>
        <v>1</v>
      </c>
      <c r="Q792" s="119">
        <f t="shared" si="86"/>
        <v>1</v>
      </c>
      <c r="S792" s="3">
        <v>1</v>
      </c>
    </row>
    <row r="793" spans="2:19">
      <c r="B793" s="116"/>
      <c r="C793" s="116"/>
      <c r="D793" s="116"/>
      <c r="E793" s="116" cm="1">
        <f t="array" ref="E793">IF(H792&lt;&gt;"",E792,IF(E792="","",IFERROR(MATCH(TRUE(),INDEX(INDEX(K:K,E792+1):K203&lt;&gt;"",0),0)+E792,"")))</f>
        <v>934</v>
      </c>
      <c r="F793" s="117" cm="1">
        <f t="array" ref="F793">IF(E793="","",IF(H792&lt;&gt;"",H792,INDEX(D:D,E793)))</f>
        <v>0</v>
      </c>
      <c r="G793" s="117" t="str">
        <f t="shared" si="81"/>
        <v>0</v>
      </c>
      <c r="H793" s="118" t="str">
        <f t="shared" si="82"/>
        <v/>
      </c>
      <c r="I793" s="116" t="str">
        <f>IF(AND(F793&lt;&gt;"",N10&gt;0,M793&gt;N10),"Mot &gt; limite","")</f>
        <v/>
      </c>
      <c r="M793" s="70">
        <f>IF(OR(F793="",N10="",N10&lt;=0),"",IF(LEN(F793)&lt;=N10,LEN(F793),IFERROR(FIND("♦",SUBSTITUTE(LEFT(F793,N10)," ","♦",LEN(LEFT(F793,N10))-LEN(SUBSTITUTE(LEFT(F793,N10)," ","")))),FIND(" ",F793&amp;" ",N10+1)-1)))</f>
        <v>1</v>
      </c>
      <c r="N793" s="119">
        <f t="shared" si="83"/>
        <v>776</v>
      </c>
      <c r="O793" s="99" t="str">
        <f t="shared" si="84"/>
        <v>0</v>
      </c>
      <c r="P793" s="119">
        <f t="shared" si="85"/>
        <v>1</v>
      </c>
      <c r="Q793" s="119">
        <f t="shared" si="86"/>
        <v>1</v>
      </c>
      <c r="S793" s="3">
        <v>1</v>
      </c>
    </row>
    <row r="794" spans="2:19">
      <c r="B794" s="116"/>
      <c r="C794" s="116"/>
      <c r="D794" s="116"/>
      <c r="E794" s="116" cm="1">
        <f t="array" ref="E794">IF(H793&lt;&gt;"",E793,IF(E793="","",IFERROR(MATCH(TRUE(),INDEX(INDEX(K:K,E793+1):K203&lt;&gt;"",0),0)+E793,"")))</f>
        <v>935</v>
      </c>
      <c r="F794" s="117" cm="1">
        <f t="array" ref="F794">IF(E794="","",IF(H793&lt;&gt;"",H793,INDEX(D:D,E794)))</f>
        <v>0</v>
      </c>
      <c r="G794" s="117" t="str">
        <f t="shared" si="81"/>
        <v>0</v>
      </c>
      <c r="H794" s="118" t="str">
        <f t="shared" si="82"/>
        <v/>
      </c>
      <c r="I794" s="116" t="str">
        <f>IF(AND(F794&lt;&gt;"",N10&gt;0,M794&gt;N10),"Mot &gt; limite","")</f>
        <v/>
      </c>
      <c r="M794" s="70">
        <f>IF(OR(F794="",N10="",N10&lt;=0),"",IF(LEN(F794)&lt;=N10,LEN(F794),IFERROR(FIND("♦",SUBSTITUTE(LEFT(F794,N10)," ","♦",LEN(LEFT(F794,N10))-LEN(SUBSTITUTE(LEFT(F794,N10)," ","")))),FIND(" ",F794&amp;" ",N10+1)-1)))</f>
        <v>1</v>
      </c>
      <c r="N794" s="119">
        <f t="shared" si="83"/>
        <v>777</v>
      </c>
      <c r="O794" s="99" t="str">
        <f t="shared" si="84"/>
        <v>0</v>
      </c>
      <c r="P794" s="119">
        <f t="shared" si="85"/>
        <v>1</v>
      </c>
      <c r="Q794" s="119">
        <f t="shared" si="86"/>
        <v>1</v>
      </c>
      <c r="S794" s="3">
        <v>1</v>
      </c>
    </row>
    <row r="795" spans="2:19">
      <c r="B795" s="116"/>
      <c r="C795" s="116"/>
      <c r="D795" s="116"/>
      <c r="E795" s="116" cm="1">
        <f t="array" ref="E795">IF(H794&lt;&gt;"",E794,IF(E794="","",IFERROR(MATCH(TRUE(),INDEX(INDEX(K:K,E794+1):K203&lt;&gt;"",0),0)+E794,"")))</f>
        <v>936</v>
      </c>
      <c r="F795" s="117" cm="1">
        <f t="array" ref="F795">IF(E795="","",IF(H794&lt;&gt;"",H794,INDEX(D:D,E795)))</f>
        <v>0</v>
      </c>
      <c r="G795" s="117" t="str">
        <f t="shared" si="81"/>
        <v>0</v>
      </c>
      <c r="H795" s="118" t="str">
        <f t="shared" si="82"/>
        <v/>
      </c>
      <c r="I795" s="116" t="str">
        <f>IF(AND(F795&lt;&gt;"",N10&gt;0,M795&gt;N10),"Mot &gt; limite","")</f>
        <v/>
      </c>
      <c r="M795" s="70">
        <f>IF(OR(F795="",N10="",N10&lt;=0),"",IF(LEN(F795)&lt;=N10,LEN(F795),IFERROR(FIND("♦",SUBSTITUTE(LEFT(F795,N10)," ","♦",LEN(LEFT(F795,N10))-LEN(SUBSTITUTE(LEFT(F795,N10)," ","")))),FIND(" ",F795&amp;" ",N10+1)-1)))</f>
        <v>1</v>
      </c>
      <c r="N795" s="119">
        <f t="shared" si="83"/>
        <v>778</v>
      </c>
      <c r="O795" s="99" t="str">
        <f t="shared" si="84"/>
        <v>0</v>
      </c>
      <c r="P795" s="119">
        <f t="shared" si="85"/>
        <v>1</v>
      </c>
      <c r="Q795" s="119">
        <f t="shared" si="86"/>
        <v>1</v>
      </c>
      <c r="S795" s="3">
        <v>1</v>
      </c>
    </row>
    <row r="796" spans="2:19">
      <c r="B796" s="116"/>
      <c r="C796" s="116"/>
      <c r="D796" s="116"/>
      <c r="E796" s="116" cm="1">
        <f t="array" ref="E796">IF(H795&lt;&gt;"",E795,IF(E795="","",IFERROR(MATCH(TRUE(),INDEX(INDEX(K:K,E795+1):K203&lt;&gt;"",0),0)+E795,"")))</f>
        <v>937</v>
      </c>
      <c r="F796" s="117" cm="1">
        <f t="array" ref="F796">IF(E796="","",IF(H795&lt;&gt;"",H795,INDEX(D:D,E796)))</f>
        <v>0</v>
      </c>
      <c r="G796" s="117" t="str">
        <f t="shared" si="81"/>
        <v>0</v>
      </c>
      <c r="H796" s="118" t="str">
        <f t="shared" si="82"/>
        <v/>
      </c>
      <c r="I796" s="116" t="str">
        <f>IF(AND(F796&lt;&gt;"",N10&gt;0,M796&gt;N10),"Mot &gt; limite","")</f>
        <v/>
      </c>
      <c r="M796" s="70">
        <f>IF(OR(F796="",N10="",N10&lt;=0),"",IF(LEN(F796)&lt;=N10,LEN(F796),IFERROR(FIND("♦",SUBSTITUTE(LEFT(F796,N10)," ","♦",LEN(LEFT(F796,N10))-LEN(SUBSTITUTE(LEFT(F796,N10)," ","")))),FIND(" ",F796&amp;" ",N10+1)-1)))</f>
        <v>1</v>
      </c>
      <c r="N796" s="119">
        <f t="shared" si="83"/>
        <v>779</v>
      </c>
      <c r="O796" s="99" t="str">
        <f t="shared" si="84"/>
        <v>0</v>
      </c>
      <c r="P796" s="119">
        <f t="shared" si="85"/>
        <v>1</v>
      </c>
      <c r="Q796" s="119">
        <f t="shared" si="86"/>
        <v>1</v>
      </c>
      <c r="S796" s="3">
        <v>1</v>
      </c>
    </row>
    <row r="797" spans="2:19">
      <c r="B797" s="116"/>
      <c r="C797" s="116"/>
      <c r="D797" s="116"/>
      <c r="E797" s="116" cm="1">
        <f t="array" ref="E797">IF(H796&lt;&gt;"",E796,IF(E796="","",IFERROR(MATCH(TRUE(),INDEX(INDEX(K:K,E796+1):K203&lt;&gt;"",0),0)+E796,"")))</f>
        <v>938</v>
      </c>
      <c r="F797" s="117" cm="1">
        <f t="array" ref="F797">IF(E797="","",IF(H796&lt;&gt;"",H796,INDEX(D:D,E797)))</f>
        <v>0</v>
      </c>
      <c r="G797" s="117" t="str">
        <f t="shared" si="81"/>
        <v>0</v>
      </c>
      <c r="H797" s="118" t="str">
        <f t="shared" si="82"/>
        <v/>
      </c>
      <c r="I797" s="116" t="str">
        <f>IF(AND(F797&lt;&gt;"",N10&gt;0,M797&gt;N10),"Mot &gt; limite","")</f>
        <v/>
      </c>
      <c r="M797" s="70">
        <f>IF(OR(F797="",N10="",N10&lt;=0),"",IF(LEN(F797)&lt;=N10,LEN(F797),IFERROR(FIND("♦",SUBSTITUTE(LEFT(F797,N10)," ","♦",LEN(LEFT(F797,N10))-LEN(SUBSTITUTE(LEFT(F797,N10)," ","")))),FIND(" ",F797&amp;" ",N10+1)-1)))</f>
        <v>1</v>
      </c>
      <c r="N797" s="119">
        <f t="shared" si="83"/>
        <v>780</v>
      </c>
      <c r="O797" s="99" t="str">
        <f t="shared" si="84"/>
        <v>0</v>
      </c>
      <c r="P797" s="119">
        <f t="shared" si="85"/>
        <v>1</v>
      </c>
      <c r="Q797" s="119">
        <f t="shared" si="86"/>
        <v>1</v>
      </c>
      <c r="S797" s="3">
        <v>1</v>
      </c>
    </row>
    <row r="798" spans="2:19">
      <c r="B798" s="116"/>
      <c r="C798" s="116"/>
      <c r="D798" s="116"/>
      <c r="E798" s="116" cm="1">
        <f t="array" ref="E798">IF(H797&lt;&gt;"",E797,IF(E797="","",IFERROR(MATCH(TRUE(),INDEX(INDEX(K:K,E797+1):K203&lt;&gt;"",0),0)+E797,"")))</f>
        <v>939</v>
      </c>
      <c r="F798" s="117" cm="1">
        <f t="array" ref="F798">IF(E798="","",IF(H797&lt;&gt;"",H797,INDEX(D:D,E798)))</f>
        <v>0</v>
      </c>
      <c r="G798" s="117" t="str">
        <f t="shared" si="81"/>
        <v>0</v>
      </c>
      <c r="H798" s="118" t="str">
        <f t="shared" si="82"/>
        <v/>
      </c>
      <c r="I798" s="116" t="str">
        <f>IF(AND(F798&lt;&gt;"",N10&gt;0,M798&gt;N10),"Mot &gt; limite","")</f>
        <v/>
      </c>
      <c r="M798" s="70">
        <f>IF(OR(F798="",N10="",N10&lt;=0),"",IF(LEN(F798)&lt;=N10,LEN(F798),IFERROR(FIND("♦",SUBSTITUTE(LEFT(F798,N10)," ","♦",LEN(LEFT(F798,N10))-LEN(SUBSTITUTE(LEFT(F798,N10)," ","")))),FIND(" ",F798&amp;" ",N10+1)-1)))</f>
        <v>1</v>
      </c>
      <c r="N798" s="119">
        <f t="shared" si="83"/>
        <v>781</v>
      </c>
      <c r="O798" s="99" t="str">
        <f t="shared" si="84"/>
        <v>0</v>
      </c>
      <c r="P798" s="119">
        <f t="shared" si="85"/>
        <v>1</v>
      </c>
      <c r="Q798" s="119">
        <f t="shared" si="86"/>
        <v>1</v>
      </c>
      <c r="S798" s="3">
        <v>1</v>
      </c>
    </row>
    <row r="799" spans="2:19">
      <c r="B799" s="116"/>
      <c r="C799" s="116"/>
      <c r="D799" s="116"/>
      <c r="E799" s="116" cm="1">
        <f t="array" ref="E799">IF(H798&lt;&gt;"",E798,IF(E798="","",IFERROR(MATCH(TRUE(),INDEX(INDEX(K:K,E798+1):K203&lt;&gt;"",0),0)+E798,"")))</f>
        <v>940</v>
      </c>
      <c r="F799" s="117" cm="1">
        <f t="array" ref="F799">IF(E799="","",IF(H798&lt;&gt;"",H798,INDEX(D:D,E799)))</f>
        <v>0</v>
      </c>
      <c r="G799" s="117" t="str">
        <f t="shared" si="81"/>
        <v>0</v>
      </c>
      <c r="H799" s="118" t="str">
        <f t="shared" si="82"/>
        <v/>
      </c>
      <c r="I799" s="116" t="str">
        <f>IF(AND(F799&lt;&gt;"",N10&gt;0,M799&gt;N10),"Mot &gt; limite","")</f>
        <v/>
      </c>
      <c r="M799" s="70">
        <f>IF(OR(F799="",N10="",N10&lt;=0),"",IF(LEN(F799)&lt;=N10,LEN(F799),IFERROR(FIND("♦",SUBSTITUTE(LEFT(F799,N10)," ","♦",LEN(LEFT(F799,N10))-LEN(SUBSTITUTE(LEFT(F799,N10)," ","")))),FIND(" ",F799&amp;" ",N10+1)-1)))</f>
        <v>1</v>
      </c>
      <c r="N799" s="119">
        <f t="shared" si="83"/>
        <v>782</v>
      </c>
      <c r="O799" s="99" t="str">
        <f t="shared" si="84"/>
        <v>0</v>
      </c>
      <c r="P799" s="119">
        <f t="shared" si="85"/>
        <v>1</v>
      </c>
      <c r="Q799" s="119">
        <f t="shared" si="86"/>
        <v>1</v>
      </c>
      <c r="S799" s="3">
        <v>1</v>
      </c>
    </row>
    <row r="800" spans="2:19">
      <c r="B800" s="116"/>
      <c r="C800" s="116"/>
      <c r="D800" s="116"/>
      <c r="E800" s="116" cm="1">
        <f t="array" ref="E800">IF(H799&lt;&gt;"",E799,IF(E799="","",IFERROR(MATCH(TRUE(),INDEX(INDEX(K:K,E799+1):K203&lt;&gt;"",0),0)+E799,"")))</f>
        <v>941</v>
      </c>
      <c r="F800" s="117" cm="1">
        <f t="array" ref="F800">IF(E800="","",IF(H799&lt;&gt;"",H799,INDEX(D:D,E800)))</f>
        <v>0</v>
      </c>
      <c r="G800" s="117" t="str">
        <f t="shared" si="81"/>
        <v>0</v>
      </c>
      <c r="H800" s="118" t="str">
        <f t="shared" si="82"/>
        <v/>
      </c>
      <c r="I800" s="116" t="str">
        <f>IF(AND(F800&lt;&gt;"",N10&gt;0,M800&gt;N10),"Mot &gt; limite","")</f>
        <v/>
      </c>
      <c r="M800" s="70">
        <f>IF(OR(F800="",N10="",N10&lt;=0),"",IF(LEN(F800)&lt;=N10,LEN(F800),IFERROR(FIND("♦",SUBSTITUTE(LEFT(F800,N10)," ","♦",LEN(LEFT(F800,N10))-LEN(SUBSTITUTE(LEFT(F800,N10)," ","")))),FIND(" ",F800&amp;" ",N10+1)-1)))</f>
        <v>1</v>
      </c>
      <c r="N800" s="119">
        <f t="shared" si="83"/>
        <v>783</v>
      </c>
      <c r="O800" s="99" t="str">
        <f t="shared" si="84"/>
        <v>0</v>
      </c>
      <c r="P800" s="119">
        <f t="shared" si="85"/>
        <v>1</v>
      </c>
      <c r="Q800" s="119">
        <f t="shared" si="86"/>
        <v>1</v>
      </c>
      <c r="S800" s="3">
        <v>1</v>
      </c>
    </row>
    <row r="801" spans="2:19">
      <c r="B801" s="116"/>
      <c r="C801" s="116"/>
      <c r="D801" s="116"/>
      <c r="E801" s="116" cm="1">
        <f t="array" ref="E801">IF(H800&lt;&gt;"",E800,IF(E800="","",IFERROR(MATCH(TRUE(),INDEX(INDEX(K:K,E800+1):K203&lt;&gt;"",0),0)+E800,"")))</f>
        <v>942</v>
      </c>
      <c r="F801" s="117" cm="1">
        <f t="array" ref="F801">IF(E801="","",IF(H800&lt;&gt;"",H800,INDEX(D:D,E801)))</f>
        <v>0</v>
      </c>
      <c r="G801" s="117" t="str">
        <f t="shared" si="81"/>
        <v>0</v>
      </c>
      <c r="H801" s="118" t="str">
        <f t="shared" si="82"/>
        <v/>
      </c>
      <c r="I801" s="116" t="str">
        <f>IF(AND(F801&lt;&gt;"",N10&gt;0,M801&gt;N10),"Mot &gt; limite","")</f>
        <v/>
      </c>
      <c r="M801" s="70">
        <f>IF(OR(F801="",N10="",N10&lt;=0),"",IF(LEN(F801)&lt;=N10,LEN(F801),IFERROR(FIND("♦",SUBSTITUTE(LEFT(F801,N10)," ","♦",LEN(LEFT(F801,N10))-LEN(SUBSTITUTE(LEFT(F801,N10)," ","")))),FIND(" ",F801&amp;" ",N10+1)-1)))</f>
        <v>1</v>
      </c>
      <c r="N801" s="119">
        <f t="shared" si="83"/>
        <v>784</v>
      </c>
      <c r="O801" s="99" t="str">
        <f t="shared" si="84"/>
        <v>0</v>
      </c>
      <c r="P801" s="119">
        <f t="shared" si="85"/>
        <v>1</v>
      </c>
      <c r="Q801" s="119">
        <f t="shared" si="86"/>
        <v>1</v>
      </c>
      <c r="S801" s="3">
        <v>1</v>
      </c>
    </row>
    <row r="802" spans="2:19">
      <c r="B802" s="116"/>
      <c r="C802" s="116"/>
      <c r="D802" s="116"/>
      <c r="E802" s="116" cm="1">
        <f t="array" ref="E802">IF(H801&lt;&gt;"",E801,IF(E801="","",IFERROR(MATCH(TRUE(),INDEX(INDEX(K:K,E801+1):K203&lt;&gt;"",0),0)+E801,"")))</f>
        <v>943</v>
      </c>
      <c r="F802" s="117" cm="1">
        <f t="array" ref="F802">IF(E802="","",IF(H801&lt;&gt;"",H801,INDEX(D:D,E802)))</f>
        <v>0</v>
      </c>
      <c r="G802" s="117" t="str">
        <f t="shared" si="81"/>
        <v>0</v>
      </c>
      <c r="H802" s="118" t="str">
        <f t="shared" si="82"/>
        <v/>
      </c>
      <c r="I802" s="116" t="str">
        <f>IF(AND(F802&lt;&gt;"",N10&gt;0,M802&gt;N10),"Mot &gt; limite","")</f>
        <v/>
      </c>
      <c r="M802" s="70">
        <f>IF(OR(F802="",N10="",N10&lt;=0),"",IF(LEN(F802)&lt;=N10,LEN(F802),IFERROR(FIND("♦",SUBSTITUTE(LEFT(F802,N10)," ","♦",LEN(LEFT(F802,N10))-LEN(SUBSTITUTE(LEFT(F802,N10)," ","")))),FIND(" ",F802&amp;" ",N10+1)-1)))</f>
        <v>1</v>
      </c>
      <c r="N802" s="119">
        <f t="shared" si="83"/>
        <v>785</v>
      </c>
      <c r="O802" s="99" t="str">
        <f t="shared" si="84"/>
        <v>0</v>
      </c>
      <c r="P802" s="119">
        <f t="shared" si="85"/>
        <v>1</v>
      </c>
      <c r="Q802" s="119">
        <f t="shared" si="86"/>
        <v>1</v>
      </c>
      <c r="S802" s="3">
        <v>1</v>
      </c>
    </row>
    <row r="803" spans="2:19">
      <c r="B803" s="116"/>
      <c r="C803" s="116"/>
      <c r="D803" s="116"/>
      <c r="E803" s="116" cm="1">
        <f t="array" ref="E803">IF(H802&lt;&gt;"",E802,IF(E802="","",IFERROR(MATCH(TRUE(),INDEX(INDEX(K:K,E802+1):K203&lt;&gt;"",0),0)+E802,"")))</f>
        <v>944</v>
      </c>
      <c r="F803" s="117" cm="1">
        <f t="array" ref="F803">IF(E803="","",IF(H802&lt;&gt;"",H802,INDEX(D:D,E803)))</f>
        <v>0</v>
      </c>
      <c r="G803" s="117" t="str">
        <f t="shared" si="81"/>
        <v>0</v>
      </c>
      <c r="H803" s="118" t="str">
        <f t="shared" si="82"/>
        <v/>
      </c>
      <c r="I803" s="116" t="str">
        <f>IF(AND(F803&lt;&gt;"",N10&gt;0,M803&gt;N10),"Mot &gt; limite","")</f>
        <v/>
      </c>
      <c r="M803" s="70">
        <f>IF(OR(F803="",N10="",N10&lt;=0),"",IF(LEN(F803)&lt;=N10,LEN(F803),IFERROR(FIND("♦",SUBSTITUTE(LEFT(F803,N10)," ","♦",LEN(LEFT(F803,N10))-LEN(SUBSTITUTE(LEFT(F803,N10)," ","")))),FIND(" ",F803&amp;" ",N10+1)-1)))</f>
        <v>1</v>
      </c>
      <c r="N803" s="119">
        <f t="shared" si="83"/>
        <v>786</v>
      </c>
      <c r="O803" s="99" t="str">
        <f t="shared" si="84"/>
        <v>0</v>
      </c>
      <c r="P803" s="119">
        <f t="shared" si="85"/>
        <v>1</v>
      </c>
      <c r="Q803" s="119">
        <f t="shared" si="86"/>
        <v>1</v>
      </c>
      <c r="S803" s="3">
        <v>1</v>
      </c>
    </row>
    <row r="804" spans="2:19">
      <c r="B804" s="116"/>
      <c r="C804" s="116"/>
      <c r="D804" s="116"/>
      <c r="E804" s="116" cm="1">
        <f t="array" ref="E804">IF(H803&lt;&gt;"",E803,IF(E803="","",IFERROR(MATCH(TRUE(),INDEX(INDEX(K:K,E803+1):K203&lt;&gt;"",0),0)+E803,"")))</f>
        <v>945</v>
      </c>
      <c r="F804" s="117" cm="1">
        <f t="array" ref="F804">IF(E804="","",IF(H803&lt;&gt;"",H803,INDEX(D:D,E804)))</f>
        <v>0</v>
      </c>
      <c r="G804" s="117" t="str">
        <f t="shared" si="81"/>
        <v>0</v>
      </c>
      <c r="H804" s="118" t="str">
        <f t="shared" si="82"/>
        <v/>
      </c>
      <c r="I804" s="116" t="str">
        <f>IF(AND(F804&lt;&gt;"",N10&gt;0,M804&gt;N10),"Mot &gt; limite","")</f>
        <v/>
      </c>
      <c r="M804" s="70">
        <f>IF(OR(F804="",N10="",N10&lt;=0),"",IF(LEN(F804)&lt;=N10,LEN(F804),IFERROR(FIND("♦",SUBSTITUTE(LEFT(F804,N10)," ","♦",LEN(LEFT(F804,N10))-LEN(SUBSTITUTE(LEFT(F804,N10)," ","")))),FIND(" ",F804&amp;" ",N10+1)-1)))</f>
        <v>1</v>
      </c>
      <c r="N804" s="119">
        <f t="shared" si="83"/>
        <v>787</v>
      </c>
      <c r="O804" s="99" t="str">
        <f t="shared" si="84"/>
        <v>0</v>
      </c>
      <c r="P804" s="119">
        <f t="shared" si="85"/>
        <v>1</v>
      </c>
      <c r="Q804" s="119">
        <f t="shared" si="86"/>
        <v>1</v>
      </c>
      <c r="S804" s="3">
        <v>1</v>
      </c>
    </row>
    <row r="805" spans="2:19">
      <c r="B805" s="116"/>
      <c r="C805" s="116"/>
      <c r="D805" s="116"/>
      <c r="E805" s="116" cm="1">
        <f t="array" ref="E805">IF(H804&lt;&gt;"",E804,IF(E804="","",IFERROR(MATCH(TRUE(),INDEX(INDEX(K:K,E804+1):K203&lt;&gt;"",0),0)+E804,"")))</f>
        <v>946</v>
      </c>
      <c r="F805" s="117" cm="1">
        <f t="array" ref="F805">IF(E805="","",IF(H804&lt;&gt;"",H804,INDEX(D:D,E805)))</f>
        <v>0</v>
      </c>
      <c r="G805" s="117" t="str">
        <f t="shared" si="81"/>
        <v>0</v>
      </c>
      <c r="H805" s="118" t="str">
        <f t="shared" si="82"/>
        <v/>
      </c>
      <c r="I805" s="116" t="str">
        <f>IF(AND(F805&lt;&gt;"",N10&gt;0,M805&gt;N10),"Mot &gt; limite","")</f>
        <v/>
      </c>
      <c r="M805" s="70">
        <f>IF(OR(F805="",N10="",N10&lt;=0),"",IF(LEN(F805)&lt;=N10,LEN(F805),IFERROR(FIND("♦",SUBSTITUTE(LEFT(F805,N10)," ","♦",LEN(LEFT(F805,N10))-LEN(SUBSTITUTE(LEFT(F805,N10)," ","")))),FIND(" ",F805&amp;" ",N10+1)-1)))</f>
        <v>1</v>
      </c>
      <c r="N805" s="119">
        <f t="shared" si="83"/>
        <v>788</v>
      </c>
      <c r="O805" s="99" t="str">
        <f t="shared" si="84"/>
        <v>0</v>
      </c>
      <c r="P805" s="119">
        <f t="shared" si="85"/>
        <v>1</v>
      </c>
      <c r="Q805" s="119">
        <f t="shared" si="86"/>
        <v>1</v>
      </c>
      <c r="S805" s="3">
        <v>1</v>
      </c>
    </row>
    <row r="806" spans="2:19">
      <c r="B806" s="116"/>
      <c r="C806" s="116"/>
      <c r="D806" s="116"/>
      <c r="E806" s="116" cm="1">
        <f t="array" ref="E806">IF(H805&lt;&gt;"",E805,IF(E805="","",IFERROR(MATCH(TRUE(),INDEX(INDEX(K:K,E805+1):K203&lt;&gt;"",0),0)+E805,"")))</f>
        <v>947</v>
      </c>
      <c r="F806" s="117" cm="1">
        <f t="array" ref="F806">IF(E806="","",IF(H805&lt;&gt;"",H805,INDEX(D:D,E806)))</f>
        <v>0</v>
      </c>
      <c r="G806" s="117" t="str">
        <f t="shared" si="81"/>
        <v>0</v>
      </c>
      <c r="H806" s="118" t="str">
        <f t="shared" si="82"/>
        <v/>
      </c>
      <c r="I806" s="116" t="str">
        <f>IF(AND(F806&lt;&gt;"",N10&gt;0,M806&gt;N10),"Mot &gt; limite","")</f>
        <v/>
      </c>
      <c r="M806" s="70">
        <f>IF(OR(F806="",N10="",N10&lt;=0),"",IF(LEN(F806)&lt;=N10,LEN(F806),IFERROR(FIND("♦",SUBSTITUTE(LEFT(F806,N10)," ","♦",LEN(LEFT(F806,N10))-LEN(SUBSTITUTE(LEFT(F806,N10)," ","")))),FIND(" ",F806&amp;" ",N10+1)-1)))</f>
        <v>1</v>
      </c>
      <c r="N806" s="119">
        <f t="shared" si="83"/>
        <v>789</v>
      </c>
      <c r="O806" s="99" t="str">
        <f t="shared" si="84"/>
        <v>0</v>
      </c>
      <c r="P806" s="119">
        <f t="shared" si="85"/>
        <v>1</v>
      </c>
      <c r="Q806" s="119">
        <f t="shared" si="86"/>
        <v>1</v>
      </c>
      <c r="S806" s="3">
        <v>1</v>
      </c>
    </row>
    <row r="807" spans="2:19">
      <c r="B807" s="116"/>
      <c r="C807" s="116"/>
      <c r="D807" s="116"/>
      <c r="E807" s="116" cm="1">
        <f t="array" ref="E807">IF(H806&lt;&gt;"",E806,IF(E806="","",IFERROR(MATCH(TRUE(),INDEX(INDEX(K:K,E806+1):K203&lt;&gt;"",0),0)+E806,"")))</f>
        <v>948</v>
      </c>
      <c r="F807" s="117" cm="1">
        <f t="array" ref="F807">IF(E807="","",IF(H806&lt;&gt;"",H806,INDEX(D:D,E807)))</f>
        <v>0</v>
      </c>
      <c r="G807" s="117" t="str">
        <f t="shared" si="81"/>
        <v>0</v>
      </c>
      <c r="H807" s="118" t="str">
        <f t="shared" si="82"/>
        <v/>
      </c>
      <c r="I807" s="116" t="str">
        <f>IF(AND(F807&lt;&gt;"",N10&gt;0,M807&gt;N10),"Mot &gt; limite","")</f>
        <v/>
      </c>
      <c r="M807" s="70">
        <f>IF(OR(F807="",N10="",N10&lt;=0),"",IF(LEN(F807)&lt;=N10,LEN(F807),IFERROR(FIND("♦",SUBSTITUTE(LEFT(F807,N10)," ","♦",LEN(LEFT(F807,N10))-LEN(SUBSTITUTE(LEFT(F807,N10)," ","")))),FIND(" ",F807&amp;" ",N10+1)-1)))</f>
        <v>1</v>
      </c>
      <c r="N807" s="119">
        <f t="shared" si="83"/>
        <v>790</v>
      </c>
      <c r="O807" s="99" t="str">
        <f t="shared" si="84"/>
        <v>0</v>
      </c>
      <c r="P807" s="119">
        <f t="shared" si="85"/>
        <v>1</v>
      </c>
      <c r="Q807" s="119">
        <f t="shared" si="86"/>
        <v>1</v>
      </c>
      <c r="S807" s="3">
        <v>1</v>
      </c>
    </row>
    <row r="808" spans="2:19">
      <c r="B808" s="116"/>
      <c r="C808" s="116"/>
      <c r="D808" s="116"/>
      <c r="E808" s="116" cm="1">
        <f t="array" ref="E808">IF(H807&lt;&gt;"",E807,IF(E807="","",IFERROR(MATCH(TRUE(),INDEX(INDEX(K:K,E807+1):K203&lt;&gt;"",0),0)+E807,"")))</f>
        <v>949</v>
      </c>
      <c r="F808" s="117" cm="1">
        <f t="array" ref="F808">IF(E808="","",IF(H807&lt;&gt;"",H807,INDEX(D:D,E808)))</f>
        <v>0</v>
      </c>
      <c r="G808" s="117" t="str">
        <f t="shared" si="81"/>
        <v>0</v>
      </c>
      <c r="H808" s="118" t="str">
        <f t="shared" si="82"/>
        <v/>
      </c>
      <c r="I808" s="116" t="str">
        <f>IF(AND(F808&lt;&gt;"",N10&gt;0,M808&gt;N10),"Mot &gt; limite","")</f>
        <v/>
      </c>
      <c r="M808" s="70">
        <f>IF(OR(F808="",N10="",N10&lt;=0),"",IF(LEN(F808)&lt;=N10,LEN(F808),IFERROR(FIND("♦",SUBSTITUTE(LEFT(F808,N10)," ","♦",LEN(LEFT(F808,N10))-LEN(SUBSTITUTE(LEFT(F808,N10)," ","")))),FIND(" ",F808&amp;" ",N10+1)-1)))</f>
        <v>1</v>
      </c>
      <c r="N808" s="119">
        <f t="shared" si="83"/>
        <v>791</v>
      </c>
      <c r="O808" s="99" t="str">
        <f t="shared" si="84"/>
        <v>0</v>
      </c>
      <c r="P808" s="119">
        <f t="shared" si="85"/>
        <v>1</v>
      </c>
      <c r="Q808" s="119">
        <f t="shared" si="86"/>
        <v>1</v>
      </c>
      <c r="S808" s="3">
        <v>1</v>
      </c>
    </row>
    <row r="809" spans="2:19">
      <c r="B809" s="116"/>
      <c r="C809" s="116"/>
      <c r="D809" s="116"/>
      <c r="E809" s="116" cm="1">
        <f t="array" ref="E809">IF(H808&lt;&gt;"",E808,IF(E808="","",IFERROR(MATCH(TRUE(),INDEX(INDEX(K:K,E808+1):K203&lt;&gt;"",0),0)+E808,"")))</f>
        <v>950</v>
      </c>
      <c r="F809" s="117" cm="1">
        <f t="array" ref="F809">IF(E809="","",IF(H808&lt;&gt;"",H808,INDEX(D:D,E809)))</f>
        <v>0</v>
      </c>
      <c r="G809" s="117" t="str">
        <f t="shared" si="81"/>
        <v>0</v>
      </c>
      <c r="H809" s="118" t="str">
        <f t="shared" si="82"/>
        <v/>
      </c>
      <c r="I809" s="116" t="str">
        <f>IF(AND(F809&lt;&gt;"",N10&gt;0,M809&gt;N10),"Mot &gt; limite","")</f>
        <v/>
      </c>
      <c r="M809" s="70">
        <f>IF(OR(F809="",N10="",N10&lt;=0),"",IF(LEN(F809)&lt;=N10,LEN(F809),IFERROR(FIND("♦",SUBSTITUTE(LEFT(F809,N10)," ","♦",LEN(LEFT(F809,N10))-LEN(SUBSTITUTE(LEFT(F809,N10)," ","")))),FIND(" ",F809&amp;" ",N10+1)-1)))</f>
        <v>1</v>
      </c>
      <c r="N809" s="119">
        <f t="shared" si="83"/>
        <v>792</v>
      </c>
      <c r="O809" s="99" t="str">
        <f t="shared" si="84"/>
        <v>0</v>
      </c>
      <c r="P809" s="119">
        <f t="shared" si="85"/>
        <v>1</v>
      </c>
      <c r="Q809" s="119">
        <f t="shared" si="86"/>
        <v>1</v>
      </c>
      <c r="S809" s="3">
        <v>1</v>
      </c>
    </row>
    <row r="810" spans="2:19">
      <c r="B810" s="116"/>
      <c r="C810" s="116"/>
      <c r="D810" s="116"/>
      <c r="E810" s="116" cm="1">
        <f t="array" ref="E810">IF(H809&lt;&gt;"",E809,IF(E809="","",IFERROR(MATCH(TRUE(),INDEX(INDEX(K:K,E809+1):K203&lt;&gt;"",0),0)+E809,"")))</f>
        <v>951</v>
      </c>
      <c r="F810" s="117" cm="1">
        <f t="array" ref="F810">IF(E810="","",IF(H809&lt;&gt;"",H809,INDEX(D:D,E810)))</f>
        <v>0</v>
      </c>
      <c r="G810" s="117" t="str">
        <f t="shared" si="81"/>
        <v>0</v>
      </c>
      <c r="H810" s="118" t="str">
        <f t="shared" si="82"/>
        <v/>
      </c>
      <c r="I810" s="116" t="str">
        <f>IF(AND(F810&lt;&gt;"",N10&gt;0,M810&gt;N10),"Mot &gt; limite","")</f>
        <v/>
      </c>
      <c r="M810" s="70">
        <f>IF(OR(F810="",N10="",N10&lt;=0),"",IF(LEN(F810)&lt;=N10,LEN(F810),IFERROR(FIND("♦",SUBSTITUTE(LEFT(F810,N10)," ","♦",LEN(LEFT(F810,N10))-LEN(SUBSTITUTE(LEFT(F810,N10)," ","")))),FIND(" ",F810&amp;" ",N10+1)-1)))</f>
        <v>1</v>
      </c>
      <c r="N810" s="119">
        <f t="shared" si="83"/>
        <v>793</v>
      </c>
      <c r="O810" s="99" t="str">
        <f t="shared" si="84"/>
        <v>0</v>
      </c>
      <c r="P810" s="119">
        <f t="shared" si="85"/>
        <v>1</v>
      </c>
      <c r="Q810" s="119">
        <f t="shared" si="86"/>
        <v>1</v>
      </c>
      <c r="S810" s="3">
        <v>1</v>
      </c>
    </row>
    <row r="811" spans="2:19">
      <c r="B811" s="116"/>
      <c r="C811" s="116"/>
      <c r="D811" s="116"/>
      <c r="E811" s="116" cm="1">
        <f t="array" ref="E811">IF(H810&lt;&gt;"",E810,IF(E810="","",IFERROR(MATCH(TRUE(),INDEX(INDEX(K:K,E810+1):K203&lt;&gt;"",0),0)+E810,"")))</f>
        <v>952</v>
      </c>
      <c r="F811" s="117" cm="1">
        <f t="array" ref="F811">IF(E811="","",IF(H810&lt;&gt;"",H810,INDEX(D:D,E811)))</f>
        <v>0</v>
      </c>
      <c r="G811" s="117" t="str">
        <f t="shared" si="81"/>
        <v>0</v>
      </c>
      <c r="H811" s="118" t="str">
        <f t="shared" si="82"/>
        <v/>
      </c>
      <c r="I811" s="116" t="str">
        <f>IF(AND(F811&lt;&gt;"",N10&gt;0,M811&gt;N10),"Mot &gt; limite","")</f>
        <v/>
      </c>
      <c r="M811" s="70">
        <f>IF(OR(F811="",N10="",N10&lt;=0),"",IF(LEN(F811)&lt;=N10,LEN(F811),IFERROR(FIND("♦",SUBSTITUTE(LEFT(F811,N10)," ","♦",LEN(LEFT(F811,N10))-LEN(SUBSTITUTE(LEFT(F811,N10)," ","")))),FIND(" ",F811&amp;" ",N10+1)-1)))</f>
        <v>1</v>
      </c>
      <c r="N811" s="119">
        <f t="shared" si="83"/>
        <v>794</v>
      </c>
      <c r="O811" s="99" t="str">
        <f t="shared" si="84"/>
        <v>0</v>
      </c>
      <c r="P811" s="119">
        <f t="shared" si="85"/>
        <v>1</v>
      </c>
      <c r="Q811" s="119">
        <f t="shared" si="86"/>
        <v>1</v>
      </c>
      <c r="S811" s="3">
        <v>1</v>
      </c>
    </row>
    <row r="812" spans="2:19">
      <c r="B812" s="116"/>
      <c r="C812" s="116"/>
      <c r="D812" s="116"/>
      <c r="E812" s="116" cm="1">
        <f t="array" ref="E812">IF(H811&lt;&gt;"",E811,IF(E811="","",IFERROR(MATCH(TRUE(),INDEX(INDEX(K:K,E811+1):K203&lt;&gt;"",0),0)+E811,"")))</f>
        <v>953</v>
      </c>
      <c r="F812" s="117" cm="1">
        <f t="array" ref="F812">IF(E812="","",IF(H811&lt;&gt;"",H811,INDEX(D:D,E812)))</f>
        <v>0</v>
      </c>
      <c r="G812" s="117" t="str">
        <f t="shared" si="81"/>
        <v>0</v>
      </c>
      <c r="H812" s="118" t="str">
        <f t="shared" si="82"/>
        <v/>
      </c>
      <c r="I812" s="116" t="str">
        <f>IF(AND(F812&lt;&gt;"",N10&gt;0,M812&gt;N10),"Mot &gt; limite","")</f>
        <v/>
      </c>
      <c r="M812" s="70">
        <f>IF(OR(F812="",N10="",N10&lt;=0),"",IF(LEN(F812)&lt;=N10,LEN(F812),IFERROR(FIND("♦",SUBSTITUTE(LEFT(F812,N10)," ","♦",LEN(LEFT(F812,N10))-LEN(SUBSTITUTE(LEFT(F812,N10)," ","")))),FIND(" ",F812&amp;" ",N10+1)-1)))</f>
        <v>1</v>
      </c>
      <c r="N812" s="119">
        <f t="shared" si="83"/>
        <v>795</v>
      </c>
      <c r="O812" s="99" t="str">
        <f t="shared" si="84"/>
        <v>0</v>
      </c>
      <c r="P812" s="119">
        <f t="shared" si="85"/>
        <v>1</v>
      </c>
      <c r="Q812" s="119">
        <f t="shared" si="86"/>
        <v>1</v>
      </c>
      <c r="S812" s="3">
        <v>1</v>
      </c>
    </row>
    <row r="813" spans="2:19">
      <c r="B813" s="116"/>
      <c r="C813" s="116"/>
      <c r="D813" s="116"/>
      <c r="E813" s="116" cm="1">
        <f t="array" ref="E813">IF(H812&lt;&gt;"",E812,IF(E812="","",IFERROR(MATCH(TRUE(),INDEX(INDEX(K:K,E812+1):K203&lt;&gt;"",0),0)+E812,"")))</f>
        <v>954</v>
      </c>
      <c r="F813" s="117" cm="1">
        <f t="array" ref="F813">IF(E813="","",IF(H812&lt;&gt;"",H812,INDEX(D:D,E813)))</f>
        <v>0</v>
      </c>
      <c r="G813" s="117" t="str">
        <f t="shared" si="81"/>
        <v>0</v>
      </c>
      <c r="H813" s="118" t="str">
        <f t="shared" si="82"/>
        <v/>
      </c>
      <c r="I813" s="116" t="str">
        <f>IF(AND(F813&lt;&gt;"",N10&gt;0,M813&gt;N10),"Mot &gt; limite","")</f>
        <v/>
      </c>
      <c r="M813" s="70">
        <f>IF(OR(F813="",N10="",N10&lt;=0),"",IF(LEN(F813)&lt;=N10,LEN(F813),IFERROR(FIND("♦",SUBSTITUTE(LEFT(F813,N10)," ","♦",LEN(LEFT(F813,N10))-LEN(SUBSTITUTE(LEFT(F813,N10)," ","")))),FIND(" ",F813&amp;" ",N10+1)-1)))</f>
        <v>1</v>
      </c>
      <c r="N813" s="119">
        <f t="shared" si="83"/>
        <v>796</v>
      </c>
      <c r="O813" s="99" t="str">
        <f t="shared" si="84"/>
        <v>0</v>
      </c>
      <c r="P813" s="119">
        <f t="shared" si="85"/>
        <v>1</v>
      </c>
      <c r="Q813" s="119">
        <f t="shared" si="86"/>
        <v>1</v>
      </c>
      <c r="S813" s="3">
        <v>1</v>
      </c>
    </row>
    <row r="814" spans="2:19">
      <c r="B814" s="116"/>
      <c r="C814" s="116"/>
      <c r="D814" s="116"/>
      <c r="E814" s="116" cm="1">
        <f t="array" ref="E814">IF(H813&lt;&gt;"",E813,IF(E813="","",IFERROR(MATCH(TRUE(),INDEX(INDEX(K:K,E813+1):K203&lt;&gt;"",0),0)+E813,"")))</f>
        <v>955</v>
      </c>
      <c r="F814" s="117" cm="1">
        <f t="array" ref="F814">IF(E814="","",IF(H813&lt;&gt;"",H813,INDEX(D:D,E814)))</f>
        <v>0</v>
      </c>
      <c r="G814" s="117" t="str">
        <f t="shared" si="81"/>
        <v>0</v>
      </c>
      <c r="H814" s="118" t="str">
        <f t="shared" si="82"/>
        <v/>
      </c>
      <c r="I814" s="116" t="str">
        <f>IF(AND(F814&lt;&gt;"",N10&gt;0,M814&gt;N10),"Mot &gt; limite","")</f>
        <v/>
      </c>
      <c r="M814" s="70">
        <f>IF(OR(F814="",N10="",N10&lt;=0),"",IF(LEN(F814)&lt;=N10,LEN(F814),IFERROR(FIND("♦",SUBSTITUTE(LEFT(F814,N10)," ","♦",LEN(LEFT(F814,N10))-LEN(SUBSTITUTE(LEFT(F814,N10)," ","")))),FIND(" ",F814&amp;" ",N10+1)-1)))</f>
        <v>1</v>
      </c>
      <c r="N814" s="119">
        <f t="shared" si="83"/>
        <v>797</v>
      </c>
      <c r="O814" s="99" t="str">
        <f t="shared" si="84"/>
        <v>0</v>
      </c>
      <c r="P814" s="119">
        <f t="shared" si="85"/>
        <v>1</v>
      </c>
      <c r="Q814" s="119">
        <f t="shared" si="86"/>
        <v>1</v>
      </c>
      <c r="S814" s="3">
        <v>1</v>
      </c>
    </row>
    <row r="815" spans="2:19">
      <c r="B815" s="116"/>
      <c r="C815" s="116"/>
      <c r="D815" s="116"/>
      <c r="E815" s="116" cm="1">
        <f t="array" ref="E815">IF(H814&lt;&gt;"",E814,IF(E814="","",IFERROR(MATCH(TRUE(),INDEX(INDEX(K:K,E814+1):K203&lt;&gt;"",0),0)+E814,"")))</f>
        <v>956</v>
      </c>
      <c r="F815" s="117" cm="1">
        <f t="array" ref="F815">IF(E815="","",IF(H814&lt;&gt;"",H814,INDEX(D:D,E815)))</f>
        <v>0</v>
      </c>
      <c r="G815" s="117" t="str">
        <f t="shared" si="81"/>
        <v>0</v>
      </c>
      <c r="H815" s="118" t="str">
        <f t="shared" si="82"/>
        <v/>
      </c>
      <c r="I815" s="116" t="str">
        <f>IF(AND(F815&lt;&gt;"",N10&gt;0,M815&gt;N10),"Mot &gt; limite","")</f>
        <v/>
      </c>
      <c r="M815" s="70">
        <f>IF(OR(F815="",N10="",N10&lt;=0),"",IF(LEN(F815)&lt;=N10,LEN(F815),IFERROR(FIND("♦",SUBSTITUTE(LEFT(F815,N10)," ","♦",LEN(LEFT(F815,N10))-LEN(SUBSTITUTE(LEFT(F815,N10)," ","")))),FIND(" ",F815&amp;" ",N10+1)-1)))</f>
        <v>1</v>
      </c>
      <c r="N815" s="119">
        <f t="shared" si="83"/>
        <v>798</v>
      </c>
      <c r="O815" s="99" t="str">
        <f t="shared" si="84"/>
        <v>0</v>
      </c>
      <c r="P815" s="119">
        <f t="shared" si="85"/>
        <v>1</v>
      </c>
      <c r="Q815" s="119">
        <f t="shared" si="86"/>
        <v>1</v>
      </c>
      <c r="S815" s="3">
        <v>1</v>
      </c>
    </row>
    <row r="816" spans="2:19">
      <c r="B816" s="116"/>
      <c r="C816" s="116"/>
      <c r="D816" s="116"/>
      <c r="E816" s="116" cm="1">
        <f t="array" ref="E816">IF(H815&lt;&gt;"",E815,IF(E815="","",IFERROR(MATCH(TRUE(),INDEX(INDEX(K:K,E815+1):K203&lt;&gt;"",0),0)+E815,"")))</f>
        <v>957</v>
      </c>
      <c r="F816" s="117" cm="1">
        <f t="array" ref="F816">IF(E816="","",IF(H815&lt;&gt;"",H815,INDEX(D:D,E816)))</f>
        <v>0</v>
      </c>
      <c r="G816" s="117" t="str">
        <f t="shared" si="81"/>
        <v>0</v>
      </c>
      <c r="H816" s="118" t="str">
        <f t="shared" si="82"/>
        <v/>
      </c>
      <c r="I816" s="116" t="str">
        <f>IF(AND(F816&lt;&gt;"",N10&gt;0,M816&gt;N10),"Mot &gt; limite","")</f>
        <v/>
      </c>
      <c r="M816" s="70">
        <f>IF(OR(F816="",N10="",N10&lt;=0),"",IF(LEN(F816)&lt;=N10,LEN(F816),IFERROR(FIND("♦",SUBSTITUTE(LEFT(F816,N10)," ","♦",LEN(LEFT(F816,N10))-LEN(SUBSTITUTE(LEFT(F816,N10)," ","")))),FIND(" ",F816&amp;" ",N10+1)-1)))</f>
        <v>1</v>
      </c>
      <c r="N816" s="119">
        <f t="shared" si="83"/>
        <v>799</v>
      </c>
      <c r="O816" s="99" t="str">
        <f t="shared" si="84"/>
        <v>0</v>
      </c>
      <c r="P816" s="119">
        <f t="shared" si="85"/>
        <v>1</v>
      </c>
      <c r="Q816" s="119">
        <f t="shared" si="86"/>
        <v>1</v>
      </c>
      <c r="S816" s="3">
        <v>1</v>
      </c>
    </row>
    <row r="817" spans="2:19">
      <c r="B817" s="116"/>
      <c r="C817" s="116"/>
      <c r="D817" s="116"/>
      <c r="E817" s="116" cm="1">
        <f t="array" ref="E817">IF(H816&lt;&gt;"",E816,IF(E816="","",IFERROR(MATCH(TRUE(),INDEX(INDEX(K:K,E816+1):K203&lt;&gt;"",0),0)+E816,"")))</f>
        <v>958</v>
      </c>
      <c r="F817" s="117" cm="1">
        <f t="array" ref="F817">IF(E817="","",IF(H816&lt;&gt;"",H816,INDEX(D:D,E817)))</f>
        <v>0</v>
      </c>
      <c r="G817" s="117" t="str">
        <f t="shared" si="81"/>
        <v>0</v>
      </c>
      <c r="H817" s="118" t="str">
        <f t="shared" si="82"/>
        <v/>
      </c>
      <c r="I817" s="116" t="str">
        <f>IF(AND(F817&lt;&gt;"",N10&gt;0,M817&gt;N10),"Mot &gt; limite","")</f>
        <v/>
      </c>
      <c r="M817" s="70">
        <f>IF(OR(F817="",N10="",N10&lt;=0),"",IF(LEN(F817)&lt;=N10,LEN(F817),IFERROR(FIND("♦",SUBSTITUTE(LEFT(F817,N10)," ","♦",LEN(LEFT(F817,N10))-LEN(SUBSTITUTE(LEFT(F817,N10)," ","")))),FIND(" ",F817&amp;" ",N10+1)-1)))</f>
        <v>1</v>
      </c>
      <c r="N817" s="119">
        <f t="shared" si="83"/>
        <v>800</v>
      </c>
      <c r="O817" s="99" t="str">
        <f t="shared" si="84"/>
        <v>0</v>
      </c>
      <c r="P817" s="119">
        <f t="shared" si="85"/>
        <v>1</v>
      </c>
      <c r="Q817" s="119">
        <f t="shared" si="86"/>
        <v>1</v>
      </c>
      <c r="S817" s="3">
        <v>1</v>
      </c>
    </row>
    <row r="818" spans="2:19">
      <c r="B818" s="116"/>
      <c r="C818" s="116"/>
      <c r="D818" s="116"/>
      <c r="E818" s="116" cm="1">
        <f t="array" ref="E818">IF(H817&lt;&gt;"",E817,IF(E817="","",IFERROR(MATCH(TRUE(),INDEX(INDEX(K:K,E817+1):K203&lt;&gt;"",0),0)+E817,"")))</f>
        <v>959</v>
      </c>
      <c r="F818" s="117" cm="1">
        <f t="array" ref="F818">IF(E818="","",IF(H817&lt;&gt;"",H817,INDEX(D:D,E818)))</f>
        <v>0</v>
      </c>
      <c r="G818" s="117" t="str">
        <f t="shared" si="81"/>
        <v>0</v>
      </c>
      <c r="H818" s="118" t="str">
        <f t="shared" si="82"/>
        <v/>
      </c>
      <c r="I818" s="116" t="str">
        <f>IF(AND(F818&lt;&gt;"",N10&gt;0,M818&gt;N10),"Mot &gt; limite","")</f>
        <v/>
      </c>
      <c r="M818" s="70">
        <f>IF(OR(F818="",N10="",N10&lt;=0),"",IF(LEN(F818)&lt;=N10,LEN(F818),IFERROR(FIND("♦",SUBSTITUTE(LEFT(F818,N10)," ","♦",LEN(LEFT(F818,N10))-LEN(SUBSTITUTE(LEFT(F818,N10)," ","")))),FIND(" ",F818&amp;" ",N10+1)-1)))</f>
        <v>1</v>
      </c>
      <c r="N818" s="119">
        <f t="shared" si="83"/>
        <v>801</v>
      </c>
      <c r="O818" s="99" t="str">
        <f t="shared" si="84"/>
        <v>0</v>
      </c>
      <c r="P818" s="119">
        <f t="shared" si="85"/>
        <v>1</v>
      </c>
      <c r="Q818" s="119">
        <f t="shared" si="86"/>
        <v>1</v>
      </c>
      <c r="S818" s="3">
        <v>1</v>
      </c>
    </row>
    <row r="819" spans="2:19">
      <c r="B819" s="116"/>
      <c r="C819" s="116"/>
      <c r="D819" s="116"/>
      <c r="E819" s="116" cm="1">
        <f t="array" ref="E819">IF(H818&lt;&gt;"",E818,IF(E818="","",IFERROR(MATCH(TRUE(),INDEX(INDEX(K:K,E818+1):K203&lt;&gt;"",0),0)+E818,"")))</f>
        <v>960</v>
      </c>
      <c r="F819" s="117" cm="1">
        <f t="array" ref="F819">IF(E819="","",IF(H818&lt;&gt;"",H818,INDEX(D:D,E819)))</f>
        <v>0</v>
      </c>
      <c r="G819" s="117" t="str">
        <f t="shared" si="81"/>
        <v>0</v>
      </c>
      <c r="H819" s="118" t="str">
        <f t="shared" si="82"/>
        <v/>
      </c>
      <c r="I819" s="116" t="str">
        <f>IF(AND(F819&lt;&gt;"",N10&gt;0,M819&gt;N10),"Mot &gt; limite","")</f>
        <v/>
      </c>
      <c r="M819" s="70">
        <f>IF(OR(F819="",N10="",N10&lt;=0),"",IF(LEN(F819)&lt;=N10,LEN(F819),IFERROR(FIND("♦",SUBSTITUTE(LEFT(F819,N10)," ","♦",LEN(LEFT(F819,N10))-LEN(SUBSTITUTE(LEFT(F819,N10)," ","")))),FIND(" ",F819&amp;" ",N10+1)-1)))</f>
        <v>1</v>
      </c>
      <c r="N819" s="119">
        <f t="shared" si="83"/>
        <v>802</v>
      </c>
      <c r="O819" s="99" t="str">
        <f t="shared" si="84"/>
        <v>0</v>
      </c>
      <c r="P819" s="119">
        <f t="shared" si="85"/>
        <v>1</v>
      </c>
      <c r="Q819" s="119">
        <f t="shared" si="86"/>
        <v>1</v>
      </c>
      <c r="S819" s="3">
        <v>1</v>
      </c>
    </row>
    <row r="820" spans="2:19">
      <c r="B820" s="116"/>
      <c r="C820" s="116"/>
      <c r="D820" s="116"/>
      <c r="E820" s="116" cm="1">
        <f t="array" ref="E820">IF(H819&lt;&gt;"",E819,IF(E819="","",IFERROR(MATCH(TRUE(),INDEX(INDEX(K:K,E819+1):K203&lt;&gt;"",0),0)+E819,"")))</f>
        <v>961</v>
      </c>
      <c r="F820" s="117" cm="1">
        <f t="array" ref="F820">IF(E820="","",IF(H819&lt;&gt;"",H819,INDEX(D:D,E820)))</f>
        <v>0</v>
      </c>
      <c r="G820" s="117" t="str">
        <f t="shared" si="81"/>
        <v>0</v>
      </c>
      <c r="H820" s="118" t="str">
        <f t="shared" si="82"/>
        <v/>
      </c>
      <c r="I820" s="116" t="str">
        <f>IF(AND(F820&lt;&gt;"",N10&gt;0,M820&gt;N10),"Mot &gt; limite","")</f>
        <v/>
      </c>
      <c r="M820" s="70">
        <f>IF(OR(F820="",N10="",N10&lt;=0),"",IF(LEN(F820)&lt;=N10,LEN(F820),IFERROR(FIND("♦",SUBSTITUTE(LEFT(F820,N10)," ","♦",LEN(LEFT(F820,N10))-LEN(SUBSTITUTE(LEFT(F820,N10)," ","")))),FIND(" ",F820&amp;" ",N10+1)-1)))</f>
        <v>1</v>
      </c>
      <c r="N820" s="119">
        <f t="shared" si="83"/>
        <v>803</v>
      </c>
      <c r="O820" s="99" t="str">
        <f t="shared" si="84"/>
        <v>0</v>
      </c>
      <c r="P820" s="119">
        <f t="shared" si="85"/>
        <v>1</v>
      </c>
      <c r="Q820" s="119">
        <f t="shared" si="86"/>
        <v>1</v>
      </c>
      <c r="S820" s="3">
        <v>1</v>
      </c>
    </row>
    <row r="821" spans="2:19">
      <c r="B821" s="116"/>
      <c r="C821" s="116"/>
      <c r="D821" s="116"/>
      <c r="E821" s="116" cm="1">
        <f t="array" ref="E821">IF(H820&lt;&gt;"",E820,IF(E820="","",IFERROR(MATCH(TRUE(),INDEX(INDEX(K:K,E820+1):K203&lt;&gt;"",0),0)+E820,"")))</f>
        <v>962</v>
      </c>
      <c r="F821" s="117" cm="1">
        <f t="array" ref="F821">IF(E821="","",IF(H820&lt;&gt;"",H820,INDEX(D:D,E821)))</f>
        <v>0</v>
      </c>
      <c r="G821" s="117" t="str">
        <f t="shared" si="81"/>
        <v>0</v>
      </c>
      <c r="H821" s="118" t="str">
        <f t="shared" si="82"/>
        <v/>
      </c>
      <c r="I821" s="116" t="str">
        <f>IF(AND(F821&lt;&gt;"",N10&gt;0,M821&gt;N10),"Mot &gt; limite","")</f>
        <v/>
      </c>
      <c r="M821" s="70">
        <f>IF(OR(F821="",N10="",N10&lt;=0),"",IF(LEN(F821)&lt;=N10,LEN(F821),IFERROR(FIND("♦",SUBSTITUTE(LEFT(F821,N10)," ","♦",LEN(LEFT(F821,N10))-LEN(SUBSTITUTE(LEFT(F821,N10)," ","")))),FIND(" ",F821&amp;" ",N10+1)-1)))</f>
        <v>1</v>
      </c>
      <c r="N821" s="119">
        <f t="shared" si="83"/>
        <v>804</v>
      </c>
      <c r="O821" s="99" t="str">
        <f t="shared" si="84"/>
        <v>0</v>
      </c>
      <c r="P821" s="119">
        <f t="shared" si="85"/>
        <v>1</v>
      </c>
      <c r="Q821" s="119">
        <f t="shared" si="86"/>
        <v>1</v>
      </c>
      <c r="S821" s="3">
        <v>1</v>
      </c>
    </row>
    <row r="822" spans="2:19">
      <c r="B822" s="116"/>
      <c r="C822" s="116"/>
      <c r="D822" s="116"/>
      <c r="E822" s="116" cm="1">
        <f t="array" ref="E822">IF(H821&lt;&gt;"",E821,IF(E821="","",IFERROR(MATCH(TRUE(),INDEX(INDEX(K:K,E821+1):K203&lt;&gt;"",0),0)+E821,"")))</f>
        <v>963</v>
      </c>
      <c r="F822" s="117" cm="1">
        <f t="array" ref="F822">IF(E822="","",IF(H821&lt;&gt;"",H821,INDEX(D:D,E822)))</f>
        <v>0</v>
      </c>
      <c r="G822" s="117" t="str">
        <f t="shared" si="81"/>
        <v>0</v>
      </c>
      <c r="H822" s="118" t="str">
        <f t="shared" si="82"/>
        <v/>
      </c>
      <c r="I822" s="116" t="str">
        <f>IF(AND(F822&lt;&gt;"",N10&gt;0,M822&gt;N10),"Mot &gt; limite","")</f>
        <v/>
      </c>
      <c r="M822" s="70">
        <f>IF(OR(F822="",N10="",N10&lt;=0),"",IF(LEN(F822)&lt;=N10,LEN(F822),IFERROR(FIND("♦",SUBSTITUTE(LEFT(F822,N10)," ","♦",LEN(LEFT(F822,N10))-LEN(SUBSTITUTE(LEFT(F822,N10)," ","")))),FIND(" ",F822&amp;" ",N10+1)-1)))</f>
        <v>1</v>
      </c>
      <c r="N822" s="119">
        <f t="shared" si="83"/>
        <v>805</v>
      </c>
      <c r="O822" s="99" t="str">
        <f t="shared" si="84"/>
        <v>0</v>
      </c>
      <c r="P822" s="119">
        <f t="shared" si="85"/>
        <v>1</v>
      </c>
      <c r="Q822" s="119">
        <f t="shared" si="86"/>
        <v>1</v>
      </c>
      <c r="S822" s="3">
        <v>1</v>
      </c>
    </row>
    <row r="823" spans="2:19">
      <c r="B823" s="116"/>
      <c r="C823" s="116"/>
      <c r="D823" s="116"/>
      <c r="E823" s="116" cm="1">
        <f t="array" ref="E823">IF(H822&lt;&gt;"",E822,IF(E822="","",IFERROR(MATCH(TRUE(),INDEX(INDEX(K:K,E822+1):K203&lt;&gt;"",0),0)+E822,"")))</f>
        <v>964</v>
      </c>
      <c r="F823" s="117" cm="1">
        <f t="array" ref="F823">IF(E823="","",IF(H822&lt;&gt;"",H822,INDEX(D:D,E823)))</f>
        <v>0</v>
      </c>
      <c r="G823" s="117" t="str">
        <f t="shared" si="81"/>
        <v>0</v>
      </c>
      <c r="H823" s="118" t="str">
        <f t="shared" si="82"/>
        <v/>
      </c>
      <c r="I823" s="116" t="str">
        <f>IF(AND(F823&lt;&gt;"",N10&gt;0,M823&gt;N10),"Mot &gt; limite","")</f>
        <v/>
      </c>
      <c r="M823" s="70">
        <f>IF(OR(F823="",N10="",N10&lt;=0),"",IF(LEN(F823)&lt;=N10,LEN(F823),IFERROR(FIND("♦",SUBSTITUTE(LEFT(F823,N10)," ","♦",LEN(LEFT(F823,N10))-LEN(SUBSTITUTE(LEFT(F823,N10)," ","")))),FIND(" ",F823&amp;" ",N10+1)-1)))</f>
        <v>1</v>
      </c>
      <c r="N823" s="119">
        <f t="shared" si="83"/>
        <v>806</v>
      </c>
      <c r="O823" s="99" t="str">
        <f t="shared" si="84"/>
        <v>0</v>
      </c>
      <c r="P823" s="119">
        <f t="shared" si="85"/>
        <v>1</v>
      </c>
      <c r="Q823" s="119">
        <f t="shared" si="86"/>
        <v>1</v>
      </c>
      <c r="S823" s="3">
        <v>1</v>
      </c>
    </row>
    <row r="824" spans="2:19">
      <c r="B824" s="116"/>
      <c r="C824" s="116"/>
      <c r="D824" s="116"/>
      <c r="E824" s="116" cm="1">
        <f t="array" ref="E824">IF(H823&lt;&gt;"",E823,IF(E823="","",IFERROR(MATCH(TRUE(),INDEX(INDEX(K:K,E823+1):K203&lt;&gt;"",0),0)+E823,"")))</f>
        <v>965</v>
      </c>
      <c r="F824" s="117" cm="1">
        <f t="array" ref="F824">IF(E824="","",IF(H823&lt;&gt;"",H823,INDEX(D:D,E824)))</f>
        <v>0</v>
      </c>
      <c r="G824" s="117" t="str">
        <f t="shared" si="81"/>
        <v>0</v>
      </c>
      <c r="H824" s="118" t="str">
        <f t="shared" si="82"/>
        <v/>
      </c>
      <c r="I824" s="116" t="str">
        <f>IF(AND(F824&lt;&gt;"",N10&gt;0,M824&gt;N10),"Mot &gt; limite","")</f>
        <v/>
      </c>
      <c r="M824" s="70">
        <f>IF(OR(F824="",N10="",N10&lt;=0),"",IF(LEN(F824)&lt;=N10,LEN(F824),IFERROR(FIND("♦",SUBSTITUTE(LEFT(F824,N10)," ","♦",LEN(LEFT(F824,N10))-LEN(SUBSTITUTE(LEFT(F824,N10)," ","")))),FIND(" ",F824&amp;" ",N10+1)-1)))</f>
        <v>1</v>
      </c>
      <c r="N824" s="119">
        <f t="shared" si="83"/>
        <v>807</v>
      </c>
      <c r="O824" s="99" t="str">
        <f t="shared" si="84"/>
        <v>0</v>
      </c>
      <c r="P824" s="119">
        <f t="shared" si="85"/>
        <v>1</v>
      </c>
      <c r="Q824" s="119">
        <f t="shared" si="86"/>
        <v>1</v>
      </c>
      <c r="S824" s="3">
        <v>1</v>
      </c>
    </row>
    <row r="825" spans="2:19">
      <c r="B825" s="116"/>
      <c r="C825" s="116"/>
      <c r="D825" s="116"/>
      <c r="E825" s="116" cm="1">
        <f t="array" ref="E825">IF(H824&lt;&gt;"",E824,IF(E824="","",IFERROR(MATCH(TRUE(),INDEX(INDEX(K:K,E824+1):K203&lt;&gt;"",0),0)+E824,"")))</f>
        <v>966</v>
      </c>
      <c r="F825" s="117" cm="1">
        <f t="array" ref="F825">IF(E825="","",IF(H824&lt;&gt;"",H824,INDEX(D:D,E825)))</f>
        <v>0</v>
      </c>
      <c r="G825" s="117" t="str">
        <f t="shared" si="81"/>
        <v>0</v>
      </c>
      <c r="H825" s="118" t="str">
        <f t="shared" si="82"/>
        <v/>
      </c>
      <c r="I825" s="116" t="str">
        <f>IF(AND(F825&lt;&gt;"",N10&gt;0,M825&gt;N10),"Mot &gt; limite","")</f>
        <v/>
      </c>
      <c r="M825" s="70">
        <f>IF(OR(F825="",N10="",N10&lt;=0),"",IF(LEN(F825)&lt;=N10,LEN(F825),IFERROR(FIND("♦",SUBSTITUTE(LEFT(F825,N10)," ","♦",LEN(LEFT(F825,N10))-LEN(SUBSTITUTE(LEFT(F825,N10)," ","")))),FIND(" ",F825&amp;" ",N10+1)-1)))</f>
        <v>1</v>
      </c>
      <c r="N825" s="119">
        <f t="shared" si="83"/>
        <v>808</v>
      </c>
      <c r="O825" s="99" t="str">
        <f t="shared" si="84"/>
        <v>0</v>
      </c>
      <c r="P825" s="119">
        <f t="shared" si="85"/>
        <v>1</v>
      </c>
      <c r="Q825" s="119">
        <f t="shared" si="86"/>
        <v>1</v>
      </c>
      <c r="S825" s="3">
        <v>1</v>
      </c>
    </row>
    <row r="826" spans="2:19">
      <c r="B826" s="116"/>
      <c r="C826" s="116"/>
      <c r="D826" s="116"/>
      <c r="E826" s="116" cm="1">
        <f t="array" ref="E826">IF(H825&lt;&gt;"",E825,IF(E825="","",IFERROR(MATCH(TRUE(),INDEX(INDEX(K:K,E825+1):K203&lt;&gt;"",0),0)+E825,"")))</f>
        <v>967</v>
      </c>
      <c r="F826" s="117" cm="1">
        <f t="array" ref="F826">IF(E826="","",IF(H825&lt;&gt;"",H825,INDEX(D:D,E826)))</f>
        <v>0</v>
      </c>
      <c r="G826" s="117" t="str">
        <f t="shared" si="81"/>
        <v>0</v>
      </c>
      <c r="H826" s="118" t="str">
        <f t="shared" si="82"/>
        <v/>
      </c>
      <c r="I826" s="116" t="str">
        <f>IF(AND(F826&lt;&gt;"",N10&gt;0,M826&gt;N10),"Mot &gt; limite","")</f>
        <v/>
      </c>
      <c r="M826" s="70">
        <f>IF(OR(F826="",N10="",N10&lt;=0),"",IF(LEN(F826)&lt;=N10,LEN(F826),IFERROR(FIND("♦",SUBSTITUTE(LEFT(F826,N10)," ","♦",LEN(LEFT(F826,N10))-LEN(SUBSTITUTE(LEFT(F826,N10)," ","")))),FIND(" ",F826&amp;" ",N10+1)-1)))</f>
        <v>1</v>
      </c>
      <c r="N826" s="119">
        <f t="shared" si="83"/>
        <v>809</v>
      </c>
      <c r="O826" s="99" t="str">
        <f t="shared" si="84"/>
        <v>0</v>
      </c>
      <c r="P826" s="119">
        <f t="shared" si="85"/>
        <v>1</v>
      </c>
      <c r="Q826" s="119">
        <f t="shared" si="86"/>
        <v>1</v>
      </c>
      <c r="S826" s="3">
        <v>1</v>
      </c>
    </row>
    <row r="827" spans="2:19">
      <c r="B827" s="116"/>
      <c r="C827" s="116"/>
      <c r="D827" s="116"/>
      <c r="E827" s="116" cm="1">
        <f t="array" ref="E827">IF(H826&lt;&gt;"",E826,IF(E826="","",IFERROR(MATCH(TRUE(),INDEX(INDEX(K:K,E826+1):K203&lt;&gt;"",0),0)+E826,"")))</f>
        <v>968</v>
      </c>
      <c r="F827" s="117" cm="1">
        <f t="array" ref="F827">IF(E827="","",IF(H826&lt;&gt;"",H826,INDEX(D:D,E827)))</f>
        <v>0</v>
      </c>
      <c r="G827" s="117" t="str">
        <f t="shared" si="81"/>
        <v>0</v>
      </c>
      <c r="H827" s="118" t="str">
        <f t="shared" si="82"/>
        <v/>
      </c>
      <c r="I827" s="116" t="str">
        <f>IF(AND(F827&lt;&gt;"",N10&gt;0,M827&gt;N10),"Mot &gt; limite","")</f>
        <v/>
      </c>
      <c r="M827" s="70">
        <f>IF(OR(F827="",N10="",N10&lt;=0),"",IF(LEN(F827)&lt;=N10,LEN(F827),IFERROR(FIND("♦",SUBSTITUTE(LEFT(F827,N10)," ","♦",LEN(LEFT(F827,N10))-LEN(SUBSTITUTE(LEFT(F827,N10)," ","")))),FIND(" ",F827&amp;" ",N10+1)-1)))</f>
        <v>1</v>
      </c>
      <c r="N827" s="119">
        <f t="shared" si="83"/>
        <v>810</v>
      </c>
      <c r="O827" s="99" t="str">
        <f t="shared" si="84"/>
        <v>0</v>
      </c>
      <c r="P827" s="119">
        <f t="shared" si="85"/>
        <v>1</v>
      </c>
      <c r="Q827" s="119">
        <f t="shared" si="86"/>
        <v>1</v>
      </c>
      <c r="S827" s="3">
        <v>1</v>
      </c>
    </row>
    <row r="828" spans="2:19">
      <c r="B828" s="116"/>
      <c r="C828" s="116"/>
      <c r="D828" s="116"/>
      <c r="E828" s="116" cm="1">
        <f t="array" ref="E828">IF(H827&lt;&gt;"",E827,IF(E827="","",IFERROR(MATCH(TRUE(),INDEX(INDEX(K:K,E827+1):K203&lt;&gt;"",0),0)+E827,"")))</f>
        <v>969</v>
      </c>
      <c r="F828" s="117" cm="1">
        <f t="array" ref="F828">IF(E828="","",IF(H827&lt;&gt;"",H827,INDEX(D:D,E828)))</f>
        <v>0</v>
      </c>
      <c r="G828" s="117" t="str">
        <f t="shared" si="81"/>
        <v>0</v>
      </c>
      <c r="H828" s="118" t="str">
        <f t="shared" si="82"/>
        <v/>
      </c>
      <c r="I828" s="116" t="str">
        <f>IF(AND(F828&lt;&gt;"",N10&gt;0,M828&gt;N10),"Mot &gt; limite","")</f>
        <v/>
      </c>
      <c r="M828" s="70">
        <f>IF(OR(F828="",N10="",N10&lt;=0),"",IF(LEN(F828)&lt;=N10,LEN(F828),IFERROR(FIND("♦",SUBSTITUTE(LEFT(F828,N10)," ","♦",LEN(LEFT(F828,N10))-LEN(SUBSTITUTE(LEFT(F828,N10)," ","")))),FIND(" ",F828&amp;" ",N10+1)-1)))</f>
        <v>1</v>
      </c>
      <c r="N828" s="119">
        <f t="shared" si="83"/>
        <v>811</v>
      </c>
      <c r="O828" s="99" t="str">
        <f t="shared" si="84"/>
        <v>0</v>
      </c>
      <c r="P828" s="119">
        <f t="shared" si="85"/>
        <v>1</v>
      </c>
      <c r="Q828" s="119">
        <f t="shared" si="86"/>
        <v>1</v>
      </c>
      <c r="S828" s="3">
        <v>1</v>
      </c>
    </row>
    <row r="829" spans="2:19">
      <c r="B829" s="116"/>
      <c r="C829" s="116"/>
      <c r="D829" s="116"/>
      <c r="E829" s="116" cm="1">
        <f t="array" ref="E829">IF(H828&lt;&gt;"",E828,IF(E828="","",IFERROR(MATCH(TRUE(),INDEX(INDEX(K:K,E828+1):K203&lt;&gt;"",0),0)+E828,"")))</f>
        <v>970</v>
      </c>
      <c r="F829" s="117" cm="1">
        <f t="array" ref="F829">IF(E829="","",IF(H828&lt;&gt;"",H828,INDEX(D:D,E829)))</f>
        <v>0</v>
      </c>
      <c r="G829" s="117" t="str">
        <f t="shared" si="81"/>
        <v>0</v>
      </c>
      <c r="H829" s="118" t="str">
        <f t="shared" si="82"/>
        <v/>
      </c>
      <c r="I829" s="116" t="str">
        <f>IF(AND(F829&lt;&gt;"",N10&gt;0,M829&gt;N10),"Mot &gt; limite","")</f>
        <v/>
      </c>
      <c r="M829" s="70">
        <f>IF(OR(F829="",N10="",N10&lt;=0),"",IF(LEN(F829)&lt;=N10,LEN(F829),IFERROR(FIND("♦",SUBSTITUTE(LEFT(F829,N10)," ","♦",LEN(LEFT(F829,N10))-LEN(SUBSTITUTE(LEFT(F829,N10)," ","")))),FIND(" ",F829&amp;" ",N10+1)-1)))</f>
        <v>1</v>
      </c>
      <c r="N829" s="119">
        <f t="shared" si="83"/>
        <v>812</v>
      </c>
      <c r="O829" s="99" t="str">
        <f t="shared" si="84"/>
        <v>0</v>
      </c>
      <c r="P829" s="119">
        <f t="shared" si="85"/>
        <v>1</v>
      </c>
      <c r="Q829" s="119">
        <f t="shared" si="86"/>
        <v>1</v>
      </c>
      <c r="S829" s="3">
        <v>1</v>
      </c>
    </row>
    <row r="830" spans="2:19">
      <c r="B830" s="116"/>
      <c r="C830" s="116"/>
      <c r="D830" s="116"/>
      <c r="E830" s="116" cm="1">
        <f t="array" ref="E830">IF(H829&lt;&gt;"",E829,IF(E829="","",IFERROR(MATCH(TRUE(),INDEX(INDEX(K:K,E829+1):K203&lt;&gt;"",0),0)+E829,"")))</f>
        <v>971</v>
      </c>
      <c r="F830" s="117" cm="1">
        <f t="array" ref="F830">IF(E830="","",IF(H829&lt;&gt;"",H829,INDEX(D:D,E830)))</f>
        <v>0</v>
      </c>
      <c r="G830" s="117" t="str">
        <f t="shared" si="81"/>
        <v>0</v>
      </c>
      <c r="H830" s="118" t="str">
        <f t="shared" si="82"/>
        <v/>
      </c>
      <c r="I830" s="116" t="str">
        <f>IF(AND(F830&lt;&gt;"",N10&gt;0,M830&gt;N10),"Mot &gt; limite","")</f>
        <v/>
      </c>
      <c r="M830" s="70">
        <f>IF(OR(F830="",N10="",N10&lt;=0),"",IF(LEN(F830)&lt;=N10,LEN(F830),IFERROR(FIND("♦",SUBSTITUTE(LEFT(F830,N10)," ","♦",LEN(LEFT(F830,N10))-LEN(SUBSTITUTE(LEFT(F830,N10)," ","")))),FIND(" ",F830&amp;" ",N10+1)-1)))</f>
        <v>1</v>
      </c>
      <c r="N830" s="119">
        <f t="shared" si="83"/>
        <v>813</v>
      </c>
      <c r="O830" s="99" t="str">
        <f t="shared" si="84"/>
        <v>0</v>
      </c>
      <c r="P830" s="119">
        <f t="shared" si="85"/>
        <v>1</v>
      </c>
      <c r="Q830" s="119">
        <f t="shared" si="86"/>
        <v>1</v>
      </c>
      <c r="S830" s="3">
        <v>1</v>
      </c>
    </row>
    <row r="831" spans="2:19">
      <c r="B831" s="116"/>
      <c r="C831" s="116"/>
      <c r="D831" s="116"/>
      <c r="E831" s="116" cm="1">
        <f t="array" ref="E831">IF(H830&lt;&gt;"",E830,IF(E830="","",IFERROR(MATCH(TRUE(),INDEX(INDEX(K:K,E830+1):K203&lt;&gt;"",0),0)+E830,"")))</f>
        <v>972</v>
      </c>
      <c r="F831" s="117" cm="1">
        <f t="array" ref="F831">IF(E831="","",IF(H830&lt;&gt;"",H830,INDEX(D:D,E831)))</f>
        <v>0</v>
      </c>
      <c r="G831" s="117" t="str">
        <f t="shared" si="81"/>
        <v>0</v>
      </c>
      <c r="H831" s="118" t="str">
        <f t="shared" si="82"/>
        <v/>
      </c>
      <c r="I831" s="116" t="str">
        <f>IF(AND(F831&lt;&gt;"",N10&gt;0,M831&gt;N10),"Mot &gt; limite","")</f>
        <v/>
      </c>
      <c r="M831" s="70">
        <f>IF(OR(F831="",N10="",N10&lt;=0),"",IF(LEN(F831)&lt;=N10,LEN(F831),IFERROR(FIND("♦",SUBSTITUTE(LEFT(F831,N10)," ","♦",LEN(LEFT(F831,N10))-LEN(SUBSTITUTE(LEFT(F831,N10)," ","")))),FIND(" ",F831&amp;" ",N10+1)-1)))</f>
        <v>1</v>
      </c>
      <c r="N831" s="119">
        <f t="shared" si="83"/>
        <v>814</v>
      </c>
      <c r="O831" s="99" t="str">
        <f t="shared" si="84"/>
        <v>0</v>
      </c>
      <c r="P831" s="119">
        <f t="shared" si="85"/>
        <v>1</v>
      </c>
      <c r="Q831" s="119">
        <f t="shared" si="86"/>
        <v>1</v>
      </c>
      <c r="S831" s="3">
        <v>1</v>
      </c>
    </row>
    <row r="832" spans="2:19">
      <c r="B832" s="116"/>
      <c r="C832" s="116"/>
      <c r="D832" s="116"/>
      <c r="E832" s="116" cm="1">
        <f t="array" ref="E832">IF(H831&lt;&gt;"",E831,IF(E831="","",IFERROR(MATCH(TRUE(),INDEX(INDEX(K:K,E831+1):K203&lt;&gt;"",0),0)+E831,"")))</f>
        <v>973</v>
      </c>
      <c r="F832" s="117" cm="1">
        <f t="array" ref="F832">IF(E832="","",IF(H831&lt;&gt;"",H831,INDEX(D:D,E832)))</f>
        <v>0</v>
      </c>
      <c r="G832" s="117" t="str">
        <f t="shared" si="81"/>
        <v>0</v>
      </c>
      <c r="H832" s="118" t="str">
        <f t="shared" si="82"/>
        <v/>
      </c>
      <c r="I832" s="116" t="str">
        <f>IF(AND(F832&lt;&gt;"",N10&gt;0,M832&gt;N10),"Mot &gt; limite","")</f>
        <v/>
      </c>
      <c r="M832" s="70">
        <f>IF(OR(F832="",N10="",N10&lt;=0),"",IF(LEN(F832)&lt;=N10,LEN(F832),IFERROR(FIND("♦",SUBSTITUTE(LEFT(F832,N10)," ","♦",LEN(LEFT(F832,N10))-LEN(SUBSTITUTE(LEFT(F832,N10)," ","")))),FIND(" ",F832&amp;" ",N10+1)-1)))</f>
        <v>1</v>
      </c>
      <c r="N832" s="119">
        <f t="shared" si="83"/>
        <v>815</v>
      </c>
      <c r="O832" s="99" t="str">
        <f t="shared" si="84"/>
        <v>0</v>
      </c>
      <c r="P832" s="119">
        <f t="shared" si="85"/>
        <v>1</v>
      </c>
      <c r="Q832" s="119">
        <f t="shared" si="86"/>
        <v>1</v>
      </c>
      <c r="S832" s="3">
        <v>1</v>
      </c>
    </row>
    <row r="833" spans="2:19">
      <c r="B833" s="116"/>
      <c r="C833" s="116"/>
      <c r="D833" s="116"/>
      <c r="E833" s="116" cm="1">
        <f t="array" ref="E833">IF(H832&lt;&gt;"",E832,IF(E832="","",IFERROR(MATCH(TRUE(),INDEX(INDEX(K:K,E832+1):K203&lt;&gt;"",0),0)+E832,"")))</f>
        <v>974</v>
      </c>
      <c r="F833" s="117" cm="1">
        <f t="array" ref="F833">IF(E833="","",IF(H832&lt;&gt;"",H832,INDEX(D:D,E833)))</f>
        <v>0</v>
      </c>
      <c r="G833" s="117" t="str">
        <f t="shared" si="81"/>
        <v>0</v>
      </c>
      <c r="H833" s="118" t="str">
        <f t="shared" si="82"/>
        <v/>
      </c>
      <c r="I833" s="116" t="str">
        <f>IF(AND(F833&lt;&gt;"",N10&gt;0,M833&gt;N10),"Mot &gt; limite","")</f>
        <v/>
      </c>
      <c r="M833" s="70">
        <f>IF(OR(F833="",N10="",N10&lt;=0),"",IF(LEN(F833)&lt;=N10,LEN(F833),IFERROR(FIND("♦",SUBSTITUTE(LEFT(F833,N10)," ","♦",LEN(LEFT(F833,N10))-LEN(SUBSTITUTE(LEFT(F833,N10)," ","")))),FIND(" ",F833&amp;" ",N10+1)-1)))</f>
        <v>1</v>
      </c>
      <c r="N833" s="119">
        <f t="shared" si="83"/>
        <v>816</v>
      </c>
      <c r="O833" s="99" t="str">
        <f t="shared" si="84"/>
        <v>0</v>
      </c>
      <c r="P833" s="119">
        <f t="shared" si="85"/>
        <v>1</v>
      </c>
      <c r="Q833" s="119">
        <f t="shared" si="86"/>
        <v>1</v>
      </c>
      <c r="S833" s="3">
        <v>1</v>
      </c>
    </row>
    <row r="834" spans="2:19">
      <c r="B834" s="116"/>
      <c r="C834" s="116"/>
      <c r="D834" s="116"/>
      <c r="E834" s="116" cm="1">
        <f t="array" ref="E834">IF(H833&lt;&gt;"",E833,IF(E833="","",IFERROR(MATCH(TRUE(),INDEX(INDEX(K:K,E833+1):K203&lt;&gt;"",0),0)+E833,"")))</f>
        <v>975</v>
      </c>
      <c r="F834" s="117" cm="1">
        <f t="array" ref="F834">IF(E834="","",IF(H833&lt;&gt;"",H833,INDEX(D:D,E834)))</f>
        <v>0</v>
      </c>
      <c r="G834" s="117" t="str">
        <f t="shared" si="81"/>
        <v>0</v>
      </c>
      <c r="H834" s="118" t="str">
        <f t="shared" si="82"/>
        <v/>
      </c>
      <c r="I834" s="116" t="str">
        <f>IF(AND(F834&lt;&gt;"",N10&gt;0,M834&gt;N10),"Mot &gt; limite","")</f>
        <v/>
      </c>
      <c r="M834" s="70">
        <f>IF(OR(F834="",N10="",N10&lt;=0),"",IF(LEN(F834)&lt;=N10,LEN(F834),IFERROR(FIND("♦",SUBSTITUTE(LEFT(F834,N10)," ","♦",LEN(LEFT(F834,N10))-LEN(SUBSTITUTE(LEFT(F834,N10)," ","")))),FIND(" ",F834&amp;" ",N10+1)-1)))</f>
        <v>1</v>
      </c>
      <c r="N834" s="119">
        <f t="shared" si="83"/>
        <v>817</v>
      </c>
      <c r="O834" s="99" t="str">
        <f t="shared" si="84"/>
        <v>0</v>
      </c>
      <c r="P834" s="119">
        <f t="shared" si="85"/>
        <v>1</v>
      </c>
      <c r="Q834" s="119">
        <f t="shared" si="86"/>
        <v>1</v>
      </c>
      <c r="S834" s="3">
        <v>1</v>
      </c>
    </row>
    <row r="835" spans="2:19">
      <c r="B835" s="116"/>
      <c r="C835" s="116"/>
      <c r="D835" s="116"/>
      <c r="E835" s="116" cm="1">
        <f t="array" ref="E835">IF(H834&lt;&gt;"",E834,IF(E834="","",IFERROR(MATCH(TRUE(),INDEX(INDEX(K:K,E834+1):K203&lt;&gt;"",0),0)+E834,"")))</f>
        <v>976</v>
      </c>
      <c r="F835" s="117" cm="1">
        <f t="array" ref="F835">IF(E835="","",IF(H834&lt;&gt;"",H834,INDEX(D:D,E835)))</f>
        <v>0</v>
      </c>
      <c r="G835" s="117" t="str">
        <f t="shared" si="81"/>
        <v>0</v>
      </c>
      <c r="H835" s="118" t="str">
        <f t="shared" si="82"/>
        <v/>
      </c>
      <c r="I835" s="116" t="str">
        <f>IF(AND(F835&lt;&gt;"",N10&gt;0,M835&gt;N10),"Mot &gt; limite","")</f>
        <v/>
      </c>
      <c r="M835" s="70">
        <f>IF(OR(F835="",N10="",N10&lt;=0),"",IF(LEN(F835)&lt;=N10,LEN(F835),IFERROR(FIND("♦",SUBSTITUTE(LEFT(F835,N10)," ","♦",LEN(LEFT(F835,N10))-LEN(SUBSTITUTE(LEFT(F835,N10)," ","")))),FIND(" ",F835&amp;" ",N10+1)-1)))</f>
        <v>1</v>
      </c>
      <c r="N835" s="119">
        <f t="shared" si="83"/>
        <v>818</v>
      </c>
      <c r="O835" s="99" t="str">
        <f t="shared" si="84"/>
        <v>0</v>
      </c>
      <c r="P835" s="119">
        <f t="shared" si="85"/>
        <v>1</v>
      </c>
      <c r="Q835" s="119">
        <f t="shared" si="86"/>
        <v>1</v>
      </c>
      <c r="S835" s="3">
        <v>1</v>
      </c>
    </row>
    <row r="836" spans="2:19">
      <c r="B836" s="116"/>
      <c r="C836" s="116"/>
      <c r="D836" s="116"/>
      <c r="E836" s="116" cm="1">
        <f t="array" ref="E836">IF(H835&lt;&gt;"",E835,IF(E835="","",IFERROR(MATCH(TRUE(),INDEX(INDEX(K:K,E835+1):K203&lt;&gt;"",0),0)+E835,"")))</f>
        <v>977</v>
      </c>
      <c r="F836" s="117" cm="1">
        <f t="array" ref="F836">IF(E836="","",IF(H835&lt;&gt;"",H835,INDEX(D:D,E836)))</f>
        <v>0</v>
      </c>
      <c r="G836" s="117" t="str">
        <f t="shared" si="81"/>
        <v>0</v>
      </c>
      <c r="H836" s="118" t="str">
        <f t="shared" si="82"/>
        <v/>
      </c>
      <c r="I836" s="116" t="str">
        <f>IF(AND(F836&lt;&gt;"",N10&gt;0,M836&gt;N10),"Mot &gt; limite","")</f>
        <v/>
      </c>
      <c r="M836" s="70">
        <f>IF(OR(F836="",N10="",N10&lt;=0),"",IF(LEN(F836)&lt;=N10,LEN(F836),IFERROR(FIND("♦",SUBSTITUTE(LEFT(F836,N10)," ","♦",LEN(LEFT(F836,N10))-LEN(SUBSTITUTE(LEFT(F836,N10)," ","")))),FIND(" ",F836&amp;" ",N10+1)-1)))</f>
        <v>1</v>
      </c>
      <c r="N836" s="119">
        <f t="shared" si="83"/>
        <v>819</v>
      </c>
      <c r="O836" s="99" t="str">
        <f t="shared" si="84"/>
        <v>0</v>
      </c>
      <c r="P836" s="119">
        <f t="shared" si="85"/>
        <v>1</v>
      </c>
      <c r="Q836" s="119">
        <f t="shared" si="86"/>
        <v>1</v>
      </c>
      <c r="S836" s="3">
        <v>1</v>
      </c>
    </row>
    <row r="837" spans="2:19">
      <c r="B837" s="116"/>
      <c r="C837" s="116"/>
      <c r="D837" s="116"/>
      <c r="E837" s="116" cm="1">
        <f t="array" ref="E837">IF(H836&lt;&gt;"",E836,IF(E836="","",IFERROR(MATCH(TRUE(),INDEX(INDEX(K:K,E836+1):K203&lt;&gt;"",0),0)+E836,"")))</f>
        <v>978</v>
      </c>
      <c r="F837" s="117" cm="1">
        <f t="array" ref="F837">IF(E837="","",IF(H836&lt;&gt;"",H836,INDEX(D:D,E837)))</f>
        <v>0</v>
      </c>
      <c r="G837" s="117" t="str">
        <f t="shared" si="81"/>
        <v>0</v>
      </c>
      <c r="H837" s="118" t="str">
        <f t="shared" si="82"/>
        <v/>
      </c>
      <c r="I837" s="116" t="str">
        <f>IF(AND(F837&lt;&gt;"",N10&gt;0,M837&gt;N10),"Mot &gt; limite","")</f>
        <v/>
      </c>
      <c r="M837" s="70">
        <f>IF(OR(F837="",N10="",N10&lt;=0),"",IF(LEN(F837)&lt;=N10,LEN(F837),IFERROR(FIND("♦",SUBSTITUTE(LEFT(F837,N10)," ","♦",LEN(LEFT(F837,N10))-LEN(SUBSTITUTE(LEFT(F837,N10)," ","")))),FIND(" ",F837&amp;" ",N10+1)-1)))</f>
        <v>1</v>
      </c>
      <c r="N837" s="119">
        <f t="shared" si="83"/>
        <v>820</v>
      </c>
      <c r="O837" s="99" t="str">
        <f t="shared" si="84"/>
        <v>0</v>
      </c>
      <c r="P837" s="119">
        <f t="shared" si="85"/>
        <v>1</v>
      </c>
      <c r="Q837" s="119">
        <f t="shared" si="86"/>
        <v>1</v>
      </c>
      <c r="S837" s="3">
        <v>1</v>
      </c>
    </row>
    <row r="838" spans="2:19">
      <c r="B838" s="116"/>
      <c r="C838" s="116"/>
      <c r="D838" s="116"/>
      <c r="E838" s="116" cm="1">
        <f t="array" ref="E838">IF(H837&lt;&gt;"",E837,IF(E837="","",IFERROR(MATCH(TRUE(),INDEX(INDEX(K:K,E837+1):K203&lt;&gt;"",0),0)+E837,"")))</f>
        <v>979</v>
      </c>
      <c r="F838" s="117" cm="1">
        <f t="array" ref="F838">IF(E838="","",IF(H837&lt;&gt;"",H837,INDEX(D:D,E838)))</f>
        <v>0</v>
      </c>
      <c r="G838" s="117" t="str">
        <f t="shared" si="81"/>
        <v>0</v>
      </c>
      <c r="H838" s="118" t="str">
        <f t="shared" si="82"/>
        <v/>
      </c>
      <c r="I838" s="116" t="str">
        <f>IF(AND(F838&lt;&gt;"",N10&gt;0,M838&gt;N10),"Mot &gt; limite","")</f>
        <v/>
      </c>
      <c r="M838" s="70">
        <f>IF(OR(F838="",N10="",N10&lt;=0),"",IF(LEN(F838)&lt;=N10,LEN(F838),IFERROR(FIND("♦",SUBSTITUTE(LEFT(F838,N10)," ","♦",LEN(LEFT(F838,N10))-LEN(SUBSTITUTE(LEFT(F838,N10)," ","")))),FIND(" ",F838&amp;" ",N10+1)-1)))</f>
        <v>1</v>
      </c>
      <c r="N838" s="119">
        <f t="shared" si="83"/>
        <v>821</v>
      </c>
      <c r="O838" s="99" t="str">
        <f t="shared" si="84"/>
        <v>0</v>
      </c>
      <c r="P838" s="119">
        <f t="shared" si="85"/>
        <v>1</v>
      </c>
      <c r="Q838" s="119">
        <f t="shared" si="86"/>
        <v>1</v>
      </c>
      <c r="S838" s="3">
        <v>1</v>
      </c>
    </row>
    <row r="839" spans="2:19">
      <c r="B839" s="116"/>
      <c r="C839" s="116"/>
      <c r="D839" s="116"/>
      <c r="E839" s="116" cm="1">
        <f t="array" ref="E839">IF(H838&lt;&gt;"",E838,IF(E838="","",IFERROR(MATCH(TRUE(),INDEX(INDEX(K:K,E838+1):K203&lt;&gt;"",0),0)+E838,"")))</f>
        <v>980</v>
      </c>
      <c r="F839" s="117" cm="1">
        <f t="array" ref="F839">IF(E839="","",IF(H838&lt;&gt;"",H838,INDEX(D:D,E839)))</f>
        <v>0</v>
      </c>
      <c r="G839" s="117" t="str">
        <f t="shared" si="81"/>
        <v>0</v>
      </c>
      <c r="H839" s="118" t="str">
        <f t="shared" si="82"/>
        <v/>
      </c>
      <c r="I839" s="116" t="str">
        <f>IF(AND(F839&lt;&gt;"",N10&gt;0,M839&gt;N10),"Mot &gt; limite","")</f>
        <v/>
      </c>
      <c r="M839" s="70">
        <f>IF(OR(F839="",N10="",N10&lt;=0),"",IF(LEN(F839)&lt;=N10,LEN(F839),IFERROR(FIND("♦",SUBSTITUTE(LEFT(F839,N10)," ","♦",LEN(LEFT(F839,N10))-LEN(SUBSTITUTE(LEFT(F839,N10)," ","")))),FIND(" ",F839&amp;" ",N10+1)-1)))</f>
        <v>1</v>
      </c>
      <c r="N839" s="119">
        <f t="shared" si="83"/>
        <v>822</v>
      </c>
      <c r="O839" s="99" t="str">
        <f t="shared" si="84"/>
        <v>0</v>
      </c>
      <c r="P839" s="119">
        <f t="shared" si="85"/>
        <v>1</v>
      </c>
      <c r="Q839" s="119">
        <f t="shared" si="86"/>
        <v>1</v>
      </c>
      <c r="S839" s="3">
        <v>1</v>
      </c>
    </row>
    <row r="840" spans="2:19">
      <c r="B840" s="116"/>
      <c r="C840" s="116"/>
      <c r="D840" s="116"/>
      <c r="E840" s="116" cm="1">
        <f t="array" ref="E840">IF(H839&lt;&gt;"",E839,IF(E839="","",IFERROR(MATCH(TRUE(),INDEX(INDEX(K:K,E839+1):K203&lt;&gt;"",0),0)+E839,"")))</f>
        <v>981</v>
      </c>
      <c r="F840" s="117" cm="1">
        <f t="array" ref="F840">IF(E840="","",IF(H839&lt;&gt;"",H839,INDEX(D:D,E840)))</f>
        <v>0</v>
      </c>
      <c r="G840" s="117" t="str">
        <f t="shared" si="81"/>
        <v>0</v>
      </c>
      <c r="H840" s="118" t="str">
        <f t="shared" si="82"/>
        <v/>
      </c>
      <c r="I840" s="116" t="str">
        <f>IF(AND(F840&lt;&gt;"",N10&gt;0,M840&gt;N10),"Mot &gt; limite","")</f>
        <v/>
      </c>
      <c r="M840" s="70">
        <f>IF(OR(F840="",N10="",N10&lt;=0),"",IF(LEN(F840)&lt;=N10,LEN(F840),IFERROR(FIND("♦",SUBSTITUTE(LEFT(F840,N10)," ","♦",LEN(LEFT(F840,N10))-LEN(SUBSTITUTE(LEFT(F840,N10)," ","")))),FIND(" ",F840&amp;" ",N10+1)-1)))</f>
        <v>1</v>
      </c>
      <c r="N840" s="119">
        <f t="shared" si="83"/>
        <v>823</v>
      </c>
      <c r="O840" s="99" t="str">
        <f t="shared" si="84"/>
        <v>0</v>
      </c>
      <c r="P840" s="119">
        <f t="shared" si="85"/>
        <v>1</v>
      </c>
      <c r="Q840" s="119">
        <f t="shared" si="86"/>
        <v>1</v>
      </c>
      <c r="S840" s="3">
        <v>1</v>
      </c>
    </row>
    <row r="841" spans="2:19">
      <c r="B841" s="116"/>
      <c r="C841" s="116"/>
      <c r="D841" s="116"/>
      <c r="E841" s="116" cm="1">
        <f t="array" ref="E841">IF(H840&lt;&gt;"",E840,IF(E840="","",IFERROR(MATCH(TRUE(),INDEX(INDEX(K:K,E840+1):K203&lt;&gt;"",0),0)+E840,"")))</f>
        <v>982</v>
      </c>
      <c r="F841" s="117" cm="1">
        <f t="array" ref="F841">IF(E841="","",IF(H840&lt;&gt;"",H840,INDEX(D:D,E841)))</f>
        <v>0</v>
      </c>
      <c r="G841" s="117" t="str">
        <f t="shared" si="81"/>
        <v>0</v>
      </c>
      <c r="H841" s="118" t="str">
        <f t="shared" si="82"/>
        <v/>
      </c>
      <c r="I841" s="116" t="str">
        <f>IF(AND(F841&lt;&gt;"",N10&gt;0,M841&gt;N10),"Mot &gt; limite","")</f>
        <v/>
      </c>
      <c r="M841" s="70">
        <f>IF(OR(F841="",N10="",N10&lt;=0),"",IF(LEN(F841)&lt;=N10,LEN(F841),IFERROR(FIND("♦",SUBSTITUTE(LEFT(F841,N10)," ","♦",LEN(LEFT(F841,N10))-LEN(SUBSTITUTE(LEFT(F841,N10)," ","")))),FIND(" ",F841&amp;" ",N10+1)-1)))</f>
        <v>1</v>
      </c>
      <c r="N841" s="119">
        <f t="shared" si="83"/>
        <v>824</v>
      </c>
      <c r="O841" s="99" t="str">
        <f t="shared" si="84"/>
        <v>0</v>
      </c>
      <c r="P841" s="119">
        <f t="shared" si="85"/>
        <v>1</v>
      </c>
      <c r="Q841" s="119">
        <f t="shared" si="86"/>
        <v>1</v>
      </c>
      <c r="S841" s="3">
        <v>1</v>
      </c>
    </row>
    <row r="842" spans="2:19">
      <c r="B842" s="116"/>
      <c r="C842" s="116"/>
      <c r="D842" s="116"/>
      <c r="E842" s="116" cm="1">
        <f t="array" ref="E842">IF(H841&lt;&gt;"",E841,IF(E841="","",IFERROR(MATCH(TRUE(),INDEX(INDEX(K:K,E841+1):K203&lt;&gt;"",0),0)+E841,"")))</f>
        <v>983</v>
      </c>
      <c r="F842" s="117" cm="1">
        <f t="array" ref="F842">IF(E842="","",IF(H841&lt;&gt;"",H841,INDEX(D:D,E842)))</f>
        <v>0</v>
      </c>
      <c r="G842" s="117" t="str">
        <f t="shared" si="81"/>
        <v>0</v>
      </c>
      <c r="H842" s="118" t="str">
        <f t="shared" si="82"/>
        <v/>
      </c>
      <c r="I842" s="116" t="str">
        <f>IF(AND(F842&lt;&gt;"",N10&gt;0,M842&gt;N10),"Mot &gt; limite","")</f>
        <v/>
      </c>
      <c r="M842" s="70">
        <f>IF(OR(F842="",N10="",N10&lt;=0),"",IF(LEN(F842)&lt;=N10,LEN(F842),IFERROR(FIND("♦",SUBSTITUTE(LEFT(F842,N10)," ","♦",LEN(LEFT(F842,N10))-LEN(SUBSTITUTE(LEFT(F842,N10)," ","")))),FIND(" ",F842&amp;" ",N10+1)-1)))</f>
        <v>1</v>
      </c>
      <c r="N842" s="119">
        <f t="shared" si="83"/>
        <v>825</v>
      </c>
      <c r="O842" s="99" t="str">
        <f t="shared" si="84"/>
        <v>0</v>
      </c>
      <c r="P842" s="119">
        <f t="shared" si="85"/>
        <v>1</v>
      </c>
      <c r="Q842" s="119">
        <f t="shared" si="86"/>
        <v>1</v>
      </c>
      <c r="S842" s="3">
        <v>1</v>
      </c>
    </row>
    <row r="843" spans="2:19">
      <c r="B843" s="116"/>
      <c r="C843" s="116"/>
      <c r="D843" s="116"/>
      <c r="E843" s="116" cm="1">
        <f t="array" ref="E843">IF(H842&lt;&gt;"",E842,IF(E842="","",IFERROR(MATCH(TRUE(),INDEX(INDEX(K:K,E842+1):K203&lt;&gt;"",0),0)+E842,"")))</f>
        <v>984</v>
      </c>
      <c r="F843" s="117" cm="1">
        <f t="array" ref="F843">IF(E843="","",IF(H842&lt;&gt;"",H842,INDEX(D:D,E843)))</f>
        <v>0</v>
      </c>
      <c r="G843" s="117" t="str">
        <f t="shared" si="81"/>
        <v>0</v>
      </c>
      <c r="H843" s="118" t="str">
        <f t="shared" si="82"/>
        <v/>
      </c>
      <c r="I843" s="116" t="str">
        <f>IF(AND(F843&lt;&gt;"",N10&gt;0,M843&gt;N10),"Mot &gt; limite","")</f>
        <v/>
      </c>
      <c r="M843" s="70">
        <f>IF(OR(F843="",N10="",N10&lt;=0),"",IF(LEN(F843)&lt;=N10,LEN(F843),IFERROR(FIND("♦",SUBSTITUTE(LEFT(F843,N10)," ","♦",LEN(LEFT(F843,N10))-LEN(SUBSTITUTE(LEFT(F843,N10)," ","")))),FIND(" ",F843&amp;" ",N10+1)-1)))</f>
        <v>1</v>
      </c>
      <c r="N843" s="119">
        <f t="shared" si="83"/>
        <v>826</v>
      </c>
      <c r="O843" s="99" t="str">
        <f t="shared" si="84"/>
        <v>0</v>
      </c>
      <c r="P843" s="119">
        <f t="shared" si="85"/>
        <v>1</v>
      </c>
      <c r="Q843" s="119">
        <f t="shared" si="86"/>
        <v>1</v>
      </c>
      <c r="S843" s="3">
        <v>1</v>
      </c>
    </row>
    <row r="844" spans="2:19">
      <c r="B844" s="116"/>
      <c r="C844" s="116"/>
      <c r="D844" s="116"/>
      <c r="E844" s="116" cm="1">
        <f t="array" ref="E844">IF(H843&lt;&gt;"",E843,IF(E843="","",IFERROR(MATCH(TRUE(),INDEX(INDEX(K:K,E843+1):K203&lt;&gt;"",0),0)+E843,"")))</f>
        <v>985</v>
      </c>
      <c r="F844" s="117" cm="1">
        <f t="array" ref="F844">IF(E844="","",IF(H843&lt;&gt;"",H843,INDEX(D:D,E844)))</f>
        <v>0</v>
      </c>
      <c r="G844" s="117" t="str">
        <f t="shared" si="81"/>
        <v>0</v>
      </c>
      <c r="H844" s="118" t="str">
        <f t="shared" si="82"/>
        <v/>
      </c>
      <c r="I844" s="116" t="str">
        <f>IF(AND(F844&lt;&gt;"",N10&gt;0,M844&gt;N10),"Mot &gt; limite","")</f>
        <v/>
      </c>
      <c r="M844" s="70">
        <f>IF(OR(F844="",N10="",N10&lt;=0),"",IF(LEN(F844)&lt;=N10,LEN(F844),IFERROR(FIND("♦",SUBSTITUTE(LEFT(F844,N10)," ","♦",LEN(LEFT(F844,N10))-LEN(SUBSTITUTE(LEFT(F844,N10)," ","")))),FIND(" ",F844&amp;" ",N10+1)-1)))</f>
        <v>1</v>
      </c>
      <c r="N844" s="119">
        <f t="shared" si="83"/>
        <v>827</v>
      </c>
      <c r="O844" s="99" t="str">
        <f t="shared" si="84"/>
        <v>0</v>
      </c>
      <c r="P844" s="119">
        <f t="shared" si="85"/>
        <v>1</v>
      </c>
      <c r="Q844" s="119">
        <f t="shared" si="86"/>
        <v>1</v>
      </c>
      <c r="S844" s="3">
        <v>1</v>
      </c>
    </row>
    <row r="845" spans="2:19">
      <c r="B845" s="116"/>
      <c r="C845" s="116"/>
      <c r="D845" s="116"/>
      <c r="E845" s="116" cm="1">
        <f t="array" ref="E845">IF(H844&lt;&gt;"",E844,IF(E844="","",IFERROR(MATCH(TRUE(),INDEX(INDEX(K:K,E844+1):K203&lt;&gt;"",0),0)+E844,"")))</f>
        <v>986</v>
      </c>
      <c r="F845" s="117" cm="1">
        <f t="array" ref="F845">IF(E845="","",IF(H844&lt;&gt;"",H844,INDEX(D:D,E845)))</f>
        <v>0</v>
      </c>
      <c r="G845" s="117" t="str">
        <f t="shared" si="81"/>
        <v>0</v>
      </c>
      <c r="H845" s="118" t="str">
        <f t="shared" si="82"/>
        <v/>
      </c>
      <c r="I845" s="116" t="str">
        <f>IF(AND(F845&lt;&gt;"",N10&gt;0,M845&gt;N10),"Mot &gt; limite","")</f>
        <v/>
      </c>
      <c r="M845" s="70">
        <f>IF(OR(F845="",N10="",N10&lt;=0),"",IF(LEN(F845)&lt;=N10,LEN(F845),IFERROR(FIND("♦",SUBSTITUTE(LEFT(F845,N10)," ","♦",LEN(LEFT(F845,N10))-LEN(SUBSTITUTE(LEFT(F845,N10)," ","")))),FIND(" ",F845&amp;" ",N10+1)-1)))</f>
        <v>1</v>
      </c>
      <c r="N845" s="119">
        <f t="shared" si="83"/>
        <v>828</v>
      </c>
      <c r="O845" s="99" t="str">
        <f t="shared" si="84"/>
        <v>0</v>
      </c>
      <c r="P845" s="119">
        <f t="shared" si="85"/>
        <v>1</v>
      </c>
      <c r="Q845" s="119">
        <f t="shared" si="86"/>
        <v>1</v>
      </c>
      <c r="S845" s="3">
        <v>1</v>
      </c>
    </row>
    <row r="846" spans="2:19">
      <c r="B846" s="116"/>
      <c r="C846" s="116"/>
      <c r="D846" s="116"/>
      <c r="E846" s="116" cm="1">
        <f t="array" ref="E846">IF(H845&lt;&gt;"",E845,IF(E845="","",IFERROR(MATCH(TRUE(),INDEX(INDEX(K:K,E845+1):K203&lt;&gt;"",0),0)+E845,"")))</f>
        <v>987</v>
      </c>
      <c r="F846" s="117" cm="1">
        <f t="array" ref="F846">IF(E846="","",IF(H845&lt;&gt;"",H845,INDEX(D:D,E846)))</f>
        <v>0</v>
      </c>
      <c r="G846" s="117" t="str">
        <f t="shared" si="81"/>
        <v>0</v>
      </c>
      <c r="H846" s="118" t="str">
        <f t="shared" si="82"/>
        <v/>
      </c>
      <c r="I846" s="116" t="str">
        <f>IF(AND(F846&lt;&gt;"",N10&gt;0,M846&gt;N10),"Mot &gt; limite","")</f>
        <v/>
      </c>
      <c r="M846" s="70">
        <f>IF(OR(F846="",N10="",N10&lt;=0),"",IF(LEN(F846)&lt;=N10,LEN(F846),IFERROR(FIND("♦",SUBSTITUTE(LEFT(F846,N10)," ","♦",LEN(LEFT(F846,N10))-LEN(SUBSTITUTE(LEFT(F846,N10)," ","")))),FIND(" ",F846&amp;" ",N10+1)-1)))</f>
        <v>1</v>
      </c>
      <c r="N846" s="119">
        <f t="shared" si="83"/>
        <v>829</v>
      </c>
      <c r="O846" s="99" t="str">
        <f t="shared" si="84"/>
        <v>0</v>
      </c>
      <c r="P846" s="119">
        <f t="shared" si="85"/>
        <v>1</v>
      </c>
      <c r="Q846" s="119">
        <f t="shared" si="86"/>
        <v>1</v>
      </c>
      <c r="S846" s="3">
        <v>1</v>
      </c>
    </row>
    <row r="847" spans="2:19">
      <c r="B847" s="116"/>
      <c r="C847" s="116"/>
      <c r="D847" s="116"/>
      <c r="E847" s="116" cm="1">
        <f t="array" ref="E847">IF(H846&lt;&gt;"",E846,IF(E846="","",IFERROR(MATCH(TRUE(),INDEX(INDEX(K:K,E846+1):K203&lt;&gt;"",0),0)+E846,"")))</f>
        <v>988</v>
      </c>
      <c r="F847" s="117" cm="1">
        <f t="array" ref="F847">IF(E847="","",IF(H846&lt;&gt;"",H846,INDEX(D:D,E847)))</f>
        <v>0</v>
      </c>
      <c r="G847" s="117" t="str">
        <f t="shared" si="81"/>
        <v>0</v>
      </c>
      <c r="H847" s="118" t="str">
        <f t="shared" si="82"/>
        <v/>
      </c>
      <c r="I847" s="116" t="str">
        <f>IF(AND(F847&lt;&gt;"",N10&gt;0,M847&gt;N10),"Mot &gt; limite","")</f>
        <v/>
      </c>
      <c r="M847" s="70">
        <f>IF(OR(F847="",N10="",N10&lt;=0),"",IF(LEN(F847)&lt;=N10,LEN(F847),IFERROR(FIND("♦",SUBSTITUTE(LEFT(F847,N10)," ","♦",LEN(LEFT(F847,N10))-LEN(SUBSTITUTE(LEFT(F847,N10)," ","")))),FIND(" ",F847&amp;" ",N10+1)-1)))</f>
        <v>1</v>
      </c>
      <c r="N847" s="119">
        <f t="shared" si="83"/>
        <v>830</v>
      </c>
      <c r="O847" s="99" t="str">
        <f t="shared" si="84"/>
        <v>0</v>
      </c>
      <c r="P847" s="119">
        <f t="shared" si="85"/>
        <v>1</v>
      </c>
      <c r="Q847" s="119">
        <f t="shared" si="86"/>
        <v>1</v>
      </c>
      <c r="S847" s="3">
        <v>1</v>
      </c>
    </row>
    <row r="848" spans="2:19">
      <c r="B848" s="116"/>
      <c r="C848" s="116"/>
      <c r="D848" s="116"/>
      <c r="E848" s="116" cm="1">
        <f t="array" ref="E848">IF(H847&lt;&gt;"",E847,IF(E847="","",IFERROR(MATCH(TRUE(),INDEX(INDEX(K:K,E847+1):K203&lt;&gt;"",0),0)+E847,"")))</f>
        <v>989</v>
      </c>
      <c r="F848" s="117" cm="1">
        <f t="array" ref="F848">IF(E848="","",IF(H847&lt;&gt;"",H847,INDEX(D:D,E848)))</f>
        <v>0</v>
      </c>
      <c r="G848" s="117" t="str">
        <f t="shared" si="81"/>
        <v>0</v>
      </c>
      <c r="H848" s="118" t="str">
        <f t="shared" si="82"/>
        <v/>
      </c>
      <c r="I848" s="116" t="str">
        <f>IF(AND(F848&lt;&gt;"",N10&gt;0,M848&gt;N10),"Mot &gt; limite","")</f>
        <v/>
      </c>
      <c r="M848" s="70">
        <f>IF(OR(F848="",N10="",N10&lt;=0),"",IF(LEN(F848)&lt;=N10,LEN(F848),IFERROR(FIND("♦",SUBSTITUTE(LEFT(F848,N10)," ","♦",LEN(LEFT(F848,N10))-LEN(SUBSTITUTE(LEFT(F848,N10)," ","")))),FIND(" ",F848&amp;" ",N10+1)-1)))</f>
        <v>1</v>
      </c>
      <c r="N848" s="119">
        <f t="shared" si="83"/>
        <v>831</v>
      </c>
      <c r="O848" s="99" t="str">
        <f t="shared" si="84"/>
        <v>0</v>
      </c>
      <c r="P848" s="119">
        <f t="shared" si="85"/>
        <v>1</v>
      </c>
      <c r="Q848" s="119">
        <f t="shared" si="86"/>
        <v>1</v>
      </c>
      <c r="S848" s="3">
        <v>1</v>
      </c>
    </row>
    <row r="849" spans="2:19">
      <c r="B849" s="116"/>
      <c r="C849" s="116"/>
      <c r="D849" s="116"/>
      <c r="E849" s="116" cm="1">
        <f t="array" ref="E849">IF(H848&lt;&gt;"",E848,IF(E848="","",IFERROR(MATCH(TRUE(),INDEX(INDEX(K:K,E848+1):K203&lt;&gt;"",0),0)+E848,"")))</f>
        <v>990</v>
      </c>
      <c r="F849" s="117" cm="1">
        <f t="array" ref="F849">IF(E849="","",IF(H848&lt;&gt;"",H848,INDEX(D:D,E849)))</f>
        <v>0</v>
      </c>
      <c r="G849" s="117" t="str">
        <f t="shared" si="81"/>
        <v>0</v>
      </c>
      <c r="H849" s="118" t="str">
        <f t="shared" si="82"/>
        <v/>
      </c>
      <c r="I849" s="116" t="str">
        <f>IF(AND(F849&lt;&gt;"",N10&gt;0,M849&gt;N10),"Mot &gt; limite","")</f>
        <v/>
      </c>
      <c r="M849" s="70">
        <f>IF(OR(F849="",N10="",N10&lt;=0),"",IF(LEN(F849)&lt;=N10,LEN(F849),IFERROR(FIND("♦",SUBSTITUTE(LEFT(F849,N10)," ","♦",LEN(LEFT(F849,N10))-LEN(SUBSTITUTE(LEFT(F849,N10)," ","")))),FIND(" ",F849&amp;" ",N10+1)-1)))</f>
        <v>1</v>
      </c>
      <c r="N849" s="119">
        <f t="shared" si="83"/>
        <v>832</v>
      </c>
      <c r="O849" s="99" t="str">
        <f t="shared" si="84"/>
        <v>0</v>
      </c>
      <c r="P849" s="119">
        <f t="shared" si="85"/>
        <v>1</v>
      </c>
      <c r="Q849" s="119">
        <f t="shared" si="86"/>
        <v>1</v>
      </c>
      <c r="S849" s="3">
        <v>1</v>
      </c>
    </row>
    <row r="850" spans="2:19">
      <c r="B850" s="116"/>
      <c r="C850" s="116"/>
      <c r="D850" s="116"/>
      <c r="E850" s="116" cm="1">
        <f t="array" ref="E850">IF(H849&lt;&gt;"",E849,IF(E849="","",IFERROR(MATCH(TRUE(),INDEX(INDEX(K:K,E849+1):K203&lt;&gt;"",0),0)+E849,"")))</f>
        <v>991</v>
      </c>
      <c r="F850" s="117" cm="1">
        <f t="array" ref="F850">IF(E850="","",IF(H849&lt;&gt;"",H849,INDEX(D:D,E850)))</f>
        <v>0</v>
      </c>
      <c r="G850" s="117" t="str">
        <f t="shared" ref="G850:G913" si="87">IF(OR(F850="",M850=""),"",LEFT(F850,M850))</f>
        <v>0</v>
      </c>
      <c r="H850" s="118" t="str">
        <f t="shared" ref="H850:H913" si="88">IF(OR(F850="",M850=""),"",TRIM(MID(F850,M850+1,99999)))</f>
        <v/>
      </c>
      <c r="I850" s="116" t="str">
        <f>IF(AND(F850&lt;&gt;"",N10&gt;0,M850&gt;N10),"Mot &gt; limite","")</f>
        <v/>
      </c>
      <c r="M850" s="70">
        <f>IF(OR(F850="",N10="",N10&lt;=0),"",IF(LEN(F850)&lt;=N10,LEN(F850),IFERROR(FIND("♦",SUBSTITUTE(LEFT(F850,N10)," ","♦",LEN(LEFT(F850,N10))-LEN(SUBSTITUTE(LEFT(F850,N10)," ","")))),FIND(" ",F850&amp;" ",N10+1)-1)))</f>
        <v>1</v>
      </c>
      <c r="N850" s="119">
        <f t="shared" ref="N850:N913" si="89">IF(O850="","",ROW()-17)</f>
        <v>833</v>
      </c>
      <c r="O850" s="99" t="str">
        <f t="shared" ref="O850:O913" si="90">G850</f>
        <v>0</v>
      </c>
      <c r="P850" s="119">
        <f t="shared" ref="P850:P913" si="91">IF(O850="","",LEN(TRIM(O850))-LEN(SUBSTITUTE(TRIM(O850)," ",""))+1)</f>
        <v>1</v>
      </c>
      <c r="Q850" s="119">
        <f t="shared" ref="Q850:Q913" si="92">IF(O850="","",LEN(O850))</f>
        <v>1</v>
      </c>
      <c r="S850" s="3">
        <v>1</v>
      </c>
    </row>
    <row r="851" spans="2:19">
      <c r="B851" s="116"/>
      <c r="C851" s="116"/>
      <c r="D851" s="116"/>
      <c r="E851" s="116" cm="1">
        <f t="array" ref="E851">IF(H850&lt;&gt;"",E850,IF(E850="","",IFERROR(MATCH(TRUE(),INDEX(INDEX(K:K,E850+1):K203&lt;&gt;"",0),0)+E850,"")))</f>
        <v>992</v>
      </c>
      <c r="F851" s="117" cm="1">
        <f t="array" ref="F851">IF(E851="","",IF(H850&lt;&gt;"",H850,INDEX(D:D,E851)))</f>
        <v>0</v>
      </c>
      <c r="G851" s="117" t="str">
        <f t="shared" si="87"/>
        <v>0</v>
      </c>
      <c r="H851" s="118" t="str">
        <f t="shared" si="88"/>
        <v/>
      </c>
      <c r="I851" s="116" t="str">
        <f>IF(AND(F851&lt;&gt;"",N10&gt;0,M851&gt;N10),"Mot &gt; limite","")</f>
        <v/>
      </c>
      <c r="M851" s="70">
        <f>IF(OR(F851="",N10="",N10&lt;=0),"",IF(LEN(F851)&lt;=N10,LEN(F851),IFERROR(FIND("♦",SUBSTITUTE(LEFT(F851,N10)," ","♦",LEN(LEFT(F851,N10))-LEN(SUBSTITUTE(LEFT(F851,N10)," ","")))),FIND(" ",F851&amp;" ",N10+1)-1)))</f>
        <v>1</v>
      </c>
      <c r="N851" s="119">
        <f t="shared" si="89"/>
        <v>834</v>
      </c>
      <c r="O851" s="99" t="str">
        <f t="shared" si="90"/>
        <v>0</v>
      </c>
      <c r="P851" s="119">
        <f t="shared" si="91"/>
        <v>1</v>
      </c>
      <c r="Q851" s="119">
        <f t="shared" si="92"/>
        <v>1</v>
      </c>
      <c r="S851" s="3">
        <v>1</v>
      </c>
    </row>
    <row r="852" spans="2:19">
      <c r="B852" s="116"/>
      <c r="C852" s="116"/>
      <c r="D852" s="116"/>
      <c r="E852" s="116" cm="1">
        <f t="array" ref="E852">IF(H851&lt;&gt;"",E851,IF(E851="","",IFERROR(MATCH(TRUE(),INDEX(INDEX(K:K,E851+1):K203&lt;&gt;"",0),0)+E851,"")))</f>
        <v>993</v>
      </c>
      <c r="F852" s="117" cm="1">
        <f t="array" ref="F852">IF(E852="","",IF(H851&lt;&gt;"",H851,INDEX(D:D,E852)))</f>
        <v>0</v>
      </c>
      <c r="G852" s="117" t="str">
        <f t="shared" si="87"/>
        <v>0</v>
      </c>
      <c r="H852" s="118" t="str">
        <f t="shared" si="88"/>
        <v/>
      </c>
      <c r="I852" s="116" t="str">
        <f>IF(AND(F852&lt;&gt;"",N10&gt;0,M852&gt;N10),"Mot &gt; limite","")</f>
        <v/>
      </c>
      <c r="M852" s="70">
        <f>IF(OR(F852="",N10="",N10&lt;=0),"",IF(LEN(F852)&lt;=N10,LEN(F852),IFERROR(FIND("♦",SUBSTITUTE(LEFT(F852,N10)," ","♦",LEN(LEFT(F852,N10))-LEN(SUBSTITUTE(LEFT(F852,N10)," ","")))),FIND(" ",F852&amp;" ",N10+1)-1)))</f>
        <v>1</v>
      </c>
      <c r="N852" s="119">
        <f t="shared" si="89"/>
        <v>835</v>
      </c>
      <c r="O852" s="99" t="str">
        <f t="shared" si="90"/>
        <v>0</v>
      </c>
      <c r="P852" s="119">
        <f t="shared" si="91"/>
        <v>1</v>
      </c>
      <c r="Q852" s="119">
        <f t="shared" si="92"/>
        <v>1</v>
      </c>
      <c r="S852" s="3">
        <v>1</v>
      </c>
    </row>
    <row r="853" spans="2:19">
      <c r="B853" s="116"/>
      <c r="C853" s="116"/>
      <c r="D853" s="116"/>
      <c r="E853" s="116" cm="1">
        <f t="array" ref="E853">IF(H852&lt;&gt;"",E852,IF(E852="","",IFERROR(MATCH(TRUE(),INDEX(INDEX(K:K,E852+1):K203&lt;&gt;"",0),0)+E852,"")))</f>
        <v>994</v>
      </c>
      <c r="F853" s="117" cm="1">
        <f t="array" ref="F853">IF(E853="","",IF(H852&lt;&gt;"",H852,INDEX(D:D,E853)))</f>
        <v>0</v>
      </c>
      <c r="G853" s="117" t="str">
        <f t="shared" si="87"/>
        <v>0</v>
      </c>
      <c r="H853" s="118" t="str">
        <f t="shared" si="88"/>
        <v/>
      </c>
      <c r="I853" s="116" t="str">
        <f>IF(AND(F853&lt;&gt;"",N10&gt;0,M853&gt;N10),"Mot &gt; limite","")</f>
        <v/>
      </c>
      <c r="M853" s="70">
        <f>IF(OR(F853="",N10="",N10&lt;=0),"",IF(LEN(F853)&lt;=N10,LEN(F853),IFERROR(FIND("♦",SUBSTITUTE(LEFT(F853,N10)," ","♦",LEN(LEFT(F853,N10))-LEN(SUBSTITUTE(LEFT(F853,N10)," ","")))),FIND(" ",F853&amp;" ",N10+1)-1)))</f>
        <v>1</v>
      </c>
      <c r="N853" s="119">
        <f t="shared" si="89"/>
        <v>836</v>
      </c>
      <c r="O853" s="99" t="str">
        <f t="shared" si="90"/>
        <v>0</v>
      </c>
      <c r="P853" s="119">
        <f t="shared" si="91"/>
        <v>1</v>
      </c>
      <c r="Q853" s="119">
        <f t="shared" si="92"/>
        <v>1</v>
      </c>
      <c r="S853" s="3">
        <v>1</v>
      </c>
    </row>
    <row r="854" spans="2:19">
      <c r="B854" s="116"/>
      <c r="C854" s="116"/>
      <c r="D854" s="116"/>
      <c r="E854" s="116" cm="1">
        <f t="array" ref="E854">IF(H853&lt;&gt;"",E853,IF(E853="","",IFERROR(MATCH(TRUE(),INDEX(INDEX(K:K,E853+1):K203&lt;&gt;"",0),0)+E853,"")))</f>
        <v>995</v>
      </c>
      <c r="F854" s="117" cm="1">
        <f t="array" ref="F854">IF(E854="","",IF(H853&lt;&gt;"",H853,INDEX(D:D,E854)))</f>
        <v>0</v>
      </c>
      <c r="G854" s="117" t="str">
        <f t="shared" si="87"/>
        <v>0</v>
      </c>
      <c r="H854" s="118" t="str">
        <f t="shared" si="88"/>
        <v/>
      </c>
      <c r="I854" s="116" t="str">
        <f>IF(AND(F854&lt;&gt;"",N10&gt;0,M854&gt;N10),"Mot &gt; limite","")</f>
        <v/>
      </c>
      <c r="M854" s="70">
        <f>IF(OR(F854="",N10="",N10&lt;=0),"",IF(LEN(F854)&lt;=N10,LEN(F854),IFERROR(FIND("♦",SUBSTITUTE(LEFT(F854,N10)," ","♦",LEN(LEFT(F854,N10))-LEN(SUBSTITUTE(LEFT(F854,N10)," ","")))),FIND(" ",F854&amp;" ",N10+1)-1)))</f>
        <v>1</v>
      </c>
      <c r="N854" s="119">
        <f t="shared" si="89"/>
        <v>837</v>
      </c>
      <c r="O854" s="99" t="str">
        <f t="shared" si="90"/>
        <v>0</v>
      </c>
      <c r="P854" s="119">
        <f t="shared" si="91"/>
        <v>1</v>
      </c>
      <c r="Q854" s="119">
        <f t="shared" si="92"/>
        <v>1</v>
      </c>
      <c r="S854" s="3">
        <v>1</v>
      </c>
    </row>
    <row r="855" spans="2:19">
      <c r="B855" s="116"/>
      <c r="C855" s="116"/>
      <c r="D855" s="116"/>
      <c r="E855" s="116" cm="1">
        <f t="array" ref="E855">IF(H854&lt;&gt;"",E854,IF(E854="","",IFERROR(MATCH(TRUE(),INDEX(INDEX(K:K,E854+1):K203&lt;&gt;"",0),0)+E854,"")))</f>
        <v>996</v>
      </c>
      <c r="F855" s="117" cm="1">
        <f t="array" ref="F855">IF(E855="","",IF(H854&lt;&gt;"",H854,INDEX(D:D,E855)))</f>
        <v>0</v>
      </c>
      <c r="G855" s="117" t="str">
        <f t="shared" si="87"/>
        <v>0</v>
      </c>
      <c r="H855" s="118" t="str">
        <f t="shared" si="88"/>
        <v/>
      </c>
      <c r="I855" s="116" t="str">
        <f>IF(AND(F855&lt;&gt;"",N10&gt;0,M855&gt;N10),"Mot &gt; limite","")</f>
        <v/>
      </c>
      <c r="M855" s="70">
        <f>IF(OR(F855="",N10="",N10&lt;=0),"",IF(LEN(F855)&lt;=N10,LEN(F855),IFERROR(FIND("♦",SUBSTITUTE(LEFT(F855,N10)," ","♦",LEN(LEFT(F855,N10))-LEN(SUBSTITUTE(LEFT(F855,N10)," ","")))),FIND(" ",F855&amp;" ",N10+1)-1)))</f>
        <v>1</v>
      </c>
      <c r="N855" s="119">
        <f t="shared" si="89"/>
        <v>838</v>
      </c>
      <c r="O855" s="99" t="str">
        <f t="shared" si="90"/>
        <v>0</v>
      </c>
      <c r="P855" s="119">
        <f t="shared" si="91"/>
        <v>1</v>
      </c>
      <c r="Q855" s="119">
        <f t="shared" si="92"/>
        <v>1</v>
      </c>
      <c r="S855" s="3">
        <v>1</v>
      </c>
    </row>
    <row r="856" spans="2:19">
      <c r="B856" s="116"/>
      <c r="C856" s="116"/>
      <c r="D856" s="116"/>
      <c r="E856" s="116" cm="1">
        <f t="array" ref="E856">IF(H855&lt;&gt;"",E855,IF(E855="","",IFERROR(MATCH(TRUE(),INDEX(INDEX(K:K,E855+1):K203&lt;&gt;"",0),0)+E855,"")))</f>
        <v>997</v>
      </c>
      <c r="F856" s="117" cm="1">
        <f t="array" ref="F856">IF(E856="","",IF(H855&lt;&gt;"",H855,INDEX(D:D,E856)))</f>
        <v>0</v>
      </c>
      <c r="G856" s="117" t="str">
        <f t="shared" si="87"/>
        <v>0</v>
      </c>
      <c r="H856" s="118" t="str">
        <f t="shared" si="88"/>
        <v/>
      </c>
      <c r="I856" s="116" t="str">
        <f>IF(AND(F856&lt;&gt;"",N10&gt;0,M856&gt;N10),"Mot &gt; limite","")</f>
        <v/>
      </c>
      <c r="M856" s="70">
        <f>IF(OR(F856="",N10="",N10&lt;=0),"",IF(LEN(F856)&lt;=N10,LEN(F856),IFERROR(FIND("♦",SUBSTITUTE(LEFT(F856,N10)," ","♦",LEN(LEFT(F856,N10))-LEN(SUBSTITUTE(LEFT(F856,N10)," ","")))),FIND(" ",F856&amp;" ",N10+1)-1)))</f>
        <v>1</v>
      </c>
      <c r="N856" s="119">
        <f t="shared" si="89"/>
        <v>839</v>
      </c>
      <c r="O856" s="99" t="str">
        <f t="shared" si="90"/>
        <v>0</v>
      </c>
      <c r="P856" s="119">
        <f t="shared" si="91"/>
        <v>1</v>
      </c>
      <c r="Q856" s="119">
        <f t="shared" si="92"/>
        <v>1</v>
      </c>
      <c r="S856" s="3">
        <v>1</v>
      </c>
    </row>
    <row r="857" spans="2:19">
      <c r="B857" s="116"/>
      <c r="C857" s="116"/>
      <c r="D857" s="116"/>
      <c r="E857" s="116" cm="1">
        <f t="array" ref="E857">IF(H856&lt;&gt;"",E856,IF(E856="","",IFERROR(MATCH(TRUE(),INDEX(INDEX(K:K,E856+1):K203&lt;&gt;"",0),0)+E856,"")))</f>
        <v>998</v>
      </c>
      <c r="F857" s="117" cm="1">
        <f t="array" ref="F857">IF(E857="","",IF(H856&lt;&gt;"",H856,INDEX(D:D,E857)))</f>
        <v>0</v>
      </c>
      <c r="G857" s="117" t="str">
        <f t="shared" si="87"/>
        <v>0</v>
      </c>
      <c r="H857" s="118" t="str">
        <f t="shared" si="88"/>
        <v/>
      </c>
      <c r="I857" s="116" t="str">
        <f>IF(AND(F857&lt;&gt;"",N10&gt;0,M857&gt;N10),"Mot &gt; limite","")</f>
        <v/>
      </c>
      <c r="M857" s="70">
        <f>IF(OR(F857="",N10="",N10&lt;=0),"",IF(LEN(F857)&lt;=N10,LEN(F857),IFERROR(FIND("♦",SUBSTITUTE(LEFT(F857,N10)," ","♦",LEN(LEFT(F857,N10))-LEN(SUBSTITUTE(LEFT(F857,N10)," ","")))),FIND(" ",F857&amp;" ",N10+1)-1)))</f>
        <v>1</v>
      </c>
      <c r="N857" s="119">
        <f t="shared" si="89"/>
        <v>840</v>
      </c>
      <c r="O857" s="99" t="str">
        <f t="shared" si="90"/>
        <v>0</v>
      </c>
      <c r="P857" s="119">
        <f t="shared" si="91"/>
        <v>1</v>
      </c>
      <c r="Q857" s="119">
        <f t="shared" si="92"/>
        <v>1</v>
      </c>
      <c r="S857" s="3">
        <v>1</v>
      </c>
    </row>
    <row r="858" spans="2:19">
      <c r="B858" s="116"/>
      <c r="C858" s="116"/>
      <c r="D858" s="116"/>
      <c r="E858" s="116" cm="1">
        <f t="array" ref="E858">IF(H857&lt;&gt;"",E857,IF(E857="","",IFERROR(MATCH(TRUE(),INDEX(INDEX(K:K,E857+1):K203&lt;&gt;"",0),0)+E857,"")))</f>
        <v>999</v>
      </c>
      <c r="F858" s="117" cm="1">
        <f t="array" ref="F858">IF(E858="","",IF(H857&lt;&gt;"",H857,INDEX(D:D,E858)))</f>
        <v>0</v>
      </c>
      <c r="G858" s="117" t="str">
        <f t="shared" si="87"/>
        <v>0</v>
      </c>
      <c r="H858" s="118" t="str">
        <f t="shared" si="88"/>
        <v/>
      </c>
      <c r="I858" s="116" t="str">
        <f>IF(AND(F858&lt;&gt;"",N10&gt;0,M858&gt;N10),"Mot &gt; limite","")</f>
        <v/>
      </c>
      <c r="M858" s="70">
        <f>IF(OR(F858="",N10="",N10&lt;=0),"",IF(LEN(F858)&lt;=N10,LEN(F858),IFERROR(FIND("♦",SUBSTITUTE(LEFT(F858,N10)," ","♦",LEN(LEFT(F858,N10))-LEN(SUBSTITUTE(LEFT(F858,N10)," ","")))),FIND(" ",F858&amp;" ",N10+1)-1)))</f>
        <v>1</v>
      </c>
      <c r="N858" s="119">
        <f t="shared" si="89"/>
        <v>841</v>
      </c>
      <c r="O858" s="99" t="str">
        <f t="shared" si="90"/>
        <v>0</v>
      </c>
      <c r="P858" s="119">
        <f t="shared" si="91"/>
        <v>1</v>
      </c>
      <c r="Q858" s="119">
        <f t="shared" si="92"/>
        <v>1</v>
      </c>
      <c r="S858" s="3">
        <v>1</v>
      </c>
    </row>
    <row r="859" spans="2:19">
      <c r="B859" s="116"/>
      <c r="C859" s="116"/>
      <c r="D859" s="116"/>
      <c r="E859" s="116" cm="1">
        <f t="array" ref="E859">IF(H858&lt;&gt;"",E858,IF(E858="","",IFERROR(MATCH(TRUE(),INDEX(INDEX(K:K,E858+1):K203&lt;&gt;"",0),0)+E858,"")))</f>
        <v>1000</v>
      </c>
      <c r="F859" s="117" cm="1">
        <f t="array" ref="F859">IF(E859="","",IF(H858&lt;&gt;"",H858,INDEX(D:D,E859)))</f>
        <v>0</v>
      </c>
      <c r="G859" s="117" t="str">
        <f t="shared" si="87"/>
        <v>0</v>
      </c>
      <c r="H859" s="118" t="str">
        <f t="shared" si="88"/>
        <v/>
      </c>
      <c r="I859" s="116" t="str">
        <f>IF(AND(F859&lt;&gt;"",N10&gt;0,M859&gt;N10),"Mot &gt; limite","")</f>
        <v/>
      </c>
      <c r="M859" s="70">
        <f>IF(OR(F859="",N10="",N10&lt;=0),"",IF(LEN(F859)&lt;=N10,LEN(F859),IFERROR(FIND("♦",SUBSTITUTE(LEFT(F859,N10)," ","♦",LEN(LEFT(F859,N10))-LEN(SUBSTITUTE(LEFT(F859,N10)," ","")))),FIND(" ",F859&amp;" ",N10+1)-1)))</f>
        <v>1</v>
      </c>
      <c r="N859" s="119">
        <f t="shared" si="89"/>
        <v>842</v>
      </c>
      <c r="O859" s="99" t="str">
        <f t="shared" si="90"/>
        <v>0</v>
      </c>
      <c r="P859" s="119">
        <f t="shared" si="91"/>
        <v>1</v>
      </c>
      <c r="Q859" s="119">
        <f t="shared" si="92"/>
        <v>1</v>
      </c>
      <c r="S859" s="3">
        <v>1</v>
      </c>
    </row>
    <row r="860" spans="2:19">
      <c r="B860" s="116"/>
      <c r="C860" s="116"/>
      <c r="D860" s="116"/>
      <c r="E860" s="116" cm="1">
        <f t="array" ref="E860">IF(H859&lt;&gt;"",E859,IF(E859="","",IFERROR(MATCH(TRUE(),INDEX(INDEX(K:K,E859+1):K203&lt;&gt;"",0),0)+E859,"")))</f>
        <v>1001</v>
      </c>
      <c r="F860" s="117" cm="1">
        <f t="array" ref="F860">IF(E860="","",IF(H859&lt;&gt;"",H859,INDEX(D:D,E860)))</f>
        <v>0</v>
      </c>
      <c r="G860" s="117" t="str">
        <f t="shared" si="87"/>
        <v>0</v>
      </c>
      <c r="H860" s="118" t="str">
        <f t="shared" si="88"/>
        <v/>
      </c>
      <c r="I860" s="116" t="str">
        <f>IF(AND(F860&lt;&gt;"",N10&gt;0,M860&gt;N10),"Mot &gt; limite","")</f>
        <v/>
      </c>
      <c r="M860" s="70">
        <f>IF(OR(F860="",N10="",N10&lt;=0),"",IF(LEN(F860)&lt;=N10,LEN(F860),IFERROR(FIND("♦",SUBSTITUTE(LEFT(F860,N10)," ","♦",LEN(LEFT(F860,N10))-LEN(SUBSTITUTE(LEFT(F860,N10)," ","")))),FIND(" ",F860&amp;" ",N10+1)-1)))</f>
        <v>1</v>
      </c>
      <c r="N860" s="119">
        <f t="shared" si="89"/>
        <v>843</v>
      </c>
      <c r="O860" s="99" t="str">
        <f t="shared" si="90"/>
        <v>0</v>
      </c>
      <c r="P860" s="119">
        <f t="shared" si="91"/>
        <v>1</v>
      </c>
      <c r="Q860" s="119">
        <f t="shared" si="92"/>
        <v>1</v>
      </c>
      <c r="S860" s="3">
        <v>1</v>
      </c>
    </row>
    <row r="861" spans="2:19">
      <c r="B861" s="116"/>
      <c r="C861" s="116"/>
      <c r="D861" s="116"/>
      <c r="E861" s="116" cm="1">
        <f t="array" ref="E861">IF(H860&lt;&gt;"",E860,IF(E860="","",IFERROR(MATCH(TRUE(),INDEX(INDEX(K:K,E860+1):K203&lt;&gt;"",0),0)+E860,"")))</f>
        <v>1002</v>
      </c>
      <c r="F861" s="117" cm="1">
        <f t="array" ref="F861">IF(E861="","",IF(H860&lt;&gt;"",H860,INDEX(D:D,E861)))</f>
        <v>0</v>
      </c>
      <c r="G861" s="117" t="str">
        <f t="shared" si="87"/>
        <v>0</v>
      </c>
      <c r="H861" s="118" t="str">
        <f t="shared" si="88"/>
        <v/>
      </c>
      <c r="I861" s="116" t="str">
        <f>IF(AND(F861&lt;&gt;"",N10&gt;0,M861&gt;N10),"Mot &gt; limite","")</f>
        <v/>
      </c>
      <c r="M861" s="70">
        <f>IF(OR(F861="",N10="",N10&lt;=0),"",IF(LEN(F861)&lt;=N10,LEN(F861),IFERROR(FIND("♦",SUBSTITUTE(LEFT(F861,N10)," ","♦",LEN(LEFT(F861,N10))-LEN(SUBSTITUTE(LEFT(F861,N10)," ","")))),FIND(" ",F861&amp;" ",N10+1)-1)))</f>
        <v>1</v>
      </c>
      <c r="N861" s="119">
        <f t="shared" si="89"/>
        <v>844</v>
      </c>
      <c r="O861" s="99" t="str">
        <f t="shared" si="90"/>
        <v>0</v>
      </c>
      <c r="P861" s="119">
        <f t="shared" si="91"/>
        <v>1</v>
      </c>
      <c r="Q861" s="119">
        <f t="shared" si="92"/>
        <v>1</v>
      </c>
      <c r="S861" s="3">
        <v>1</v>
      </c>
    </row>
    <row r="862" spans="2:19">
      <c r="B862" s="116"/>
      <c r="C862" s="116"/>
      <c r="D862" s="116"/>
      <c r="E862" s="116" cm="1">
        <f t="array" ref="E862">IF(H861&lt;&gt;"",E861,IF(E861="","",IFERROR(MATCH(TRUE(),INDEX(INDEX(K:K,E861+1):K203&lt;&gt;"",0),0)+E861,"")))</f>
        <v>1003</v>
      </c>
      <c r="F862" s="117" cm="1">
        <f t="array" ref="F862">IF(E862="","",IF(H861&lt;&gt;"",H861,INDEX(D:D,E862)))</f>
        <v>0</v>
      </c>
      <c r="G862" s="117" t="str">
        <f t="shared" si="87"/>
        <v>0</v>
      </c>
      <c r="H862" s="118" t="str">
        <f t="shared" si="88"/>
        <v/>
      </c>
      <c r="I862" s="116" t="str">
        <f>IF(AND(F862&lt;&gt;"",N10&gt;0,M862&gt;N10),"Mot &gt; limite","")</f>
        <v/>
      </c>
      <c r="M862" s="70">
        <f>IF(OR(F862="",N10="",N10&lt;=0),"",IF(LEN(F862)&lt;=N10,LEN(F862),IFERROR(FIND("♦",SUBSTITUTE(LEFT(F862,N10)," ","♦",LEN(LEFT(F862,N10))-LEN(SUBSTITUTE(LEFT(F862,N10)," ","")))),FIND(" ",F862&amp;" ",N10+1)-1)))</f>
        <v>1</v>
      </c>
      <c r="N862" s="119">
        <f t="shared" si="89"/>
        <v>845</v>
      </c>
      <c r="O862" s="99" t="str">
        <f t="shared" si="90"/>
        <v>0</v>
      </c>
      <c r="P862" s="119">
        <f t="shared" si="91"/>
        <v>1</v>
      </c>
      <c r="Q862" s="119">
        <f t="shared" si="92"/>
        <v>1</v>
      </c>
      <c r="S862" s="3">
        <v>1</v>
      </c>
    </row>
    <row r="863" spans="2:19">
      <c r="B863" s="116"/>
      <c r="C863" s="116"/>
      <c r="D863" s="116"/>
      <c r="E863" s="116" cm="1">
        <f t="array" ref="E863">IF(H862&lt;&gt;"",E862,IF(E862="","",IFERROR(MATCH(TRUE(),INDEX(INDEX(K:K,E862+1):K203&lt;&gt;"",0),0)+E862,"")))</f>
        <v>1004</v>
      </c>
      <c r="F863" s="117" cm="1">
        <f t="array" ref="F863">IF(E863="","",IF(H862&lt;&gt;"",H862,INDEX(D:D,E863)))</f>
        <v>0</v>
      </c>
      <c r="G863" s="117" t="str">
        <f t="shared" si="87"/>
        <v>0</v>
      </c>
      <c r="H863" s="118" t="str">
        <f t="shared" si="88"/>
        <v/>
      </c>
      <c r="I863" s="116" t="str">
        <f>IF(AND(F863&lt;&gt;"",N10&gt;0,M863&gt;N10),"Mot &gt; limite","")</f>
        <v/>
      </c>
      <c r="M863" s="70">
        <f>IF(OR(F863="",N10="",N10&lt;=0),"",IF(LEN(F863)&lt;=N10,LEN(F863),IFERROR(FIND("♦",SUBSTITUTE(LEFT(F863,N10)," ","♦",LEN(LEFT(F863,N10))-LEN(SUBSTITUTE(LEFT(F863,N10)," ","")))),FIND(" ",F863&amp;" ",N10+1)-1)))</f>
        <v>1</v>
      </c>
      <c r="N863" s="119">
        <f t="shared" si="89"/>
        <v>846</v>
      </c>
      <c r="O863" s="99" t="str">
        <f t="shared" si="90"/>
        <v>0</v>
      </c>
      <c r="P863" s="119">
        <f t="shared" si="91"/>
        <v>1</v>
      </c>
      <c r="Q863" s="119">
        <f t="shared" si="92"/>
        <v>1</v>
      </c>
      <c r="S863" s="3">
        <v>1</v>
      </c>
    </row>
    <row r="864" spans="2:19">
      <c r="B864" s="116"/>
      <c r="C864" s="116"/>
      <c r="D864" s="116"/>
      <c r="E864" s="116" cm="1">
        <f t="array" ref="E864">IF(H863&lt;&gt;"",E863,IF(E863="","",IFERROR(MATCH(TRUE(),INDEX(INDEX(K:K,E863+1):K203&lt;&gt;"",0),0)+E863,"")))</f>
        <v>1005</v>
      </c>
      <c r="F864" s="117" cm="1">
        <f t="array" ref="F864">IF(E864="","",IF(H863&lt;&gt;"",H863,INDEX(D:D,E864)))</f>
        <v>0</v>
      </c>
      <c r="G864" s="117" t="str">
        <f t="shared" si="87"/>
        <v>0</v>
      </c>
      <c r="H864" s="118" t="str">
        <f t="shared" si="88"/>
        <v/>
      </c>
      <c r="I864" s="116" t="str">
        <f>IF(AND(F864&lt;&gt;"",N10&gt;0,M864&gt;N10),"Mot &gt; limite","")</f>
        <v/>
      </c>
      <c r="M864" s="70">
        <f>IF(OR(F864="",N10="",N10&lt;=0),"",IF(LEN(F864)&lt;=N10,LEN(F864),IFERROR(FIND("♦",SUBSTITUTE(LEFT(F864,N10)," ","♦",LEN(LEFT(F864,N10))-LEN(SUBSTITUTE(LEFT(F864,N10)," ","")))),FIND(" ",F864&amp;" ",N10+1)-1)))</f>
        <v>1</v>
      </c>
      <c r="N864" s="119">
        <f t="shared" si="89"/>
        <v>847</v>
      </c>
      <c r="O864" s="99" t="str">
        <f t="shared" si="90"/>
        <v>0</v>
      </c>
      <c r="P864" s="119">
        <f t="shared" si="91"/>
        <v>1</v>
      </c>
      <c r="Q864" s="119">
        <f t="shared" si="92"/>
        <v>1</v>
      </c>
      <c r="S864" s="3">
        <v>1</v>
      </c>
    </row>
    <row r="865" spans="2:19">
      <c r="B865" s="116"/>
      <c r="C865" s="116"/>
      <c r="D865" s="116"/>
      <c r="E865" s="116" cm="1">
        <f t="array" ref="E865">IF(H864&lt;&gt;"",E864,IF(E864="","",IFERROR(MATCH(TRUE(),INDEX(INDEX(K:K,E864+1):K203&lt;&gt;"",0),0)+E864,"")))</f>
        <v>1006</v>
      </c>
      <c r="F865" s="117" cm="1">
        <f t="array" ref="F865">IF(E865="","",IF(H864&lt;&gt;"",H864,INDEX(D:D,E865)))</f>
        <v>0</v>
      </c>
      <c r="G865" s="117" t="str">
        <f t="shared" si="87"/>
        <v>0</v>
      </c>
      <c r="H865" s="118" t="str">
        <f t="shared" si="88"/>
        <v/>
      </c>
      <c r="I865" s="116" t="str">
        <f>IF(AND(F865&lt;&gt;"",N10&gt;0,M865&gt;N10),"Mot &gt; limite","")</f>
        <v/>
      </c>
      <c r="M865" s="70">
        <f>IF(OR(F865="",N10="",N10&lt;=0),"",IF(LEN(F865)&lt;=N10,LEN(F865),IFERROR(FIND("♦",SUBSTITUTE(LEFT(F865,N10)," ","♦",LEN(LEFT(F865,N10))-LEN(SUBSTITUTE(LEFT(F865,N10)," ","")))),FIND(" ",F865&amp;" ",N10+1)-1)))</f>
        <v>1</v>
      </c>
      <c r="N865" s="119">
        <f t="shared" si="89"/>
        <v>848</v>
      </c>
      <c r="O865" s="99" t="str">
        <f t="shared" si="90"/>
        <v>0</v>
      </c>
      <c r="P865" s="119">
        <f t="shared" si="91"/>
        <v>1</v>
      </c>
      <c r="Q865" s="119">
        <f t="shared" si="92"/>
        <v>1</v>
      </c>
      <c r="S865" s="3">
        <v>1</v>
      </c>
    </row>
    <row r="866" spans="2:19">
      <c r="B866" s="116"/>
      <c r="C866" s="116"/>
      <c r="D866" s="116"/>
      <c r="E866" s="116" cm="1">
        <f t="array" ref="E866">IF(H865&lt;&gt;"",E865,IF(E865="","",IFERROR(MATCH(TRUE(),INDEX(INDEX(K:K,E865+1):K203&lt;&gt;"",0),0)+E865,"")))</f>
        <v>1007</v>
      </c>
      <c r="F866" s="117" cm="1">
        <f t="array" ref="F866">IF(E866="","",IF(H865&lt;&gt;"",H865,INDEX(D:D,E866)))</f>
        <v>0</v>
      </c>
      <c r="G866" s="117" t="str">
        <f t="shared" si="87"/>
        <v>0</v>
      </c>
      <c r="H866" s="118" t="str">
        <f t="shared" si="88"/>
        <v/>
      </c>
      <c r="I866" s="116" t="str">
        <f>IF(AND(F866&lt;&gt;"",N10&gt;0,M866&gt;N10),"Mot &gt; limite","")</f>
        <v/>
      </c>
      <c r="M866" s="70">
        <f>IF(OR(F866="",N10="",N10&lt;=0),"",IF(LEN(F866)&lt;=N10,LEN(F866),IFERROR(FIND("♦",SUBSTITUTE(LEFT(F866,N10)," ","♦",LEN(LEFT(F866,N10))-LEN(SUBSTITUTE(LEFT(F866,N10)," ","")))),FIND(" ",F866&amp;" ",N10+1)-1)))</f>
        <v>1</v>
      </c>
      <c r="N866" s="119">
        <f t="shared" si="89"/>
        <v>849</v>
      </c>
      <c r="O866" s="99" t="str">
        <f t="shared" si="90"/>
        <v>0</v>
      </c>
      <c r="P866" s="119">
        <f t="shared" si="91"/>
        <v>1</v>
      </c>
      <c r="Q866" s="119">
        <f t="shared" si="92"/>
        <v>1</v>
      </c>
      <c r="S866" s="3">
        <v>1</v>
      </c>
    </row>
    <row r="867" spans="2:19">
      <c r="B867" s="116"/>
      <c r="C867" s="116"/>
      <c r="D867" s="116"/>
      <c r="E867" s="116" cm="1">
        <f t="array" ref="E867">IF(H866&lt;&gt;"",E866,IF(E866="","",IFERROR(MATCH(TRUE(),INDEX(INDEX(K:K,E866+1):K203&lt;&gt;"",0),0)+E866,"")))</f>
        <v>1008</v>
      </c>
      <c r="F867" s="117" cm="1">
        <f t="array" ref="F867">IF(E867="","",IF(H866&lt;&gt;"",H866,INDEX(D:D,E867)))</f>
        <v>0</v>
      </c>
      <c r="G867" s="117" t="str">
        <f t="shared" si="87"/>
        <v>0</v>
      </c>
      <c r="H867" s="118" t="str">
        <f t="shared" si="88"/>
        <v/>
      </c>
      <c r="I867" s="116" t="str">
        <f>IF(AND(F867&lt;&gt;"",N10&gt;0,M867&gt;N10),"Mot &gt; limite","")</f>
        <v/>
      </c>
      <c r="M867" s="70">
        <f>IF(OR(F867="",N10="",N10&lt;=0),"",IF(LEN(F867)&lt;=N10,LEN(F867),IFERROR(FIND("♦",SUBSTITUTE(LEFT(F867,N10)," ","♦",LEN(LEFT(F867,N10))-LEN(SUBSTITUTE(LEFT(F867,N10)," ","")))),FIND(" ",F867&amp;" ",N10+1)-1)))</f>
        <v>1</v>
      </c>
      <c r="N867" s="119">
        <f t="shared" si="89"/>
        <v>850</v>
      </c>
      <c r="O867" s="99" t="str">
        <f t="shared" si="90"/>
        <v>0</v>
      </c>
      <c r="P867" s="119">
        <f t="shared" si="91"/>
        <v>1</v>
      </c>
      <c r="Q867" s="119">
        <f t="shared" si="92"/>
        <v>1</v>
      </c>
      <c r="S867" s="3">
        <v>1</v>
      </c>
    </row>
    <row r="868" spans="2:19">
      <c r="B868" s="116"/>
      <c r="C868" s="116"/>
      <c r="D868" s="116"/>
      <c r="E868" s="116" cm="1">
        <f t="array" ref="E868">IF(H867&lt;&gt;"",E867,IF(E867="","",IFERROR(MATCH(TRUE(),INDEX(INDEX(K:K,E867+1):K203&lt;&gt;"",0),0)+E867,"")))</f>
        <v>1009</v>
      </c>
      <c r="F868" s="117" cm="1">
        <f t="array" ref="F868">IF(E868="","",IF(H867&lt;&gt;"",H867,INDEX(D:D,E868)))</f>
        <v>0</v>
      </c>
      <c r="G868" s="117" t="str">
        <f t="shared" si="87"/>
        <v>0</v>
      </c>
      <c r="H868" s="118" t="str">
        <f t="shared" si="88"/>
        <v/>
      </c>
      <c r="I868" s="116" t="str">
        <f>IF(AND(F868&lt;&gt;"",N10&gt;0,M868&gt;N10),"Mot &gt; limite","")</f>
        <v/>
      </c>
      <c r="M868" s="70">
        <f>IF(OR(F868="",N10="",N10&lt;=0),"",IF(LEN(F868)&lt;=N10,LEN(F868),IFERROR(FIND("♦",SUBSTITUTE(LEFT(F868,N10)," ","♦",LEN(LEFT(F868,N10))-LEN(SUBSTITUTE(LEFT(F868,N10)," ","")))),FIND(" ",F868&amp;" ",N10+1)-1)))</f>
        <v>1</v>
      </c>
      <c r="N868" s="119">
        <f t="shared" si="89"/>
        <v>851</v>
      </c>
      <c r="O868" s="99" t="str">
        <f t="shared" si="90"/>
        <v>0</v>
      </c>
      <c r="P868" s="119">
        <f t="shared" si="91"/>
        <v>1</v>
      </c>
      <c r="Q868" s="119">
        <f t="shared" si="92"/>
        <v>1</v>
      </c>
      <c r="S868" s="3">
        <v>1</v>
      </c>
    </row>
    <row r="869" spans="2:19">
      <c r="B869" s="116"/>
      <c r="C869" s="116"/>
      <c r="D869" s="116"/>
      <c r="E869" s="116" cm="1">
        <f t="array" ref="E869">IF(H868&lt;&gt;"",E868,IF(E868="","",IFERROR(MATCH(TRUE(),INDEX(INDEX(K:K,E868+1):K203&lt;&gt;"",0),0)+E868,"")))</f>
        <v>1010</v>
      </c>
      <c r="F869" s="117" cm="1">
        <f t="array" ref="F869">IF(E869="","",IF(H868&lt;&gt;"",H868,INDEX(D:D,E869)))</f>
        <v>0</v>
      </c>
      <c r="G869" s="117" t="str">
        <f t="shared" si="87"/>
        <v>0</v>
      </c>
      <c r="H869" s="118" t="str">
        <f t="shared" si="88"/>
        <v/>
      </c>
      <c r="I869" s="116" t="str">
        <f>IF(AND(F869&lt;&gt;"",N10&gt;0,M869&gt;N10),"Mot &gt; limite","")</f>
        <v/>
      </c>
      <c r="M869" s="70">
        <f>IF(OR(F869="",N10="",N10&lt;=0),"",IF(LEN(F869)&lt;=N10,LEN(F869),IFERROR(FIND("♦",SUBSTITUTE(LEFT(F869,N10)," ","♦",LEN(LEFT(F869,N10))-LEN(SUBSTITUTE(LEFT(F869,N10)," ","")))),FIND(" ",F869&amp;" ",N10+1)-1)))</f>
        <v>1</v>
      </c>
      <c r="N869" s="119">
        <f t="shared" si="89"/>
        <v>852</v>
      </c>
      <c r="O869" s="99" t="str">
        <f t="shared" si="90"/>
        <v>0</v>
      </c>
      <c r="P869" s="119">
        <f t="shared" si="91"/>
        <v>1</v>
      </c>
      <c r="Q869" s="119">
        <f t="shared" si="92"/>
        <v>1</v>
      </c>
      <c r="S869" s="3">
        <v>1</v>
      </c>
    </row>
    <row r="870" spans="2:19">
      <c r="B870" s="116"/>
      <c r="C870" s="116"/>
      <c r="D870" s="116"/>
      <c r="E870" s="116" cm="1">
        <f t="array" ref="E870">IF(H869&lt;&gt;"",E869,IF(E869="","",IFERROR(MATCH(TRUE(),INDEX(INDEX(K:K,E869+1):K203&lt;&gt;"",0),0)+E869,"")))</f>
        <v>1011</v>
      </c>
      <c r="F870" s="117" cm="1">
        <f t="array" ref="F870">IF(E870="","",IF(H869&lt;&gt;"",H869,INDEX(D:D,E870)))</f>
        <v>0</v>
      </c>
      <c r="G870" s="117" t="str">
        <f t="shared" si="87"/>
        <v>0</v>
      </c>
      <c r="H870" s="118" t="str">
        <f t="shared" si="88"/>
        <v/>
      </c>
      <c r="I870" s="116" t="str">
        <f>IF(AND(F870&lt;&gt;"",N10&gt;0,M870&gt;N10),"Mot &gt; limite","")</f>
        <v/>
      </c>
      <c r="M870" s="70">
        <f>IF(OR(F870="",N10="",N10&lt;=0),"",IF(LEN(F870)&lt;=N10,LEN(F870),IFERROR(FIND("♦",SUBSTITUTE(LEFT(F870,N10)," ","♦",LEN(LEFT(F870,N10))-LEN(SUBSTITUTE(LEFT(F870,N10)," ","")))),FIND(" ",F870&amp;" ",N10+1)-1)))</f>
        <v>1</v>
      </c>
      <c r="N870" s="119">
        <f t="shared" si="89"/>
        <v>853</v>
      </c>
      <c r="O870" s="99" t="str">
        <f t="shared" si="90"/>
        <v>0</v>
      </c>
      <c r="P870" s="119">
        <f t="shared" si="91"/>
        <v>1</v>
      </c>
      <c r="Q870" s="119">
        <f t="shared" si="92"/>
        <v>1</v>
      </c>
      <c r="S870" s="3">
        <v>1</v>
      </c>
    </row>
    <row r="871" spans="2:19">
      <c r="B871" s="116"/>
      <c r="C871" s="116"/>
      <c r="D871" s="116"/>
      <c r="E871" s="116" cm="1">
        <f t="array" ref="E871">IF(H870&lt;&gt;"",E870,IF(E870="","",IFERROR(MATCH(TRUE(),INDEX(INDEX(K:K,E870+1):K203&lt;&gt;"",0),0)+E870,"")))</f>
        <v>1012</v>
      </c>
      <c r="F871" s="117" cm="1">
        <f t="array" ref="F871">IF(E871="","",IF(H870&lt;&gt;"",H870,INDEX(D:D,E871)))</f>
        <v>0</v>
      </c>
      <c r="G871" s="117" t="str">
        <f t="shared" si="87"/>
        <v>0</v>
      </c>
      <c r="H871" s="118" t="str">
        <f t="shared" si="88"/>
        <v/>
      </c>
      <c r="I871" s="116" t="str">
        <f>IF(AND(F871&lt;&gt;"",N10&gt;0,M871&gt;N10),"Mot &gt; limite","")</f>
        <v/>
      </c>
      <c r="M871" s="70">
        <f>IF(OR(F871="",N10="",N10&lt;=0),"",IF(LEN(F871)&lt;=N10,LEN(F871),IFERROR(FIND("♦",SUBSTITUTE(LEFT(F871,N10)," ","♦",LEN(LEFT(F871,N10))-LEN(SUBSTITUTE(LEFT(F871,N10)," ","")))),FIND(" ",F871&amp;" ",N10+1)-1)))</f>
        <v>1</v>
      </c>
      <c r="N871" s="119">
        <f t="shared" si="89"/>
        <v>854</v>
      </c>
      <c r="O871" s="99" t="str">
        <f t="shared" si="90"/>
        <v>0</v>
      </c>
      <c r="P871" s="119">
        <f t="shared" si="91"/>
        <v>1</v>
      </c>
      <c r="Q871" s="119">
        <f t="shared" si="92"/>
        <v>1</v>
      </c>
      <c r="S871" s="3">
        <v>1</v>
      </c>
    </row>
    <row r="872" spans="2:19">
      <c r="B872" s="116"/>
      <c r="C872" s="116"/>
      <c r="D872" s="116"/>
      <c r="E872" s="116" cm="1">
        <f t="array" ref="E872">IF(H871&lt;&gt;"",E871,IF(E871="","",IFERROR(MATCH(TRUE(),INDEX(INDEX(K:K,E871+1):K203&lt;&gt;"",0),0)+E871,"")))</f>
        <v>1013</v>
      </c>
      <c r="F872" s="117" cm="1">
        <f t="array" ref="F872">IF(E872="","",IF(H871&lt;&gt;"",H871,INDEX(D:D,E872)))</f>
        <v>0</v>
      </c>
      <c r="G872" s="117" t="str">
        <f t="shared" si="87"/>
        <v>0</v>
      </c>
      <c r="H872" s="118" t="str">
        <f t="shared" si="88"/>
        <v/>
      </c>
      <c r="I872" s="116" t="str">
        <f>IF(AND(F872&lt;&gt;"",N10&gt;0,M872&gt;N10),"Mot &gt; limite","")</f>
        <v/>
      </c>
      <c r="M872" s="70">
        <f>IF(OR(F872="",N10="",N10&lt;=0),"",IF(LEN(F872)&lt;=N10,LEN(F872),IFERROR(FIND("♦",SUBSTITUTE(LEFT(F872,N10)," ","♦",LEN(LEFT(F872,N10))-LEN(SUBSTITUTE(LEFT(F872,N10)," ","")))),FIND(" ",F872&amp;" ",N10+1)-1)))</f>
        <v>1</v>
      </c>
      <c r="N872" s="119">
        <f t="shared" si="89"/>
        <v>855</v>
      </c>
      <c r="O872" s="99" t="str">
        <f t="shared" si="90"/>
        <v>0</v>
      </c>
      <c r="P872" s="119">
        <f t="shared" si="91"/>
        <v>1</v>
      </c>
      <c r="Q872" s="119">
        <f t="shared" si="92"/>
        <v>1</v>
      </c>
      <c r="S872" s="3">
        <v>1</v>
      </c>
    </row>
    <row r="873" spans="2:19">
      <c r="B873" s="116"/>
      <c r="C873" s="116"/>
      <c r="D873" s="116"/>
      <c r="E873" s="116" cm="1">
        <f t="array" ref="E873">IF(H872&lt;&gt;"",E872,IF(E872="","",IFERROR(MATCH(TRUE(),INDEX(INDEX(K:K,E872+1):K203&lt;&gt;"",0),0)+E872,"")))</f>
        <v>1014</v>
      </c>
      <c r="F873" s="117" cm="1">
        <f t="array" ref="F873">IF(E873="","",IF(H872&lt;&gt;"",H872,INDEX(D:D,E873)))</f>
        <v>0</v>
      </c>
      <c r="G873" s="117" t="str">
        <f t="shared" si="87"/>
        <v>0</v>
      </c>
      <c r="H873" s="118" t="str">
        <f t="shared" si="88"/>
        <v/>
      </c>
      <c r="I873" s="116" t="str">
        <f>IF(AND(F873&lt;&gt;"",N10&gt;0,M873&gt;N10),"Mot &gt; limite","")</f>
        <v/>
      </c>
      <c r="M873" s="70">
        <f>IF(OR(F873="",N10="",N10&lt;=0),"",IF(LEN(F873)&lt;=N10,LEN(F873),IFERROR(FIND("♦",SUBSTITUTE(LEFT(F873,N10)," ","♦",LEN(LEFT(F873,N10))-LEN(SUBSTITUTE(LEFT(F873,N10)," ","")))),FIND(" ",F873&amp;" ",N10+1)-1)))</f>
        <v>1</v>
      </c>
      <c r="N873" s="119">
        <f t="shared" si="89"/>
        <v>856</v>
      </c>
      <c r="O873" s="99" t="str">
        <f t="shared" si="90"/>
        <v>0</v>
      </c>
      <c r="P873" s="119">
        <f t="shared" si="91"/>
        <v>1</v>
      </c>
      <c r="Q873" s="119">
        <f t="shared" si="92"/>
        <v>1</v>
      </c>
      <c r="S873" s="3">
        <v>1</v>
      </c>
    </row>
    <row r="874" spans="2:19">
      <c r="B874" s="116"/>
      <c r="C874" s="116"/>
      <c r="D874" s="116"/>
      <c r="E874" s="116" cm="1">
        <f t="array" ref="E874">IF(H873&lt;&gt;"",E873,IF(E873="","",IFERROR(MATCH(TRUE(),INDEX(INDEX(K:K,E873+1):K203&lt;&gt;"",0),0)+E873,"")))</f>
        <v>1015</v>
      </c>
      <c r="F874" s="117" cm="1">
        <f t="array" ref="F874">IF(E874="","",IF(H873&lt;&gt;"",H873,INDEX(D:D,E874)))</f>
        <v>0</v>
      </c>
      <c r="G874" s="117" t="str">
        <f t="shared" si="87"/>
        <v>0</v>
      </c>
      <c r="H874" s="118" t="str">
        <f t="shared" si="88"/>
        <v/>
      </c>
      <c r="I874" s="116" t="str">
        <f>IF(AND(F874&lt;&gt;"",N10&gt;0,M874&gt;N10),"Mot &gt; limite","")</f>
        <v/>
      </c>
      <c r="M874" s="70">
        <f>IF(OR(F874="",N10="",N10&lt;=0),"",IF(LEN(F874)&lt;=N10,LEN(F874),IFERROR(FIND("♦",SUBSTITUTE(LEFT(F874,N10)," ","♦",LEN(LEFT(F874,N10))-LEN(SUBSTITUTE(LEFT(F874,N10)," ","")))),FIND(" ",F874&amp;" ",N10+1)-1)))</f>
        <v>1</v>
      </c>
      <c r="N874" s="119">
        <f t="shared" si="89"/>
        <v>857</v>
      </c>
      <c r="O874" s="99" t="str">
        <f t="shared" si="90"/>
        <v>0</v>
      </c>
      <c r="P874" s="119">
        <f t="shared" si="91"/>
        <v>1</v>
      </c>
      <c r="Q874" s="119">
        <f t="shared" si="92"/>
        <v>1</v>
      </c>
      <c r="S874" s="3">
        <v>1</v>
      </c>
    </row>
    <row r="875" spans="2:19">
      <c r="B875" s="116"/>
      <c r="C875" s="116"/>
      <c r="D875" s="116"/>
      <c r="E875" s="116" cm="1">
        <f t="array" ref="E875">IF(H874&lt;&gt;"",E874,IF(E874="","",IFERROR(MATCH(TRUE(),INDEX(INDEX(K:K,E874+1):K203&lt;&gt;"",0),0)+E874,"")))</f>
        <v>1016</v>
      </c>
      <c r="F875" s="117" cm="1">
        <f t="array" ref="F875">IF(E875="","",IF(H874&lt;&gt;"",H874,INDEX(D:D,E875)))</f>
        <v>0</v>
      </c>
      <c r="G875" s="117" t="str">
        <f t="shared" si="87"/>
        <v>0</v>
      </c>
      <c r="H875" s="118" t="str">
        <f t="shared" si="88"/>
        <v/>
      </c>
      <c r="I875" s="116" t="str">
        <f>IF(AND(F875&lt;&gt;"",N10&gt;0,M875&gt;N10),"Mot &gt; limite","")</f>
        <v/>
      </c>
      <c r="M875" s="70">
        <f>IF(OR(F875="",N10="",N10&lt;=0),"",IF(LEN(F875)&lt;=N10,LEN(F875),IFERROR(FIND("♦",SUBSTITUTE(LEFT(F875,N10)," ","♦",LEN(LEFT(F875,N10))-LEN(SUBSTITUTE(LEFT(F875,N10)," ","")))),FIND(" ",F875&amp;" ",N10+1)-1)))</f>
        <v>1</v>
      </c>
      <c r="N875" s="119">
        <f t="shared" si="89"/>
        <v>858</v>
      </c>
      <c r="O875" s="99" t="str">
        <f t="shared" si="90"/>
        <v>0</v>
      </c>
      <c r="P875" s="119">
        <f t="shared" si="91"/>
        <v>1</v>
      </c>
      <c r="Q875" s="119">
        <f t="shared" si="92"/>
        <v>1</v>
      </c>
      <c r="S875" s="3">
        <v>1</v>
      </c>
    </row>
    <row r="876" spans="2:19">
      <c r="B876" s="116"/>
      <c r="C876" s="116"/>
      <c r="D876" s="116"/>
      <c r="E876" s="116" cm="1">
        <f t="array" ref="E876">IF(H875&lt;&gt;"",E875,IF(E875="","",IFERROR(MATCH(TRUE(),INDEX(INDEX(K:K,E875+1):K203&lt;&gt;"",0),0)+E875,"")))</f>
        <v>1017</v>
      </c>
      <c r="F876" s="117" cm="1">
        <f t="array" ref="F876">IF(E876="","",IF(H875&lt;&gt;"",H875,INDEX(D:D,E876)))</f>
        <v>0</v>
      </c>
      <c r="G876" s="117" t="str">
        <f t="shared" si="87"/>
        <v>0</v>
      </c>
      <c r="H876" s="118" t="str">
        <f t="shared" si="88"/>
        <v/>
      </c>
      <c r="I876" s="116" t="str">
        <f>IF(AND(F876&lt;&gt;"",N10&gt;0,M876&gt;N10),"Mot &gt; limite","")</f>
        <v/>
      </c>
      <c r="M876" s="70">
        <f>IF(OR(F876="",N10="",N10&lt;=0),"",IF(LEN(F876)&lt;=N10,LEN(F876),IFERROR(FIND("♦",SUBSTITUTE(LEFT(F876,N10)," ","♦",LEN(LEFT(F876,N10))-LEN(SUBSTITUTE(LEFT(F876,N10)," ","")))),FIND(" ",F876&amp;" ",N10+1)-1)))</f>
        <v>1</v>
      </c>
      <c r="N876" s="119">
        <f t="shared" si="89"/>
        <v>859</v>
      </c>
      <c r="O876" s="99" t="str">
        <f t="shared" si="90"/>
        <v>0</v>
      </c>
      <c r="P876" s="119">
        <f t="shared" si="91"/>
        <v>1</v>
      </c>
      <c r="Q876" s="119">
        <f t="shared" si="92"/>
        <v>1</v>
      </c>
      <c r="S876" s="3">
        <v>1</v>
      </c>
    </row>
    <row r="877" spans="2:19">
      <c r="B877" s="116"/>
      <c r="C877" s="116"/>
      <c r="D877" s="116"/>
      <c r="E877" s="116" cm="1">
        <f t="array" ref="E877">IF(H876&lt;&gt;"",E876,IF(E876="","",IFERROR(MATCH(TRUE(),INDEX(INDEX(K:K,E876+1):K203&lt;&gt;"",0),0)+E876,"")))</f>
        <v>1018</v>
      </c>
      <c r="F877" s="117" cm="1">
        <f t="array" ref="F877">IF(E877="","",IF(H876&lt;&gt;"",H876,INDEX(D:D,E877)))</f>
        <v>0</v>
      </c>
      <c r="G877" s="117" t="str">
        <f t="shared" si="87"/>
        <v>0</v>
      </c>
      <c r="H877" s="118" t="str">
        <f t="shared" si="88"/>
        <v/>
      </c>
      <c r="I877" s="116" t="str">
        <f>IF(AND(F877&lt;&gt;"",N10&gt;0,M877&gt;N10),"Mot &gt; limite","")</f>
        <v/>
      </c>
      <c r="M877" s="70">
        <f>IF(OR(F877="",N10="",N10&lt;=0),"",IF(LEN(F877)&lt;=N10,LEN(F877),IFERROR(FIND("♦",SUBSTITUTE(LEFT(F877,N10)," ","♦",LEN(LEFT(F877,N10))-LEN(SUBSTITUTE(LEFT(F877,N10)," ","")))),FIND(" ",F877&amp;" ",N10+1)-1)))</f>
        <v>1</v>
      </c>
      <c r="N877" s="119">
        <f t="shared" si="89"/>
        <v>860</v>
      </c>
      <c r="O877" s="99" t="str">
        <f t="shared" si="90"/>
        <v>0</v>
      </c>
      <c r="P877" s="119">
        <f t="shared" si="91"/>
        <v>1</v>
      </c>
      <c r="Q877" s="119">
        <f t="shared" si="92"/>
        <v>1</v>
      </c>
      <c r="S877" s="3">
        <v>1</v>
      </c>
    </row>
    <row r="878" spans="2:19">
      <c r="B878" s="116"/>
      <c r="C878" s="116"/>
      <c r="D878" s="116"/>
      <c r="E878" s="116" cm="1">
        <f t="array" ref="E878">IF(H877&lt;&gt;"",E877,IF(E877="","",IFERROR(MATCH(TRUE(),INDEX(INDEX(K:K,E877+1):K203&lt;&gt;"",0),0)+E877,"")))</f>
        <v>1019</v>
      </c>
      <c r="F878" s="117" cm="1">
        <f t="array" ref="F878">IF(E878="","",IF(H877&lt;&gt;"",H877,INDEX(D:D,E878)))</f>
        <v>1</v>
      </c>
      <c r="G878" s="117" t="str">
        <f t="shared" si="87"/>
        <v>1</v>
      </c>
      <c r="H878" s="118" t="str">
        <f t="shared" si="88"/>
        <v/>
      </c>
      <c r="I878" s="116" t="str">
        <f>IF(AND(F878&lt;&gt;"",N10&gt;0,M878&gt;N10),"Mot &gt; limite","")</f>
        <v/>
      </c>
      <c r="M878" s="70">
        <f>IF(OR(F878="",N10="",N10&lt;=0),"",IF(LEN(F878)&lt;=N10,LEN(F878),IFERROR(FIND("♦",SUBSTITUTE(LEFT(F878,N10)," ","♦",LEN(LEFT(F878,N10))-LEN(SUBSTITUTE(LEFT(F878,N10)," ","")))),FIND(" ",F878&amp;" ",N10+1)-1)))</f>
        <v>1</v>
      </c>
      <c r="N878" s="119">
        <f t="shared" si="89"/>
        <v>861</v>
      </c>
      <c r="O878" s="99" t="str">
        <f t="shared" si="90"/>
        <v>1</v>
      </c>
      <c r="P878" s="119">
        <f t="shared" si="91"/>
        <v>1</v>
      </c>
      <c r="Q878" s="119">
        <f t="shared" si="92"/>
        <v>1</v>
      </c>
      <c r="S878" s="3">
        <v>1</v>
      </c>
    </row>
    <row r="879" spans="2:19">
      <c r="B879" s="116"/>
      <c r="C879" s="116"/>
      <c r="D879" s="116"/>
      <c r="E879" s="116" cm="1">
        <f t="array" ref="E879">IF(H878&lt;&gt;"",E878,IF(E878="","",IFERROR(MATCH(TRUE(),INDEX(INDEX(K:K,E878+1):K203&lt;&gt;"",0),0)+E878,"")))</f>
        <v>1020</v>
      </c>
      <c r="F879" s="117" cm="1">
        <f t="array" ref="F879">IF(E879="","",IF(H878&lt;&gt;"",H878,INDEX(D:D,E879)))</f>
        <v>0</v>
      </c>
      <c r="G879" s="117" t="str">
        <f t="shared" si="87"/>
        <v>0</v>
      </c>
      <c r="H879" s="118" t="str">
        <f t="shared" si="88"/>
        <v/>
      </c>
      <c r="I879" s="116" t="str">
        <f>IF(AND(F879&lt;&gt;"",N10&gt;0,M879&gt;N10),"Mot &gt; limite","")</f>
        <v/>
      </c>
      <c r="M879" s="70">
        <f>IF(OR(F879="",N10="",N10&lt;=0),"",IF(LEN(F879)&lt;=N10,LEN(F879),IFERROR(FIND("♦",SUBSTITUTE(LEFT(F879,N10)," ","♦",LEN(LEFT(F879,N10))-LEN(SUBSTITUTE(LEFT(F879,N10)," ","")))),FIND(" ",F879&amp;" ",N10+1)-1)))</f>
        <v>1</v>
      </c>
      <c r="N879" s="119">
        <f t="shared" si="89"/>
        <v>862</v>
      </c>
      <c r="O879" s="99" t="str">
        <f t="shared" si="90"/>
        <v>0</v>
      </c>
      <c r="P879" s="119">
        <f t="shared" si="91"/>
        <v>1</v>
      </c>
      <c r="Q879" s="119">
        <f t="shared" si="92"/>
        <v>1</v>
      </c>
      <c r="S879" s="3">
        <v>1</v>
      </c>
    </row>
    <row r="880" spans="2:19">
      <c r="B880" s="116"/>
      <c r="C880" s="116"/>
      <c r="D880" s="116"/>
      <c r="E880" s="116" cm="1">
        <f t="array" ref="E880">IF(H879&lt;&gt;"",E879,IF(E879="","",IFERROR(MATCH(TRUE(),INDEX(INDEX(K:K,E879+1):K203&lt;&gt;"",0),0)+E879,"")))</f>
        <v>1021</v>
      </c>
      <c r="F880" s="117" cm="1">
        <f t="array" ref="F880">IF(E880="","",IF(H879&lt;&gt;"",H879,INDEX(D:D,E880)))</f>
        <v>0</v>
      </c>
      <c r="G880" s="117" t="str">
        <f t="shared" si="87"/>
        <v>0</v>
      </c>
      <c r="H880" s="118" t="str">
        <f t="shared" si="88"/>
        <v/>
      </c>
      <c r="I880" s="116" t="str">
        <f>IF(AND(F880&lt;&gt;"",N10&gt;0,M880&gt;N10),"Mot &gt; limite","")</f>
        <v/>
      </c>
      <c r="M880" s="70">
        <f>IF(OR(F880="",N10="",N10&lt;=0),"",IF(LEN(F880)&lt;=N10,LEN(F880),IFERROR(FIND("♦",SUBSTITUTE(LEFT(F880,N10)," ","♦",LEN(LEFT(F880,N10))-LEN(SUBSTITUTE(LEFT(F880,N10)," ","")))),FIND(" ",F880&amp;" ",N10+1)-1)))</f>
        <v>1</v>
      </c>
      <c r="N880" s="119">
        <f t="shared" si="89"/>
        <v>863</v>
      </c>
      <c r="O880" s="99" t="str">
        <f t="shared" si="90"/>
        <v>0</v>
      </c>
      <c r="P880" s="119">
        <f t="shared" si="91"/>
        <v>1</v>
      </c>
      <c r="Q880" s="119">
        <f t="shared" si="92"/>
        <v>1</v>
      </c>
      <c r="S880" s="3">
        <v>1</v>
      </c>
    </row>
    <row r="881" spans="2:19">
      <c r="B881" s="116"/>
      <c r="C881" s="116"/>
      <c r="D881" s="116"/>
      <c r="E881" s="116" cm="1">
        <f t="array" ref="E881">IF(H880&lt;&gt;"",E880,IF(E880="","",IFERROR(MATCH(TRUE(),INDEX(INDEX(K:K,E880+1):K203&lt;&gt;"",0),0)+E880,"")))</f>
        <v>1022</v>
      </c>
      <c r="F881" s="117" cm="1">
        <f t="array" ref="F881">IF(E881="","",IF(H880&lt;&gt;"",H880,INDEX(D:D,E881)))</f>
        <v>0</v>
      </c>
      <c r="G881" s="117" t="str">
        <f t="shared" si="87"/>
        <v>0</v>
      </c>
      <c r="H881" s="118" t="str">
        <f t="shared" si="88"/>
        <v/>
      </c>
      <c r="I881" s="116" t="str">
        <f>IF(AND(F881&lt;&gt;"",N10&gt;0,M881&gt;N10),"Mot &gt; limite","")</f>
        <v/>
      </c>
      <c r="M881" s="70">
        <f>IF(OR(F881="",N10="",N10&lt;=0),"",IF(LEN(F881)&lt;=N10,LEN(F881),IFERROR(FIND("♦",SUBSTITUTE(LEFT(F881,N10)," ","♦",LEN(LEFT(F881,N10))-LEN(SUBSTITUTE(LEFT(F881,N10)," ","")))),FIND(" ",F881&amp;" ",N10+1)-1)))</f>
        <v>1</v>
      </c>
      <c r="N881" s="119">
        <f t="shared" si="89"/>
        <v>864</v>
      </c>
      <c r="O881" s="99" t="str">
        <f t="shared" si="90"/>
        <v>0</v>
      </c>
      <c r="P881" s="119">
        <f t="shared" si="91"/>
        <v>1</v>
      </c>
      <c r="Q881" s="119">
        <f t="shared" si="92"/>
        <v>1</v>
      </c>
      <c r="S881" s="3">
        <v>1</v>
      </c>
    </row>
    <row r="882" spans="2:19">
      <c r="B882" s="116"/>
      <c r="C882" s="116"/>
      <c r="D882" s="116"/>
      <c r="E882" s="116" cm="1">
        <f t="array" ref="E882">IF(H881&lt;&gt;"",E881,IF(E881="","",IFERROR(MATCH(TRUE(),INDEX(INDEX(K:K,E881+1):K203&lt;&gt;"",0),0)+E881,"")))</f>
        <v>1023</v>
      </c>
      <c r="F882" s="117" cm="1">
        <f t="array" ref="F882">IF(E882="","",IF(H881&lt;&gt;"",H881,INDEX(D:D,E882)))</f>
        <v>0</v>
      </c>
      <c r="G882" s="117" t="str">
        <f t="shared" si="87"/>
        <v>0</v>
      </c>
      <c r="H882" s="118" t="str">
        <f t="shared" si="88"/>
        <v/>
      </c>
      <c r="I882" s="116" t="str">
        <f>IF(AND(F882&lt;&gt;"",N10&gt;0,M882&gt;N10),"Mot &gt; limite","")</f>
        <v/>
      </c>
      <c r="M882" s="70">
        <f>IF(OR(F882="",N10="",N10&lt;=0),"",IF(LEN(F882)&lt;=N10,LEN(F882),IFERROR(FIND("♦",SUBSTITUTE(LEFT(F882,N10)," ","♦",LEN(LEFT(F882,N10))-LEN(SUBSTITUTE(LEFT(F882,N10)," ","")))),FIND(" ",F882&amp;" ",N10+1)-1)))</f>
        <v>1</v>
      </c>
      <c r="N882" s="119">
        <f t="shared" si="89"/>
        <v>865</v>
      </c>
      <c r="O882" s="99" t="str">
        <f t="shared" si="90"/>
        <v>0</v>
      </c>
      <c r="P882" s="119">
        <f t="shared" si="91"/>
        <v>1</v>
      </c>
      <c r="Q882" s="119">
        <f t="shared" si="92"/>
        <v>1</v>
      </c>
      <c r="S882" s="3">
        <v>1</v>
      </c>
    </row>
    <row r="883" spans="2:19">
      <c r="B883" s="116"/>
      <c r="C883" s="116"/>
      <c r="D883" s="116"/>
      <c r="E883" s="116" cm="1">
        <f t="array" ref="E883">IF(H882&lt;&gt;"",E882,IF(E882="","",IFERROR(MATCH(TRUE(),INDEX(INDEX(K:K,E882+1):K203&lt;&gt;"",0),0)+E882,"")))</f>
        <v>1024</v>
      </c>
      <c r="F883" s="117" cm="1">
        <f t="array" ref="F883">IF(E883="","",IF(H882&lt;&gt;"",H882,INDEX(D:D,E883)))</f>
        <v>0</v>
      </c>
      <c r="G883" s="117" t="str">
        <f t="shared" si="87"/>
        <v>0</v>
      </c>
      <c r="H883" s="118" t="str">
        <f t="shared" si="88"/>
        <v/>
      </c>
      <c r="I883" s="116" t="str">
        <f>IF(AND(F883&lt;&gt;"",N10&gt;0,M883&gt;N10),"Mot &gt; limite","")</f>
        <v/>
      </c>
      <c r="M883" s="70">
        <f>IF(OR(F883="",N10="",N10&lt;=0),"",IF(LEN(F883)&lt;=N10,LEN(F883),IFERROR(FIND("♦",SUBSTITUTE(LEFT(F883,N10)," ","♦",LEN(LEFT(F883,N10))-LEN(SUBSTITUTE(LEFT(F883,N10)," ","")))),FIND(" ",F883&amp;" ",N10+1)-1)))</f>
        <v>1</v>
      </c>
      <c r="N883" s="119">
        <f t="shared" si="89"/>
        <v>866</v>
      </c>
      <c r="O883" s="99" t="str">
        <f t="shared" si="90"/>
        <v>0</v>
      </c>
      <c r="P883" s="119">
        <f t="shared" si="91"/>
        <v>1</v>
      </c>
      <c r="Q883" s="119">
        <f t="shared" si="92"/>
        <v>1</v>
      </c>
      <c r="S883" s="3">
        <v>1</v>
      </c>
    </row>
    <row r="884" spans="2:19">
      <c r="B884" s="116"/>
      <c r="C884" s="116"/>
      <c r="D884" s="116"/>
      <c r="E884" s="116" cm="1">
        <f t="array" ref="E884">IF(H883&lt;&gt;"",E883,IF(E883="","",IFERROR(MATCH(TRUE(),INDEX(INDEX(K:K,E883+1):K203&lt;&gt;"",0),0)+E883,"")))</f>
        <v>1025</v>
      </c>
      <c r="F884" s="117" cm="1">
        <f t="array" ref="F884">IF(E884="","",IF(H883&lt;&gt;"",H883,INDEX(D:D,E884)))</f>
        <v>0</v>
      </c>
      <c r="G884" s="117" t="str">
        <f t="shared" si="87"/>
        <v>0</v>
      </c>
      <c r="H884" s="118" t="str">
        <f t="shared" si="88"/>
        <v/>
      </c>
      <c r="I884" s="116" t="str">
        <f>IF(AND(F884&lt;&gt;"",N10&gt;0,M884&gt;N10),"Mot &gt; limite","")</f>
        <v/>
      </c>
      <c r="M884" s="70">
        <f>IF(OR(F884="",N10="",N10&lt;=0),"",IF(LEN(F884)&lt;=N10,LEN(F884),IFERROR(FIND("♦",SUBSTITUTE(LEFT(F884,N10)," ","♦",LEN(LEFT(F884,N10))-LEN(SUBSTITUTE(LEFT(F884,N10)," ","")))),FIND(" ",F884&amp;" ",N10+1)-1)))</f>
        <v>1</v>
      </c>
      <c r="N884" s="119">
        <f t="shared" si="89"/>
        <v>867</v>
      </c>
      <c r="O884" s="99" t="str">
        <f t="shared" si="90"/>
        <v>0</v>
      </c>
      <c r="P884" s="119">
        <f t="shared" si="91"/>
        <v>1</v>
      </c>
      <c r="Q884" s="119">
        <f t="shared" si="92"/>
        <v>1</v>
      </c>
      <c r="S884" s="3">
        <v>1</v>
      </c>
    </row>
    <row r="885" spans="2:19">
      <c r="B885" s="116"/>
      <c r="C885" s="116"/>
      <c r="D885" s="116"/>
      <c r="E885" s="116" cm="1">
        <f t="array" ref="E885">IF(H884&lt;&gt;"",E884,IF(E884="","",IFERROR(MATCH(TRUE(),INDEX(INDEX(K:K,E884+1):K203&lt;&gt;"",0),0)+E884,"")))</f>
        <v>1026</v>
      </c>
      <c r="F885" s="117" cm="1">
        <f t="array" ref="F885">IF(E885="","",IF(H884&lt;&gt;"",H884,INDEX(D:D,E885)))</f>
        <v>0</v>
      </c>
      <c r="G885" s="117" t="str">
        <f t="shared" si="87"/>
        <v>0</v>
      </c>
      <c r="H885" s="118" t="str">
        <f t="shared" si="88"/>
        <v/>
      </c>
      <c r="I885" s="116" t="str">
        <f>IF(AND(F885&lt;&gt;"",N10&gt;0,M885&gt;N10),"Mot &gt; limite","")</f>
        <v/>
      </c>
      <c r="M885" s="70">
        <f>IF(OR(F885="",N10="",N10&lt;=0),"",IF(LEN(F885)&lt;=N10,LEN(F885),IFERROR(FIND("♦",SUBSTITUTE(LEFT(F885,N10)," ","♦",LEN(LEFT(F885,N10))-LEN(SUBSTITUTE(LEFT(F885,N10)," ","")))),FIND(" ",F885&amp;" ",N10+1)-1)))</f>
        <v>1</v>
      </c>
      <c r="N885" s="119">
        <f t="shared" si="89"/>
        <v>868</v>
      </c>
      <c r="O885" s="99" t="str">
        <f t="shared" si="90"/>
        <v>0</v>
      </c>
      <c r="P885" s="119">
        <f t="shared" si="91"/>
        <v>1</v>
      </c>
      <c r="Q885" s="119">
        <f t="shared" si="92"/>
        <v>1</v>
      </c>
      <c r="S885" s="3">
        <v>1</v>
      </c>
    </row>
    <row r="886" spans="2:19">
      <c r="B886" s="116"/>
      <c r="C886" s="116"/>
      <c r="D886" s="116"/>
      <c r="E886" s="116" cm="1">
        <f t="array" ref="E886">IF(H885&lt;&gt;"",E885,IF(E885="","",IFERROR(MATCH(TRUE(),INDEX(INDEX(K:K,E885+1):K203&lt;&gt;"",0),0)+E885,"")))</f>
        <v>1027</v>
      </c>
      <c r="F886" s="117" cm="1">
        <f t="array" ref="F886">IF(E886="","",IF(H885&lt;&gt;"",H885,INDEX(D:D,E886)))</f>
        <v>0</v>
      </c>
      <c r="G886" s="117" t="str">
        <f t="shared" si="87"/>
        <v>0</v>
      </c>
      <c r="H886" s="118" t="str">
        <f t="shared" si="88"/>
        <v/>
      </c>
      <c r="I886" s="116" t="str">
        <f>IF(AND(F886&lt;&gt;"",N10&gt;0,M886&gt;N10),"Mot &gt; limite","")</f>
        <v/>
      </c>
      <c r="M886" s="70">
        <f>IF(OR(F886="",N10="",N10&lt;=0),"",IF(LEN(F886)&lt;=N10,LEN(F886),IFERROR(FIND("♦",SUBSTITUTE(LEFT(F886,N10)," ","♦",LEN(LEFT(F886,N10))-LEN(SUBSTITUTE(LEFT(F886,N10)," ","")))),FIND(" ",F886&amp;" ",N10+1)-1)))</f>
        <v>1</v>
      </c>
      <c r="N886" s="119">
        <f t="shared" si="89"/>
        <v>869</v>
      </c>
      <c r="O886" s="99" t="str">
        <f t="shared" si="90"/>
        <v>0</v>
      </c>
      <c r="P886" s="119">
        <f t="shared" si="91"/>
        <v>1</v>
      </c>
      <c r="Q886" s="119">
        <f t="shared" si="92"/>
        <v>1</v>
      </c>
      <c r="S886" s="3">
        <v>1</v>
      </c>
    </row>
    <row r="887" spans="2:19">
      <c r="B887" s="116"/>
      <c r="C887" s="116"/>
      <c r="D887" s="116"/>
      <c r="E887" s="116" cm="1">
        <f t="array" ref="E887">IF(H886&lt;&gt;"",E886,IF(E886="","",IFERROR(MATCH(TRUE(),INDEX(INDEX(K:K,E886+1):K203&lt;&gt;"",0),0)+E886,"")))</f>
        <v>1028</v>
      </c>
      <c r="F887" s="117" cm="1">
        <f t="array" ref="F887">IF(E887="","",IF(H886&lt;&gt;"",H886,INDEX(D:D,E887)))</f>
        <v>0</v>
      </c>
      <c r="G887" s="117" t="str">
        <f t="shared" si="87"/>
        <v>0</v>
      </c>
      <c r="H887" s="118" t="str">
        <f t="shared" si="88"/>
        <v/>
      </c>
      <c r="I887" s="116" t="str">
        <f>IF(AND(F887&lt;&gt;"",N10&gt;0,M887&gt;N10),"Mot &gt; limite","")</f>
        <v/>
      </c>
      <c r="M887" s="70">
        <f>IF(OR(F887="",N10="",N10&lt;=0),"",IF(LEN(F887)&lt;=N10,LEN(F887),IFERROR(FIND("♦",SUBSTITUTE(LEFT(F887,N10)," ","♦",LEN(LEFT(F887,N10))-LEN(SUBSTITUTE(LEFT(F887,N10)," ","")))),FIND(" ",F887&amp;" ",N10+1)-1)))</f>
        <v>1</v>
      </c>
      <c r="N887" s="119">
        <f t="shared" si="89"/>
        <v>870</v>
      </c>
      <c r="O887" s="99" t="str">
        <f t="shared" si="90"/>
        <v>0</v>
      </c>
      <c r="P887" s="119">
        <f t="shared" si="91"/>
        <v>1</v>
      </c>
      <c r="Q887" s="119">
        <f t="shared" si="92"/>
        <v>1</v>
      </c>
      <c r="S887" s="3">
        <v>1</v>
      </c>
    </row>
    <row r="888" spans="2:19">
      <c r="B888" s="116"/>
      <c r="C888" s="116"/>
      <c r="D888" s="116"/>
      <c r="E888" s="116" cm="1">
        <f t="array" ref="E888">IF(H887&lt;&gt;"",E887,IF(E887="","",IFERROR(MATCH(TRUE(),INDEX(INDEX(K:K,E887+1):K203&lt;&gt;"",0),0)+E887,"")))</f>
        <v>1029</v>
      </c>
      <c r="F888" s="117" cm="1">
        <f t="array" ref="F888">IF(E888="","",IF(H887&lt;&gt;"",H887,INDEX(D:D,E888)))</f>
        <v>0</v>
      </c>
      <c r="G888" s="117" t="str">
        <f t="shared" si="87"/>
        <v>0</v>
      </c>
      <c r="H888" s="118" t="str">
        <f t="shared" si="88"/>
        <v/>
      </c>
      <c r="I888" s="116" t="str">
        <f>IF(AND(F888&lt;&gt;"",N10&gt;0,M888&gt;N10),"Mot &gt; limite","")</f>
        <v/>
      </c>
      <c r="M888" s="70">
        <f>IF(OR(F888="",N10="",N10&lt;=0),"",IF(LEN(F888)&lt;=N10,LEN(F888),IFERROR(FIND("♦",SUBSTITUTE(LEFT(F888,N10)," ","♦",LEN(LEFT(F888,N10))-LEN(SUBSTITUTE(LEFT(F888,N10)," ","")))),FIND(" ",F888&amp;" ",N10+1)-1)))</f>
        <v>1</v>
      </c>
      <c r="N888" s="119">
        <f t="shared" si="89"/>
        <v>871</v>
      </c>
      <c r="O888" s="99" t="str">
        <f t="shared" si="90"/>
        <v>0</v>
      </c>
      <c r="P888" s="119">
        <f t="shared" si="91"/>
        <v>1</v>
      </c>
      <c r="Q888" s="119">
        <f t="shared" si="92"/>
        <v>1</v>
      </c>
      <c r="S888" s="3">
        <v>1</v>
      </c>
    </row>
    <row r="889" spans="2:19">
      <c r="B889" s="116"/>
      <c r="C889" s="116"/>
      <c r="D889" s="116"/>
      <c r="E889" s="116" cm="1">
        <f t="array" ref="E889">IF(H888&lt;&gt;"",E888,IF(E888="","",IFERROR(MATCH(TRUE(),INDEX(INDEX(K:K,E888+1):K203&lt;&gt;"",0),0)+E888,"")))</f>
        <v>1030</v>
      </c>
      <c r="F889" s="117" cm="1">
        <f t="array" ref="F889">IF(E889="","",IF(H888&lt;&gt;"",H888,INDEX(D:D,E889)))</f>
        <v>0</v>
      </c>
      <c r="G889" s="117" t="str">
        <f t="shared" si="87"/>
        <v>0</v>
      </c>
      <c r="H889" s="118" t="str">
        <f t="shared" si="88"/>
        <v/>
      </c>
      <c r="I889" s="116" t="str">
        <f>IF(AND(F889&lt;&gt;"",N10&gt;0,M889&gt;N10),"Mot &gt; limite","")</f>
        <v/>
      </c>
      <c r="M889" s="70">
        <f>IF(OR(F889="",N10="",N10&lt;=0),"",IF(LEN(F889)&lt;=N10,LEN(F889),IFERROR(FIND("♦",SUBSTITUTE(LEFT(F889,N10)," ","♦",LEN(LEFT(F889,N10))-LEN(SUBSTITUTE(LEFT(F889,N10)," ","")))),FIND(" ",F889&amp;" ",N10+1)-1)))</f>
        <v>1</v>
      </c>
      <c r="N889" s="119">
        <f t="shared" si="89"/>
        <v>872</v>
      </c>
      <c r="O889" s="99" t="str">
        <f t="shared" si="90"/>
        <v>0</v>
      </c>
      <c r="P889" s="119">
        <f t="shared" si="91"/>
        <v>1</v>
      </c>
      <c r="Q889" s="119">
        <f t="shared" si="92"/>
        <v>1</v>
      </c>
      <c r="S889" s="3">
        <v>1</v>
      </c>
    </row>
    <row r="890" spans="2:19">
      <c r="B890" s="116"/>
      <c r="C890" s="116"/>
      <c r="D890" s="116"/>
      <c r="E890" s="116" cm="1">
        <f t="array" ref="E890">IF(H889&lt;&gt;"",E889,IF(E889="","",IFERROR(MATCH(TRUE(),INDEX(INDEX(K:K,E889+1):K203&lt;&gt;"",0),0)+E889,"")))</f>
        <v>1031</v>
      </c>
      <c r="F890" s="117" cm="1">
        <f t="array" ref="F890">IF(E890="","",IF(H889&lt;&gt;"",H889,INDEX(D:D,E890)))</f>
        <v>0</v>
      </c>
      <c r="G890" s="117" t="str">
        <f t="shared" si="87"/>
        <v>0</v>
      </c>
      <c r="H890" s="118" t="str">
        <f t="shared" si="88"/>
        <v/>
      </c>
      <c r="I890" s="116" t="str">
        <f>IF(AND(F890&lt;&gt;"",N10&gt;0,M890&gt;N10),"Mot &gt; limite","")</f>
        <v/>
      </c>
      <c r="M890" s="70">
        <f>IF(OR(F890="",N10="",N10&lt;=0),"",IF(LEN(F890)&lt;=N10,LEN(F890),IFERROR(FIND("♦",SUBSTITUTE(LEFT(F890,N10)," ","♦",LEN(LEFT(F890,N10))-LEN(SUBSTITUTE(LEFT(F890,N10)," ","")))),FIND(" ",F890&amp;" ",N10+1)-1)))</f>
        <v>1</v>
      </c>
      <c r="N890" s="119">
        <f t="shared" si="89"/>
        <v>873</v>
      </c>
      <c r="O890" s="99" t="str">
        <f t="shared" si="90"/>
        <v>0</v>
      </c>
      <c r="P890" s="119">
        <f t="shared" si="91"/>
        <v>1</v>
      </c>
      <c r="Q890" s="119">
        <f t="shared" si="92"/>
        <v>1</v>
      </c>
      <c r="S890" s="3">
        <v>1</v>
      </c>
    </row>
    <row r="891" spans="2:19">
      <c r="B891" s="116"/>
      <c r="C891" s="116"/>
      <c r="D891" s="116"/>
      <c r="E891" s="116" cm="1">
        <f t="array" ref="E891">IF(H890&lt;&gt;"",E890,IF(E890="","",IFERROR(MATCH(TRUE(),INDEX(INDEX(K:K,E890+1):K203&lt;&gt;"",0),0)+E890,"")))</f>
        <v>1032</v>
      </c>
      <c r="F891" s="117" cm="1">
        <f t="array" ref="F891">IF(E891="","",IF(H890&lt;&gt;"",H890,INDEX(D:D,E891)))</f>
        <v>0</v>
      </c>
      <c r="G891" s="117" t="str">
        <f t="shared" si="87"/>
        <v>0</v>
      </c>
      <c r="H891" s="118" t="str">
        <f t="shared" si="88"/>
        <v/>
      </c>
      <c r="I891" s="116" t="str">
        <f>IF(AND(F891&lt;&gt;"",N10&gt;0,M891&gt;N10),"Mot &gt; limite","")</f>
        <v/>
      </c>
      <c r="M891" s="70">
        <f>IF(OR(F891="",N10="",N10&lt;=0),"",IF(LEN(F891)&lt;=N10,LEN(F891),IFERROR(FIND("♦",SUBSTITUTE(LEFT(F891,N10)," ","♦",LEN(LEFT(F891,N10))-LEN(SUBSTITUTE(LEFT(F891,N10)," ","")))),FIND(" ",F891&amp;" ",N10+1)-1)))</f>
        <v>1</v>
      </c>
      <c r="N891" s="119">
        <f t="shared" si="89"/>
        <v>874</v>
      </c>
      <c r="O891" s="99" t="str">
        <f t="shared" si="90"/>
        <v>0</v>
      </c>
      <c r="P891" s="119">
        <f t="shared" si="91"/>
        <v>1</v>
      </c>
      <c r="Q891" s="119">
        <f t="shared" si="92"/>
        <v>1</v>
      </c>
      <c r="S891" s="3">
        <v>1</v>
      </c>
    </row>
    <row r="892" spans="2:19">
      <c r="B892" s="116"/>
      <c r="C892" s="116"/>
      <c r="D892" s="116"/>
      <c r="E892" s="116" cm="1">
        <f t="array" ref="E892">IF(H891&lt;&gt;"",E891,IF(E891="","",IFERROR(MATCH(TRUE(),INDEX(INDEX(K:K,E891+1):K203&lt;&gt;"",0),0)+E891,"")))</f>
        <v>1033</v>
      </c>
      <c r="F892" s="117" cm="1">
        <f t="array" ref="F892">IF(E892="","",IF(H891&lt;&gt;"",H891,INDEX(D:D,E892)))</f>
        <v>0</v>
      </c>
      <c r="G892" s="117" t="str">
        <f t="shared" si="87"/>
        <v>0</v>
      </c>
      <c r="H892" s="118" t="str">
        <f t="shared" si="88"/>
        <v/>
      </c>
      <c r="I892" s="116" t="str">
        <f>IF(AND(F892&lt;&gt;"",N10&gt;0,M892&gt;N10),"Mot &gt; limite","")</f>
        <v/>
      </c>
      <c r="M892" s="70">
        <f>IF(OR(F892="",N10="",N10&lt;=0),"",IF(LEN(F892)&lt;=N10,LEN(F892),IFERROR(FIND("♦",SUBSTITUTE(LEFT(F892,N10)," ","♦",LEN(LEFT(F892,N10))-LEN(SUBSTITUTE(LEFT(F892,N10)," ","")))),FIND(" ",F892&amp;" ",N10+1)-1)))</f>
        <v>1</v>
      </c>
      <c r="N892" s="119">
        <f t="shared" si="89"/>
        <v>875</v>
      </c>
      <c r="O892" s="99" t="str">
        <f t="shared" si="90"/>
        <v>0</v>
      </c>
      <c r="P892" s="119">
        <f t="shared" si="91"/>
        <v>1</v>
      </c>
      <c r="Q892" s="119">
        <f t="shared" si="92"/>
        <v>1</v>
      </c>
      <c r="S892" s="3">
        <v>1</v>
      </c>
    </row>
    <row r="893" spans="2:19">
      <c r="B893" s="116"/>
      <c r="C893" s="116"/>
      <c r="D893" s="116"/>
      <c r="E893" s="116" cm="1">
        <f t="array" ref="E893">IF(H892&lt;&gt;"",E892,IF(E892="","",IFERROR(MATCH(TRUE(),INDEX(INDEX(K:K,E892+1):K203&lt;&gt;"",0),0)+E892,"")))</f>
        <v>1034</v>
      </c>
      <c r="F893" s="117" cm="1">
        <f t="array" ref="F893">IF(E893="","",IF(H892&lt;&gt;"",H892,INDEX(D:D,E893)))</f>
        <v>0</v>
      </c>
      <c r="G893" s="117" t="str">
        <f t="shared" si="87"/>
        <v>0</v>
      </c>
      <c r="H893" s="118" t="str">
        <f t="shared" si="88"/>
        <v/>
      </c>
      <c r="I893" s="116" t="str">
        <f>IF(AND(F893&lt;&gt;"",N10&gt;0,M893&gt;N10),"Mot &gt; limite","")</f>
        <v/>
      </c>
      <c r="M893" s="70">
        <f>IF(OR(F893="",N10="",N10&lt;=0),"",IF(LEN(F893)&lt;=N10,LEN(F893),IFERROR(FIND("♦",SUBSTITUTE(LEFT(F893,N10)," ","♦",LEN(LEFT(F893,N10))-LEN(SUBSTITUTE(LEFT(F893,N10)," ","")))),FIND(" ",F893&amp;" ",N10+1)-1)))</f>
        <v>1</v>
      </c>
      <c r="N893" s="119">
        <f t="shared" si="89"/>
        <v>876</v>
      </c>
      <c r="O893" s="99" t="str">
        <f t="shared" si="90"/>
        <v>0</v>
      </c>
      <c r="P893" s="119">
        <f t="shared" si="91"/>
        <v>1</v>
      </c>
      <c r="Q893" s="119">
        <f t="shared" si="92"/>
        <v>1</v>
      </c>
      <c r="S893" s="3">
        <v>1</v>
      </c>
    </row>
    <row r="894" spans="2:19">
      <c r="B894" s="116"/>
      <c r="C894" s="116"/>
      <c r="D894" s="116"/>
      <c r="E894" s="116" cm="1">
        <f t="array" ref="E894">IF(H893&lt;&gt;"",E893,IF(E893="","",IFERROR(MATCH(TRUE(),INDEX(INDEX(K:K,E893+1):K203&lt;&gt;"",0),0)+E893,"")))</f>
        <v>1035</v>
      </c>
      <c r="F894" s="117" cm="1">
        <f t="array" ref="F894">IF(E894="","",IF(H893&lt;&gt;"",H893,INDEX(D:D,E894)))</f>
        <v>0</v>
      </c>
      <c r="G894" s="117" t="str">
        <f t="shared" si="87"/>
        <v>0</v>
      </c>
      <c r="H894" s="118" t="str">
        <f t="shared" si="88"/>
        <v/>
      </c>
      <c r="I894" s="116" t="str">
        <f>IF(AND(F894&lt;&gt;"",N10&gt;0,M894&gt;N10),"Mot &gt; limite","")</f>
        <v/>
      </c>
      <c r="M894" s="70">
        <f>IF(OR(F894="",N10="",N10&lt;=0),"",IF(LEN(F894)&lt;=N10,LEN(F894),IFERROR(FIND("♦",SUBSTITUTE(LEFT(F894,N10)," ","♦",LEN(LEFT(F894,N10))-LEN(SUBSTITUTE(LEFT(F894,N10)," ","")))),FIND(" ",F894&amp;" ",N10+1)-1)))</f>
        <v>1</v>
      </c>
      <c r="N894" s="119">
        <f t="shared" si="89"/>
        <v>877</v>
      </c>
      <c r="O894" s="99" t="str">
        <f t="shared" si="90"/>
        <v>0</v>
      </c>
      <c r="P894" s="119">
        <f t="shared" si="91"/>
        <v>1</v>
      </c>
      <c r="Q894" s="119">
        <f t="shared" si="92"/>
        <v>1</v>
      </c>
      <c r="S894" s="3">
        <v>1</v>
      </c>
    </row>
    <row r="895" spans="2:19">
      <c r="B895" s="116"/>
      <c r="C895" s="116"/>
      <c r="D895" s="116"/>
      <c r="E895" s="116" cm="1">
        <f t="array" ref="E895">IF(H894&lt;&gt;"",E894,IF(E894="","",IFERROR(MATCH(TRUE(),INDEX(INDEX(K:K,E894+1):K203&lt;&gt;"",0),0)+E894,"")))</f>
        <v>1036</v>
      </c>
      <c r="F895" s="117" cm="1">
        <f t="array" ref="F895">IF(E895="","",IF(H894&lt;&gt;"",H894,INDEX(D:D,E895)))</f>
        <v>0</v>
      </c>
      <c r="G895" s="117" t="str">
        <f t="shared" si="87"/>
        <v>0</v>
      </c>
      <c r="H895" s="118" t="str">
        <f t="shared" si="88"/>
        <v/>
      </c>
      <c r="I895" s="116" t="str">
        <f>IF(AND(F895&lt;&gt;"",N10&gt;0,M895&gt;N10),"Mot &gt; limite","")</f>
        <v/>
      </c>
      <c r="M895" s="70">
        <f>IF(OR(F895="",N10="",N10&lt;=0),"",IF(LEN(F895)&lt;=N10,LEN(F895),IFERROR(FIND("♦",SUBSTITUTE(LEFT(F895,N10)," ","♦",LEN(LEFT(F895,N10))-LEN(SUBSTITUTE(LEFT(F895,N10)," ","")))),FIND(" ",F895&amp;" ",N10+1)-1)))</f>
        <v>1</v>
      </c>
      <c r="N895" s="119">
        <f t="shared" si="89"/>
        <v>878</v>
      </c>
      <c r="O895" s="99" t="str">
        <f t="shared" si="90"/>
        <v>0</v>
      </c>
      <c r="P895" s="119">
        <f t="shared" si="91"/>
        <v>1</v>
      </c>
      <c r="Q895" s="119">
        <f t="shared" si="92"/>
        <v>1</v>
      </c>
      <c r="S895" s="3">
        <v>1</v>
      </c>
    </row>
    <row r="896" spans="2:19">
      <c r="B896" s="116"/>
      <c r="C896" s="116"/>
      <c r="D896" s="116"/>
      <c r="E896" s="116" cm="1">
        <f t="array" ref="E896">IF(H895&lt;&gt;"",E895,IF(E895="","",IFERROR(MATCH(TRUE(),INDEX(INDEX(K:K,E895+1):K203&lt;&gt;"",0),0)+E895,"")))</f>
        <v>1037</v>
      </c>
      <c r="F896" s="117" cm="1">
        <f t="array" ref="F896">IF(E896="","",IF(H895&lt;&gt;"",H895,INDEX(D:D,E896)))</f>
        <v>0</v>
      </c>
      <c r="G896" s="117" t="str">
        <f t="shared" si="87"/>
        <v>0</v>
      </c>
      <c r="H896" s="118" t="str">
        <f t="shared" si="88"/>
        <v/>
      </c>
      <c r="I896" s="116" t="str">
        <f>IF(AND(F896&lt;&gt;"",N10&gt;0,M896&gt;N10),"Mot &gt; limite","")</f>
        <v/>
      </c>
      <c r="M896" s="70">
        <f>IF(OR(F896="",N10="",N10&lt;=0),"",IF(LEN(F896)&lt;=N10,LEN(F896),IFERROR(FIND("♦",SUBSTITUTE(LEFT(F896,N10)," ","♦",LEN(LEFT(F896,N10))-LEN(SUBSTITUTE(LEFT(F896,N10)," ","")))),FIND(" ",F896&amp;" ",N10+1)-1)))</f>
        <v>1</v>
      </c>
      <c r="N896" s="119">
        <f t="shared" si="89"/>
        <v>879</v>
      </c>
      <c r="O896" s="99" t="str">
        <f t="shared" si="90"/>
        <v>0</v>
      </c>
      <c r="P896" s="119">
        <f t="shared" si="91"/>
        <v>1</v>
      </c>
      <c r="Q896" s="119">
        <f t="shared" si="92"/>
        <v>1</v>
      </c>
      <c r="S896" s="3">
        <v>1</v>
      </c>
    </row>
    <row r="897" spans="2:19">
      <c r="B897" s="116"/>
      <c r="C897" s="116"/>
      <c r="D897" s="116"/>
      <c r="E897" s="116" cm="1">
        <f t="array" ref="E897">IF(H896&lt;&gt;"",E896,IF(E896="","",IFERROR(MATCH(TRUE(),INDEX(INDEX(K:K,E896+1):K203&lt;&gt;"",0),0)+E896,"")))</f>
        <v>1038</v>
      </c>
      <c r="F897" s="117" cm="1">
        <f t="array" ref="F897">IF(E897="","",IF(H896&lt;&gt;"",H896,INDEX(D:D,E897)))</f>
        <v>0</v>
      </c>
      <c r="G897" s="117" t="str">
        <f t="shared" si="87"/>
        <v>0</v>
      </c>
      <c r="H897" s="118" t="str">
        <f t="shared" si="88"/>
        <v/>
      </c>
      <c r="I897" s="116" t="str">
        <f>IF(AND(F897&lt;&gt;"",N10&gt;0,M897&gt;N10),"Mot &gt; limite","")</f>
        <v/>
      </c>
      <c r="M897" s="70">
        <f>IF(OR(F897="",N10="",N10&lt;=0),"",IF(LEN(F897)&lt;=N10,LEN(F897),IFERROR(FIND("♦",SUBSTITUTE(LEFT(F897,N10)," ","♦",LEN(LEFT(F897,N10))-LEN(SUBSTITUTE(LEFT(F897,N10)," ","")))),FIND(" ",F897&amp;" ",N10+1)-1)))</f>
        <v>1</v>
      </c>
      <c r="N897" s="119">
        <f t="shared" si="89"/>
        <v>880</v>
      </c>
      <c r="O897" s="99" t="str">
        <f t="shared" si="90"/>
        <v>0</v>
      </c>
      <c r="P897" s="119">
        <f t="shared" si="91"/>
        <v>1</v>
      </c>
      <c r="Q897" s="119">
        <f t="shared" si="92"/>
        <v>1</v>
      </c>
      <c r="S897" s="3">
        <v>1</v>
      </c>
    </row>
    <row r="898" spans="2:19">
      <c r="B898" s="116"/>
      <c r="C898" s="116"/>
      <c r="D898" s="116"/>
      <c r="E898" s="116" cm="1">
        <f t="array" ref="E898">IF(H897&lt;&gt;"",E897,IF(E897="","",IFERROR(MATCH(TRUE(),INDEX(INDEX(K:K,E897+1):K203&lt;&gt;"",0),0)+E897,"")))</f>
        <v>1039</v>
      </c>
      <c r="F898" s="117" cm="1">
        <f t="array" ref="F898">IF(E898="","",IF(H897&lt;&gt;"",H897,INDEX(D:D,E898)))</f>
        <v>0</v>
      </c>
      <c r="G898" s="117" t="str">
        <f t="shared" si="87"/>
        <v>0</v>
      </c>
      <c r="H898" s="118" t="str">
        <f t="shared" si="88"/>
        <v/>
      </c>
      <c r="I898" s="116" t="str">
        <f>IF(AND(F898&lt;&gt;"",N10&gt;0,M898&gt;N10),"Mot &gt; limite","")</f>
        <v/>
      </c>
      <c r="M898" s="70">
        <f>IF(OR(F898="",N10="",N10&lt;=0),"",IF(LEN(F898)&lt;=N10,LEN(F898),IFERROR(FIND("♦",SUBSTITUTE(LEFT(F898,N10)," ","♦",LEN(LEFT(F898,N10))-LEN(SUBSTITUTE(LEFT(F898,N10)," ","")))),FIND(" ",F898&amp;" ",N10+1)-1)))</f>
        <v>1</v>
      </c>
      <c r="N898" s="119">
        <f t="shared" si="89"/>
        <v>881</v>
      </c>
      <c r="O898" s="99" t="str">
        <f t="shared" si="90"/>
        <v>0</v>
      </c>
      <c r="P898" s="119">
        <f t="shared" si="91"/>
        <v>1</v>
      </c>
      <c r="Q898" s="119">
        <f t="shared" si="92"/>
        <v>1</v>
      </c>
      <c r="S898" s="3">
        <v>1</v>
      </c>
    </row>
    <row r="899" spans="2:19">
      <c r="B899" s="116"/>
      <c r="C899" s="116"/>
      <c r="D899" s="116"/>
      <c r="E899" s="116" cm="1">
        <f t="array" ref="E899">IF(H898&lt;&gt;"",E898,IF(E898="","",IFERROR(MATCH(TRUE(),INDEX(INDEX(K:K,E898+1):K203&lt;&gt;"",0),0)+E898,"")))</f>
        <v>1040</v>
      </c>
      <c r="F899" s="117" cm="1">
        <f t="array" ref="F899">IF(E899="","",IF(H898&lt;&gt;"",H898,INDEX(D:D,E899)))</f>
        <v>0</v>
      </c>
      <c r="G899" s="117" t="str">
        <f t="shared" si="87"/>
        <v>0</v>
      </c>
      <c r="H899" s="118" t="str">
        <f t="shared" si="88"/>
        <v/>
      </c>
      <c r="I899" s="116" t="str">
        <f>IF(AND(F899&lt;&gt;"",N10&gt;0,M899&gt;N10),"Mot &gt; limite","")</f>
        <v/>
      </c>
      <c r="M899" s="70">
        <f>IF(OR(F899="",N10="",N10&lt;=0),"",IF(LEN(F899)&lt;=N10,LEN(F899),IFERROR(FIND("♦",SUBSTITUTE(LEFT(F899,N10)," ","♦",LEN(LEFT(F899,N10))-LEN(SUBSTITUTE(LEFT(F899,N10)," ","")))),FIND(" ",F899&amp;" ",N10+1)-1)))</f>
        <v>1</v>
      </c>
      <c r="N899" s="119">
        <f t="shared" si="89"/>
        <v>882</v>
      </c>
      <c r="O899" s="99" t="str">
        <f t="shared" si="90"/>
        <v>0</v>
      </c>
      <c r="P899" s="119">
        <f t="shared" si="91"/>
        <v>1</v>
      </c>
      <c r="Q899" s="119">
        <f t="shared" si="92"/>
        <v>1</v>
      </c>
      <c r="S899" s="3">
        <v>1</v>
      </c>
    </row>
    <row r="900" spans="2:19">
      <c r="B900" s="116"/>
      <c r="C900" s="116"/>
      <c r="D900" s="116"/>
      <c r="E900" s="116" cm="1">
        <f t="array" ref="E900">IF(H899&lt;&gt;"",E899,IF(E899="","",IFERROR(MATCH(TRUE(),INDEX(INDEX(K:K,E899+1):K203&lt;&gt;"",0),0)+E899,"")))</f>
        <v>1041</v>
      </c>
      <c r="F900" s="117" cm="1">
        <f t="array" ref="F900">IF(E900="","",IF(H899&lt;&gt;"",H899,INDEX(D:D,E900)))</f>
        <v>0</v>
      </c>
      <c r="G900" s="117" t="str">
        <f t="shared" si="87"/>
        <v>0</v>
      </c>
      <c r="H900" s="118" t="str">
        <f t="shared" si="88"/>
        <v/>
      </c>
      <c r="I900" s="116" t="str">
        <f>IF(AND(F900&lt;&gt;"",N10&gt;0,M900&gt;N10),"Mot &gt; limite","")</f>
        <v/>
      </c>
      <c r="M900" s="70">
        <f>IF(OR(F900="",N10="",N10&lt;=0),"",IF(LEN(F900)&lt;=N10,LEN(F900),IFERROR(FIND("♦",SUBSTITUTE(LEFT(F900,N10)," ","♦",LEN(LEFT(F900,N10))-LEN(SUBSTITUTE(LEFT(F900,N10)," ","")))),FIND(" ",F900&amp;" ",N10+1)-1)))</f>
        <v>1</v>
      </c>
      <c r="N900" s="119">
        <f t="shared" si="89"/>
        <v>883</v>
      </c>
      <c r="O900" s="99" t="str">
        <f t="shared" si="90"/>
        <v>0</v>
      </c>
      <c r="P900" s="119">
        <f t="shared" si="91"/>
        <v>1</v>
      </c>
      <c r="Q900" s="119">
        <f t="shared" si="92"/>
        <v>1</v>
      </c>
      <c r="S900" s="3">
        <v>1</v>
      </c>
    </row>
    <row r="901" spans="2:19">
      <c r="B901" s="116"/>
      <c r="C901" s="116"/>
      <c r="D901" s="116"/>
      <c r="E901" s="116" cm="1">
        <f t="array" ref="E901">IF(H900&lt;&gt;"",E900,IF(E900="","",IFERROR(MATCH(TRUE(),INDEX(INDEX(K:K,E900+1):K203&lt;&gt;"",0),0)+E900,"")))</f>
        <v>1042</v>
      </c>
      <c r="F901" s="117" cm="1">
        <f t="array" ref="F901">IF(E901="","",IF(H900&lt;&gt;"",H900,INDEX(D:D,E901)))</f>
        <v>0</v>
      </c>
      <c r="G901" s="117" t="str">
        <f t="shared" si="87"/>
        <v>0</v>
      </c>
      <c r="H901" s="118" t="str">
        <f t="shared" si="88"/>
        <v/>
      </c>
      <c r="I901" s="116" t="str">
        <f>IF(AND(F901&lt;&gt;"",N10&gt;0,M901&gt;N10),"Mot &gt; limite","")</f>
        <v/>
      </c>
      <c r="M901" s="70">
        <f>IF(OR(F901="",N10="",N10&lt;=0),"",IF(LEN(F901)&lt;=N10,LEN(F901),IFERROR(FIND("♦",SUBSTITUTE(LEFT(F901,N10)," ","♦",LEN(LEFT(F901,N10))-LEN(SUBSTITUTE(LEFT(F901,N10)," ","")))),FIND(" ",F901&amp;" ",N10+1)-1)))</f>
        <v>1</v>
      </c>
      <c r="N901" s="119">
        <f t="shared" si="89"/>
        <v>884</v>
      </c>
      <c r="O901" s="99" t="str">
        <f t="shared" si="90"/>
        <v>0</v>
      </c>
      <c r="P901" s="119">
        <f t="shared" si="91"/>
        <v>1</v>
      </c>
      <c r="Q901" s="119">
        <f t="shared" si="92"/>
        <v>1</v>
      </c>
      <c r="S901" s="3">
        <v>1</v>
      </c>
    </row>
    <row r="902" spans="2:19">
      <c r="B902" s="116"/>
      <c r="C902" s="116"/>
      <c r="D902" s="116"/>
      <c r="E902" s="116" cm="1">
        <f t="array" ref="E902">IF(H901&lt;&gt;"",E901,IF(E901="","",IFERROR(MATCH(TRUE(),INDEX(INDEX(K:K,E901+1):K203&lt;&gt;"",0),0)+E901,"")))</f>
        <v>1043</v>
      </c>
      <c r="F902" s="117" cm="1">
        <f t="array" ref="F902">IF(E902="","",IF(H901&lt;&gt;"",H901,INDEX(D:D,E902)))</f>
        <v>0</v>
      </c>
      <c r="G902" s="117" t="str">
        <f t="shared" si="87"/>
        <v>0</v>
      </c>
      <c r="H902" s="118" t="str">
        <f t="shared" si="88"/>
        <v/>
      </c>
      <c r="I902" s="116" t="str">
        <f>IF(AND(F902&lt;&gt;"",N10&gt;0,M902&gt;N10),"Mot &gt; limite","")</f>
        <v/>
      </c>
      <c r="M902" s="70">
        <f>IF(OR(F902="",N10="",N10&lt;=0),"",IF(LEN(F902)&lt;=N10,LEN(F902),IFERROR(FIND("♦",SUBSTITUTE(LEFT(F902,N10)," ","♦",LEN(LEFT(F902,N10))-LEN(SUBSTITUTE(LEFT(F902,N10)," ","")))),FIND(" ",F902&amp;" ",N10+1)-1)))</f>
        <v>1</v>
      </c>
      <c r="N902" s="119">
        <f t="shared" si="89"/>
        <v>885</v>
      </c>
      <c r="O902" s="99" t="str">
        <f t="shared" si="90"/>
        <v>0</v>
      </c>
      <c r="P902" s="119">
        <f t="shared" si="91"/>
        <v>1</v>
      </c>
      <c r="Q902" s="119">
        <f t="shared" si="92"/>
        <v>1</v>
      </c>
      <c r="S902" s="3">
        <v>1</v>
      </c>
    </row>
    <row r="903" spans="2:19">
      <c r="B903" s="116"/>
      <c r="C903" s="116"/>
      <c r="D903" s="116"/>
      <c r="E903" s="116" cm="1">
        <f t="array" ref="E903">IF(H902&lt;&gt;"",E902,IF(E902="","",IFERROR(MATCH(TRUE(),INDEX(INDEX(K:K,E902+1):K203&lt;&gt;"",0),0)+E902,"")))</f>
        <v>1044</v>
      </c>
      <c r="F903" s="117" cm="1">
        <f t="array" ref="F903">IF(E903="","",IF(H902&lt;&gt;"",H902,INDEX(D:D,E903)))</f>
        <v>0</v>
      </c>
      <c r="G903" s="117" t="str">
        <f t="shared" si="87"/>
        <v>0</v>
      </c>
      <c r="H903" s="118" t="str">
        <f t="shared" si="88"/>
        <v/>
      </c>
      <c r="I903" s="116" t="str">
        <f>IF(AND(F903&lt;&gt;"",N10&gt;0,M903&gt;N10),"Mot &gt; limite","")</f>
        <v/>
      </c>
      <c r="M903" s="70">
        <f>IF(OR(F903="",N10="",N10&lt;=0),"",IF(LEN(F903)&lt;=N10,LEN(F903),IFERROR(FIND("♦",SUBSTITUTE(LEFT(F903,N10)," ","♦",LEN(LEFT(F903,N10))-LEN(SUBSTITUTE(LEFT(F903,N10)," ","")))),FIND(" ",F903&amp;" ",N10+1)-1)))</f>
        <v>1</v>
      </c>
      <c r="N903" s="119">
        <f t="shared" si="89"/>
        <v>886</v>
      </c>
      <c r="O903" s="99" t="str">
        <f t="shared" si="90"/>
        <v>0</v>
      </c>
      <c r="P903" s="119">
        <f t="shared" si="91"/>
        <v>1</v>
      </c>
      <c r="Q903" s="119">
        <f t="shared" si="92"/>
        <v>1</v>
      </c>
      <c r="S903" s="3">
        <v>1</v>
      </c>
    </row>
    <row r="904" spans="2:19">
      <c r="B904" s="116"/>
      <c r="C904" s="116"/>
      <c r="D904" s="116"/>
      <c r="E904" s="116" cm="1">
        <f t="array" ref="E904">IF(H903&lt;&gt;"",E903,IF(E903="","",IFERROR(MATCH(TRUE(),INDEX(INDEX(K:K,E903+1):K203&lt;&gt;"",0),0)+E903,"")))</f>
        <v>1045</v>
      </c>
      <c r="F904" s="117" cm="1">
        <f t="array" ref="F904">IF(E904="","",IF(H903&lt;&gt;"",H903,INDEX(D:D,E904)))</f>
        <v>0</v>
      </c>
      <c r="G904" s="117" t="str">
        <f t="shared" si="87"/>
        <v>0</v>
      </c>
      <c r="H904" s="118" t="str">
        <f t="shared" si="88"/>
        <v/>
      </c>
      <c r="I904" s="116" t="str">
        <f>IF(AND(F904&lt;&gt;"",N10&gt;0,M904&gt;N10),"Mot &gt; limite","")</f>
        <v/>
      </c>
      <c r="M904" s="70">
        <f>IF(OR(F904="",N10="",N10&lt;=0),"",IF(LEN(F904)&lt;=N10,LEN(F904),IFERROR(FIND("♦",SUBSTITUTE(LEFT(F904,N10)," ","♦",LEN(LEFT(F904,N10))-LEN(SUBSTITUTE(LEFT(F904,N10)," ","")))),FIND(" ",F904&amp;" ",N10+1)-1)))</f>
        <v>1</v>
      </c>
      <c r="N904" s="119">
        <f t="shared" si="89"/>
        <v>887</v>
      </c>
      <c r="O904" s="99" t="str">
        <f t="shared" si="90"/>
        <v>0</v>
      </c>
      <c r="P904" s="119">
        <f t="shared" si="91"/>
        <v>1</v>
      </c>
      <c r="Q904" s="119">
        <f t="shared" si="92"/>
        <v>1</v>
      </c>
      <c r="S904" s="3">
        <v>1</v>
      </c>
    </row>
    <row r="905" spans="2:19">
      <c r="B905" s="116"/>
      <c r="C905" s="116"/>
      <c r="D905" s="116"/>
      <c r="E905" s="116" cm="1">
        <f t="array" ref="E905">IF(H904&lt;&gt;"",E904,IF(E904="","",IFERROR(MATCH(TRUE(),INDEX(INDEX(K:K,E904+1):K203&lt;&gt;"",0),0)+E904,"")))</f>
        <v>1046</v>
      </c>
      <c r="F905" s="117" cm="1">
        <f t="array" ref="F905">IF(E905="","",IF(H904&lt;&gt;"",H904,INDEX(D:D,E905)))</f>
        <v>0</v>
      </c>
      <c r="G905" s="117" t="str">
        <f t="shared" si="87"/>
        <v>0</v>
      </c>
      <c r="H905" s="118" t="str">
        <f t="shared" si="88"/>
        <v/>
      </c>
      <c r="I905" s="116" t="str">
        <f>IF(AND(F905&lt;&gt;"",N10&gt;0,M905&gt;N10),"Mot &gt; limite","")</f>
        <v/>
      </c>
      <c r="M905" s="70">
        <f>IF(OR(F905="",N10="",N10&lt;=0),"",IF(LEN(F905)&lt;=N10,LEN(F905),IFERROR(FIND("♦",SUBSTITUTE(LEFT(F905,N10)," ","♦",LEN(LEFT(F905,N10))-LEN(SUBSTITUTE(LEFT(F905,N10)," ","")))),FIND(" ",F905&amp;" ",N10+1)-1)))</f>
        <v>1</v>
      </c>
      <c r="N905" s="119">
        <f t="shared" si="89"/>
        <v>888</v>
      </c>
      <c r="O905" s="99" t="str">
        <f t="shared" si="90"/>
        <v>0</v>
      </c>
      <c r="P905" s="119">
        <f t="shared" si="91"/>
        <v>1</v>
      </c>
      <c r="Q905" s="119">
        <f t="shared" si="92"/>
        <v>1</v>
      </c>
      <c r="S905" s="3">
        <v>1</v>
      </c>
    </row>
    <row r="906" spans="2:19">
      <c r="B906" s="116"/>
      <c r="C906" s="116"/>
      <c r="D906" s="116"/>
      <c r="E906" s="116" cm="1">
        <f t="array" ref="E906">IF(H905&lt;&gt;"",E905,IF(E905="","",IFERROR(MATCH(TRUE(),INDEX(INDEX(K:K,E905+1):K203&lt;&gt;"",0),0)+E905,"")))</f>
        <v>1047</v>
      </c>
      <c r="F906" s="117" cm="1">
        <f t="array" ref="F906">IF(E906="","",IF(H905&lt;&gt;"",H905,INDEX(D:D,E906)))</f>
        <v>0</v>
      </c>
      <c r="G906" s="117" t="str">
        <f t="shared" si="87"/>
        <v>0</v>
      </c>
      <c r="H906" s="118" t="str">
        <f t="shared" si="88"/>
        <v/>
      </c>
      <c r="I906" s="116" t="str">
        <f>IF(AND(F906&lt;&gt;"",N10&gt;0,M906&gt;N10),"Mot &gt; limite","")</f>
        <v/>
      </c>
      <c r="M906" s="70">
        <f>IF(OR(F906="",N10="",N10&lt;=0),"",IF(LEN(F906)&lt;=N10,LEN(F906),IFERROR(FIND("♦",SUBSTITUTE(LEFT(F906,N10)," ","♦",LEN(LEFT(F906,N10))-LEN(SUBSTITUTE(LEFT(F906,N10)," ","")))),FIND(" ",F906&amp;" ",N10+1)-1)))</f>
        <v>1</v>
      </c>
      <c r="N906" s="119">
        <f t="shared" si="89"/>
        <v>889</v>
      </c>
      <c r="O906" s="99" t="str">
        <f t="shared" si="90"/>
        <v>0</v>
      </c>
      <c r="P906" s="119">
        <f t="shared" si="91"/>
        <v>1</v>
      </c>
      <c r="Q906" s="119">
        <f t="shared" si="92"/>
        <v>1</v>
      </c>
      <c r="S906" s="3">
        <v>1</v>
      </c>
    </row>
    <row r="907" spans="2:19">
      <c r="B907" s="116"/>
      <c r="C907" s="116"/>
      <c r="D907" s="116"/>
      <c r="E907" s="116" cm="1">
        <f t="array" ref="E907">IF(H906&lt;&gt;"",E906,IF(E906="","",IFERROR(MATCH(TRUE(),INDEX(INDEX(K:K,E906+1):K203&lt;&gt;"",0),0)+E906,"")))</f>
        <v>1048</v>
      </c>
      <c r="F907" s="117" cm="1">
        <f t="array" ref="F907">IF(E907="","",IF(H906&lt;&gt;"",H906,INDEX(D:D,E907)))</f>
        <v>0</v>
      </c>
      <c r="G907" s="117" t="str">
        <f t="shared" si="87"/>
        <v>0</v>
      </c>
      <c r="H907" s="118" t="str">
        <f t="shared" si="88"/>
        <v/>
      </c>
      <c r="I907" s="116" t="str">
        <f>IF(AND(F907&lt;&gt;"",N10&gt;0,M907&gt;N10),"Mot &gt; limite","")</f>
        <v/>
      </c>
      <c r="M907" s="70">
        <f>IF(OR(F907="",N10="",N10&lt;=0),"",IF(LEN(F907)&lt;=N10,LEN(F907),IFERROR(FIND("♦",SUBSTITUTE(LEFT(F907,N10)," ","♦",LEN(LEFT(F907,N10))-LEN(SUBSTITUTE(LEFT(F907,N10)," ","")))),FIND(" ",F907&amp;" ",N10+1)-1)))</f>
        <v>1</v>
      </c>
      <c r="N907" s="119">
        <f t="shared" si="89"/>
        <v>890</v>
      </c>
      <c r="O907" s="99" t="str">
        <f t="shared" si="90"/>
        <v>0</v>
      </c>
      <c r="P907" s="119">
        <f t="shared" si="91"/>
        <v>1</v>
      </c>
      <c r="Q907" s="119">
        <f t="shared" si="92"/>
        <v>1</v>
      </c>
      <c r="S907" s="3">
        <v>1</v>
      </c>
    </row>
    <row r="908" spans="2:19">
      <c r="B908" s="116"/>
      <c r="C908" s="116"/>
      <c r="D908" s="116"/>
      <c r="E908" s="116" cm="1">
        <f t="array" ref="E908">IF(H907&lt;&gt;"",E907,IF(E907="","",IFERROR(MATCH(TRUE(),INDEX(INDEX(K:K,E907+1):K203&lt;&gt;"",0),0)+E907,"")))</f>
        <v>1049</v>
      </c>
      <c r="F908" s="117" cm="1">
        <f t="array" ref="F908">IF(E908="","",IF(H907&lt;&gt;"",H907,INDEX(D:D,E908)))</f>
        <v>0</v>
      </c>
      <c r="G908" s="117" t="str">
        <f t="shared" si="87"/>
        <v>0</v>
      </c>
      <c r="H908" s="118" t="str">
        <f t="shared" si="88"/>
        <v/>
      </c>
      <c r="I908" s="116" t="str">
        <f>IF(AND(F908&lt;&gt;"",N10&gt;0,M908&gt;N10),"Mot &gt; limite","")</f>
        <v/>
      </c>
      <c r="M908" s="70">
        <f>IF(OR(F908="",N10="",N10&lt;=0),"",IF(LEN(F908)&lt;=N10,LEN(F908),IFERROR(FIND("♦",SUBSTITUTE(LEFT(F908,N10)," ","♦",LEN(LEFT(F908,N10))-LEN(SUBSTITUTE(LEFT(F908,N10)," ","")))),FIND(" ",F908&amp;" ",N10+1)-1)))</f>
        <v>1</v>
      </c>
      <c r="N908" s="119">
        <f t="shared" si="89"/>
        <v>891</v>
      </c>
      <c r="O908" s="99" t="str">
        <f t="shared" si="90"/>
        <v>0</v>
      </c>
      <c r="P908" s="119">
        <f t="shared" si="91"/>
        <v>1</v>
      </c>
      <c r="Q908" s="119">
        <f t="shared" si="92"/>
        <v>1</v>
      </c>
      <c r="S908" s="3">
        <v>1</v>
      </c>
    </row>
    <row r="909" spans="2:19">
      <c r="B909" s="116"/>
      <c r="C909" s="116"/>
      <c r="D909" s="116"/>
      <c r="E909" s="116" cm="1">
        <f t="array" ref="E909">IF(H908&lt;&gt;"",E908,IF(E908="","",IFERROR(MATCH(TRUE(),INDEX(INDEX(K:K,E908+1):K203&lt;&gt;"",0),0)+E908,"")))</f>
        <v>1050</v>
      </c>
      <c r="F909" s="117" cm="1">
        <f t="array" ref="F909">IF(E909="","",IF(H908&lt;&gt;"",H908,INDEX(D:D,E909)))</f>
        <v>0</v>
      </c>
      <c r="G909" s="117" t="str">
        <f t="shared" si="87"/>
        <v>0</v>
      </c>
      <c r="H909" s="118" t="str">
        <f t="shared" si="88"/>
        <v/>
      </c>
      <c r="I909" s="116" t="str">
        <f>IF(AND(F909&lt;&gt;"",N10&gt;0,M909&gt;N10),"Mot &gt; limite","")</f>
        <v/>
      </c>
      <c r="M909" s="70">
        <f>IF(OR(F909="",N10="",N10&lt;=0),"",IF(LEN(F909)&lt;=N10,LEN(F909),IFERROR(FIND("♦",SUBSTITUTE(LEFT(F909,N10)," ","♦",LEN(LEFT(F909,N10))-LEN(SUBSTITUTE(LEFT(F909,N10)," ","")))),FIND(" ",F909&amp;" ",N10+1)-1)))</f>
        <v>1</v>
      </c>
      <c r="N909" s="119">
        <f t="shared" si="89"/>
        <v>892</v>
      </c>
      <c r="O909" s="99" t="str">
        <f t="shared" si="90"/>
        <v>0</v>
      </c>
      <c r="P909" s="119">
        <f t="shared" si="91"/>
        <v>1</v>
      </c>
      <c r="Q909" s="119">
        <f t="shared" si="92"/>
        <v>1</v>
      </c>
      <c r="S909" s="3">
        <v>1</v>
      </c>
    </row>
    <row r="910" spans="2:19">
      <c r="B910" s="116"/>
      <c r="C910" s="116"/>
      <c r="D910" s="116"/>
      <c r="E910" s="116" cm="1">
        <f t="array" ref="E910">IF(H909&lt;&gt;"",E909,IF(E909="","",IFERROR(MATCH(TRUE(),INDEX(INDEX(K:K,E909+1):K203&lt;&gt;"",0),0)+E909,"")))</f>
        <v>1051</v>
      </c>
      <c r="F910" s="117" cm="1">
        <f t="array" ref="F910">IF(E910="","",IF(H909&lt;&gt;"",H909,INDEX(D:D,E910)))</f>
        <v>0</v>
      </c>
      <c r="G910" s="117" t="str">
        <f t="shared" si="87"/>
        <v>0</v>
      </c>
      <c r="H910" s="118" t="str">
        <f t="shared" si="88"/>
        <v/>
      </c>
      <c r="I910" s="116" t="str">
        <f>IF(AND(F910&lt;&gt;"",N10&gt;0,M910&gt;N10),"Mot &gt; limite","")</f>
        <v/>
      </c>
      <c r="M910" s="70">
        <f>IF(OR(F910="",N10="",N10&lt;=0),"",IF(LEN(F910)&lt;=N10,LEN(F910),IFERROR(FIND("♦",SUBSTITUTE(LEFT(F910,N10)," ","♦",LEN(LEFT(F910,N10))-LEN(SUBSTITUTE(LEFT(F910,N10)," ","")))),FIND(" ",F910&amp;" ",N10+1)-1)))</f>
        <v>1</v>
      </c>
      <c r="N910" s="119">
        <f t="shared" si="89"/>
        <v>893</v>
      </c>
      <c r="O910" s="99" t="str">
        <f t="shared" si="90"/>
        <v>0</v>
      </c>
      <c r="P910" s="119">
        <f t="shared" si="91"/>
        <v>1</v>
      </c>
      <c r="Q910" s="119">
        <f t="shared" si="92"/>
        <v>1</v>
      </c>
      <c r="S910" s="3">
        <v>1</v>
      </c>
    </row>
    <row r="911" spans="2:19">
      <c r="B911" s="116"/>
      <c r="C911" s="116"/>
      <c r="D911" s="116"/>
      <c r="E911" s="116" cm="1">
        <f t="array" ref="E911">IF(H910&lt;&gt;"",E910,IF(E910="","",IFERROR(MATCH(TRUE(),INDEX(INDEX(K:K,E910+1):K203&lt;&gt;"",0),0)+E910,"")))</f>
        <v>1052</v>
      </c>
      <c r="F911" s="117" cm="1">
        <f t="array" ref="F911">IF(E911="","",IF(H910&lt;&gt;"",H910,INDEX(D:D,E911)))</f>
        <v>0</v>
      </c>
      <c r="G911" s="117" t="str">
        <f t="shared" si="87"/>
        <v>0</v>
      </c>
      <c r="H911" s="118" t="str">
        <f t="shared" si="88"/>
        <v/>
      </c>
      <c r="I911" s="116" t="str">
        <f>IF(AND(F911&lt;&gt;"",N10&gt;0,M911&gt;N10),"Mot &gt; limite","")</f>
        <v/>
      </c>
      <c r="M911" s="70">
        <f>IF(OR(F911="",N10="",N10&lt;=0),"",IF(LEN(F911)&lt;=N10,LEN(F911),IFERROR(FIND("♦",SUBSTITUTE(LEFT(F911,N10)," ","♦",LEN(LEFT(F911,N10))-LEN(SUBSTITUTE(LEFT(F911,N10)," ","")))),FIND(" ",F911&amp;" ",N10+1)-1)))</f>
        <v>1</v>
      </c>
      <c r="N911" s="119">
        <f t="shared" si="89"/>
        <v>894</v>
      </c>
      <c r="O911" s="99" t="str">
        <f t="shared" si="90"/>
        <v>0</v>
      </c>
      <c r="P911" s="119">
        <f t="shared" si="91"/>
        <v>1</v>
      </c>
      <c r="Q911" s="119">
        <f t="shared" si="92"/>
        <v>1</v>
      </c>
      <c r="S911" s="3">
        <v>1</v>
      </c>
    </row>
    <row r="912" spans="2:19">
      <c r="B912" s="116"/>
      <c r="C912" s="116"/>
      <c r="D912" s="116"/>
      <c r="E912" s="116" cm="1">
        <f t="array" ref="E912">IF(H911&lt;&gt;"",E911,IF(E911="","",IFERROR(MATCH(TRUE(),INDEX(INDEX(K:K,E911+1):K203&lt;&gt;"",0),0)+E911,"")))</f>
        <v>1053</v>
      </c>
      <c r="F912" s="117" cm="1">
        <f t="array" ref="F912">IF(E912="","",IF(H911&lt;&gt;"",H911,INDEX(D:D,E912)))</f>
        <v>0</v>
      </c>
      <c r="G912" s="117" t="str">
        <f t="shared" si="87"/>
        <v>0</v>
      </c>
      <c r="H912" s="118" t="str">
        <f t="shared" si="88"/>
        <v/>
      </c>
      <c r="I912" s="116" t="str">
        <f>IF(AND(F912&lt;&gt;"",N10&gt;0,M912&gt;N10),"Mot &gt; limite","")</f>
        <v/>
      </c>
      <c r="M912" s="70">
        <f>IF(OR(F912="",N10="",N10&lt;=0),"",IF(LEN(F912)&lt;=N10,LEN(F912),IFERROR(FIND("♦",SUBSTITUTE(LEFT(F912,N10)," ","♦",LEN(LEFT(F912,N10))-LEN(SUBSTITUTE(LEFT(F912,N10)," ","")))),FIND(" ",F912&amp;" ",N10+1)-1)))</f>
        <v>1</v>
      </c>
      <c r="N912" s="119">
        <f t="shared" si="89"/>
        <v>895</v>
      </c>
      <c r="O912" s="99" t="str">
        <f t="shared" si="90"/>
        <v>0</v>
      </c>
      <c r="P912" s="119">
        <f t="shared" si="91"/>
        <v>1</v>
      </c>
      <c r="Q912" s="119">
        <f t="shared" si="92"/>
        <v>1</v>
      </c>
      <c r="S912" s="3">
        <v>1</v>
      </c>
    </row>
    <row r="913" spans="2:19">
      <c r="B913" s="116"/>
      <c r="C913" s="116"/>
      <c r="D913" s="116"/>
      <c r="E913" s="116" cm="1">
        <f t="array" ref="E913">IF(H912&lt;&gt;"",E912,IF(E912="","",IFERROR(MATCH(TRUE(),INDEX(INDEX(K:K,E912+1):K203&lt;&gt;"",0),0)+E912,"")))</f>
        <v>1054</v>
      </c>
      <c r="F913" s="117" cm="1">
        <f t="array" ref="F913">IF(E913="","",IF(H912&lt;&gt;"",H912,INDEX(D:D,E913)))</f>
        <v>0</v>
      </c>
      <c r="G913" s="117" t="str">
        <f t="shared" si="87"/>
        <v>0</v>
      </c>
      <c r="H913" s="118" t="str">
        <f t="shared" si="88"/>
        <v/>
      </c>
      <c r="I913" s="116" t="str">
        <f>IF(AND(F913&lt;&gt;"",N10&gt;0,M913&gt;N10),"Mot &gt; limite","")</f>
        <v/>
      </c>
      <c r="M913" s="70">
        <f>IF(OR(F913="",N10="",N10&lt;=0),"",IF(LEN(F913)&lt;=N10,LEN(F913),IFERROR(FIND("♦",SUBSTITUTE(LEFT(F913,N10)," ","♦",LEN(LEFT(F913,N10))-LEN(SUBSTITUTE(LEFT(F913,N10)," ","")))),FIND(" ",F913&amp;" ",N10+1)-1)))</f>
        <v>1</v>
      </c>
      <c r="N913" s="119">
        <f t="shared" si="89"/>
        <v>896</v>
      </c>
      <c r="O913" s="99" t="str">
        <f t="shared" si="90"/>
        <v>0</v>
      </c>
      <c r="P913" s="119">
        <f t="shared" si="91"/>
        <v>1</v>
      </c>
      <c r="Q913" s="119">
        <f t="shared" si="92"/>
        <v>1</v>
      </c>
      <c r="S913" s="3">
        <v>1</v>
      </c>
    </row>
    <row r="914" spans="2:19">
      <c r="B914" s="116"/>
      <c r="C914" s="116"/>
      <c r="D914" s="116"/>
      <c r="E914" s="116" cm="1">
        <f t="array" ref="E914">IF(H913&lt;&gt;"",E913,IF(E913="","",IFERROR(MATCH(TRUE(),INDEX(INDEX(K:K,E913+1):K203&lt;&gt;"",0),0)+E913,"")))</f>
        <v>1055</v>
      </c>
      <c r="F914" s="117" cm="1">
        <f t="array" ref="F914">IF(E914="","",IF(H913&lt;&gt;"",H913,INDEX(D:D,E914)))</f>
        <v>0</v>
      </c>
      <c r="G914" s="117" t="str">
        <f t="shared" ref="G914:G977" si="93">IF(OR(F914="",M914=""),"",LEFT(F914,M914))</f>
        <v>0</v>
      </c>
      <c r="H914" s="118" t="str">
        <f t="shared" ref="H914:H977" si="94">IF(OR(F914="",M914=""),"",TRIM(MID(F914,M914+1,99999)))</f>
        <v/>
      </c>
      <c r="I914" s="116" t="str">
        <f>IF(AND(F914&lt;&gt;"",N10&gt;0,M914&gt;N10),"Mot &gt; limite","")</f>
        <v/>
      </c>
      <c r="M914" s="70">
        <f>IF(OR(F914="",N10="",N10&lt;=0),"",IF(LEN(F914)&lt;=N10,LEN(F914),IFERROR(FIND("♦",SUBSTITUTE(LEFT(F914,N10)," ","♦",LEN(LEFT(F914,N10))-LEN(SUBSTITUTE(LEFT(F914,N10)," ","")))),FIND(" ",F914&amp;" ",N10+1)-1)))</f>
        <v>1</v>
      </c>
      <c r="N914" s="119">
        <f t="shared" ref="N914:N977" si="95">IF(O914="","",ROW()-17)</f>
        <v>897</v>
      </c>
      <c r="O914" s="99" t="str">
        <f t="shared" ref="O914:O977" si="96">G914</f>
        <v>0</v>
      </c>
      <c r="P914" s="119">
        <f t="shared" ref="P914:P977" si="97">IF(O914="","",LEN(TRIM(O914))-LEN(SUBSTITUTE(TRIM(O914)," ",""))+1)</f>
        <v>1</v>
      </c>
      <c r="Q914" s="119">
        <f t="shared" ref="Q914:Q977" si="98">IF(O914="","",LEN(O914))</f>
        <v>1</v>
      </c>
      <c r="S914" s="3">
        <v>1</v>
      </c>
    </row>
    <row r="915" spans="2:19">
      <c r="B915" s="116"/>
      <c r="C915" s="116"/>
      <c r="D915" s="116"/>
      <c r="E915" s="116" cm="1">
        <f t="array" ref="E915">IF(H914&lt;&gt;"",E914,IF(E914="","",IFERROR(MATCH(TRUE(),INDEX(INDEX(K:K,E914+1):K203&lt;&gt;"",0),0)+E914,"")))</f>
        <v>1056</v>
      </c>
      <c r="F915" s="117" cm="1">
        <f t="array" ref="F915">IF(E915="","",IF(H914&lt;&gt;"",H914,INDEX(D:D,E915)))</f>
        <v>0</v>
      </c>
      <c r="G915" s="117" t="str">
        <f t="shared" si="93"/>
        <v>0</v>
      </c>
      <c r="H915" s="118" t="str">
        <f t="shared" si="94"/>
        <v/>
      </c>
      <c r="I915" s="116" t="str">
        <f>IF(AND(F915&lt;&gt;"",N10&gt;0,M915&gt;N10),"Mot &gt; limite","")</f>
        <v/>
      </c>
      <c r="M915" s="70">
        <f>IF(OR(F915="",N10="",N10&lt;=0),"",IF(LEN(F915)&lt;=N10,LEN(F915),IFERROR(FIND("♦",SUBSTITUTE(LEFT(F915,N10)," ","♦",LEN(LEFT(F915,N10))-LEN(SUBSTITUTE(LEFT(F915,N10)," ","")))),FIND(" ",F915&amp;" ",N10+1)-1)))</f>
        <v>1</v>
      </c>
      <c r="N915" s="119">
        <f t="shared" si="95"/>
        <v>898</v>
      </c>
      <c r="O915" s="99" t="str">
        <f t="shared" si="96"/>
        <v>0</v>
      </c>
      <c r="P915" s="119">
        <f t="shared" si="97"/>
        <v>1</v>
      </c>
      <c r="Q915" s="119">
        <f t="shared" si="98"/>
        <v>1</v>
      </c>
      <c r="S915" s="3">
        <v>1</v>
      </c>
    </row>
    <row r="916" spans="2:19">
      <c r="B916" s="116"/>
      <c r="C916" s="116"/>
      <c r="D916" s="116"/>
      <c r="E916" s="116" cm="1">
        <f t="array" ref="E916">IF(H915&lt;&gt;"",E915,IF(E915="","",IFERROR(MATCH(TRUE(),INDEX(INDEX(K:K,E915+1):K203&lt;&gt;"",0),0)+E915,"")))</f>
        <v>1057</v>
      </c>
      <c r="F916" s="117" cm="1">
        <f t="array" ref="F916">IF(E916="","",IF(H915&lt;&gt;"",H915,INDEX(D:D,E916)))</f>
        <v>0</v>
      </c>
      <c r="G916" s="117" t="str">
        <f t="shared" si="93"/>
        <v>0</v>
      </c>
      <c r="H916" s="118" t="str">
        <f t="shared" si="94"/>
        <v/>
      </c>
      <c r="I916" s="116" t="str">
        <f>IF(AND(F916&lt;&gt;"",N10&gt;0,M916&gt;N10),"Mot &gt; limite","")</f>
        <v/>
      </c>
      <c r="M916" s="70">
        <f>IF(OR(F916="",N10="",N10&lt;=0),"",IF(LEN(F916)&lt;=N10,LEN(F916),IFERROR(FIND("♦",SUBSTITUTE(LEFT(F916,N10)," ","♦",LEN(LEFT(F916,N10))-LEN(SUBSTITUTE(LEFT(F916,N10)," ","")))),FIND(" ",F916&amp;" ",N10+1)-1)))</f>
        <v>1</v>
      </c>
      <c r="N916" s="119">
        <f t="shared" si="95"/>
        <v>899</v>
      </c>
      <c r="O916" s="99" t="str">
        <f t="shared" si="96"/>
        <v>0</v>
      </c>
      <c r="P916" s="119">
        <f t="shared" si="97"/>
        <v>1</v>
      </c>
      <c r="Q916" s="119">
        <f t="shared" si="98"/>
        <v>1</v>
      </c>
      <c r="S916" s="3">
        <v>1</v>
      </c>
    </row>
    <row r="917" spans="2:19">
      <c r="B917" s="116"/>
      <c r="C917" s="116"/>
      <c r="D917" s="116"/>
      <c r="E917" s="116" cm="1">
        <f t="array" ref="E917">IF(H916&lt;&gt;"",E916,IF(E916="","",IFERROR(MATCH(TRUE(),INDEX(INDEX(K:K,E916+1):K203&lt;&gt;"",0),0)+E916,"")))</f>
        <v>1058</v>
      </c>
      <c r="F917" s="117" cm="1">
        <f t="array" ref="F917">IF(E917="","",IF(H916&lt;&gt;"",H916,INDEX(D:D,E917)))</f>
        <v>0</v>
      </c>
      <c r="G917" s="117" t="str">
        <f t="shared" si="93"/>
        <v>0</v>
      </c>
      <c r="H917" s="118" t="str">
        <f t="shared" si="94"/>
        <v/>
      </c>
      <c r="I917" s="116" t="str">
        <f>IF(AND(F917&lt;&gt;"",N10&gt;0,M917&gt;N10),"Mot &gt; limite","")</f>
        <v/>
      </c>
      <c r="M917" s="70">
        <f>IF(OR(F917="",N10="",N10&lt;=0),"",IF(LEN(F917)&lt;=N10,LEN(F917),IFERROR(FIND("♦",SUBSTITUTE(LEFT(F917,N10)," ","♦",LEN(LEFT(F917,N10))-LEN(SUBSTITUTE(LEFT(F917,N10)," ","")))),FIND(" ",F917&amp;" ",N10+1)-1)))</f>
        <v>1</v>
      </c>
      <c r="N917" s="119">
        <f t="shared" si="95"/>
        <v>900</v>
      </c>
      <c r="O917" s="99" t="str">
        <f t="shared" si="96"/>
        <v>0</v>
      </c>
      <c r="P917" s="119">
        <f t="shared" si="97"/>
        <v>1</v>
      </c>
      <c r="Q917" s="119">
        <f t="shared" si="98"/>
        <v>1</v>
      </c>
      <c r="S917" s="3">
        <v>1</v>
      </c>
    </row>
    <row r="918" spans="2:19">
      <c r="B918" s="116"/>
      <c r="C918" s="116"/>
      <c r="D918" s="116"/>
      <c r="E918" s="116" cm="1">
        <f t="array" ref="E918">IF(H917&lt;&gt;"",E917,IF(E917="","",IFERROR(MATCH(TRUE(),INDEX(INDEX(K:K,E917+1):K203&lt;&gt;"",0),0)+E917,"")))</f>
        <v>1059</v>
      </c>
      <c r="F918" s="117" cm="1">
        <f t="array" ref="F918">IF(E918="","",IF(H917&lt;&gt;"",H917,INDEX(D:D,E918)))</f>
        <v>0</v>
      </c>
      <c r="G918" s="117" t="str">
        <f t="shared" si="93"/>
        <v>0</v>
      </c>
      <c r="H918" s="118" t="str">
        <f t="shared" si="94"/>
        <v/>
      </c>
      <c r="I918" s="116" t="str">
        <f>IF(AND(F918&lt;&gt;"",N10&gt;0,M918&gt;N10),"Mot &gt; limite","")</f>
        <v/>
      </c>
      <c r="M918" s="70">
        <f>IF(OR(F918="",N10="",N10&lt;=0),"",IF(LEN(F918)&lt;=N10,LEN(F918),IFERROR(FIND("♦",SUBSTITUTE(LEFT(F918,N10)," ","♦",LEN(LEFT(F918,N10))-LEN(SUBSTITUTE(LEFT(F918,N10)," ","")))),FIND(" ",F918&amp;" ",N10+1)-1)))</f>
        <v>1</v>
      </c>
      <c r="N918" s="119">
        <f t="shared" si="95"/>
        <v>901</v>
      </c>
      <c r="O918" s="99" t="str">
        <f t="shared" si="96"/>
        <v>0</v>
      </c>
      <c r="P918" s="119">
        <f t="shared" si="97"/>
        <v>1</v>
      </c>
      <c r="Q918" s="119">
        <f t="shared" si="98"/>
        <v>1</v>
      </c>
      <c r="S918" s="3">
        <v>1</v>
      </c>
    </row>
    <row r="919" spans="2:19">
      <c r="B919" s="116"/>
      <c r="C919" s="116"/>
      <c r="D919" s="116"/>
      <c r="E919" s="116" cm="1">
        <f t="array" ref="E919">IF(H918&lt;&gt;"",E918,IF(E918="","",IFERROR(MATCH(TRUE(),INDEX(INDEX(K:K,E918+1):K203&lt;&gt;"",0),0)+E918,"")))</f>
        <v>1060</v>
      </c>
      <c r="F919" s="117" cm="1">
        <f t="array" ref="F919">IF(E919="","",IF(H918&lt;&gt;"",H918,INDEX(D:D,E919)))</f>
        <v>0</v>
      </c>
      <c r="G919" s="117" t="str">
        <f t="shared" si="93"/>
        <v>0</v>
      </c>
      <c r="H919" s="118" t="str">
        <f t="shared" si="94"/>
        <v/>
      </c>
      <c r="I919" s="116" t="str">
        <f>IF(AND(F919&lt;&gt;"",N10&gt;0,M919&gt;N10),"Mot &gt; limite","")</f>
        <v/>
      </c>
      <c r="M919" s="70">
        <f>IF(OR(F919="",N10="",N10&lt;=0),"",IF(LEN(F919)&lt;=N10,LEN(F919),IFERROR(FIND("♦",SUBSTITUTE(LEFT(F919,N10)," ","♦",LEN(LEFT(F919,N10))-LEN(SUBSTITUTE(LEFT(F919,N10)," ","")))),FIND(" ",F919&amp;" ",N10+1)-1)))</f>
        <v>1</v>
      </c>
      <c r="N919" s="119">
        <f t="shared" si="95"/>
        <v>902</v>
      </c>
      <c r="O919" s="99" t="str">
        <f t="shared" si="96"/>
        <v>0</v>
      </c>
      <c r="P919" s="119">
        <f t="shared" si="97"/>
        <v>1</v>
      </c>
      <c r="Q919" s="119">
        <f t="shared" si="98"/>
        <v>1</v>
      </c>
      <c r="S919" s="3">
        <v>1</v>
      </c>
    </row>
    <row r="920" spans="2:19">
      <c r="B920" s="116"/>
      <c r="C920" s="116"/>
      <c r="D920" s="116"/>
      <c r="E920" s="116" cm="1">
        <f t="array" ref="E920">IF(H919&lt;&gt;"",E919,IF(E919="","",IFERROR(MATCH(TRUE(),INDEX(INDEX(K:K,E919+1):K203&lt;&gt;"",0),0)+E919,"")))</f>
        <v>1061</v>
      </c>
      <c r="F920" s="117" cm="1">
        <f t="array" ref="F920">IF(E920="","",IF(H919&lt;&gt;"",H919,INDEX(D:D,E920)))</f>
        <v>0</v>
      </c>
      <c r="G920" s="117" t="str">
        <f t="shared" si="93"/>
        <v>0</v>
      </c>
      <c r="H920" s="118" t="str">
        <f t="shared" si="94"/>
        <v/>
      </c>
      <c r="I920" s="116" t="str">
        <f>IF(AND(F920&lt;&gt;"",N10&gt;0,M920&gt;N10),"Mot &gt; limite","")</f>
        <v/>
      </c>
      <c r="M920" s="70">
        <f>IF(OR(F920="",N10="",N10&lt;=0),"",IF(LEN(F920)&lt;=N10,LEN(F920),IFERROR(FIND("♦",SUBSTITUTE(LEFT(F920,N10)," ","♦",LEN(LEFT(F920,N10))-LEN(SUBSTITUTE(LEFT(F920,N10)," ","")))),FIND(" ",F920&amp;" ",N10+1)-1)))</f>
        <v>1</v>
      </c>
      <c r="N920" s="119">
        <f t="shared" si="95"/>
        <v>903</v>
      </c>
      <c r="O920" s="99" t="str">
        <f t="shared" si="96"/>
        <v>0</v>
      </c>
      <c r="P920" s="119">
        <f t="shared" si="97"/>
        <v>1</v>
      </c>
      <c r="Q920" s="119">
        <f t="shared" si="98"/>
        <v>1</v>
      </c>
      <c r="S920" s="3">
        <v>1</v>
      </c>
    </row>
    <row r="921" spans="2:19">
      <c r="B921" s="116"/>
      <c r="C921" s="116"/>
      <c r="D921" s="116"/>
      <c r="E921" s="116" cm="1">
        <f t="array" ref="E921">IF(H920&lt;&gt;"",E920,IF(E920="","",IFERROR(MATCH(TRUE(),INDEX(INDEX(K:K,E920+1):K203&lt;&gt;"",0),0)+E920,"")))</f>
        <v>1062</v>
      </c>
      <c r="F921" s="117" cm="1">
        <f t="array" ref="F921">IF(E921="","",IF(H920&lt;&gt;"",H920,INDEX(D:D,E921)))</f>
        <v>0</v>
      </c>
      <c r="G921" s="117" t="str">
        <f t="shared" si="93"/>
        <v>0</v>
      </c>
      <c r="H921" s="118" t="str">
        <f t="shared" si="94"/>
        <v/>
      </c>
      <c r="I921" s="116" t="str">
        <f>IF(AND(F921&lt;&gt;"",N10&gt;0,M921&gt;N10),"Mot &gt; limite","")</f>
        <v/>
      </c>
      <c r="M921" s="70">
        <f>IF(OR(F921="",N10="",N10&lt;=0),"",IF(LEN(F921)&lt;=N10,LEN(F921),IFERROR(FIND("♦",SUBSTITUTE(LEFT(F921,N10)," ","♦",LEN(LEFT(F921,N10))-LEN(SUBSTITUTE(LEFT(F921,N10)," ","")))),FIND(" ",F921&amp;" ",N10+1)-1)))</f>
        <v>1</v>
      </c>
      <c r="N921" s="119">
        <f t="shared" si="95"/>
        <v>904</v>
      </c>
      <c r="O921" s="99" t="str">
        <f t="shared" si="96"/>
        <v>0</v>
      </c>
      <c r="P921" s="119">
        <f t="shared" si="97"/>
        <v>1</v>
      </c>
      <c r="Q921" s="119">
        <f t="shared" si="98"/>
        <v>1</v>
      </c>
      <c r="S921" s="3">
        <v>1</v>
      </c>
    </row>
    <row r="922" spans="2:19">
      <c r="B922" s="116"/>
      <c r="C922" s="116"/>
      <c r="D922" s="116"/>
      <c r="E922" s="116" cm="1">
        <f t="array" ref="E922">IF(H921&lt;&gt;"",E921,IF(E921="","",IFERROR(MATCH(TRUE(),INDEX(INDEX(K:K,E921+1):K203&lt;&gt;"",0),0)+E921,"")))</f>
        <v>1063</v>
      </c>
      <c r="F922" s="117" cm="1">
        <f t="array" ref="F922">IF(E922="","",IF(H921&lt;&gt;"",H921,INDEX(D:D,E922)))</f>
        <v>0</v>
      </c>
      <c r="G922" s="117" t="str">
        <f t="shared" si="93"/>
        <v>0</v>
      </c>
      <c r="H922" s="118" t="str">
        <f t="shared" si="94"/>
        <v/>
      </c>
      <c r="I922" s="116" t="str">
        <f>IF(AND(F922&lt;&gt;"",N10&gt;0,M922&gt;N10),"Mot &gt; limite","")</f>
        <v/>
      </c>
      <c r="M922" s="70">
        <f>IF(OR(F922="",N10="",N10&lt;=0),"",IF(LEN(F922)&lt;=N10,LEN(F922),IFERROR(FIND("♦",SUBSTITUTE(LEFT(F922,N10)," ","♦",LEN(LEFT(F922,N10))-LEN(SUBSTITUTE(LEFT(F922,N10)," ","")))),FIND(" ",F922&amp;" ",N10+1)-1)))</f>
        <v>1</v>
      </c>
      <c r="N922" s="119">
        <f t="shared" si="95"/>
        <v>905</v>
      </c>
      <c r="O922" s="99" t="str">
        <f t="shared" si="96"/>
        <v>0</v>
      </c>
      <c r="P922" s="119">
        <f t="shared" si="97"/>
        <v>1</v>
      </c>
      <c r="Q922" s="119">
        <f t="shared" si="98"/>
        <v>1</v>
      </c>
      <c r="S922" s="3">
        <v>1</v>
      </c>
    </row>
    <row r="923" spans="2:19">
      <c r="B923" s="116"/>
      <c r="C923" s="116"/>
      <c r="D923" s="116"/>
      <c r="E923" s="116" cm="1">
        <f t="array" ref="E923">IF(H922&lt;&gt;"",E922,IF(E922="","",IFERROR(MATCH(TRUE(),INDEX(INDEX(K:K,E922+1):K203&lt;&gt;"",0),0)+E922,"")))</f>
        <v>1064</v>
      </c>
      <c r="F923" s="117" cm="1">
        <f t="array" ref="F923">IF(E923="","",IF(H922&lt;&gt;"",H922,INDEX(D:D,E923)))</f>
        <v>0</v>
      </c>
      <c r="G923" s="117" t="str">
        <f t="shared" si="93"/>
        <v>0</v>
      </c>
      <c r="H923" s="118" t="str">
        <f t="shared" si="94"/>
        <v/>
      </c>
      <c r="I923" s="116" t="str">
        <f>IF(AND(F923&lt;&gt;"",N10&gt;0,M923&gt;N10),"Mot &gt; limite","")</f>
        <v/>
      </c>
      <c r="M923" s="70">
        <f>IF(OR(F923="",N10="",N10&lt;=0),"",IF(LEN(F923)&lt;=N10,LEN(F923),IFERROR(FIND("♦",SUBSTITUTE(LEFT(F923,N10)," ","♦",LEN(LEFT(F923,N10))-LEN(SUBSTITUTE(LEFT(F923,N10)," ","")))),FIND(" ",F923&amp;" ",N10+1)-1)))</f>
        <v>1</v>
      </c>
      <c r="N923" s="119">
        <f t="shared" si="95"/>
        <v>906</v>
      </c>
      <c r="O923" s="99" t="str">
        <f t="shared" si="96"/>
        <v>0</v>
      </c>
      <c r="P923" s="119">
        <f t="shared" si="97"/>
        <v>1</v>
      </c>
      <c r="Q923" s="119">
        <f t="shared" si="98"/>
        <v>1</v>
      </c>
      <c r="S923" s="3">
        <v>1</v>
      </c>
    </row>
    <row r="924" spans="2:19">
      <c r="B924" s="116"/>
      <c r="C924" s="116"/>
      <c r="D924" s="116"/>
      <c r="E924" s="116" cm="1">
        <f t="array" ref="E924">IF(H923&lt;&gt;"",E923,IF(E923="","",IFERROR(MATCH(TRUE(),INDEX(INDEX(K:K,E923+1):K203&lt;&gt;"",0),0)+E923,"")))</f>
        <v>1065</v>
      </c>
      <c r="F924" s="117" cm="1">
        <f t="array" ref="F924">IF(E924="","",IF(H923&lt;&gt;"",H923,INDEX(D:D,E924)))</f>
        <v>0</v>
      </c>
      <c r="G924" s="117" t="str">
        <f t="shared" si="93"/>
        <v>0</v>
      </c>
      <c r="H924" s="118" t="str">
        <f t="shared" si="94"/>
        <v/>
      </c>
      <c r="I924" s="116" t="str">
        <f>IF(AND(F924&lt;&gt;"",N10&gt;0,M924&gt;N10),"Mot &gt; limite","")</f>
        <v/>
      </c>
      <c r="M924" s="70">
        <f>IF(OR(F924="",N10="",N10&lt;=0),"",IF(LEN(F924)&lt;=N10,LEN(F924),IFERROR(FIND("♦",SUBSTITUTE(LEFT(F924,N10)," ","♦",LEN(LEFT(F924,N10))-LEN(SUBSTITUTE(LEFT(F924,N10)," ","")))),FIND(" ",F924&amp;" ",N10+1)-1)))</f>
        <v>1</v>
      </c>
      <c r="N924" s="119">
        <f t="shared" si="95"/>
        <v>907</v>
      </c>
      <c r="O924" s="99" t="str">
        <f t="shared" si="96"/>
        <v>0</v>
      </c>
      <c r="P924" s="119">
        <f t="shared" si="97"/>
        <v>1</v>
      </c>
      <c r="Q924" s="119">
        <f t="shared" si="98"/>
        <v>1</v>
      </c>
      <c r="S924" s="3">
        <v>1</v>
      </c>
    </row>
    <row r="925" spans="2:19">
      <c r="B925" s="116"/>
      <c r="C925" s="116"/>
      <c r="D925" s="116"/>
      <c r="E925" s="116" cm="1">
        <f t="array" ref="E925">IF(H924&lt;&gt;"",E924,IF(E924="","",IFERROR(MATCH(TRUE(),INDEX(INDEX(K:K,E924+1):K203&lt;&gt;"",0),0)+E924,"")))</f>
        <v>1066</v>
      </c>
      <c r="F925" s="117" cm="1">
        <f t="array" ref="F925">IF(E925="","",IF(H924&lt;&gt;"",H924,INDEX(D:D,E925)))</f>
        <v>0</v>
      </c>
      <c r="G925" s="117" t="str">
        <f t="shared" si="93"/>
        <v>0</v>
      </c>
      <c r="H925" s="118" t="str">
        <f t="shared" si="94"/>
        <v/>
      </c>
      <c r="I925" s="116" t="str">
        <f>IF(AND(F925&lt;&gt;"",N10&gt;0,M925&gt;N10),"Mot &gt; limite","")</f>
        <v/>
      </c>
      <c r="M925" s="70">
        <f>IF(OR(F925="",N10="",N10&lt;=0),"",IF(LEN(F925)&lt;=N10,LEN(F925),IFERROR(FIND("♦",SUBSTITUTE(LEFT(F925,N10)," ","♦",LEN(LEFT(F925,N10))-LEN(SUBSTITUTE(LEFT(F925,N10)," ","")))),FIND(" ",F925&amp;" ",N10+1)-1)))</f>
        <v>1</v>
      </c>
      <c r="N925" s="119">
        <f t="shared" si="95"/>
        <v>908</v>
      </c>
      <c r="O925" s="99" t="str">
        <f t="shared" si="96"/>
        <v>0</v>
      </c>
      <c r="P925" s="119">
        <f t="shared" si="97"/>
        <v>1</v>
      </c>
      <c r="Q925" s="119">
        <f t="shared" si="98"/>
        <v>1</v>
      </c>
      <c r="S925" s="3">
        <v>1</v>
      </c>
    </row>
    <row r="926" spans="2:19">
      <c r="B926" s="116"/>
      <c r="C926" s="116"/>
      <c r="D926" s="116"/>
      <c r="E926" s="116" cm="1">
        <f t="array" ref="E926">IF(H925&lt;&gt;"",E925,IF(E925="","",IFERROR(MATCH(TRUE(),INDEX(INDEX(K:K,E925+1):K203&lt;&gt;"",0),0)+E925,"")))</f>
        <v>1067</v>
      </c>
      <c r="F926" s="117" cm="1">
        <f t="array" ref="F926">IF(E926="","",IF(H925&lt;&gt;"",H925,INDEX(D:D,E926)))</f>
        <v>0</v>
      </c>
      <c r="G926" s="117" t="str">
        <f t="shared" si="93"/>
        <v>0</v>
      </c>
      <c r="H926" s="118" t="str">
        <f t="shared" si="94"/>
        <v/>
      </c>
      <c r="I926" s="116" t="str">
        <f>IF(AND(F926&lt;&gt;"",N10&gt;0,M926&gt;N10),"Mot &gt; limite","")</f>
        <v/>
      </c>
      <c r="M926" s="70">
        <f>IF(OR(F926="",N10="",N10&lt;=0),"",IF(LEN(F926)&lt;=N10,LEN(F926),IFERROR(FIND("♦",SUBSTITUTE(LEFT(F926,N10)," ","♦",LEN(LEFT(F926,N10))-LEN(SUBSTITUTE(LEFT(F926,N10)," ","")))),FIND(" ",F926&amp;" ",N10+1)-1)))</f>
        <v>1</v>
      </c>
      <c r="N926" s="119">
        <f t="shared" si="95"/>
        <v>909</v>
      </c>
      <c r="O926" s="99" t="str">
        <f t="shared" si="96"/>
        <v>0</v>
      </c>
      <c r="P926" s="119">
        <f t="shared" si="97"/>
        <v>1</v>
      </c>
      <c r="Q926" s="119">
        <f t="shared" si="98"/>
        <v>1</v>
      </c>
      <c r="S926" s="3">
        <v>1</v>
      </c>
    </row>
    <row r="927" spans="2:19">
      <c r="B927" s="116"/>
      <c r="C927" s="116"/>
      <c r="D927" s="116"/>
      <c r="E927" s="116" cm="1">
        <f t="array" ref="E927">IF(H926&lt;&gt;"",E926,IF(E926="","",IFERROR(MATCH(TRUE(),INDEX(INDEX(K:K,E926+1):K203&lt;&gt;"",0),0)+E926,"")))</f>
        <v>1068</v>
      </c>
      <c r="F927" s="117" cm="1">
        <f t="array" ref="F927">IF(E927="","",IF(H926&lt;&gt;"",H926,INDEX(D:D,E927)))</f>
        <v>0</v>
      </c>
      <c r="G927" s="117" t="str">
        <f t="shared" si="93"/>
        <v>0</v>
      </c>
      <c r="H927" s="118" t="str">
        <f t="shared" si="94"/>
        <v/>
      </c>
      <c r="I927" s="116" t="str">
        <f>IF(AND(F927&lt;&gt;"",N10&gt;0,M927&gt;N10),"Mot &gt; limite","")</f>
        <v/>
      </c>
      <c r="M927" s="70">
        <f>IF(OR(F927="",N10="",N10&lt;=0),"",IF(LEN(F927)&lt;=N10,LEN(F927),IFERROR(FIND("♦",SUBSTITUTE(LEFT(F927,N10)," ","♦",LEN(LEFT(F927,N10))-LEN(SUBSTITUTE(LEFT(F927,N10)," ","")))),FIND(" ",F927&amp;" ",N10+1)-1)))</f>
        <v>1</v>
      </c>
      <c r="N927" s="119">
        <f t="shared" si="95"/>
        <v>910</v>
      </c>
      <c r="O927" s="99" t="str">
        <f t="shared" si="96"/>
        <v>0</v>
      </c>
      <c r="P927" s="119">
        <f t="shared" si="97"/>
        <v>1</v>
      </c>
      <c r="Q927" s="119">
        <f t="shared" si="98"/>
        <v>1</v>
      </c>
      <c r="S927" s="3">
        <v>1</v>
      </c>
    </row>
    <row r="928" spans="2:19">
      <c r="B928" s="116"/>
      <c r="C928" s="116"/>
      <c r="D928" s="116"/>
      <c r="E928" s="116" cm="1">
        <f t="array" ref="E928">IF(H927&lt;&gt;"",E927,IF(E927="","",IFERROR(MATCH(TRUE(),INDEX(INDEX(K:K,E927+1):K203&lt;&gt;"",0),0)+E927,"")))</f>
        <v>1069</v>
      </c>
      <c r="F928" s="117" cm="1">
        <f t="array" ref="F928">IF(E928="","",IF(H927&lt;&gt;"",H927,INDEX(D:D,E928)))</f>
        <v>0</v>
      </c>
      <c r="G928" s="117" t="str">
        <f t="shared" si="93"/>
        <v>0</v>
      </c>
      <c r="H928" s="118" t="str">
        <f t="shared" si="94"/>
        <v/>
      </c>
      <c r="I928" s="116" t="str">
        <f>IF(AND(F928&lt;&gt;"",N10&gt;0,M928&gt;N10),"Mot &gt; limite","")</f>
        <v/>
      </c>
      <c r="M928" s="70">
        <f>IF(OR(F928="",N10="",N10&lt;=0),"",IF(LEN(F928)&lt;=N10,LEN(F928),IFERROR(FIND("♦",SUBSTITUTE(LEFT(F928,N10)," ","♦",LEN(LEFT(F928,N10))-LEN(SUBSTITUTE(LEFT(F928,N10)," ","")))),FIND(" ",F928&amp;" ",N10+1)-1)))</f>
        <v>1</v>
      </c>
      <c r="N928" s="119">
        <f t="shared" si="95"/>
        <v>911</v>
      </c>
      <c r="O928" s="99" t="str">
        <f t="shared" si="96"/>
        <v>0</v>
      </c>
      <c r="P928" s="119">
        <f t="shared" si="97"/>
        <v>1</v>
      </c>
      <c r="Q928" s="119">
        <f t="shared" si="98"/>
        <v>1</v>
      </c>
      <c r="S928" s="3">
        <v>1</v>
      </c>
    </row>
    <row r="929" spans="2:19">
      <c r="B929" s="116"/>
      <c r="C929" s="116"/>
      <c r="D929" s="116"/>
      <c r="E929" s="116" cm="1">
        <f t="array" ref="E929">IF(H928&lt;&gt;"",E928,IF(E928="","",IFERROR(MATCH(TRUE(),INDEX(INDEX(K:K,E928+1):K203&lt;&gt;"",0),0)+E928,"")))</f>
        <v>1070</v>
      </c>
      <c r="F929" s="117" cm="1">
        <f t="array" ref="F929">IF(E929="","",IF(H928&lt;&gt;"",H928,INDEX(D:D,E929)))</f>
        <v>0</v>
      </c>
      <c r="G929" s="117" t="str">
        <f t="shared" si="93"/>
        <v>0</v>
      </c>
      <c r="H929" s="118" t="str">
        <f t="shared" si="94"/>
        <v/>
      </c>
      <c r="I929" s="116" t="str">
        <f>IF(AND(F929&lt;&gt;"",N10&gt;0,M929&gt;N10),"Mot &gt; limite","")</f>
        <v/>
      </c>
      <c r="M929" s="70">
        <f>IF(OR(F929="",N10="",N10&lt;=0),"",IF(LEN(F929)&lt;=N10,LEN(F929),IFERROR(FIND("♦",SUBSTITUTE(LEFT(F929,N10)," ","♦",LEN(LEFT(F929,N10))-LEN(SUBSTITUTE(LEFT(F929,N10)," ","")))),FIND(" ",F929&amp;" ",N10+1)-1)))</f>
        <v>1</v>
      </c>
      <c r="N929" s="119">
        <f t="shared" si="95"/>
        <v>912</v>
      </c>
      <c r="O929" s="99" t="str">
        <f t="shared" si="96"/>
        <v>0</v>
      </c>
      <c r="P929" s="119">
        <f t="shared" si="97"/>
        <v>1</v>
      </c>
      <c r="Q929" s="119">
        <f t="shared" si="98"/>
        <v>1</v>
      </c>
      <c r="S929" s="3">
        <v>1</v>
      </c>
    </row>
    <row r="930" spans="2:19">
      <c r="B930" s="116"/>
      <c r="C930" s="116"/>
      <c r="D930" s="116"/>
      <c r="E930" s="116" cm="1">
        <f t="array" ref="E930">IF(H929&lt;&gt;"",E929,IF(E929="","",IFERROR(MATCH(TRUE(),INDEX(INDEX(K:K,E929+1):K203&lt;&gt;"",0),0)+E929,"")))</f>
        <v>1071</v>
      </c>
      <c r="F930" s="117" cm="1">
        <f t="array" ref="F930">IF(E930="","",IF(H929&lt;&gt;"",H929,INDEX(D:D,E930)))</f>
        <v>0</v>
      </c>
      <c r="G930" s="117" t="str">
        <f t="shared" si="93"/>
        <v>0</v>
      </c>
      <c r="H930" s="118" t="str">
        <f t="shared" si="94"/>
        <v/>
      </c>
      <c r="I930" s="116" t="str">
        <f>IF(AND(F930&lt;&gt;"",N10&gt;0,M930&gt;N10),"Mot &gt; limite","")</f>
        <v/>
      </c>
      <c r="M930" s="70">
        <f>IF(OR(F930="",N10="",N10&lt;=0),"",IF(LEN(F930)&lt;=N10,LEN(F930),IFERROR(FIND("♦",SUBSTITUTE(LEFT(F930,N10)," ","♦",LEN(LEFT(F930,N10))-LEN(SUBSTITUTE(LEFT(F930,N10)," ","")))),FIND(" ",F930&amp;" ",N10+1)-1)))</f>
        <v>1</v>
      </c>
      <c r="N930" s="119">
        <f t="shared" si="95"/>
        <v>913</v>
      </c>
      <c r="O930" s="99" t="str">
        <f t="shared" si="96"/>
        <v>0</v>
      </c>
      <c r="P930" s="119">
        <f t="shared" si="97"/>
        <v>1</v>
      </c>
      <c r="Q930" s="119">
        <f t="shared" si="98"/>
        <v>1</v>
      </c>
      <c r="S930" s="3">
        <v>1</v>
      </c>
    </row>
    <row r="931" spans="2:19">
      <c r="B931" s="116"/>
      <c r="C931" s="116"/>
      <c r="D931" s="116"/>
      <c r="E931" s="116" cm="1">
        <f t="array" ref="E931">IF(H930&lt;&gt;"",E930,IF(E930="","",IFERROR(MATCH(TRUE(),INDEX(INDEX(K:K,E930+1):K203&lt;&gt;"",0),0)+E930,"")))</f>
        <v>1072</v>
      </c>
      <c r="F931" s="117" cm="1">
        <f t="array" ref="F931">IF(E931="","",IF(H930&lt;&gt;"",H930,INDEX(D:D,E931)))</f>
        <v>0</v>
      </c>
      <c r="G931" s="117" t="str">
        <f t="shared" si="93"/>
        <v>0</v>
      </c>
      <c r="H931" s="118" t="str">
        <f t="shared" si="94"/>
        <v/>
      </c>
      <c r="I931" s="116" t="str">
        <f>IF(AND(F931&lt;&gt;"",N10&gt;0,M931&gt;N10),"Mot &gt; limite","")</f>
        <v/>
      </c>
      <c r="M931" s="70">
        <f>IF(OR(F931="",N10="",N10&lt;=0),"",IF(LEN(F931)&lt;=N10,LEN(F931),IFERROR(FIND("♦",SUBSTITUTE(LEFT(F931,N10)," ","♦",LEN(LEFT(F931,N10))-LEN(SUBSTITUTE(LEFT(F931,N10)," ","")))),FIND(" ",F931&amp;" ",N10+1)-1)))</f>
        <v>1</v>
      </c>
      <c r="N931" s="119">
        <f t="shared" si="95"/>
        <v>914</v>
      </c>
      <c r="O931" s="99" t="str">
        <f t="shared" si="96"/>
        <v>0</v>
      </c>
      <c r="P931" s="119">
        <f t="shared" si="97"/>
        <v>1</v>
      </c>
      <c r="Q931" s="119">
        <f t="shared" si="98"/>
        <v>1</v>
      </c>
      <c r="S931" s="3">
        <v>1</v>
      </c>
    </row>
    <row r="932" spans="2:19">
      <c r="B932" s="116"/>
      <c r="C932" s="116"/>
      <c r="D932" s="116"/>
      <c r="E932" s="116" cm="1">
        <f t="array" ref="E932">IF(H931&lt;&gt;"",E931,IF(E931="","",IFERROR(MATCH(TRUE(),INDEX(INDEX(K:K,E931+1):K203&lt;&gt;"",0),0)+E931,"")))</f>
        <v>1073</v>
      </c>
      <c r="F932" s="117" cm="1">
        <f t="array" ref="F932">IF(E932="","",IF(H931&lt;&gt;"",H931,INDEX(D:D,E932)))</f>
        <v>0</v>
      </c>
      <c r="G932" s="117" t="str">
        <f t="shared" si="93"/>
        <v>0</v>
      </c>
      <c r="H932" s="118" t="str">
        <f t="shared" si="94"/>
        <v/>
      </c>
      <c r="I932" s="116" t="str">
        <f>IF(AND(F932&lt;&gt;"",N10&gt;0,M932&gt;N10),"Mot &gt; limite","")</f>
        <v/>
      </c>
      <c r="M932" s="70">
        <f>IF(OR(F932="",N10="",N10&lt;=0),"",IF(LEN(F932)&lt;=N10,LEN(F932),IFERROR(FIND("♦",SUBSTITUTE(LEFT(F932,N10)," ","♦",LEN(LEFT(F932,N10))-LEN(SUBSTITUTE(LEFT(F932,N10)," ","")))),FIND(" ",F932&amp;" ",N10+1)-1)))</f>
        <v>1</v>
      </c>
      <c r="N932" s="119">
        <f t="shared" si="95"/>
        <v>915</v>
      </c>
      <c r="O932" s="99" t="str">
        <f t="shared" si="96"/>
        <v>0</v>
      </c>
      <c r="P932" s="119">
        <f t="shared" si="97"/>
        <v>1</v>
      </c>
      <c r="Q932" s="119">
        <f t="shared" si="98"/>
        <v>1</v>
      </c>
      <c r="S932" s="3">
        <v>1</v>
      </c>
    </row>
    <row r="933" spans="2:19">
      <c r="B933" s="116"/>
      <c r="C933" s="116"/>
      <c r="D933" s="116"/>
      <c r="E933" s="116" cm="1">
        <f t="array" ref="E933">IF(H932&lt;&gt;"",E932,IF(E932="","",IFERROR(MATCH(TRUE(),INDEX(INDEX(K:K,E932+1):K203&lt;&gt;"",0),0)+E932,"")))</f>
        <v>1074</v>
      </c>
      <c r="F933" s="117" cm="1">
        <f t="array" ref="F933">IF(E933="","",IF(H932&lt;&gt;"",H932,INDEX(D:D,E933)))</f>
        <v>0</v>
      </c>
      <c r="G933" s="117" t="str">
        <f t="shared" si="93"/>
        <v>0</v>
      </c>
      <c r="H933" s="118" t="str">
        <f t="shared" si="94"/>
        <v/>
      </c>
      <c r="I933" s="116" t="str">
        <f>IF(AND(F933&lt;&gt;"",N10&gt;0,M933&gt;N10),"Mot &gt; limite","")</f>
        <v/>
      </c>
      <c r="M933" s="70">
        <f>IF(OR(F933="",N10="",N10&lt;=0),"",IF(LEN(F933)&lt;=N10,LEN(F933),IFERROR(FIND("♦",SUBSTITUTE(LEFT(F933,N10)," ","♦",LEN(LEFT(F933,N10))-LEN(SUBSTITUTE(LEFT(F933,N10)," ","")))),FIND(" ",F933&amp;" ",N10+1)-1)))</f>
        <v>1</v>
      </c>
      <c r="N933" s="119">
        <f t="shared" si="95"/>
        <v>916</v>
      </c>
      <c r="O933" s="99" t="str">
        <f t="shared" si="96"/>
        <v>0</v>
      </c>
      <c r="P933" s="119">
        <f t="shared" si="97"/>
        <v>1</v>
      </c>
      <c r="Q933" s="119">
        <f t="shared" si="98"/>
        <v>1</v>
      </c>
      <c r="S933" s="3">
        <v>1</v>
      </c>
    </row>
    <row r="934" spans="2:19">
      <c r="B934" s="116"/>
      <c r="C934" s="116"/>
      <c r="D934" s="116"/>
      <c r="E934" s="116" cm="1">
        <f t="array" ref="E934">IF(H933&lt;&gt;"",E933,IF(E933="","",IFERROR(MATCH(TRUE(),INDEX(INDEX(K:K,E933+1):K203&lt;&gt;"",0),0)+E933,"")))</f>
        <v>1075</v>
      </c>
      <c r="F934" s="117" cm="1">
        <f t="array" ref="F934">IF(E934="","",IF(H933&lt;&gt;"",H933,INDEX(D:D,E934)))</f>
        <v>0</v>
      </c>
      <c r="G934" s="117" t="str">
        <f t="shared" si="93"/>
        <v>0</v>
      </c>
      <c r="H934" s="118" t="str">
        <f t="shared" si="94"/>
        <v/>
      </c>
      <c r="I934" s="116" t="str">
        <f>IF(AND(F934&lt;&gt;"",N10&gt;0,M934&gt;N10),"Mot &gt; limite","")</f>
        <v/>
      </c>
      <c r="M934" s="70">
        <f>IF(OR(F934="",N10="",N10&lt;=0),"",IF(LEN(F934)&lt;=N10,LEN(F934),IFERROR(FIND("♦",SUBSTITUTE(LEFT(F934,N10)," ","♦",LEN(LEFT(F934,N10))-LEN(SUBSTITUTE(LEFT(F934,N10)," ","")))),FIND(" ",F934&amp;" ",N10+1)-1)))</f>
        <v>1</v>
      </c>
      <c r="N934" s="119">
        <f t="shared" si="95"/>
        <v>917</v>
      </c>
      <c r="O934" s="99" t="str">
        <f t="shared" si="96"/>
        <v>0</v>
      </c>
      <c r="P934" s="119">
        <f t="shared" si="97"/>
        <v>1</v>
      </c>
      <c r="Q934" s="119">
        <f t="shared" si="98"/>
        <v>1</v>
      </c>
      <c r="S934" s="3">
        <v>1</v>
      </c>
    </row>
    <row r="935" spans="2:19">
      <c r="B935" s="116"/>
      <c r="C935" s="116"/>
      <c r="D935" s="116"/>
      <c r="E935" s="116" cm="1">
        <f t="array" ref="E935">IF(H934&lt;&gt;"",E934,IF(E934="","",IFERROR(MATCH(TRUE(),INDEX(INDEX(K:K,E934+1):K203&lt;&gt;"",0),0)+E934,"")))</f>
        <v>1076</v>
      </c>
      <c r="F935" s="117" cm="1">
        <f t="array" ref="F935">IF(E935="","",IF(H934&lt;&gt;"",H934,INDEX(D:D,E935)))</f>
        <v>0</v>
      </c>
      <c r="G935" s="117" t="str">
        <f t="shared" si="93"/>
        <v>0</v>
      </c>
      <c r="H935" s="118" t="str">
        <f t="shared" si="94"/>
        <v/>
      </c>
      <c r="I935" s="116" t="str">
        <f>IF(AND(F935&lt;&gt;"",N10&gt;0,M935&gt;N10),"Mot &gt; limite","")</f>
        <v/>
      </c>
      <c r="M935" s="70">
        <f>IF(OR(F935="",N10="",N10&lt;=0),"",IF(LEN(F935)&lt;=N10,LEN(F935),IFERROR(FIND("♦",SUBSTITUTE(LEFT(F935,N10)," ","♦",LEN(LEFT(F935,N10))-LEN(SUBSTITUTE(LEFT(F935,N10)," ","")))),FIND(" ",F935&amp;" ",N10+1)-1)))</f>
        <v>1</v>
      </c>
      <c r="N935" s="119">
        <f t="shared" si="95"/>
        <v>918</v>
      </c>
      <c r="O935" s="99" t="str">
        <f t="shared" si="96"/>
        <v>0</v>
      </c>
      <c r="P935" s="119">
        <f t="shared" si="97"/>
        <v>1</v>
      </c>
      <c r="Q935" s="119">
        <f t="shared" si="98"/>
        <v>1</v>
      </c>
      <c r="S935" s="3">
        <v>1</v>
      </c>
    </row>
    <row r="936" spans="2:19">
      <c r="B936" s="116"/>
      <c r="C936" s="116"/>
      <c r="D936" s="116"/>
      <c r="E936" s="116" cm="1">
        <f t="array" ref="E936">IF(H935&lt;&gt;"",E935,IF(E935="","",IFERROR(MATCH(TRUE(),INDEX(INDEX(K:K,E935+1):K203&lt;&gt;"",0),0)+E935,"")))</f>
        <v>1077</v>
      </c>
      <c r="F936" s="117" cm="1">
        <f t="array" ref="F936">IF(E936="","",IF(H935&lt;&gt;"",H935,INDEX(D:D,E936)))</f>
        <v>0</v>
      </c>
      <c r="G936" s="117" t="str">
        <f t="shared" si="93"/>
        <v>0</v>
      </c>
      <c r="H936" s="118" t="str">
        <f t="shared" si="94"/>
        <v/>
      </c>
      <c r="I936" s="116" t="str">
        <f>IF(AND(F936&lt;&gt;"",N10&gt;0,M936&gt;N10),"Mot &gt; limite","")</f>
        <v/>
      </c>
      <c r="M936" s="70">
        <f>IF(OR(F936="",N10="",N10&lt;=0),"",IF(LEN(F936)&lt;=N10,LEN(F936),IFERROR(FIND("♦",SUBSTITUTE(LEFT(F936,N10)," ","♦",LEN(LEFT(F936,N10))-LEN(SUBSTITUTE(LEFT(F936,N10)," ","")))),FIND(" ",F936&amp;" ",N10+1)-1)))</f>
        <v>1</v>
      </c>
      <c r="N936" s="119">
        <f t="shared" si="95"/>
        <v>919</v>
      </c>
      <c r="O936" s="99" t="str">
        <f t="shared" si="96"/>
        <v>0</v>
      </c>
      <c r="P936" s="119">
        <f t="shared" si="97"/>
        <v>1</v>
      </c>
      <c r="Q936" s="119">
        <f t="shared" si="98"/>
        <v>1</v>
      </c>
      <c r="S936" s="3">
        <v>1</v>
      </c>
    </row>
    <row r="937" spans="2:19">
      <c r="B937" s="116"/>
      <c r="C937" s="116"/>
      <c r="D937" s="116"/>
      <c r="E937" s="116" cm="1">
        <f t="array" ref="E937">IF(H936&lt;&gt;"",E936,IF(E936="","",IFERROR(MATCH(TRUE(),INDEX(INDEX(K:K,E936+1):K203&lt;&gt;"",0),0)+E936,"")))</f>
        <v>1078</v>
      </c>
      <c r="F937" s="117" cm="1">
        <f t="array" ref="F937">IF(E937="","",IF(H936&lt;&gt;"",H936,INDEX(D:D,E937)))</f>
        <v>0</v>
      </c>
      <c r="G937" s="117" t="str">
        <f t="shared" si="93"/>
        <v>0</v>
      </c>
      <c r="H937" s="118" t="str">
        <f t="shared" si="94"/>
        <v/>
      </c>
      <c r="I937" s="116" t="str">
        <f>IF(AND(F937&lt;&gt;"",N10&gt;0,M937&gt;N10),"Mot &gt; limite","")</f>
        <v/>
      </c>
      <c r="M937" s="70">
        <f>IF(OR(F937="",N10="",N10&lt;=0),"",IF(LEN(F937)&lt;=N10,LEN(F937),IFERROR(FIND("♦",SUBSTITUTE(LEFT(F937,N10)," ","♦",LEN(LEFT(F937,N10))-LEN(SUBSTITUTE(LEFT(F937,N10)," ","")))),FIND(" ",F937&amp;" ",N10+1)-1)))</f>
        <v>1</v>
      </c>
      <c r="N937" s="119">
        <f t="shared" si="95"/>
        <v>920</v>
      </c>
      <c r="O937" s="99" t="str">
        <f t="shared" si="96"/>
        <v>0</v>
      </c>
      <c r="P937" s="119">
        <f t="shared" si="97"/>
        <v>1</v>
      </c>
      <c r="Q937" s="119">
        <f t="shared" si="98"/>
        <v>1</v>
      </c>
      <c r="S937" s="3">
        <v>1</v>
      </c>
    </row>
    <row r="938" spans="2:19">
      <c r="B938" s="116"/>
      <c r="C938" s="116"/>
      <c r="D938" s="116"/>
      <c r="E938" s="116" cm="1">
        <f t="array" ref="E938">IF(H937&lt;&gt;"",E937,IF(E937="","",IFERROR(MATCH(TRUE(),INDEX(INDEX(K:K,E937+1):K203&lt;&gt;"",0),0)+E937,"")))</f>
        <v>1079</v>
      </c>
      <c r="F938" s="117" cm="1">
        <f t="array" ref="F938">IF(E938="","",IF(H937&lt;&gt;"",H937,INDEX(D:D,E938)))</f>
        <v>0</v>
      </c>
      <c r="G938" s="117" t="str">
        <f t="shared" si="93"/>
        <v>0</v>
      </c>
      <c r="H938" s="118" t="str">
        <f t="shared" si="94"/>
        <v/>
      </c>
      <c r="I938" s="116" t="str">
        <f>IF(AND(F938&lt;&gt;"",N10&gt;0,M938&gt;N10),"Mot &gt; limite","")</f>
        <v/>
      </c>
      <c r="M938" s="70">
        <f>IF(OR(F938="",N10="",N10&lt;=0),"",IF(LEN(F938)&lt;=N10,LEN(F938),IFERROR(FIND("♦",SUBSTITUTE(LEFT(F938,N10)," ","♦",LEN(LEFT(F938,N10))-LEN(SUBSTITUTE(LEFT(F938,N10)," ","")))),FIND(" ",F938&amp;" ",N10+1)-1)))</f>
        <v>1</v>
      </c>
      <c r="N938" s="119">
        <f t="shared" si="95"/>
        <v>921</v>
      </c>
      <c r="O938" s="99" t="str">
        <f t="shared" si="96"/>
        <v>0</v>
      </c>
      <c r="P938" s="119">
        <f t="shared" si="97"/>
        <v>1</v>
      </c>
      <c r="Q938" s="119">
        <f t="shared" si="98"/>
        <v>1</v>
      </c>
      <c r="S938" s="3">
        <v>1</v>
      </c>
    </row>
    <row r="939" spans="2:19">
      <c r="B939" s="116"/>
      <c r="C939" s="116"/>
      <c r="D939" s="116"/>
      <c r="E939" s="116" cm="1">
        <f t="array" ref="E939">IF(H938&lt;&gt;"",E938,IF(E938="","",IFERROR(MATCH(TRUE(),INDEX(INDEX(K:K,E938+1):K203&lt;&gt;"",0),0)+E938,"")))</f>
        <v>1080</v>
      </c>
      <c r="F939" s="117" cm="1">
        <f t="array" ref="F939">IF(E939="","",IF(H938&lt;&gt;"",H938,INDEX(D:D,E939)))</f>
        <v>0</v>
      </c>
      <c r="G939" s="117" t="str">
        <f t="shared" si="93"/>
        <v>0</v>
      </c>
      <c r="H939" s="118" t="str">
        <f t="shared" si="94"/>
        <v/>
      </c>
      <c r="I939" s="116" t="str">
        <f>IF(AND(F939&lt;&gt;"",N10&gt;0,M939&gt;N10),"Mot &gt; limite","")</f>
        <v/>
      </c>
      <c r="M939" s="70">
        <f>IF(OR(F939="",N10="",N10&lt;=0),"",IF(LEN(F939)&lt;=N10,LEN(F939),IFERROR(FIND("♦",SUBSTITUTE(LEFT(F939,N10)," ","♦",LEN(LEFT(F939,N10))-LEN(SUBSTITUTE(LEFT(F939,N10)," ","")))),FIND(" ",F939&amp;" ",N10+1)-1)))</f>
        <v>1</v>
      </c>
      <c r="N939" s="119">
        <f t="shared" si="95"/>
        <v>922</v>
      </c>
      <c r="O939" s="99" t="str">
        <f t="shared" si="96"/>
        <v>0</v>
      </c>
      <c r="P939" s="119">
        <f t="shared" si="97"/>
        <v>1</v>
      </c>
      <c r="Q939" s="119">
        <f t="shared" si="98"/>
        <v>1</v>
      </c>
      <c r="S939" s="3">
        <v>1</v>
      </c>
    </row>
    <row r="940" spans="2:19">
      <c r="B940" s="116"/>
      <c r="C940" s="116"/>
      <c r="D940" s="116"/>
      <c r="E940" s="116" cm="1">
        <f t="array" ref="E940">IF(H939&lt;&gt;"",E939,IF(E939="","",IFERROR(MATCH(TRUE(),INDEX(INDEX(K:K,E939+1):K203&lt;&gt;"",0),0)+E939,"")))</f>
        <v>1081</v>
      </c>
      <c r="F940" s="117" cm="1">
        <f t="array" ref="F940">IF(E940="","",IF(H939&lt;&gt;"",H939,INDEX(D:D,E940)))</f>
        <v>0</v>
      </c>
      <c r="G940" s="117" t="str">
        <f t="shared" si="93"/>
        <v>0</v>
      </c>
      <c r="H940" s="118" t="str">
        <f t="shared" si="94"/>
        <v/>
      </c>
      <c r="I940" s="116" t="str">
        <f>IF(AND(F940&lt;&gt;"",N10&gt;0,M940&gt;N10),"Mot &gt; limite","")</f>
        <v/>
      </c>
      <c r="M940" s="70">
        <f>IF(OR(F940="",N10="",N10&lt;=0),"",IF(LEN(F940)&lt;=N10,LEN(F940),IFERROR(FIND("♦",SUBSTITUTE(LEFT(F940,N10)," ","♦",LEN(LEFT(F940,N10))-LEN(SUBSTITUTE(LEFT(F940,N10)," ","")))),FIND(" ",F940&amp;" ",N10+1)-1)))</f>
        <v>1</v>
      </c>
      <c r="N940" s="119">
        <f t="shared" si="95"/>
        <v>923</v>
      </c>
      <c r="O940" s="99" t="str">
        <f t="shared" si="96"/>
        <v>0</v>
      </c>
      <c r="P940" s="119">
        <f t="shared" si="97"/>
        <v>1</v>
      </c>
      <c r="Q940" s="119">
        <f t="shared" si="98"/>
        <v>1</v>
      </c>
      <c r="S940" s="3">
        <v>1</v>
      </c>
    </row>
    <row r="941" spans="2:19">
      <c r="B941" s="116"/>
      <c r="C941" s="116"/>
      <c r="D941" s="116"/>
      <c r="E941" s="116" cm="1">
        <f t="array" ref="E941">IF(H940&lt;&gt;"",E940,IF(E940="","",IFERROR(MATCH(TRUE(),INDEX(INDEX(K:K,E940+1):K203&lt;&gt;"",0),0)+E940,"")))</f>
        <v>1082</v>
      </c>
      <c r="F941" s="117" cm="1">
        <f t="array" ref="F941">IF(E941="","",IF(H940&lt;&gt;"",H940,INDEX(D:D,E941)))</f>
        <v>0</v>
      </c>
      <c r="G941" s="117" t="str">
        <f t="shared" si="93"/>
        <v>0</v>
      </c>
      <c r="H941" s="118" t="str">
        <f t="shared" si="94"/>
        <v/>
      </c>
      <c r="I941" s="116" t="str">
        <f>IF(AND(F941&lt;&gt;"",N10&gt;0,M941&gt;N10),"Mot &gt; limite","")</f>
        <v/>
      </c>
      <c r="M941" s="70">
        <f>IF(OR(F941="",N10="",N10&lt;=0),"",IF(LEN(F941)&lt;=N10,LEN(F941),IFERROR(FIND("♦",SUBSTITUTE(LEFT(F941,N10)," ","♦",LEN(LEFT(F941,N10))-LEN(SUBSTITUTE(LEFT(F941,N10)," ","")))),FIND(" ",F941&amp;" ",N10+1)-1)))</f>
        <v>1</v>
      </c>
      <c r="N941" s="119">
        <f t="shared" si="95"/>
        <v>924</v>
      </c>
      <c r="O941" s="99" t="str">
        <f t="shared" si="96"/>
        <v>0</v>
      </c>
      <c r="P941" s="119">
        <f t="shared" si="97"/>
        <v>1</v>
      </c>
      <c r="Q941" s="119">
        <f t="shared" si="98"/>
        <v>1</v>
      </c>
      <c r="S941" s="3">
        <v>1</v>
      </c>
    </row>
    <row r="942" spans="2:19">
      <c r="B942" s="116"/>
      <c r="C942" s="116"/>
      <c r="D942" s="116"/>
      <c r="E942" s="116" cm="1">
        <f t="array" ref="E942">IF(H941&lt;&gt;"",E941,IF(E941="","",IFERROR(MATCH(TRUE(),INDEX(INDEX(K:K,E941+1):K203&lt;&gt;"",0),0)+E941,"")))</f>
        <v>1083</v>
      </c>
      <c r="F942" s="117" cm="1">
        <f t="array" ref="F942">IF(E942="","",IF(H941&lt;&gt;"",H941,INDEX(D:D,E942)))</f>
        <v>0</v>
      </c>
      <c r="G942" s="117" t="str">
        <f t="shared" si="93"/>
        <v>0</v>
      </c>
      <c r="H942" s="118" t="str">
        <f t="shared" si="94"/>
        <v/>
      </c>
      <c r="I942" s="116" t="str">
        <f>IF(AND(F942&lt;&gt;"",N10&gt;0,M942&gt;N10),"Mot &gt; limite","")</f>
        <v/>
      </c>
      <c r="M942" s="70">
        <f>IF(OR(F942="",N10="",N10&lt;=0),"",IF(LEN(F942)&lt;=N10,LEN(F942),IFERROR(FIND("♦",SUBSTITUTE(LEFT(F942,N10)," ","♦",LEN(LEFT(F942,N10))-LEN(SUBSTITUTE(LEFT(F942,N10)," ","")))),FIND(" ",F942&amp;" ",N10+1)-1)))</f>
        <v>1</v>
      </c>
      <c r="N942" s="119">
        <f t="shared" si="95"/>
        <v>925</v>
      </c>
      <c r="O942" s="99" t="str">
        <f t="shared" si="96"/>
        <v>0</v>
      </c>
      <c r="P942" s="119">
        <f t="shared" si="97"/>
        <v>1</v>
      </c>
      <c r="Q942" s="119">
        <f t="shared" si="98"/>
        <v>1</v>
      </c>
      <c r="S942" s="3">
        <v>1</v>
      </c>
    </row>
    <row r="943" spans="2:19">
      <c r="B943" s="116"/>
      <c r="C943" s="116"/>
      <c r="D943" s="116"/>
      <c r="E943" s="116" cm="1">
        <f t="array" ref="E943">IF(H942&lt;&gt;"",E942,IF(E942="","",IFERROR(MATCH(TRUE(),INDEX(INDEX(K:K,E942+1):K203&lt;&gt;"",0),0)+E942,"")))</f>
        <v>1084</v>
      </c>
      <c r="F943" s="117" cm="1">
        <f t="array" ref="F943">IF(E943="","",IF(H942&lt;&gt;"",H942,INDEX(D:D,E943)))</f>
        <v>0</v>
      </c>
      <c r="G943" s="117" t="str">
        <f t="shared" si="93"/>
        <v>0</v>
      </c>
      <c r="H943" s="118" t="str">
        <f t="shared" si="94"/>
        <v/>
      </c>
      <c r="I943" s="116" t="str">
        <f>IF(AND(F943&lt;&gt;"",N10&gt;0,M943&gt;N10),"Mot &gt; limite","")</f>
        <v/>
      </c>
      <c r="M943" s="70">
        <f>IF(OR(F943="",N10="",N10&lt;=0),"",IF(LEN(F943)&lt;=N10,LEN(F943),IFERROR(FIND("♦",SUBSTITUTE(LEFT(F943,N10)," ","♦",LEN(LEFT(F943,N10))-LEN(SUBSTITUTE(LEFT(F943,N10)," ","")))),FIND(" ",F943&amp;" ",N10+1)-1)))</f>
        <v>1</v>
      </c>
      <c r="N943" s="119">
        <f t="shared" si="95"/>
        <v>926</v>
      </c>
      <c r="O943" s="99" t="str">
        <f t="shared" si="96"/>
        <v>0</v>
      </c>
      <c r="P943" s="119">
        <f t="shared" si="97"/>
        <v>1</v>
      </c>
      <c r="Q943" s="119">
        <f t="shared" si="98"/>
        <v>1</v>
      </c>
      <c r="S943" s="3">
        <v>1</v>
      </c>
    </row>
    <row r="944" spans="2:19">
      <c r="B944" s="116"/>
      <c r="C944" s="116"/>
      <c r="D944" s="116"/>
      <c r="E944" s="116" cm="1">
        <f t="array" ref="E944">IF(H943&lt;&gt;"",E943,IF(E943="","",IFERROR(MATCH(TRUE(),INDEX(INDEX(K:K,E943+1):K203&lt;&gt;"",0),0)+E943,"")))</f>
        <v>1085</v>
      </c>
      <c r="F944" s="117" cm="1">
        <f t="array" ref="F944">IF(E944="","",IF(H943&lt;&gt;"",H943,INDEX(D:D,E944)))</f>
        <v>0</v>
      </c>
      <c r="G944" s="117" t="str">
        <f t="shared" si="93"/>
        <v>0</v>
      </c>
      <c r="H944" s="118" t="str">
        <f t="shared" si="94"/>
        <v/>
      </c>
      <c r="I944" s="116" t="str">
        <f>IF(AND(F944&lt;&gt;"",N10&gt;0,M944&gt;N10),"Mot &gt; limite","")</f>
        <v/>
      </c>
      <c r="M944" s="70">
        <f>IF(OR(F944="",N10="",N10&lt;=0),"",IF(LEN(F944)&lt;=N10,LEN(F944),IFERROR(FIND("♦",SUBSTITUTE(LEFT(F944,N10)," ","♦",LEN(LEFT(F944,N10))-LEN(SUBSTITUTE(LEFT(F944,N10)," ","")))),FIND(" ",F944&amp;" ",N10+1)-1)))</f>
        <v>1</v>
      </c>
      <c r="N944" s="119">
        <f t="shared" si="95"/>
        <v>927</v>
      </c>
      <c r="O944" s="99" t="str">
        <f t="shared" si="96"/>
        <v>0</v>
      </c>
      <c r="P944" s="119">
        <f t="shared" si="97"/>
        <v>1</v>
      </c>
      <c r="Q944" s="119">
        <f t="shared" si="98"/>
        <v>1</v>
      </c>
      <c r="S944" s="3">
        <v>1</v>
      </c>
    </row>
    <row r="945" spans="2:19">
      <c r="B945" s="116"/>
      <c r="C945" s="116"/>
      <c r="D945" s="116"/>
      <c r="E945" s="116" cm="1">
        <f t="array" ref="E945">IF(H944&lt;&gt;"",E944,IF(E944="","",IFERROR(MATCH(TRUE(),INDEX(INDEX(K:K,E944+1):K203&lt;&gt;"",0),0)+E944,"")))</f>
        <v>1086</v>
      </c>
      <c r="F945" s="117" cm="1">
        <f t="array" ref="F945">IF(E945="","",IF(H944&lt;&gt;"",H944,INDEX(D:D,E945)))</f>
        <v>0</v>
      </c>
      <c r="G945" s="117" t="str">
        <f t="shared" si="93"/>
        <v>0</v>
      </c>
      <c r="H945" s="118" t="str">
        <f t="shared" si="94"/>
        <v/>
      </c>
      <c r="I945" s="116" t="str">
        <f>IF(AND(F945&lt;&gt;"",N10&gt;0,M945&gt;N10),"Mot &gt; limite","")</f>
        <v/>
      </c>
      <c r="M945" s="70">
        <f>IF(OR(F945="",N10="",N10&lt;=0),"",IF(LEN(F945)&lt;=N10,LEN(F945),IFERROR(FIND("♦",SUBSTITUTE(LEFT(F945,N10)," ","♦",LEN(LEFT(F945,N10))-LEN(SUBSTITUTE(LEFT(F945,N10)," ","")))),FIND(" ",F945&amp;" ",N10+1)-1)))</f>
        <v>1</v>
      </c>
      <c r="N945" s="119">
        <f t="shared" si="95"/>
        <v>928</v>
      </c>
      <c r="O945" s="99" t="str">
        <f t="shared" si="96"/>
        <v>0</v>
      </c>
      <c r="P945" s="119">
        <f t="shared" si="97"/>
        <v>1</v>
      </c>
      <c r="Q945" s="119">
        <f t="shared" si="98"/>
        <v>1</v>
      </c>
      <c r="S945" s="3">
        <v>1</v>
      </c>
    </row>
    <row r="946" spans="2:19">
      <c r="B946" s="116"/>
      <c r="C946" s="116"/>
      <c r="D946" s="116"/>
      <c r="E946" s="116" cm="1">
        <f t="array" ref="E946">IF(H945&lt;&gt;"",E945,IF(E945="","",IFERROR(MATCH(TRUE(),INDEX(INDEX(K:K,E945+1):K203&lt;&gt;"",0),0)+E945,"")))</f>
        <v>1087</v>
      </c>
      <c r="F946" s="117" cm="1">
        <f t="array" ref="F946">IF(E946="","",IF(H945&lt;&gt;"",H945,INDEX(D:D,E946)))</f>
        <v>0</v>
      </c>
      <c r="G946" s="117" t="str">
        <f t="shared" si="93"/>
        <v>0</v>
      </c>
      <c r="H946" s="118" t="str">
        <f t="shared" si="94"/>
        <v/>
      </c>
      <c r="I946" s="116" t="str">
        <f>IF(AND(F946&lt;&gt;"",N10&gt;0,M946&gt;N10),"Mot &gt; limite","")</f>
        <v/>
      </c>
      <c r="M946" s="70">
        <f>IF(OR(F946="",N10="",N10&lt;=0),"",IF(LEN(F946)&lt;=N10,LEN(F946),IFERROR(FIND("♦",SUBSTITUTE(LEFT(F946,N10)," ","♦",LEN(LEFT(F946,N10))-LEN(SUBSTITUTE(LEFT(F946,N10)," ","")))),FIND(" ",F946&amp;" ",N10+1)-1)))</f>
        <v>1</v>
      </c>
      <c r="N946" s="119">
        <f t="shared" si="95"/>
        <v>929</v>
      </c>
      <c r="O946" s="99" t="str">
        <f t="shared" si="96"/>
        <v>0</v>
      </c>
      <c r="P946" s="119">
        <f t="shared" si="97"/>
        <v>1</v>
      </c>
      <c r="Q946" s="119">
        <f t="shared" si="98"/>
        <v>1</v>
      </c>
      <c r="S946" s="3">
        <v>1</v>
      </c>
    </row>
    <row r="947" spans="2:19">
      <c r="B947" s="116"/>
      <c r="C947" s="116"/>
      <c r="D947" s="116"/>
      <c r="E947" s="116" cm="1">
        <f t="array" ref="E947">IF(H946&lt;&gt;"",E946,IF(E946="","",IFERROR(MATCH(TRUE(),INDEX(INDEX(K:K,E946+1):K203&lt;&gt;"",0),0)+E946,"")))</f>
        <v>1088</v>
      </c>
      <c r="F947" s="117" cm="1">
        <f t="array" ref="F947">IF(E947="","",IF(H946&lt;&gt;"",H946,INDEX(D:D,E947)))</f>
        <v>0</v>
      </c>
      <c r="G947" s="117" t="str">
        <f t="shared" si="93"/>
        <v>0</v>
      </c>
      <c r="H947" s="118" t="str">
        <f t="shared" si="94"/>
        <v/>
      </c>
      <c r="I947" s="116" t="str">
        <f>IF(AND(F947&lt;&gt;"",N10&gt;0,M947&gt;N10),"Mot &gt; limite","")</f>
        <v/>
      </c>
      <c r="M947" s="70">
        <f>IF(OR(F947="",N10="",N10&lt;=0),"",IF(LEN(F947)&lt;=N10,LEN(F947),IFERROR(FIND("♦",SUBSTITUTE(LEFT(F947,N10)," ","♦",LEN(LEFT(F947,N10))-LEN(SUBSTITUTE(LEFT(F947,N10)," ","")))),FIND(" ",F947&amp;" ",N10+1)-1)))</f>
        <v>1</v>
      </c>
      <c r="N947" s="119">
        <f t="shared" si="95"/>
        <v>930</v>
      </c>
      <c r="O947" s="99" t="str">
        <f t="shared" si="96"/>
        <v>0</v>
      </c>
      <c r="P947" s="119">
        <f t="shared" si="97"/>
        <v>1</v>
      </c>
      <c r="Q947" s="119">
        <f t="shared" si="98"/>
        <v>1</v>
      </c>
      <c r="S947" s="3">
        <v>1</v>
      </c>
    </row>
    <row r="948" spans="2:19">
      <c r="B948" s="116"/>
      <c r="C948" s="116"/>
      <c r="D948" s="116"/>
      <c r="E948" s="116" cm="1">
        <f t="array" ref="E948">IF(H947&lt;&gt;"",E947,IF(E947="","",IFERROR(MATCH(TRUE(),INDEX(INDEX(K:K,E947+1):K203&lt;&gt;"",0),0)+E947,"")))</f>
        <v>1089</v>
      </c>
      <c r="F948" s="117" cm="1">
        <f t="array" ref="F948">IF(E948="","",IF(H947&lt;&gt;"",H947,INDEX(D:D,E948)))</f>
        <v>0</v>
      </c>
      <c r="G948" s="117" t="str">
        <f t="shared" si="93"/>
        <v>0</v>
      </c>
      <c r="H948" s="118" t="str">
        <f t="shared" si="94"/>
        <v/>
      </c>
      <c r="I948" s="116" t="str">
        <f>IF(AND(F948&lt;&gt;"",N10&gt;0,M948&gt;N10),"Mot &gt; limite","")</f>
        <v/>
      </c>
      <c r="M948" s="70">
        <f>IF(OR(F948="",N10="",N10&lt;=0),"",IF(LEN(F948)&lt;=N10,LEN(F948),IFERROR(FIND("♦",SUBSTITUTE(LEFT(F948,N10)," ","♦",LEN(LEFT(F948,N10))-LEN(SUBSTITUTE(LEFT(F948,N10)," ","")))),FIND(" ",F948&amp;" ",N10+1)-1)))</f>
        <v>1</v>
      </c>
      <c r="N948" s="119">
        <f t="shared" si="95"/>
        <v>931</v>
      </c>
      <c r="O948" s="99" t="str">
        <f t="shared" si="96"/>
        <v>0</v>
      </c>
      <c r="P948" s="119">
        <f t="shared" si="97"/>
        <v>1</v>
      </c>
      <c r="Q948" s="119">
        <f t="shared" si="98"/>
        <v>1</v>
      </c>
      <c r="S948" s="3">
        <v>1</v>
      </c>
    </row>
    <row r="949" spans="2:19">
      <c r="B949" s="116"/>
      <c r="C949" s="116"/>
      <c r="D949" s="116"/>
      <c r="E949" s="116" cm="1">
        <f t="array" ref="E949">IF(H948&lt;&gt;"",E948,IF(E948="","",IFERROR(MATCH(TRUE(),INDEX(INDEX(K:K,E948+1):K203&lt;&gt;"",0),0)+E948,"")))</f>
        <v>1090</v>
      </c>
      <c r="F949" s="117" cm="1">
        <f t="array" ref="F949">IF(E949="","",IF(H948&lt;&gt;"",H948,INDEX(D:D,E949)))</f>
        <v>0</v>
      </c>
      <c r="G949" s="117" t="str">
        <f t="shared" si="93"/>
        <v>0</v>
      </c>
      <c r="H949" s="118" t="str">
        <f t="shared" si="94"/>
        <v/>
      </c>
      <c r="I949" s="116" t="str">
        <f>IF(AND(F949&lt;&gt;"",N10&gt;0,M949&gt;N10),"Mot &gt; limite","")</f>
        <v/>
      </c>
      <c r="M949" s="70">
        <f>IF(OR(F949="",N10="",N10&lt;=0),"",IF(LEN(F949)&lt;=N10,LEN(F949),IFERROR(FIND("♦",SUBSTITUTE(LEFT(F949,N10)," ","♦",LEN(LEFT(F949,N10))-LEN(SUBSTITUTE(LEFT(F949,N10)," ","")))),FIND(" ",F949&amp;" ",N10+1)-1)))</f>
        <v>1</v>
      </c>
      <c r="N949" s="119">
        <f t="shared" si="95"/>
        <v>932</v>
      </c>
      <c r="O949" s="99" t="str">
        <f t="shared" si="96"/>
        <v>0</v>
      </c>
      <c r="P949" s="119">
        <f t="shared" si="97"/>
        <v>1</v>
      </c>
      <c r="Q949" s="119">
        <f t="shared" si="98"/>
        <v>1</v>
      </c>
      <c r="S949" s="3">
        <v>1</v>
      </c>
    </row>
    <row r="950" spans="2:19">
      <c r="B950" s="116"/>
      <c r="C950" s="116"/>
      <c r="D950" s="116"/>
      <c r="E950" s="116" cm="1">
        <f t="array" ref="E950">IF(H949&lt;&gt;"",E949,IF(E949="","",IFERROR(MATCH(TRUE(),INDEX(INDEX(K:K,E949+1):K203&lt;&gt;"",0),0)+E949,"")))</f>
        <v>1091</v>
      </c>
      <c r="F950" s="117" cm="1">
        <f t="array" ref="F950">IF(E950="","",IF(H949&lt;&gt;"",H949,INDEX(D:D,E950)))</f>
        <v>0</v>
      </c>
      <c r="G950" s="117" t="str">
        <f t="shared" si="93"/>
        <v>0</v>
      </c>
      <c r="H950" s="118" t="str">
        <f t="shared" si="94"/>
        <v/>
      </c>
      <c r="I950" s="116" t="str">
        <f>IF(AND(F950&lt;&gt;"",N10&gt;0,M950&gt;N10),"Mot &gt; limite","")</f>
        <v/>
      </c>
      <c r="M950" s="70">
        <f>IF(OR(F950="",N10="",N10&lt;=0),"",IF(LEN(F950)&lt;=N10,LEN(F950),IFERROR(FIND("♦",SUBSTITUTE(LEFT(F950,N10)," ","♦",LEN(LEFT(F950,N10))-LEN(SUBSTITUTE(LEFT(F950,N10)," ","")))),FIND(" ",F950&amp;" ",N10+1)-1)))</f>
        <v>1</v>
      </c>
      <c r="N950" s="119">
        <f t="shared" si="95"/>
        <v>933</v>
      </c>
      <c r="O950" s="99" t="str">
        <f t="shared" si="96"/>
        <v>0</v>
      </c>
      <c r="P950" s="119">
        <f t="shared" si="97"/>
        <v>1</v>
      </c>
      <c r="Q950" s="119">
        <f t="shared" si="98"/>
        <v>1</v>
      </c>
      <c r="S950" s="3">
        <v>1</v>
      </c>
    </row>
    <row r="951" spans="2:19">
      <c r="B951" s="116"/>
      <c r="C951" s="116"/>
      <c r="D951" s="116"/>
      <c r="E951" s="116" cm="1">
        <f t="array" ref="E951">IF(H950&lt;&gt;"",E950,IF(E950="","",IFERROR(MATCH(TRUE(),INDEX(INDEX(K:K,E950+1):K203&lt;&gt;"",0),0)+E950,"")))</f>
        <v>1092</v>
      </c>
      <c r="F951" s="117" cm="1">
        <f t="array" ref="F951">IF(E951="","",IF(H950&lt;&gt;"",H950,INDEX(D:D,E951)))</f>
        <v>0</v>
      </c>
      <c r="G951" s="117" t="str">
        <f t="shared" si="93"/>
        <v>0</v>
      </c>
      <c r="H951" s="118" t="str">
        <f t="shared" si="94"/>
        <v/>
      </c>
      <c r="I951" s="116" t="str">
        <f>IF(AND(F951&lt;&gt;"",N10&gt;0,M951&gt;N10),"Mot &gt; limite","")</f>
        <v/>
      </c>
      <c r="M951" s="70">
        <f>IF(OR(F951="",N10="",N10&lt;=0),"",IF(LEN(F951)&lt;=N10,LEN(F951),IFERROR(FIND("♦",SUBSTITUTE(LEFT(F951,N10)," ","♦",LEN(LEFT(F951,N10))-LEN(SUBSTITUTE(LEFT(F951,N10)," ","")))),FIND(" ",F951&amp;" ",N10+1)-1)))</f>
        <v>1</v>
      </c>
      <c r="N951" s="119">
        <f t="shared" si="95"/>
        <v>934</v>
      </c>
      <c r="O951" s="99" t="str">
        <f t="shared" si="96"/>
        <v>0</v>
      </c>
      <c r="P951" s="119">
        <f t="shared" si="97"/>
        <v>1</v>
      </c>
      <c r="Q951" s="119">
        <f t="shared" si="98"/>
        <v>1</v>
      </c>
      <c r="S951" s="3">
        <v>1</v>
      </c>
    </row>
    <row r="952" spans="2:19">
      <c r="B952" s="116"/>
      <c r="C952" s="116"/>
      <c r="D952" s="116"/>
      <c r="E952" s="116" cm="1">
        <f t="array" ref="E952">IF(H951&lt;&gt;"",E951,IF(E951="","",IFERROR(MATCH(TRUE(),INDEX(INDEX(K:K,E951+1):K203&lt;&gt;"",0),0)+E951,"")))</f>
        <v>1093</v>
      </c>
      <c r="F952" s="117" cm="1">
        <f t="array" ref="F952">IF(E952="","",IF(H951&lt;&gt;"",H951,INDEX(D:D,E952)))</f>
        <v>0</v>
      </c>
      <c r="G952" s="117" t="str">
        <f t="shared" si="93"/>
        <v>0</v>
      </c>
      <c r="H952" s="118" t="str">
        <f t="shared" si="94"/>
        <v/>
      </c>
      <c r="I952" s="116" t="str">
        <f>IF(AND(F952&lt;&gt;"",N10&gt;0,M952&gt;N10),"Mot &gt; limite","")</f>
        <v/>
      </c>
      <c r="M952" s="70">
        <f>IF(OR(F952="",N10="",N10&lt;=0),"",IF(LEN(F952)&lt;=N10,LEN(F952),IFERROR(FIND("♦",SUBSTITUTE(LEFT(F952,N10)," ","♦",LEN(LEFT(F952,N10))-LEN(SUBSTITUTE(LEFT(F952,N10)," ","")))),FIND(" ",F952&amp;" ",N10+1)-1)))</f>
        <v>1</v>
      </c>
      <c r="N952" s="119">
        <f t="shared" si="95"/>
        <v>935</v>
      </c>
      <c r="O952" s="99" t="str">
        <f t="shared" si="96"/>
        <v>0</v>
      </c>
      <c r="P952" s="119">
        <f t="shared" si="97"/>
        <v>1</v>
      </c>
      <c r="Q952" s="119">
        <f t="shared" si="98"/>
        <v>1</v>
      </c>
      <c r="S952" s="3">
        <v>1</v>
      </c>
    </row>
    <row r="953" spans="2:19">
      <c r="B953" s="116"/>
      <c r="C953" s="116"/>
      <c r="D953" s="116"/>
      <c r="E953" s="116" cm="1">
        <f t="array" ref="E953">IF(H952&lt;&gt;"",E952,IF(E952="","",IFERROR(MATCH(TRUE(),INDEX(INDEX(K:K,E952+1):K203&lt;&gt;"",0),0)+E952,"")))</f>
        <v>1094</v>
      </c>
      <c r="F953" s="117" cm="1">
        <f t="array" ref="F953">IF(E953="","",IF(H952&lt;&gt;"",H952,INDEX(D:D,E953)))</f>
        <v>0</v>
      </c>
      <c r="G953" s="117" t="str">
        <f t="shared" si="93"/>
        <v>0</v>
      </c>
      <c r="H953" s="118" t="str">
        <f t="shared" si="94"/>
        <v/>
      </c>
      <c r="I953" s="116" t="str">
        <f>IF(AND(F953&lt;&gt;"",N10&gt;0,M953&gt;N10),"Mot &gt; limite","")</f>
        <v/>
      </c>
      <c r="M953" s="70">
        <f>IF(OR(F953="",N10="",N10&lt;=0),"",IF(LEN(F953)&lt;=N10,LEN(F953),IFERROR(FIND("♦",SUBSTITUTE(LEFT(F953,N10)," ","♦",LEN(LEFT(F953,N10))-LEN(SUBSTITUTE(LEFT(F953,N10)," ","")))),FIND(" ",F953&amp;" ",N10+1)-1)))</f>
        <v>1</v>
      </c>
      <c r="N953" s="119">
        <f t="shared" si="95"/>
        <v>936</v>
      </c>
      <c r="O953" s="99" t="str">
        <f t="shared" si="96"/>
        <v>0</v>
      </c>
      <c r="P953" s="119">
        <f t="shared" si="97"/>
        <v>1</v>
      </c>
      <c r="Q953" s="119">
        <f t="shared" si="98"/>
        <v>1</v>
      </c>
      <c r="S953" s="3">
        <v>1</v>
      </c>
    </row>
    <row r="954" spans="2:19">
      <c r="B954" s="116"/>
      <c r="C954" s="116"/>
      <c r="D954" s="116"/>
      <c r="E954" s="116" cm="1">
        <f t="array" ref="E954">IF(H953&lt;&gt;"",E953,IF(E953="","",IFERROR(MATCH(TRUE(),INDEX(INDEX(K:K,E953+1):K203&lt;&gt;"",0),0)+E953,"")))</f>
        <v>1095</v>
      </c>
      <c r="F954" s="117" cm="1">
        <f t="array" ref="F954">IF(E954="","",IF(H953&lt;&gt;"",H953,INDEX(D:D,E954)))</f>
        <v>0</v>
      </c>
      <c r="G954" s="117" t="str">
        <f t="shared" si="93"/>
        <v>0</v>
      </c>
      <c r="H954" s="118" t="str">
        <f t="shared" si="94"/>
        <v/>
      </c>
      <c r="I954" s="116" t="str">
        <f>IF(AND(F954&lt;&gt;"",N10&gt;0,M954&gt;N10),"Mot &gt; limite","")</f>
        <v/>
      </c>
      <c r="M954" s="70">
        <f>IF(OR(F954="",N10="",N10&lt;=0),"",IF(LEN(F954)&lt;=N10,LEN(F954),IFERROR(FIND("♦",SUBSTITUTE(LEFT(F954,N10)," ","♦",LEN(LEFT(F954,N10))-LEN(SUBSTITUTE(LEFT(F954,N10)," ","")))),FIND(" ",F954&amp;" ",N10+1)-1)))</f>
        <v>1</v>
      </c>
      <c r="N954" s="119">
        <f t="shared" si="95"/>
        <v>937</v>
      </c>
      <c r="O954" s="99" t="str">
        <f t="shared" si="96"/>
        <v>0</v>
      </c>
      <c r="P954" s="119">
        <f t="shared" si="97"/>
        <v>1</v>
      </c>
      <c r="Q954" s="119">
        <f t="shared" si="98"/>
        <v>1</v>
      </c>
      <c r="S954" s="3">
        <v>1</v>
      </c>
    </row>
    <row r="955" spans="2:19">
      <c r="B955" s="116"/>
      <c r="C955" s="116"/>
      <c r="D955" s="116"/>
      <c r="E955" s="116" cm="1">
        <f t="array" ref="E955">IF(H954&lt;&gt;"",E954,IF(E954="","",IFERROR(MATCH(TRUE(),INDEX(INDEX(K:K,E954+1):K203&lt;&gt;"",0),0)+E954,"")))</f>
        <v>1096</v>
      </c>
      <c r="F955" s="117" cm="1">
        <f t="array" ref="F955">IF(E955="","",IF(H954&lt;&gt;"",H954,INDEX(D:D,E955)))</f>
        <v>0</v>
      </c>
      <c r="G955" s="117" t="str">
        <f t="shared" si="93"/>
        <v>0</v>
      </c>
      <c r="H955" s="118" t="str">
        <f t="shared" si="94"/>
        <v/>
      </c>
      <c r="I955" s="116" t="str">
        <f>IF(AND(F955&lt;&gt;"",N10&gt;0,M955&gt;N10),"Mot &gt; limite","")</f>
        <v/>
      </c>
      <c r="M955" s="70">
        <f>IF(OR(F955="",N10="",N10&lt;=0),"",IF(LEN(F955)&lt;=N10,LEN(F955),IFERROR(FIND("♦",SUBSTITUTE(LEFT(F955,N10)," ","♦",LEN(LEFT(F955,N10))-LEN(SUBSTITUTE(LEFT(F955,N10)," ","")))),FIND(" ",F955&amp;" ",N10+1)-1)))</f>
        <v>1</v>
      </c>
      <c r="N955" s="119">
        <f t="shared" si="95"/>
        <v>938</v>
      </c>
      <c r="O955" s="99" t="str">
        <f t="shared" si="96"/>
        <v>0</v>
      </c>
      <c r="P955" s="119">
        <f t="shared" si="97"/>
        <v>1</v>
      </c>
      <c r="Q955" s="119">
        <f t="shared" si="98"/>
        <v>1</v>
      </c>
      <c r="S955" s="3">
        <v>1</v>
      </c>
    </row>
    <row r="956" spans="2:19">
      <c r="B956" s="116"/>
      <c r="C956" s="116"/>
      <c r="D956" s="116"/>
      <c r="E956" s="116" cm="1">
        <f t="array" ref="E956">IF(H955&lt;&gt;"",E955,IF(E955="","",IFERROR(MATCH(TRUE(),INDEX(INDEX(K:K,E955+1):K203&lt;&gt;"",0),0)+E955,"")))</f>
        <v>1097</v>
      </c>
      <c r="F956" s="117" cm="1">
        <f t="array" ref="F956">IF(E956="","",IF(H955&lt;&gt;"",H955,INDEX(D:D,E956)))</f>
        <v>0</v>
      </c>
      <c r="G956" s="117" t="str">
        <f t="shared" si="93"/>
        <v>0</v>
      </c>
      <c r="H956" s="118" t="str">
        <f t="shared" si="94"/>
        <v/>
      </c>
      <c r="I956" s="116" t="str">
        <f>IF(AND(F956&lt;&gt;"",N10&gt;0,M956&gt;N10),"Mot &gt; limite","")</f>
        <v/>
      </c>
      <c r="M956" s="70">
        <f>IF(OR(F956="",N10="",N10&lt;=0),"",IF(LEN(F956)&lt;=N10,LEN(F956),IFERROR(FIND("♦",SUBSTITUTE(LEFT(F956,N10)," ","♦",LEN(LEFT(F956,N10))-LEN(SUBSTITUTE(LEFT(F956,N10)," ","")))),FIND(" ",F956&amp;" ",N10+1)-1)))</f>
        <v>1</v>
      </c>
      <c r="N956" s="119">
        <f t="shared" si="95"/>
        <v>939</v>
      </c>
      <c r="O956" s="99" t="str">
        <f t="shared" si="96"/>
        <v>0</v>
      </c>
      <c r="P956" s="119">
        <f t="shared" si="97"/>
        <v>1</v>
      </c>
      <c r="Q956" s="119">
        <f t="shared" si="98"/>
        <v>1</v>
      </c>
      <c r="S956" s="3">
        <v>1</v>
      </c>
    </row>
    <row r="957" spans="2:19">
      <c r="B957" s="116"/>
      <c r="C957" s="116"/>
      <c r="D957" s="116"/>
      <c r="E957" s="116" cm="1">
        <f t="array" ref="E957">IF(H956&lt;&gt;"",E956,IF(E956="","",IFERROR(MATCH(TRUE(),INDEX(INDEX(K:K,E956+1):K203&lt;&gt;"",0),0)+E956,"")))</f>
        <v>1098</v>
      </c>
      <c r="F957" s="117" cm="1">
        <f t="array" ref="F957">IF(E957="","",IF(H956&lt;&gt;"",H956,INDEX(D:D,E957)))</f>
        <v>0</v>
      </c>
      <c r="G957" s="117" t="str">
        <f t="shared" si="93"/>
        <v>0</v>
      </c>
      <c r="H957" s="118" t="str">
        <f t="shared" si="94"/>
        <v/>
      </c>
      <c r="I957" s="116" t="str">
        <f>IF(AND(F957&lt;&gt;"",N10&gt;0,M957&gt;N10),"Mot &gt; limite","")</f>
        <v/>
      </c>
      <c r="M957" s="70">
        <f>IF(OR(F957="",N10="",N10&lt;=0),"",IF(LEN(F957)&lt;=N10,LEN(F957),IFERROR(FIND("♦",SUBSTITUTE(LEFT(F957,N10)," ","♦",LEN(LEFT(F957,N10))-LEN(SUBSTITUTE(LEFT(F957,N10)," ","")))),FIND(" ",F957&amp;" ",N10+1)-1)))</f>
        <v>1</v>
      </c>
      <c r="N957" s="119">
        <f t="shared" si="95"/>
        <v>940</v>
      </c>
      <c r="O957" s="99" t="str">
        <f t="shared" si="96"/>
        <v>0</v>
      </c>
      <c r="P957" s="119">
        <f t="shared" si="97"/>
        <v>1</v>
      </c>
      <c r="Q957" s="119">
        <f t="shared" si="98"/>
        <v>1</v>
      </c>
      <c r="S957" s="3">
        <v>1</v>
      </c>
    </row>
    <row r="958" spans="2:19">
      <c r="B958" s="116"/>
      <c r="C958" s="116"/>
      <c r="D958" s="116"/>
      <c r="E958" s="116" cm="1">
        <f t="array" ref="E958">IF(H957&lt;&gt;"",E957,IF(E957="","",IFERROR(MATCH(TRUE(),INDEX(INDEX(K:K,E957+1):K203&lt;&gt;"",0),0)+E957,"")))</f>
        <v>1099</v>
      </c>
      <c r="F958" s="117" cm="1">
        <f t="array" ref="F958">IF(E958="","",IF(H957&lt;&gt;"",H957,INDEX(D:D,E958)))</f>
        <v>0</v>
      </c>
      <c r="G958" s="117" t="str">
        <f t="shared" si="93"/>
        <v>0</v>
      </c>
      <c r="H958" s="118" t="str">
        <f t="shared" si="94"/>
        <v/>
      </c>
      <c r="I958" s="116" t="str">
        <f>IF(AND(F958&lt;&gt;"",N10&gt;0,M958&gt;N10),"Mot &gt; limite","")</f>
        <v/>
      </c>
      <c r="M958" s="70">
        <f>IF(OR(F958="",N10="",N10&lt;=0),"",IF(LEN(F958)&lt;=N10,LEN(F958),IFERROR(FIND("♦",SUBSTITUTE(LEFT(F958,N10)," ","♦",LEN(LEFT(F958,N10))-LEN(SUBSTITUTE(LEFT(F958,N10)," ","")))),FIND(" ",F958&amp;" ",N10+1)-1)))</f>
        <v>1</v>
      </c>
      <c r="N958" s="119">
        <f t="shared" si="95"/>
        <v>941</v>
      </c>
      <c r="O958" s="99" t="str">
        <f t="shared" si="96"/>
        <v>0</v>
      </c>
      <c r="P958" s="119">
        <f t="shared" si="97"/>
        <v>1</v>
      </c>
      <c r="Q958" s="119">
        <f t="shared" si="98"/>
        <v>1</v>
      </c>
      <c r="S958" s="3">
        <v>1</v>
      </c>
    </row>
    <row r="959" spans="2:19">
      <c r="B959" s="116"/>
      <c r="C959" s="116"/>
      <c r="D959" s="116"/>
      <c r="E959" s="116" cm="1">
        <f t="array" ref="E959">IF(H958&lt;&gt;"",E958,IF(E958="","",IFERROR(MATCH(TRUE(),INDEX(INDEX(K:K,E958+1):K203&lt;&gt;"",0),0)+E958,"")))</f>
        <v>1100</v>
      </c>
      <c r="F959" s="117" cm="1">
        <f t="array" ref="F959">IF(E959="","",IF(H958&lt;&gt;"",H958,INDEX(D:D,E959)))</f>
        <v>0</v>
      </c>
      <c r="G959" s="117" t="str">
        <f t="shared" si="93"/>
        <v>0</v>
      </c>
      <c r="H959" s="118" t="str">
        <f t="shared" si="94"/>
        <v/>
      </c>
      <c r="I959" s="116" t="str">
        <f>IF(AND(F959&lt;&gt;"",N10&gt;0,M959&gt;N10),"Mot &gt; limite","")</f>
        <v/>
      </c>
      <c r="M959" s="70">
        <f>IF(OR(F959="",N10="",N10&lt;=0),"",IF(LEN(F959)&lt;=N10,LEN(F959),IFERROR(FIND("♦",SUBSTITUTE(LEFT(F959,N10)," ","♦",LEN(LEFT(F959,N10))-LEN(SUBSTITUTE(LEFT(F959,N10)," ","")))),FIND(" ",F959&amp;" ",N10+1)-1)))</f>
        <v>1</v>
      </c>
      <c r="N959" s="119">
        <f t="shared" si="95"/>
        <v>942</v>
      </c>
      <c r="O959" s="99" t="str">
        <f t="shared" si="96"/>
        <v>0</v>
      </c>
      <c r="P959" s="119">
        <f t="shared" si="97"/>
        <v>1</v>
      </c>
      <c r="Q959" s="119">
        <f t="shared" si="98"/>
        <v>1</v>
      </c>
      <c r="S959" s="3">
        <v>1</v>
      </c>
    </row>
    <row r="960" spans="2:19">
      <c r="B960" s="116"/>
      <c r="C960" s="116"/>
      <c r="D960" s="116"/>
      <c r="E960" s="116" cm="1">
        <f t="array" ref="E960">IF(H959&lt;&gt;"",E959,IF(E959="","",IFERROR(MATCH(TRUE(),INDEX(INDEX(K:K,E959+1):K203&lt;&gt;"",0),0)+E959,"")))</f>
        <v>1101</v>
      </c>
      <c r="F960" s="117" cm="1">
        <f t="array" ref="F960">IF(E960="","",IF(H959&lt;&gt;"",H959,INDEX(D:D,E960)))</f>
        <v>0</v>
      </c>
      <c r="G960" s="117" t="str">
        <f t="shared" si="93"/>
        <v>0</v>
      </c>
      <c r="H960" s="118" t="str">
        <f t="shared" si="94"/>
        <v/>
      </c>
      <c r="I960" s="116" t="str">
        <f>IF(AND(F960&lt;&gt;"",N10&gt;0,M960&gt;N10),"Mot &gt; limite","")</f>
        <v/>
      </c>
      <c r="M960" s="70">
        <f>IF(OR(F960="",N10="",N10&lt;=0),"",IF(LEN(F960)&lt;=N10,LEN(F960),IFERROR(FIND("♦",SUBSTITUTE(LEFT(F960,N10)," ","♦",LEN(LEFT(F960,N10))-LEN(SUBSTITUTE(LEFT(F960,N10)," ","")))),FIND(" ",F960&amp;" ",N10+1)-1)))</f>
        <v>1</v>
      </c>
      <c r="N960" s="119">
        <f t="shared" si="95"/>
        <v>943</v>
      </c>
      <c r="O960" s="99" t="str">
        <f t="shared" si="96"/>
        <v>0</v>
      </c>
      <c r="P960" s="119">
        <f t="shared" si="97"/>
        <v>1</v>
      </c>
      <c r="Q960" s="119">
        <f t="shared" si="98"/>
        <v>1</v>
      </c>
      <c r="S960" s="3">
        <v>1</v>
      </c>
    </row>
    <row r="961" spans="2:19">
      <c r="B961" s="116"/>
      <c r="C961" s="116"/>
      <c r="D961" s="116"/>
      <c r="E961" s="116" cm="1">
        <f t="array" ref="E961">IF(H960&lt;&gt;"",E960,IF(E960="","",IFERROR(MATCH(TRUE(),INDEX(INDEX(K:K,E960+1):K203&lt;&gt;"",0),0)+E960,"")))</f>
        <v>1102</v>
      </c>
      <c r="F961" s="117" cm="1">
        <f t="array" ref="F961">IF(E961="","",IF(H960&lt;&gt;"",H960,INDEX(D:D,E961)))</f>
        <v>0</v>
      </c>
      <c r="G961" s="117" t="str">
        <f t="shared" si="93"/>
        <v>0</v>
      </c>
      <c r="H961" s="118" t="str">
        <f t="shared" si="94"/>
        <v/>
      </c>
      <c r="I961" s="116" t="str">
        <f>IF(AND(F961&lt;&gt;"",N10&gt;0,M961&gt;N10),"Mot &gt; limite","")</f>
        <v/>
      </c>
      <c r="M961" s="70">
        <f>IF(OR(F961="",N10="",N10&lt;=0),"",IF(LEN(F961)&lt;=N10,LEN(F961),IFERROR(FIND("♦",SUBSTITUTE(LEFT(F961,N10)," ","♦",LEN(LEFT(F961,N10))-LEN(SUBSTITUTE(LEFT(F961,N10)," ","")))),FIND(" ",F961&amp;" ",N10+1)-1)))</f>
        <v>1</v>
      </c>
      <c r="N961" s="119">
        <f t="shared" si="95"/>
        <v>944</v>
      </c>
      <c r="O961" s="99" t="str">
        <f t="shared" si="96"/>
        <v>0</v>
      </c>
      <c r="P961" s="119">
        <f t="shared" si="97"/>
        <v>1</v>
      </c>
      <c r="Q961" s="119">
        <f t="shared" si="98"/>
        <v>1</v>
      </c>
      <c r="S961" s="3">
        <v>1</v>
      </c>
    </row>
    <row r="962" spans="2:19">
      <c r="B962" s="116"/>
      <c r="C962" s="116"/>
      <c r="D962" s="116"/>
      <c r="E962" s="116" cm="1">
        <f t="array" ref="E962">IF(H961&lt;&gt;"",E961,IF(E961="","",IFERROR(MATCH(TRUE(),INDEX(INDEX(K:K,E961+1):K203&lt;&gt;"",0),0)+E961,"")))</f>
        <v>1103</v>
      </c>
      <c r="F962" s="117" cm="1">
        <f t="array" ref="F962">IF(E962="","",IF(H961&lt;&gt;"",H961,INDEX(D:D,E962)))</f>
        <v>0</v>
      </c>
      <c r="G962" s="117" t="str">
        <f t="shared" si="93"/>
        <v>0</v>
      </c>
      <c r="H962" s="118" t="str">
        <f t="shared" si="94"/>
        <v/>
      </c>
      <c r="I962" s="116" t="str">
        <f>IF(AND(F962&lt;&gt;"",N10&gt;0,M962&gt;N10),"Mot &gt; limite","")</f>
        <v/>
      </c>
      <c r="M962" s="70">
        <f>IF(OR(F962="",N10="",N10&lt;=0),"",IF(LEN(F962)&lt;=N10,LEN(F962),IFERROR(FIND("♦",SUBSTITUTE(LEFT(F962,N10)," ","♦",LEN(LEFT(F962,N10))-LEN(SUBSTITUTE(LEFT(F962,N10)," ","")))),FIND(" ",F962&amp;" ",N10+1)-1)))</f>
        <v>1</v>
      </c>
      <c r="N962" s="119">
        <f t="shared" si="95"/>
        <v>945</v>
      </c>
      <c r="O962" s="99" t="str">
        <f t="shared" si="96"/>
        <v>0</v>
      </c>
      <c r="P962" s="119">
        <f t="shared" si="97"/>
        <v>1</v>
      </c>
      <c r="Q962" s="119">
        <f t="shared" si="98"/>
        <v>1</v>
      </c>
      <c r="S962" s="3">
        <v>1</v>
      </c>
    </row>
    <row r="963" spans="2:19">
      <c r="B963" s="116"/>
      <c r="C963" s="116"/>
      <c r="D963" s="116"/>
      <c r="E963" s="116" cm="1">
        <f t="array" ref="E963">IF(H962&lt;&gt;"",E962,IF(E962="","",IFERROR(MATCH(TRUE(),INDEX(INDEX(K:K,E962+1):K203&lt;&gt;"",0),0)+E962,"")))</f>
        <v>1104</v>
      </c>
      <c r="F963" s="117" cm="1">
        <f t="array" ref="F963">IF(E963="","",IF(H962&lt;&gt;"",H962,INDEX(D:D,E963)))</f>
        <v>0</v>
      </c>
      <c r="G963" s="117" t="str">
        <f t="shared" si="93"/>
        <v>0</v>
      </c>
      <c r="H963" s="118" t="str">
        <f t="shared" si="94"/>
        <v/>
      </c>
      <c r="I963" s="116" t="str">
        <f>IF(AND(F963&lt;&gt;"",N10&gt;0,M963&gt;N10),"Mot &gt; limite","")</f>
        <v/>
      </c>
      <c r="M963" s="70">
        <f>IF(OR(F963="",N10="",N10&lt;=0),"",IF(LEN(F963)&lt;=N10,LEN(F963),IFERROR(FIND("♦",SUBSTITUTE(LEFT(F963,N10)," ","♦",LEN(LEFT(F963,N10))-LEN(SUBSTITUTE(LEFT(F963,N10)," ","")))),FIND(" ",F963&amp;" ",N10+1)-1)))</f>
        <v>1</v>
      </c>
      <c r="N963" s="119">
        <f t="shared" si="95"/>
        <v>946</v>
      </c>
      <c r="O963" s="99" t="str">
        <f t="shared" si="96"/>
        <v>0</v>
      </c>
      <c r="P963" s="119">
        <f t="shared" si="97"/>
        <v>1</v>
      </c>
      <c r="Q963" s="119">
        <f t="shared" si="98"/>
        <v>1</v>
      </c>
      <c r="S963" s="3">
        <v>1</v>
      </c>
    </row>
    <row r="964" spans="2:19">
      <c r="B964" s="116"/>
      <c r="C964" s="116"/>
      <c r="D964" s="116"/>
      <c r="E964" s="116" cm="1">
        <f t="array" ref="E964">IF(H963&lt;&gt;"",E963,IF(E963="","",IFERROR(MATCH(TRUE(),INDEX(INDEX(K:K,E963+1):K203&lt;&gt;"",0),0)+E963,"")))</f>
        <v>1105</v>
      </c>
      <c r="F964" s="117" cm="1">
        <f t="array" ref="F964">IF(E964="","",IF(H963&lt;&gt;"",H963,INDEX(D:D,E964)))</f>
        <v>0</v>
      </c>
      <c r="G964" s="117" t="str">
        <f t="shared" si="93"/>
        <v>0</v>
      </c>
      <c r="H964" s="118" t="str">
        <f t="shared" si="94"/>
        <v/>
      </c>
      <c r="I964" s="116" t="str">
        <f>IF(AND(F964&lt;&gt;"",N10&gt;0,M964&gt;N10),"Mot &gt; limite","")</f>
        <v/>
      </c>
      <c r="M964" s="70">
        <f>IF(OR(F964="",N10="",N10&lt;=0),"",IF(LEN(F964)&lt;=N10,LEN(F964),IFERROR(FIND("♦",SUBSTITUTE(LEFT(F964,N10)," ","♦",LEN(LEFT(F964,N10))-LEN(SUBSTITUTE(LEFT(F964,N10)," ","")))),FIND(" ",F964&amp;" ",N10+1)-1)))</f>
        <v>1</v>
      </c>
      <c r="N964" s="119">
        <f t="shared" si="95"/>
        <v>947</v>
      </c>
      <c r="O964" s="99" t="str">
        <f t="shared" si="96"/>
        <v>0</v>
      </c>
      <c r="P964" s="119">
        <f t="shared" si="97"/>
        <v>1</v>
      </c>
      <c r="Q964" s="119">
        <f t="shared" si="98"/>
        <v>1</v>
      </c>
      <c r="S964" s="3">
        <v>1</v>
      </c>
    </row>
    <row r="965" spans="2:19">
      <c r="B965" s="116"/>
      <c r="C965" s="116"/>
      <c r="D965" s="116"/>
      <c r="E965" s="116" cm="1">
        <f t="array" ref="E965">IF(H964&lt;&gt;"",E964,IF(E964="","",IFERROR(MATCH(TRUE(),INDEX(INDEX(K:K,E964+1):K203&lt;&gt;"",0),0)+E964,"")))</f>
        <v>1106</v>
      </c>
      <c r="F965" s="117" cm="1">
        <f t="array" ref="F965">IF(E965="","",IF(H964&lt;&gt;"",H964,INDEX(D:D,E965)))</f>
        <v>0</v>
      </c>
      <c r="G965" s="117" t="str">
        <f t="shared" si="93"/>
        <v>0</v>
      </c>
      <c r="H965" s="118" t="str">
        <f t="shared" si="94"/>
        <v/>
      </c>
      <c r="I965" s="116" t="str">
        <f>IF(AND(F965&lt;&gt;"",N10&gt;0,M965&gt;N10),"Mot &gt; limite","")</f>
        <v/>
      </c>
      <c r="M965" s="70">
        <f>IF(OR(F965="",N10="",N10&lt;=0),"",IF(LEN(F965)&lt;=N10,LEN(F965),IFERROR(FIND("♦",SUBSTITUTE(LEFT(F965,N10)," ","♦",LEN(LEFT(F965,N10))-LEN(SUBSTITUTE(LEFT(F965,N10)," ","")))),FIND(" ",F965&amp;" ",N10+1)-1)))</f>
        <v>1</v>
      </c>
      <c r="N965" s="119">
        <f t="shared" si="95"/>
        <v>948</v>
      </c>
      <c r="O965" s="99" t="str">
        <f t="shared" si="96"/>
        <v>0</v>
      </c>
      <c r="P965" s="119">
        <f t="shared" si="97"/>
        <v>1</v>
      </c>
      <c r="Q965" s="119">
        <f t="shared" si="98"/>
        <v>1</v>
      </c>
      <c r="S965" s="3">
        <v>1</v>
      </c>
    </row>
    <row r="966" spans="2:19">
      <c r="B966" s="116"/>
      <c r="C966" s="116"/>
      <c r="D966" s="116"/>
      <c r="E966" s="116" cm="1">
        <f t="array" ref="E966">IF(H965&lt;&gt;"",E965,IF(E965="","",IFERROR(MATCH(TRUE(),INDEX(INDEX(K:K,E965+1):K203&lt;&gt;"",0),0)+E965,"")))</f>
        <v>1107</v>
      </c>
      <c r="F966" s="117" cm="1">
        <f t="array" ref="F966">IF(E966="","",IF(H965&lt;&gt;"",H965,INDEX(D:D,E966)))</f>
        <v>0</v>
      </c>
      <c r="G966" s="117" t="str">
        <f t="shared" si="93"/>
        <v>0</v>
      </c>
      <c r="H966" s="118" t="str">
        <f t="shared" si="94"/>
        <v/>
      </c>
      <c r="I966" s="116" t="str">
        <f>IF(AND(F966&lt;&gt;"",N10&gt;0,M966&gt;N10),"Mot &gt; limite","")</f>
        <v/>
      </c>
      <c r="M966" s="70">
        <f>IF(OR(F966="",N10="",N10&lt;=0),"",IF(LEN(F966)&lt;=N10,LEN(F966),IFERROR(FIND("♦",SUBSTITUTE(LEFT(F966,N10)," ","♦",LEN(LEFT(F966,N10))-LEN(SUBSTITUTE(LEFT(F966,N10)," ","")))),FIND(" ",F966&amp;" ",N10+1)-1)))</f>
        <v>1</v>
      </c>
      <c r="N966" s="119">
        <f t="shared" si="95"/>
        <v>949</v>
      </c>
      <c r="O966" s="99" t="str">
        <f t="shared" si="96"/>
        <v>0</v>
      </c>
      <c r="P966" s="119">
        <f t="shared" si="97"/>
        <v>1</v>
      </c>
      <c r="Q966" s="119">
        <f t="shared" si="98"/>
        <v>1</v>
      </c>
      <c r="S966" s="3">
        <v>1</v>
      </c>
    </row>
    <row r="967" spans="2:19">
      <c r="B967" s="116"/>
      <c r="C967" s="116"/>
      <c r="D967" s="116"/>
      <c r="E967" s="116" cm="1">
        <f t="array" ref="E967">IF(H966&lt;&gt;"",E966,IF(E966="","",IFERROR(MATCH(TRUE(),INDEX(INDEX(K:K,E966+1):K203&lt;&gt;"",0),0)+E966,"")))</f>
        <v>1108</v>
      </c>
      <c r="F967" s="117" cm="1">
        <f t="array" ref="F967">IF(E967="","",IF(H966&lt;&gt;"",H966,INDEX(D:D,E967)))</f>
        <v>0</v>
      </c>
      <c r="G967" s="117" t="str">
        <f t="shared" si="93"/>
        <v>0</v>
      </c>
      <c r="H967" s="118" t="str">
        <f t="shared" si="94"/>
        <v/>
      </c>
      <c r="I967" s="116" t="str">
        <f>IF(AND(F967&lt;&gt;"",N10&gt;0,M967&gt;N10),"Mot &gt; limite","")</f>
        <v/>
      </c>
      <c r="M967" s="70">
        <f>IF(OR(F967="",N10="",N10&lt;=0),"",IF(LEN(F967)&lt;=N10,LEN(F967),IFERROR(FIND("♦",SUBSTITUTE(LEFT(F967,N10)," ","♦",LEN(LEFT(F967,N10))-LEN(SUBSTITUTE(LEFT(F967,N10)," ","")))),FIND(" ",F967&amp;" ",N10+1)-1)))</f>
        <v>1</v>
      </c>
      <c r="N967" s="119">
        <f t="shared" si="95"/>
        <v>950</v>
      </c>
      <c r="O967" s="99" t="str">
        <f t="shared" si="96"/>
        <v>0</v>
      </c>
      <c r="P967" s="119">
        <f t="shared" si="97"/>
        <v>1</v>
      </c>
      <c r="Q967" s="119">
        <f t="shared" si="98"/>
        <v>1</v>
      </c>
      <c r="S967" s="3">
        <v>1</v>
      </c>
    </row>
    <row r="968" spans="2:19">
      <c r="B968" s="116"/>
      <c r="C968" s="116"/>
      <c r="D968" s="116"/>
      <c r="E968" s="116" cm="1">
        <f t="array" ref="E968">IF(H967&lt;&gt;"",E967,IF(E967="","",IFERROR(MATCH(TRUE(),INDEX(INDEX(K:K,E967+1):K203&lt;&gt;"",0),0)+E967,"")))</f>
        <v>1109</v>
      </c>
      <c r="F968" s="117" cm="1">
        <f t="array" ref="F968">IF(E968="","",IF(H967&lt;&gt;"",H967,INDEX(D:D,E968)))</f>
        <v>0</v>
      </c>
      <c r="G968" s="117" t="str">
        <f t="shared" si="93"/>
        <v>0</v>
      </c>
      <c r="H968" s="118" t="str">
        <f t="shared" si="94"/>
        <v/>
      </c>
      <c r="I968" s="116" t="str">
        <f>IF(AND(F968&lt;&gt;"",N10&gt;0,M968&gt;N10),"Mot &gt; limite","")</f>
        <v/>
      </c>
      <c r="M968" s="70">
        <f>IF(OR(F968="",N10="",N10&lt;=0),"",IF(LEN(F968)&lt;=N10,LEN(F968),IFERROR(FIND("♦",SUBSTITUTE(LEFT(F968,N10)," ","♦",LEN(LEFT(F968,N10))-LEN(SUBSTITUTE(LEFT(F968,N10)," ","")))),FIND(" ",F968&amp;" ",N10+1)-1)))</f>
        <v>1</v>
      </c>
      <c r="N968" s="119">
        <f t="shared" si="95"/>
        <v>951</v>
      </c>
      <c r="O968" s="99" t="str">
        <f t="shared" si="96"/>
        <v>0</v>
      </c>
      <c r="P968" s="119">
        <f t="shared" si="97"/>
        <v>1</v>
      </c>
      <c r="Q968" s="119">
        <f t="shared" si="98"/>
        <v>1</v>
      </c>
      <c r="S968" s="3">
        <v>1</v>
      </c>
    </row>
    <row r="969" spans="2:19">
      <c r="B969" s="116"/>
      <c r="C969" s="116"/>
      <c r="D969" s="116"/>
      <c r="E969" s="116" cm="1">
        <f t="array" ref="E969">IF(H968&lt;&gt;"",E968,IF(E968="","",IFERROR(MATCH(TRUE(),INDEX(INDEX(K:K,E968+1):K203&lt;&gt;"",0),0)+E968,"")))</f>
        <v>1110</v>
      </c>
      <c r="F969" s="117" cm="1">
        <f t="array" ref="F969">IF(E969="","",IF(H968&lt;&gt;"",H968,INDEX(D:D,E969)))</f>
        <v>0</v>
      </c>
      <c r="G969" s="117" t="str">
        <f t="shared" si="93"/>
        <v>0</v>
      </c>
      <c r="H969" s="118" t="str">
        <f t="shared" si="94"/>
        <v/>
      </c>
      <c r="I969" s="116" t="str">
        <f>IF(AND(F969&lt;&gt;"",N10&gt;0,M969&gt;N10),"Mot &gt; limite","")</f>
        <v/>
      </c>
      <c r="M969" s="70">
        <f>IF(OR(F969="",N10="",N10&lt;=0),"",IF(LEN(F969)&lt;=N10,LEN(F969),IFERROR(FIND("♦",SUBSTITUTE(LEFT(F969,N10)," ","♦",LEN(LEFT(F969,N10))-LEN(SUBSTITUTE(LEFT(F969,N10)," ","")))),FIND(" ",F969&amp;" ",N10+1)-1)))</f>
        <v>1</v>
      </c>
      <c r="N969" s="119">
        <f t="shared" si="95"/>
        <v>952</v>
      </c>
      <c r="O969" s="99" t="str">
        <f t="shared" si="96"/>
        <v>0</v>
      </c>
      <c r="P969" s="119">
        <f t="shared" si="97"/>
        <v>1</v>
      </c>
      <c r="Q969" s="119">
        <f t="shared" si="98"/>
        <v>1</v>
      </c>
      <c r="S969" s="3">
        <v>1</v>
      </c>
    </row>
    <row r="970" spans="2:19">
      <c r="B970" s="116"/>
      <c r="C970" s="116"/>
      <c r="D970" s="116"/>
      <c r="E970" s="116" cm="1">
        <f t="array" ref="E970">IF(H969&lt;&gt;"",E969,IF(E969="","",IFERROR(MATCH(TRUE(),INDEX(INDEX(K:K,E969+1):K203&lt;&gt;"",0),0)+E969,"")))</f>
        <v>1111</v>
      </c>
      <c r="F970" s="117" cm="1">
        <f t="array" ref="F970">IF(E970="","",IF(H969&lt;&gt;"",H969,INDEX(D:D,E970)))</f>
        <v>0</v>
      </c>
      <c r="G970" s="117" t="str">
        <f t="shared" si="93"/>
        <v>0</v>
      </c>
      <c r="H970" s="118" t="str">
        <f t="shared" si="94"/>
        <v/>
      </c>
      <c r="I970" s="116" t="str">
        <f>IF(AND(F970&lt;&gt;"",N10&gt;0,M970&gt;N10),"Mot &gt; limite","")</f>
        <v/>
      </c>
      <c r="M970" s="70">
        <f>IF(OR(F970="",N10="",N10&lt;=0),"",IF(LEN(F970)&lt;=N10,LEN(F970),IFERROR(FIND("♦",SUBSTITUTE(LEFT(F970,N10)," ","♦",LEN(LEFT(F970,N10))-LEN(SUBSTITUTE(LEFT(F970,N10)," ","")))),FIND(" ",F970&amp;" ",N10+1)-1)))</f>
        <v>1</v>
      </c>
      <c r="N970" s="119">
        <f t="shared" si="95"/>
        <v>953</v>
      </c>
      <c r="O970" s="99" t="str">
        <f t="shared" si="96"/>
        <v>0</v>
      </c>
      <c r="P970" s="119">
        <f t="shared" si="97"/>
        <v>1</v>
      </c>
      <c r="Q970" s="119">
        <f t="shared" si="98"/>
        <v>1</v>
      </c>
      <c r="S970" s="3">
        <v>1</v>
      </c>
    </row>
    <row r="971" spans="2:19">
      <c r="B971" s="116"/>
      <c r="C971" s="116"/>
      <c r="D971" s="116"/>
      <c r="E971" s="116" cm="1">
        <f t="array" ref="E971">IF(H970&lt;&gt;"",E970,IF(E970="","",IFERROR(MATCH(TRUE(),INDEX(INDEX(K:K,E970+1):K203&lt;&gt;"",0),0)+E970,"")))</f>
        <v>1112</v>
      </c>
      <c r="F971" s="117" cm="1">
        <f t="array" ref="F971">IF(E971="","",IF(H970&lt;&gt;"",H970,INDEX(D:D,E971)))</f>
        <v>0</v>
      </c>
      <c r="G971" s="117" t="str">
        <f t="shared" si="93"/>
        <v>0</v>
      </c>
      <c r="H971" s="118" t="str">
        <f t="shared" si="94"/>
        <v/>
      </c>
      <c r="I971" s="116" t="str">
        <f>IF(AND(F971&lt;&gt;"",N10&gt;0,M971&gt;N10),"Mot &gt; limite","")</f>
        <v/>
      </c>
      <c r="M971" s="70">
        <f>IF(OR(F971="",N10="",N10&lt;=0),"",IF(LEN(F971)&lt;=N10,LEN(F971),IFERROR(FIND("♦",SUBSTITUTE(LEFT(F971,N10)," ","♦",LEN(LEFT(F971,N10))-LEN(SUBSTITUTE(LEFT(F971,N10)," ","")))),FIND(" ",F971&amp;" ",N10+1)-1)))</f>
        <v>1</v>
      </c>
      <c r="N971" s="119">
        <f t="shared" si="95"/>
        <v>954</v>
      </c>
      <c r="O971" s="99" t="str">
        <f t="shared" si="96"/>
        <v>0</v>
      </c>
      <c r="P971" s="119">
        <f t="shared" si="97"/>
        <v>1</v>
      </c>
      <c r="Q971" s="119">
        <f t="shared" si="98"/>
        <v>1</v>
      </c>
      <c r="S971" s="3">
        <v>1</v>
      </c>
    </row>
    <row r="972" spans="2:19">
      <c r="B972" s="116"/>
      <c r="C972" s="116"/>
      <c r="D972" s="116"/>
      <c r="E972" s="116" cm="1">
        <f t="array" ref="E972">IF(H971&lt;&gt;"",E971,IF(E971="","",IFERROR(MATCH(TRUE(),INDEX(INDEX(K:K,E971+1):K203&lt;&gt;"",0),0)+E971,"")))</f>
        <v>1113</v>
      </c>
      <c r="F972" s="117" cm="1">
        <f t="array" ref="F972">IF(E972="","",IF(H971&lt;&gt;"",H971,INDEX(D:D,E972)))</f>
        <v>0</v>
      </c>
      <c r="G972" s="117" t="str">
        <f t="shared" si="93"/>
        <v>0</v>
      </c>
      <c r="H972" s="118" t="str">
        <f t="shared" si="94"/>
        <v/>
      </c>
      <c r="I972" s="116" t="str">
        <f>IF(AND(F972&lt;&gt;"",N10&gt;0,M972&gt;N10),"Mot &gt; limite","")</f>
        <v/>
      </c>
      <c r="M972" s="70">
        <f>IF(OR(F972="",N10="",N10&lt;=0),"",IF(LEN(F972)&lt;=N10,LEN(F972),IFERROR(FIND("♦",SUBSTITUTE(LEFT(F972,N10)," ","♦",LEN(LEFT(F972,N10))-LEN(SUBSTITUTE(LEFT(F972,N10)," ","")))),FIND(" ",F972&amp;" ",N10+1)-1)))</f>
        <v>1</v>
      </c>
      <c r="N972" s="119">
        <f t="shared" si="95"/>
        <v>955</v>
      </c>
      <c r="O972" s="99" t="str">
        <f t="shared" si="96"/>
        <v>0</v>
      </c>
      <c r="P972" s="119">
        <f t="shared" si="97"/>
        <v>1</v>
      </c>
      <c r="Q972" s="119">
        <f t="shared" si="98"/>
        <v>1</v>
      </c>
      <c r="S972" s="3">
        <v>1</v>
      </c>
    </row>
    <row r="973" spans="2:19">
      <c r="B973" s="116"/>
      <c r="C973" s="116"/>
      <c r="D973" s="116"/>
      <c r="E973" s="116" cm="1">
        <f t="array" ref="E973">IF(H972&lt;&gt;"",E972,IF(E972="","",IFERROR(MATCH(TRUE(),INDEX(INDEX(K:K,E972+1):K203&lt;&gt;"",0),0)+E972,"")))</f>
        <v>1114</v>
      </c>
      <c r="F973" s="117" cm="1">
        <f t="array" ref="F973">IF(E973="","",IF(H972&lt;&gt;"",H972,INDEX(D:D,E973)))</f>
        <v>0</v>
      </c>
      <c r="G973" s="117" t="str">
        <f t="shared" si="93"/>
        <v>0</v>
      </c>
      <c r="H973" s="118" t="str">
        <f t="shared" si="94"/>
        <v/>
      </c>
      <c r="I973" s="116" t="str">
        <f>IF(AND(F973&lt;&gt;"",N10&gt;0,M973&gt;N10),"Mot &gt; limite","")</f>
        <v/>
      </c>
      <c r="M973" s="70">
        <f>IF(OR(F973="",N10="",N10&lt;=0),"",IF(LEN(F973)&lt;=N10,LEN(F973),IFERROR(FIND("♦",SUBSTITUTE(LEFT(F973,N10)," ","♦",LEN(LEFT(F973,N10))-LEN(SUBSTITUTE(LEFT(F973,N10)," ","")))),FIND(" ",F973&amp;" ",N10+1)-1)))</f>
        <v>1</v>
      </c>
      <c r="N973" s="119">
        <f t="shared" si="95"/>
        <v>956</v>
      </c>
      <c r="O973" s="99" t="str">
        <f t="shared" si="96"/>
        <v>0</v>
      </c>
      <c r="P973" s="119">
        <f t="shared" si="97"/>
        <v>1</v>
      </c>
      <c r="Q973" s="119">
        <f t="shared" si="98"/>
        <v>1</v>
      </c>
      <c r="S973" s="3">
        <v>1</v>
      </c>
    </row>
    <row r="974" spans="2:19">
      <c r="B974" s="116"/>
      <c r="C974" s="116"/>
      <c r="D974" s="116"/>
      <c r="E974" s="116" cm="1">
        <f t="array" ref="E974">IF(H973&lt;&gt;"",E973,IF(E973="","",IFERROR(MATCH(TRUE(),INDEX(INDEX(K:K,E973+1):K203&lt;&gt;"",0),0)+E973,"")))</f>
        <v>1115</v>
      </c>
      <c r="F974" s="117" cm="1">
        <f t="array" ref="F974">IF(E974="","",IF(H973&lt;&gt;"",H973,INDEX(D:D,E974)))</f>
        <v>0</v>
      </c>
      <c r="G974" s="117" t="str">
        <f t="shared" si="93"/>
        <v>0</v>
      </c>
      <c r="H974" s="118" t="str">
        <f t="shared" si="94"/>
        <v/>
      </c>
      <c r="I974" s="116" t="str">
        <f>IF(AND(F974&lt;&gt;"",N10&gt;0,M974&gt;N10),"Mot &gt; limite","")</f>
        <v/>
      </c>
      <c r="M974" s="70">
        <f>IF(OR(F974="",N10="",N10&lt;=0),"",IF(LEN(F974)&lt;=N10,LEN(F974),IFERROR(FIND("♦",SUBSTITUTE(LEFT(F974,N10)," ","♦",LEN(LEFT(F974,N10))-LEN(SUBSTITUTE(LEFT(F974,N10)," ","")))),FIND(" ",F974&amp;" ",N10+1)-1)))</f>
        <v>1</v>
      </c>
      <c r="N974" s="119">
        <f t="shared" si="95"/>
        <v>957</v>
      </c>
      <c r="O974" s="99" t="str">
        <f t="shared" si="96"/>
        <v>0</v>
      </c>
      <c r="P974" s="119">
        <f t="shared" si="97"/>
        <v>1</v>
      </c>
      <c r="Q974" s="119">
        <f t="shared" si="98"/>
        <v>1</v>
      </c>
      <c r="S974" s="3">
        <v>1</v>
      </c>
    </row>
    <row r="975" spans="2:19">
      <c r="B975" s="116"/>
      <c r="C975" s="116"/>
      <c r="D975" s="116"/>
      <c r="E975" s="116" cm="1">
        <f t="array" ref="E975">IF(H974&lt;&gt;"",E974,IF(E974="","",IFERROR(MATCH(TRUE(),INDEX(INDEX(K:K,E974+1):K203&lt;&gt;"",0),0)+E974,"")))</f>
        <v>1116</v>
      </c>
      <c r="F975" s="117" cm="1">
        <f t="array" ref="F975">IF(E975="","",IF(H974&lt;&gt;"",H974,INDEX(D:D,E975)))</f>
        <v>0</v>
      </c>
      <c r="G975" s="117" t="str">
        <f t="shared" si="93"/>
        <v>0</v>
      </c>
      <c r="H975" s="118" t="str">
        <f t="shared" si="94"/>
        <v/>
      </c>
      <c r="I975" s="116" t="str">
        <f>IF(AND(F975&lt;&gt;"",N10&gt;0,M975&gt;N10),"Mot &gt; limite","")</f>
        <v/>
      </c>
      <c r="M975" s="70">
        <f>IF(OR(F975="",N10="",N10&lt;=0),"",IF(LEN(F975)&lt;=N10,LEN(F975),IFERROR(FIND("♦",SUBSTITUTE(LEFT(F975,N10)," ","♦",LEN(LEFT(F975,N10))-LEN(SUBSTITUTE(LEFT(F975,N10)," ","")))),FIND(" ",F975&amp;" ",N10+1)-1)))</f>
        <v>1</v>
      </c>
      <c r="N975" s="119">
        <f t="shared" si="95"/>
        <v>958</v>
      </c>
      <c r="O975" s="99" t="str">
        <f t="shared" si="96"/>
        <v>0</v>
      </c>
      <c r="P975" s="119">
        <f t="shared" si="97"/>
        <v>1</v>
      </c>
      <c r="Q975" s="119">
        <f t="shared" si="98"/>
        <v>1</v>
      </c>
      <c r="S975" s="3">
        <v>1</v>
      </c>
    </row>
    <row r="976" spans="2:19">
      <c r="B976" s="116"/>
      <c r="C976" s="116"/>
      <c r="D976" s="116"/>
      <c r="E976" s="116" cm="1">
        <f t="array" ref="E976">IF(H975&lt;&gt;"",E975,IF(E975="","",IFERROR(MATCH(TRUE(),INDEX(INDEX(K:K,E975+1):K203&lt;&gt;"",0),0)+E975,"")))</f>
        <v>1117</v>
      </c>
      <c r="F976" s="117" cm="1">
        <f t="array" ref="F976">IF(E976="","",IF(H975&lt;&gt;"",H975,INDEX(D:D,E976)))</f>
        <v>0</v>
      </c>
      <c r="G976" s="117" t="str">
        <f t="shared" si="93"/>
        <v>0</v>
      </c>
      <c r="H976" s="118" t="str">
        <f t="shared" si="94"/>
        <v/>
      </c>
      <c r="I976" s="116" t="str">
        <f>IF(AND(F976&lt;&gt;"",N10&gt;0,M976&gt;N10),"Mot &gt; limite","")</f>
        <v/>
      </c>
      <c r="M976" s="70">
        <f>IF(OR(F976="",N10="",N10&lt;=0),"",IF(LEN(F976)&lt;=N10,LEN(F976),IFERROR(FIND("♦",SUBSTITUTE(LEFT(F976,N10)," ","♦",LEN(LEFT(F976,N10))-LEN(SUBSTITUTE(LEFT(F976,N10)," ","")))),FIND(" ",F976&amp;" ",N10+1)-1)))</f>
        <v>1</v>
      </c>
      <c r="N976" s="119">
        <f t="shared" si="95"/>
        <v>959</v>
      </c>
      <c r="O976" s="99" t="str">
        <f t="shared" si="96"/>
        <v>0</v>
      </c>
      <c r="P976" s="119">
        <f t="shared" si="97"/>
        <v>1</v>
      </c>
      <c r="Q976" s="119">
        <f t="shared" si="98"/>
        <v>1</v>
      </c>
      <c r="S976" s="3">
        <v>1</v>
      </c>
    </row>
    <row r="977" spans="2:19">
      <c r="B977" s="116"/>
      <c r="C977" s="116"/>
      <c r="D977" s="116"/>
      <c r="E977" s="116" cm="1">
        <f t="array" ref="E977">IF(H976&lt;&gt;"",E976,IF(E976="","",IFERROR(MATCH(TRUE(),INDEX(INDEX(K:K,E976+1):K203&lt;&gt;"",0),0)+E976,"")))</f>
        <v>1118</v>
      </c>
      <c r="F977" s="117" cm="1">
        <f t="array" ref="F977">IF(E977="","",IF(H976&lt;&gt;"",H976,INDEX(D:D,E977)))</f>
        <v>0</v>
      </c>
      <c r="G977" s="117" t="str">
        <f t="shared" si="93"/>
        <v>0</v>
      </c>
      <c r="H977" s="118" t="str">
        <f t="shared" si="94"/>
        <v/>
      </c>
      <c r="I977" s="116" t="str">
        <f>IF(AND(F977&lt;&gt;"",N10&gt;0,M977&gt;N10),"Mot &gt; limite","")</f>
        <v/>
      </c>
      <c r="M977" s="70">
        <f>IF(OR(F977="",N10="",N10&lt;=0),"",IF(LEN(F977)&lt;=N10,LEN(F977),IFERROR(FIND("♦",SUBSTITUTE(LEFT(F977,N10)," ","♦",LEN(LEFT(F977,N10))-LEN(SUBSTITUTE(LEFT(F977,N10)," ","")))),FIND(" ",F977&amp;" ",N10+1)-1)))</f>
        <v>1</v>
      </c>
      <c r="N977" s="119">
        <f t="shared" si="95"/>
        <v>960</v>
      </c>
      <c r="O977" s="99" t="str">
        <f t="shared" si="96"/>
        <v>0</v>
      </c>
      <c r="P977" s="119">
        <f t="shared" si="97"/>
        <v>1</v>
      </c>
      <c r="Q977" s="119">
        <f t="shared" si="98"/>
        <v>1</v>
      </c>
      <c r="S977" s="3">
        <v>1</v>
      </c>
    </row>
    <row r="978" spans="2:19">
      <c r="B978" s="116"/>
      <c r="C978" s="116"/>
      <c r="D978" s="116"/>
      <c r="E978" s="116" cm="1">
        <f t="array" ref="E978">IF(H977&lt;&gt;"",E977,IF(E977="","",IFERROR(MATCH(TRUE(),INDEX(INDEX(K:K,E977+1):K203&lt;&gt;"",0),0)+E977,"")))</f>
        <v>1119</v>
      </c>
      <c r="F978" s="117" cm="1">
        <f t="array" ref="F978">IF(E978="","",IF(H977&lt;&gt;"",H977,INDEX(D:D,E978)))</f>
        <v>0</v>
      </c>
      <c r="G978" s="117" t="str">
        <f t="shared" ref="G978:G1017" si="99">IF(OR(F978="",M978=""),"",LEFT(F978,M978))</f>
        <v>0</v>
      </c>
      <c r="H978" s="118" t="str">
        <f t="shared" ref="H978:H1017" si="100">IF(OR(F978="",M978=""),"",TRIM(MID(F978,M978+1,99999)))</f>
        <v/>
      </c>
      <c r="I978" s="116" t="str">
        <f>IF(AND(F978&lt;&gt;"",N10&gt;0,M978&gt;N10),"Mot &gt; limite","")</f>
        <v/>
      </c>
      <c r="M978" s="70">
        <f>IF(OR(F978="",N10="",N10&lt;=0),"",IF(LEN(F978)&lt;=N10,LEN(F978),IFERROR(FIND("♦",SUBSTITUTE(LEFT(F978,N10)," ","♦",LEN(LEFT(F978,N10))-LEN(SUBSTITUTE(LEFT(F978,N10)," ","")))),FIND(" ",F978&amp;" ",N10+1)-1)))</f>
        <v>1</v>
      </c>
      <c r="N978" s="119">
        <f t="shared" ref="N978:N1017" si="101">IF(O978="","",ROW()-17)</f>
        <v>961</v>
      </c>
      <c r="O978" s="99" t="str">
        <f t="shared" ref="O978:O1017" si="102">G978</f>
        <v>0</v>
      </c>
      <c r="P978" s="119">
        <f t="shared" ref="P978:P1017" si="103">IF(O978="","",LEN(TRIM(O978))-LEN(SUBSTITUTE(TRIM(O978)," ",""))+1)</f>
        <v>1</v>
      </c>
      <c r="Q978" s="119">
        <f t="shared" ref="Q978:Q1017" si="104">IF(O978="","",LEN(O978))</f>
        <v>1</v>
      </c>
      <c r="S978" s="3">
        <v>1</v>
      </c>
    </row>
    <row r="979" spans="2:19">
      <c r="B979" s="116"/>
      <c r="C979" s="116"/>
      <c r="D979" s="116"/>
      <c r="E979" s="116" cm="1">
        <f t="array" ref="E979">IF(H978&lt;&gt;"",E978,IF(E978="","",IFERROR(MATCH(TRUE(),INDEX(INDEX(K:K,E978+1):K203&lt;&gt;"",0),0)+E978,"")))</f>
        <v>1120</v>
      </c>
      <c r="F979" s="117" cm="1">
        <f t="array" ref="F979">IF(E979="","",IF(H978&lt;&gt;"",H978,INDEX(D:D,E979)))</f>
        <v>0</v>
      </c>
      <c r="G979" s="117" t="str">
        <f t="shared" si="99"/>
        <v>0</v>
      </c>
      <c r="H979" s="118" t="str">
        <f t="shared" si="100"/>
        <v/>
      </c>
      <c r="I979" s="116" t="str">
        <f>IF(AND(F979&lt;&gt;"",N10&gt;0,M979&gt;N10),"Mot &gt; limite","")</f>
        <v/>
      </c>
      <c r="M979" s="70">
        <f>IF(OR(F979="",N10="",N10&lt;=0),"",IF(LEN(F979)&lt;=N10,LEN(F979),IFERROR(FIND("♦",SUBSTITUTE(LEFT(F979,N10)," ","♦",LEN(LEFT(F979,N10))-LEN(SUBSTITUTE(LEFT(F979,N10)," ","")))),FIND(" ",F979&amp;" ",N10+1)-1)))</f>
        <v>1</v>
      </c>
      <c r="N979" s="119">
        <f t="shared" si="101"/>
        <v>962</v>
      </c>
      <c r="O979" s="99" t="str">
        <f t="shared" si="102"/>
        <v>0</v>
      </c>
      <c r="P979" s="119">
        <f t="shared" si="103"/>
        <v>1</v>
      </c>
      <c r="Q979" s="119">
        <f t="shared" si="104"/>
        <v>1</v>
      </c>
      <c r="S979" s="3">
        <v>1</v>
      </c>
    </row>
    <row r="980" spans="2:19">
      <c r="B980" s="116"/>
      <c r="C980" s="116"/>
      <c r="D980" s="116"/>
      <c r="E980" s="116" cm="1">
        <f t="array" ref="E980">IF(H979&lt;&gt;"",E979,IF(E979="","",IFERROR(MATCH(TRUE(),INDEX(INDEX(K:K,E979+1):K203&lt;&gt;"",0),0)+E979,"")))</f>
        <v>1121</v>
      </c>
      <c r="F980" s="117" cm="1">
        <f t="array" ref="F980">IF(E980="","",IF(H979&lt;&gt;"",H979,INDEX(D:D,E980)))</f>
        <v>0</v>
      </c>
      <c r="G980" s="117" t="str">
        <f t="shared" si="99"/>
        <v>0</v>
      </c>
      <c r="H980" s="118" t="str">
        <f t="shared" si="100"/>
        <v/>
      </c>
      <c r="I980" s="116" t="str">
        <f>IF(AND(F980&lt;&gt;"",N10&gt;0,M980&gt;N10),"Mot &gt; limite","")</f>
        <v/>
      </c>
      <c r="M980" s="70">
        <f>IF(OR(F980="",N10="",N10&lt;=0),"",IF(LEN(F980)&lt;=N10,LEN(F980),IFERROR(FIND("♦",SUBSTITUTE(LEFT(F980,N10)," ","♦",LEN(LEFT(F980,N10))-LEN(SUBSTITUTE(LEFT(F980,N10)," ","")))),FIND(" ",F980&amp;" ",N10+1)-1)))</f>
        <v>1</v>
      </c>
      <c r="N980" s="119">
        <f t="shared" si="101"/>
        <v>963</v>
      </c>
      <c r="O980" s="99" t="str">
        <f t="shared" si="102"/>
        <v>0</v>
      </c>
      <c r="P980" s="119">
        <f t="shared" si="103"/>
        <v>1</v>
      </c>
      <c r="Q980" s="119">
        <f t="shared" si="104"/>
        <v>1</v>
      </c>
      <c r="S980" s="3">
        <v>1</v>
      </c>
    </row>
    <row r="981" spans="2:19">
      <c r="B981" s="116"/>
      <c r="C981" s="116"/>
      <c r="D981" s="116"/>
      <c r="E981" s="116" cm="1">
        <f t="array" ref="E981">IF(H980&lt;&gt;"",E980,IF(E980="","",IFERROR(MATCH(TRUE(),INDEX(INDEX(K:K,E980+1):K203&lt;&gt;"",0),0)+E980,"")))</f>
        <v>1122</v>
      </c>
      <c r="F981" s="117" cm="1">
        <f t="array" ref="F981">IF(E981="","",IF(H980&lt;&gt;"",H980,INDEX(D:D,E981)))</f>
        <v>0</v>
      </c>
      <c r="G981" s="117" t="str">
        <f t="shared" si="99"/>
        <v>0</v>
      </c>
      <c r="H981" s="118" t="str">
        <f t="shared" si="100"/>
        <v/>
      </c>
      <c r="I981" s="116" t="str">
        <f>IF(AND(F981&lt;&gt;"",N10&gt;0,M981&gt;N10),"Mot &gt; limite","")</f>
        <v/>
      </c>
      <c r="M981" s="70">
        <f>IF(OR(F981="",N10="",N10&lt;=0),"",IF(LEN(F981)&lt;=N10,LEN(F981),IFERROR(FIND("♦",SUBSTITUTE(LEFT(F981,N10)," ","♦",LEN(LEFT(F981,N10))-LEN(SUBSTITUTE(LEFT(F981,N10)," ","")))),FIND(" ",F981&amp;" ",N10+1)-1)))</f>
        <v>1</v>
      </c>
      <c r="N981" s="119">
        <f t="shared" si="101"/>
        <v>964</v>
      </c>
      <c r="O981" s="99" t="str">
        <f t="shared" si="102"/>
        <v>0</v>
      </c>
      <c r="P981" s="119">
        <f t="shared" si="103"/>
        <v>1</v>
      </c>
      <c r="Q981" s="119">
        <f t="shared" si="104"/>
        <v>1</v>
      </c>
      <c r="S981" s="3">
        <v>1</v>
      </c>
    </row>
    <row r="982" spans="2:19">
      <c r="B982" s="116"/>
      <c r="C982" s="116"/>
      <c r="D982" s="116"/>
      <c r="E982" s="116" cm="1">
        <f t="array" ref="E982">IF(H981&lt;&gt;"",E981,IF(E981="","",IFERROR(MATCH(TRUE(),INDEX(INDEX(K:K,E981+1):K203&lt;&gt;"",0),0)+E981,"")))</f>
        <v>1123</v>
      </c>
      <c r="F982" s="117" cm="1">
        <f t="array" ref="F982">IF(E982="","",IF(H981&lt;&gt;"",H981,INDEX(D:D,E982)))</f>
        <v>0</v>
      </c>
      <c r="G982" s="117" t="str">
        <f t="shared" si="99"/>
        <v>0</v>
      </c>
      <c r="H982" s="118" t="str">
        <f t="shared" si="100"/>
        <v/>
      </c>
      <c r="I982" s="116" t="str">
        <f>IF(AND(F982&lt;&gt;"",N10&gt;0,M982&gt;N10),"Mot &gt; limite","")</f>
        <v/>
      </c>
      <c r="M982" s="70">
        <f>IF(OR(F982="",N10="",N10&lt;=0),"",IF(LEN(F982)&lt;=N10,LEN(F982),IFERROR(FIND("♦",SUBSTITUTE(LEFT(F982,N10)," ","♦",LEN(LEFT(F982,N10))-LEN(SUBSTITUTE(LEFT(F982,N10)," ","")))),FIND(" ",F982&amp;" ",N10+1)-1)))</f>
        <v>1</v>
      </c>
      <c r="N982" s="119">
        <f t="shared" si="101"/>
        <v>965</v>
      </c>
      <c r="O982" s="99" t="str">
        <f t="shared" si="102"/>
        <v>0</v>
      </c>
      <c r="P982" s="119">
        <f t="shared" si="103"/>
        <v>1</v>
      </c>
      <c r="Q982" s="119">
        <f t="shared" si="104"/>
        <v>1</v>
      </c>
      <c r="S982" s="3">
        <v>1</v>
      </c>
    </row>
    <row r="983" spans="2:19">
      <c r="B983" s="116"/>
      <c r="C983" s="116"/>
      <c r="D983" s="116"/>
      <c r="E983" s="116" cm="1">
        <f t="array" ref="E983">IF(H982&lt;&gt;"",E982,IF(E982="","",IFERROR(MATCH(TRUE(),INDEX(INDEX(K:K,E982+1):K203&lt;&gt;"",0),0)+E982,"")))</f>
        <v>1124</v>
      </c>
      <c r="F983" s="117" cm="1">
        <f t="array" ref="F983">IF(E983="","",IF(H982&lt;&gt;"",H982,INDEX(D:D,E983)))</f>
        <v>0</v>
      </c>
      <c r="G983" s="117" t="str">
        <f t="shared" si="99"/>
        <v>0</v>
      </c>
      <c r="H983" s="118" t="str">
        <f t="shared" si="100"/>
        <v/>
      </c>
      <c r="I983" s="116" t="str">
        <f>IF(AND(F983&lt;&gt;"",N10&gt;0,M983&gt;N10),"Mot &gt; limite","")</f>
        <v/>
      </c>
      <c r="M983" s="70">
        <f>IF(OR(F983="",N10="",N10&lt;=0),"",IF(LEN(F983)&lt;=N10,LEN(F983),IFERROR(FIND("♦",SUBSTITUTE(LEFT(F983,N10)," ","♦",LEN(LEFT(F983,N10))-LEN(SUBSTITUTE(LEFT(F983,N10)," ","")))),FIND(" ",F983&amp;" ",N10+1)-1)))</f>
        <v>1</v>
      </c>
      <c r="N983" s="119">
        <f t="shared" si="101"/>
        <v>966</v>
      </c>
      <c r="O983" s="99" t="str">
        <f t="shared" si="102"/>
        <v>0</v>
      </c>
      <c r="P983" s="119">
        <f t="shared" si="103"/>
        <v>1</v>
      </c>
      <c r="Q983" s="119">
        <f t="shared" si="104"/>
        <v>1</v>
      </c>
      <c r="S983" s="3">
        <v>1</v>
      </c>
    </row>
    <row r="984" spans="2:19">
      <c r="B984" s="116"/>
      <c r="C984" s="116"/>
      <c r="D984" s="116"/>
      <c r="E984" s="116" cm="1">
        <f t="array" ref="E984">IF(H983&lt;&gt;"",E983,IF(E983="","",IFERROR(MATCH(TRUE(),INDEX(INDEX(K:K,E983+1):K203&lt;&gt;"",0),0)+E983,"")))</f>
        <v>1125</v>
      </c>
      <c r="F984" s="117" cm="1">
        <f t="array" ref="F984">IF(E984="","",IF(H983&lt;&gt;"",H983,INDEX(D:D,E984)))</f>
        <v>0</v>
      </c>
      <c r="G984" s="117" t="str">
        <f t="shared" si="99"/>
        <v>0</v>
      </c>
      <c r="H984" s="118" t="str">
        <f t="shared" si="100"/>
        <v/>
      </c>
      <c r="I984" s="116" t="str">
        <f>IF(AND(F984&lt;&gt;"",N10&gt;0,M984&gt;N10),"Mot &gt; limite","")</f>
        <v/>
      </c>
      <c r="M984" s="70">
        <f>IF(OR(F984="",N10="",N10&lt;=0),"",IF(LEN(F984)&lt;=N10,LEN(F984),IFERROR(FIND("♦",SUBSTITUTE(LEFT(F984,N10)," ","♦",LEN(LEFT(F984,N10))-LEN(SUBSTITUTE(LEFT(F984,N10)," ","")))),FIND(" ",F984&amp;" ",N10+1)-1)))</f>
        <v>1</v>
      </c>
      <c r="N984" s="119">
        <f t="shared" si="101"/>
        <v>967</v>
      </c>
      <c r="O984" s="99" t="str">
        <f t="shared" si="102"/>
        <v>0</v>
      </c>
      <c r="P984" s="119">
        <f t="shared" si="103"/>
        <v>1</v>
      </c>
      <c r="Q984" s="119">
        <f t="shared" si="104"/>
        <v>1</v>
      </c>
      <c r="S984" s="3">
        <v>1</v>
      </c>
    </row>
    <row r="985" spans="2:19">
      <c r="B985" s="116"/>
      <c r="C985" s="116"/>
      <c r="D985" s="116"/>
      <c r="E985" s="116" cm="1">
        <f t="array" ref="E985">IF(H984&lt;&gt;"",E984,IF(E984="","",IFERROR(MATCH(TRUE(),INDEX(INDEX(K:K,E984+1):K203&lt;&gt;"",0),0)+E984,"")))</f>
        <v>1126</v>
      </c>
      <c r="F985" s="117" cm="1">
        <f t="array" ref="F985">IF(E985="","",IF(H984&lt;&gt;"",H984,INDEX(D:D,E985)))</f>
        <v>0</v>
      </c>
      <c r="G985" s="117" t="str">
        <f t="shared" si="99"/>
        <v>0</v>
      </c>
      <c r="H985" s="118" t="str">
        <f t="shared" si="100"/>
        <v/>
      </c>
      <c r="I985" s="116" t="str">
        <f>IF(AND(F985&lt;&gt;"",N10&gt;0,M985&gt;N10),"Mot &gt; limite","")</f>
        <v/>
      </c>
      <c r="M985" s="70">
        <f>IF(OR(F985="",N10="",N10&lt;=0),"",IF(LEN(F985)&lt;=N10,LEN(F985),IFERROR(FIND("♦",SUBSTITUTE(LEFT(F985,N10)," ","♦",LEN(LEFT(F985,N10))-LEN(SUBSTITUTE(LEFT(F985,N10)," ","")))),FIND(" ",F985&amp;" ",N10+1)-1)))</f>
        <v>1</v>
      </c>
      <c r="N985" s="119">
        <f t="shared" si="101"/>
        <v>968</v>
      </c>
      <c r="O985" s="99" t="str">
        <f t="shared" si="102"/>
        <v>0</v>
      </c>
      <c r="P985" s="119">
        <f t="shared" si="103"/>
        <v>1</v>
      </c>
      <c r="Q985" s="119">
        <f t="shared" si="104"/>
        <v>1</v>
      </c>
      <c r="S985" s="3">
        <v>1</v>
      </c>
    </row>
    <row r="986" spans="2:19">
      <c r="B986" s="116"/>
      <c r="C986" s="116"/>
      <c r="D986" s="116"/>
      <c r="E986" s="116" cm="1">
        <f t="array" ref="E986">IF(H985&lt;&gt;"",E985,IF(E985="","",IFERROR(MATCH(TRUE(),INDEX(INDEX(K:K,E985+1):K203&lt;&gt;"",0),0)+E985,"")))</f>
        <v>1127</v>
      </c>
      <c r="F986" s="117" cm="1">
        <f t="array" ref="F986">IF(E986="","",IF(H985&lt;&gt;"",H985,INDEX(D:D,E986)))</f>
        <v>0</v>
      </c>
      <c r="G986" s="117" t="str">
        <f t="shared" si="99"/>
        <v>0</v>
      </c>
      <c r="H986" s="118" t="str">
        <f t="shared" si="100"/>
        <v/>
      </c>
      <c r="I986" s="116" t="str">
        <f>IF(AND(F986&lt;&gt;"",N10&gt;0,M986&gt;N10),"Mot &gt; limite","")</f>
        <v/>
      </c>
      <c r="M986" s="70">
        <f>IF(OR(F986="",N10="",N10&lt;=0),"",IF(LEN(F986)&lt;=N10,LEN(F986),IFERROR(FIND("♦",SUBSTITUTE(LEFT(F986,N10)," ","♦",LEN(LEFT(F986,N10))-LEN(SUBSTITUTE(LEFT(F986,N10)," ","")))),FIND(" ",F986&amp;" ",N10+1)-1)))</f>
        <v>1</v>
      </c>
      <c r="N986" s="119">
        <f t="shared" si="101"/>
        <v>969</v>
      </c>
      <c r="O986" s="99" t="str">
        <f t="shared" si="102"/>
        <v>0</v>
      </c>
      <c r="P986" s="119">
        <f t="shared" si="103"/>
        <v>1</v>
      </c>
      <c r="Q986" s="119">
        <f t="shared" si="104"/>
        <v>1</v>
      </c>
      <c r="S986" s="3">
        <v>1</v>
      </c>
    </row>
    <row r="987" spans="2:19">
      <c r="B987" s="116"/>
      <c r="C987" s="116"/>
      <c r="D987" s="116"/>
      <c r="E987" s="116" cm="1">
        <f t="array" ref="E987">IF(H986&lt;&gt;"",E986,IF(E986="","",IFERROR(MATCH(TRUE(),INDEX(INDEX(K:K,E986+1):K203&lt;&gt;"",0),0)+E986,"")))</f>
        <v>1128</v>
      </c>
      <c r="F987" s="117" cm="1">
        <f t="array" ref="F987">IF(E987="","",IF(H986&lt;&gt;"",H986,INDEX(D:D,E987)))</f>
        <v>0</v>
      </c>
      <c r="G987" s="117" t="str">
        <f t="shared" si="99"/>
        <v>0</v>
      </c>
      <c r="H987" s="118" t="str">
        <f t="shared" si="100"/>
        <v/>
      </c>
      <c r="I987" s="116" t="str">
        <f>IF(AND(F987&lt;&gt;"",N10&gt;0,M987&gt;N10),"Mot &gt; limite","")</f>
        <v/>
      </c>
      <c r="M987" s="70">
        <f>IF(OR(F987="",N10="",N10&lt;=0),"",IF(LEN(F987)&lt;=N10,LEN(F987),IFERROR(FIND("♦",SUBSTITUTE(LEFT(F987,N10)," ","♦",LEN(LEFT(F987,N10))-LEN(SUBSTITUTE(LEFT(F987,N10)," ","")))),FIND(" ",F987&amp;" ",N10+1)-1)))</f>
        <v>1</v>
      </c>
      <c r="N987" s="119">
        <f t="shared" si="101"/>
        <v>970</v>
      </c>
      <c r="O987" s="99" t="str">
        <f t="shared" si="102"/>
        <v>0</v>
      </c>
      <c r="P987" s="119">
        <f t="shared" si="103"/>
        <v>1</v>
      </c>
      <c r="Q987" s="119">
        <f t="shared" si="104"/>
        <v>1</v>
      </c>
      <c r="S987" s="3">
        <v>1</v>
      </c>
    </row>
    <row r="988" spans="2:19">
      <c r="B988" s="116"/>
      <c r="C988" s="116"/>
      <c r="D988" s="116"/>
      <c r="E988" s="116" cm="1">
        <f t="array" ref="E988">IF(H987&lt;&gt;"",E987,IF(E987="","",IFERROR(MATCH(TRUE(),INDEX(INDEX(K:K,E987+1):K203&lt;&gt;"",0),0)+E987,"")))</f>
        <v>1129</v>
      </c>
      <c r="F988" s="117" cm="1">
        <f t="array" ref="F988">IF(E988="","",IF(H987&lt;&gt;"",H987,INDEX(D:D,E988)))</f>
        <v>0</v>
      </c>
      <c r="G988" s="117" t="str">
        <f t="shared" si="99"/>
        <v>0</v>
      </c>
      <c r="H988" s="118" t="str">
        <f t="shared" si="100"/>
        <v/>
      </c>
      <c r="I988" s="116" t="str">
        <f>IF(AND(F988&lt;&gt;"",N10&gt;0,M988&gt;N10),"Mot &gt; limite","")</f>
        <v/>
      </c>
      <c r="M988" s="70">
        <f>IF(OR(F988="",N10="",N10&lt;=0),"",IF(LEN(F988)&lt;=N10,LEN(F988),IFERROR(FIND("♦",SUBSTITUTE(LEFT(F988,N10)," ","♦",LEN(LEFT(F988,N10))-LEN(SUBSTITUTE(LEFT(F988,N10)," ","")))),FIND(" ",F988&amp;" ",N10+1)-1)))</f>
        <v>1</v>
      </c>
      <c r="N988" s="119">
        <f t="shared" si="101"/>
        <v>971</v>
      </c>
      <c r="O988" s="99" t="str">
        <f t="shared" si="102"/>
        <v>0</v>
      </c>
      <c r="P988" s="119">
        <f t="shared" si="103"/>
        <v>1</v>
      </c>
      <c r="Q988" s="119">
        <f t="shared" si="104"/>
        <v>1</v>
      </c>
      <c r="S988" s="3">
        <v>1</v>
      </c>
    </row>
    <row r="989" spans="2:19">
      <c r="B989" s="116"/>
      <c r="C989" s="116"/>
      <c r="D989" s="116"/>
      <c r="E989" s="116" cm="1">
        <f t="array" ref="E989">IF(H988&lt;&gt;"",E988,IF(E988="","",IFERROR(MATCH(TRUE(),INDEX(INDEX(K:K,E988+1):K203&lt;&gt;"",0),0)+E988,"")))</f>
        <v>1130</v>
      </c>
      <c r="F989" s="117" cm="1">
        <f t="array" ref="F989">IF(E989="","",IF(H988&lt;&gt;"",H988,INDEX(D:D,E989)))</f>
        <v>0</v>
      </c>
      <c r="G989" s="117" t="str">
        <f t="shared" si="99"/>
        <v>0</v>
      </c>
      <c r="H989" s="118" t="str">
        <f t="shared" si="100"/>
        <v/>
      </c>
      <c r="I989" s="116" t="str">
        <f>IF(AND(F989&lt;&gt;"",N10&gt;0,M989&gt;N10),"Mot &gt; limite","")</f>
        <v/>
      </c>
      <c r="M989" s="70">
        <f>IF(OR(F989="",N10="",N10&lt;=0),"",IF(LEN(F989)&lt;=N10,LEN(F989),IFERROR(FIND("♦",SUBSTITUTE(LEFT(F989,N10)," ","♦",LEN(LEFT(F989,N10))-LEN(SUBSTITUTE(LEFT(F989,N10)," ","")))),FIND(" ",F989&amp;" ",N10+1)-1)))</f>
        <v>1</v>
      </c>
      <c r="N989" s="119">
        <f t="shared" si="101"/>
        <v>972</v>
      </c>
      <c r="O989" s="99" t="str">
        <f t="shared" si="102"/>
        <v>0</v>
      </c>
      <c r="P989" s="119">
        <f t="shared" si="103"/>
        <v>1</v>
      </c>
      <c r="Q989" s="119">
        <f t="shared" si="104"/>
        <v>1</v>
      </c>
      <c r="S989" s="3">
        <v>1</v>
      </c>
    </row>
    <row r="990" spans="2:19">
      <c r="B990" s="116"/>
      <c r="C990" s="116"/>
      <c r="D990" s="116"/>
      <c r="E990" s="116" cm="1">
        <f t="array" ref="E990">IF(H989&lt;&gt;"",E989,IF(E989="","",IFERROR(MATCH(TRUE(),INDEX(INDEX(K:K,E989+1):K203&lt;&gt;"",0),0)+E989,"")))</f>
        <v>1131</v>
      </c>
      <c r="F990" s="117" cm="1">
        <f t="array" ref="F990">IF(E990="","",IF(H989&lt;&gt;"",H989,INDEX(D:D,E990)))</f>
        <v>0</v>
      </c>
      <c r="G990" s="117" t="str">
        <f t="shared" si="99"/>
        <v>0</v>
      </c>
      <c r="H990" s="118" t="str">
        <f t="shared" si="100"/>
        <v/>
      </c>
      <c r="I990" s="116" t="str">
        <f>IF(AND(F990&lt;&gt;"",N10&gt;0,M990&gt;N10),"Mot &gt; limite","")</f>
        <v/>
      </c>
      <c r="M990" s="70">
        <f>IF(OR(F990="",N10="",N10&lt;=0),"",IF(LEN(F990)&lt;=N10,LEN(F990),IFERROR(FIND("♦",SUBSTITUTE(LEFT(F990,N10)," ","♦",LEN(LEFT(F990,N10))-LEN(SUBSTITUTE(LEFT(F990,N10)," ","")))),FIND(" ",F990&amp;" ",N10+1)-1)))</f>
        <v>1</v>
      </c>
      <c r="N990" s="119">
        <f t="shared" si="101"/>
        <v>973</v>
      </c>
      <c r="O990" s="99" t="str">
        <f t="shared" si="102"/>
        <v>0</v>
      </c>
      <c r="P990" s="119">
        <f t="shared" si="103"/>
        <v>1</v>
      </c>
      <c r="Q990" s="119">
        <f t="shared" si="104"/>
        <v>1</v>
      </c>
      <c r="S990" s="3">
        <v>1</v>
      </c>
    </row>
    <row r="991" spans="2:19">
      <c r="B991" s="116"/>
      <c r="C991" s="116"/>
      <c r="D991" s="116"/>
      <c r="E991" s="116" cm="1">
        <f t="array" ref="E991">IF(H990&lt;&gt;"",E990,IF(E990="","",IFERROR(MATCH(TRUE(),INDEX(INDEX(K:K,E990+1):K203&lt;&gt;"",0),0)+E990,"")))</f>
        <v>1132</v>
      </c>
      <c r="F991" s="117" cm="1">
        <f t="array" ref="F991">IF(E991="","",IF(H990&lt;&gt;"",H990,INDEX(D:D,E991)))</f>
        <v>0</v>
      </c>
      <c r="G991" s="117" t="str">
        <f t="shared" si="99"/>
        <v>0</v>
      </c>
      <c r="H991" s="118" t="str">
        <f t="shared" si="100"/>
        <v/>
      </c>
      <c r="I991" s="116" t="str">
        <f>IF(AND(F991&lt;&gt;"",N10&gt;0,M991&gt;N10),"Mot &gt; limite","")</f>
        <v/>
      </c>
      <c r="M991" s="70">
        <f>IF(OR(F991="",N10="",N10&lt;=0),"",IF(LEN(F991)&lt;=N10,LEN(F991),IFERROR(FIND("♦",SUBSTITUTE(LEFT(F991,N10)," ","♦",LEN(LEFT(F991,N10))-LEN(SUBSTITUTE(LEFT(F991,N10)," ","")))),FIND(" ",F991&amp;" ",N10+1)-1)))</f>
        <v>1</v>
      </c>
      <c r="N991" s="119">
        <f t="shared" si="101"/>
        <v>974</v>
      </c>
      <c r="O991" s="99" t="str">
        <f t="shared" si="102"/>
        <v>0</v>
      </c>
      <c r="P991" s="119">
        <f t="shared" si="103"/>
        <v>1</v>
      </c>
      <c r="Q991" s="119">
        <f t="shared" si="104"/>
        <v>1</v>
      </c>
      <c r="S991" s="3">
        <v>1</v>
      </c>
    </row>
    <row r="992" spans="2:19">
      <c r="B992" s="116"/>
      <c r="C992" s="116"/>
      <c r="D992" s="116"/>
      <c r="E992" s="116" cm="1">
        <f t="array" ref="E992">IF(H991&lt;&gt;"",E991,IF(E991="","",IFERROR(MATCH(TRUE(),INDEX(INDEX(K:K,E991+1):K203&lt;&gt;"",0),0)+E991,"")))</f>
        <v>1133</v>
      </c>
      <c r="F992" s="117" cm="1">
        <f t="array" ref="F992">IF(E992="","",IF(H991&lt;&gt;"",H991,INDEX(D:D,E992)))</f>
        <v>0</v>
      </c>
      <c r="G992" s="117" t="str">
        <f t="shared" si="99"/>
        <v>0</v>
      </c>
      <c r="H992" s="118" t="str">
        <f t="shared" si="100"/>
        <v/>
      </c>
      <c r="I992" s="116" t="str">
        <f>IF(AND(F992&lt;&gt;"",N10&gt;0,M992&gt;N10),"Mot &gt; limite","")</f>
        <v/>
      </c>
      <c r="M992" s="70">
        <f>IF(OR(F992="",N10="",N10&lt;=0),"",IF(LEN(F992)&lt;=N10,LEN(F992),IFERROR(FIND("♦",SUBSTITUTE(LEFT(F992,N10)," ","♦",LEN(LEFT(F992,N10))-LEN(SUBSTITUTE(LEFT(F992,N10)," ","")))),FIND(" ",F992&amp;" ",N10+1)-1)))</f>
        <v>1</v>
      </c>
      <c r="N992" s="119">
        <f t="shared" si="101"/>
        <v>975</v>
      </c>
      <c r="O992" s="99" t="str">
        <f t="shared" si="102"/>
        <v>0</v>
      </c>
      <c r="P992" s="119">
        <f t="shared" si="103"/>
        <v>1</v>
      </c>
      <c r="Q992" s="119">
        <f t="shared" si="104"/>
        <v>1</v>
      </c>
      <c r="S992" s="3">
        <v>1</v>
      </c>
    </row>
    <row r="993" spans="2:19">
      <c r="B993" s="116"/>
      <c r="C993" s="116"/>
      <c r="D993" s="116"/>
      <c r="E993" s="116" cm="1">
        <f t="array" ref="E993">IF(H992&lt;&gt;"",E992,IF(E992="","",IFERROR(MATCH(TRUE(),INDEX(INDEX(K:K,E992+1):K203&lt;&gt;"",0),0)+E992,"")))</f>
        <v>1134</v>
      </c>
      <c r="F993" s="117" cm="1">
        <f t="array" ref="F993">IF(E993="","",IF(H992&lt;&gt;"",H992,INDEX(D:D,E993)))</f>
        <v>0</v>
      </c>
      <c r="G993" s="117" t="str">
        <f t="shared" si="99"/>
        <v>0</v>
      </c>
      <c r="H993" s="118" t="str">
        <f t="shared" si="100"/>
        <v/>
      </c>
      <c r="I993" s="116" t="str">
        <f>IF(AND(F993&lt;&gt;"",N10&gt;0,M993&gt;N10),"Mot &gt; limite","")</f>
        <v/>
      </c>
      <c r="M993" s="70">
        <f>IF(OR(F993="",N10="",N10&lt;=0),"",IF(LEN(F993)&lt;=N10,LEN(F993),IFERROR(FIND("♦",SUBSTITUTE(LEFT(F993,N10)," ","♦",LEN(LEFT(F993,N10))-LEN(SUBSTITUTE(LEFT(F993,N10)," ","")))),FIND(" ",F993&amp;" ",N10+1)-1)))</f>
        <v>1</v>
      </c>
      <c r="N993" s="119">
        <f t="shared" si="101"/>
        <v>976</v>
      </c>
      <c r="O993" s="99" t="str">
        <f t="shared" si="102"/>
        <v>0</v>
      </c>
      <c r="P993" s="119">
        <f t="shared" si="103"/>
        <v>1</v>
      </c>
      <c r="Q993" s="119">
        <f t="shared" si="104"/>
        <v>1</v>
      </c>
      <c r="S993" s="3">
        <v>1</v>
      </c>
    </row>
    <row r="994" spans="2:19">
      <c r="B994" s="116"/>
      <c r="C994" s="116"/>
      <c r="D994" s="116"/>
      <c r="E994" s="116" cm="1">
        <f t="array" ref="E994">IF(H993&lt;&gt;"",E993,IF(E993="","",IFERROR(MATCH(TRUE(),INDEX(INDEX(K:K,E993+1):K203&lt;&gt;"",0),0)+E993,"")))</f>
        <v>1135</v>
      </c>
      <c r="F994" s="117" cm="1">
        <f t="array" ref="F994">IF(E994="","",IF(H993&lt;&gt;"",H993,INDEX(D:D,E994)))</f>
        <v>0</v>
      </c>
      <c r="G994" s="117" t="str">
        <f t="shared" si="99"/>
        <v>0</v>
      </c>
      <c r="H994" s="118" t="str">
        <f t="shared" si="100"/>
        <v/>
      </c>
      <c r="I994" s="116" t="str">
        <f>IF(AND(F994&lt;&gt;"",N10&gt;0,M994&gt;N10),"Mot &gt; limite","")</f>
        <v/>
      </c>
      <c r="M994" s="70">
        <f>IF(OR(F994="",N10="",N10&lt;=0),"",IF(LEN(F994)&lt;=N10,LEN(F994),IFERROR(FIND("♦",SUBSTITUTE(LEFT(F994,N10)," ","♦",LEN(LEFT(F994,N10))-LEN(SUBSTITUTE(LEFT(F994,N10)," ","")))),FIND(" ",F994&amp;" ",N10+1)-1)))</f>
        <v>1</v>
      </c>
      <c r="N994" s="119">
        <f t="shared" si="101"/>
        <v>977</v>
      </c>
      <c r="O994" s="99" t="str">
        <f t="shared" si="102"/>
        <v>0</v>
      </c>
      <c r="P994" s="119">
        <f t="shared" si="103"/>
        <v>1</v>
      </c>
      <c r="Q994" s="119">
        <f t="shared" si="104"/>
        <v>1</v>
      </c>
      <c r="S994" s="3">
        <v>1</v>
      </c>
    </row>
    <row r="995" spans="2:19">
      <c r="B995" s="116"/>
      <c r="C995" s="116"/>
      <c r="D995" s="116"/>
      <c r="E995" s="116" cm="1">
        <f t="array" ref="E995">IF(H994&lt;&gt;"",E994,IF(E994="","",IFERROR(MATCH(TRUE(),INDEX(INDEX(K:K,E994+1):K203&lt;&gt;"",0),0)+E994,"")))</f>
        <v>1136</v>
      </c>
      <c r="F995" s="117" cm="1">
        <f t="array" ref="F995">IF(E995="","",IF(H994&lt;&gt;"",H994,INDEX(D:D,E995)))</f>
        <v>0</v>
      </c>
      <c r="G995" s="117" t="str">
        <f t="shared" si="99"/>
        <v>0</v>
      </c>
      <c r="H995" s="118" t="str">
        <f t="shared" si="100"/>
        <v/>
      </c>
      <c r="I995" s="116" t="str">
        <f>IF(AND(F995&lt;&gt;"",N10&gt;0,M995&gt;N10),"Mot &gt; limite","")</f>
        <v/>
      </c>
      <c r="M995" s="70">
        <f>IF(OR(F995="",N10="",N10&lt;=0),"",IF(LEN(F995)&lt;=N10,LEN(F995),IFERROR(FIND("♦",SUBSTITUTE(LEFT(F995,N10)," ","♦",LEN(LEFT(F995,N10))-LEN(SUBSTITUTE(LEFT(F995,N10)," ","")))),FIND(" ",F995&amp;" ",N10+1)-1)))</f>
        <v>1</v>
      </c>
      <c r="N995" s="119">
        <f t="shared" si="101"/>
        <v>978</v>
      </c>
      <c r="O995" s="99" t="str">
        <f t="shared" si="102"/>
        <v>0</v>
      </c>
      <c r="P995" s="119">
        <f t="shared" si="103"/>
        <v>1</v>
      </c>
      <c r="Q995" s="119">
        <f t="shared" si="104"/>
        <v>1</v>
      </c>
      <c r="S995" s="3">
        <v>1</v>
      </c>
    </row>
    <row r="996" spans="2:19">
      <c r="B996" s="116"/>
      <c r="C996" s="116"/>
      <c r="D996" s="116"/>
      <c r="E996" s="116" cm="1">
        <f t="array" ref="E996">IF(H995&lt;&gt;"",E995,IF(E995="","",IFERROR(MATCH(TRUE(),INDEX(INDEX(K:K,E995+1):K203&lt;&gt;"",0),0)+E995,"")))</f>
        <v>1137</v>
      </c>
      <c r="F996" s="117" cm="1">
        <f t="array" ref="F996">IF(E996="","",IF(H995&lt;&gt;"",H995,INDEX(D:D,E996)))</f>
        <v>0</v>
      </c>
      <c r="G996" s="117" t="str">
        <f t="shared" si="99"/>
        <v>0</v>
      </c>
      <c r="H996" s="118" t="str">
        <f t="shared" si="100"/>
        <v/>
      </c>
      <c r="I996" s="116" t="str">
        <f>IF(AND(F996&lt;&gt;"",N10&gt;0,M996&gt;N10),"Mot &gt; limite","")</f>
        <v/>
      </c>
      <c r="M996" s="70">
        <f>IF(OR(F996="",N10="",N10&lt;=0),"",IF(LEN(F996)&lt;=N10,LEN(F996),IFERROR(FIND("♦",SUBSTITUTE(LEFT(F996,N10)," ","♦",LEN(LEFT(F996,N10))-LEN(SUBSTITUTE(LEFT(F996,N10)," ","")))),FIND(" ",F996&amp;" ",N10+1)-1)))</f>
        <v>1</v>
      </c>
      <c r="N996" s="119">
        <f t="shared" si="101"/>
        <v>979</v>
      </c>
      <c r="O996" s="99" t="str">
        <f t="shared" si="102"/>
        <v>0</v>
      </c>
      <c r="P996" s="119">
        <f t="shared" si="103"/>
        <v>1</v>
      </c>
      <c r="Q996" s="119">
        <f t="shared" si="104"/>
        <v>1</v>
      </c>
      <c r="S996" s="3">
        <v>1</v>
      </c>
    </row>
    <row r="997" spans="2:19">
      <c r="B997" s="116"/>
      <c r="C997" s="116"/>
      <c r="D997" s="116"/>
      <c r="E997" s="116" cm="1">
        <f t="array" ref="E997">IF(H996&lt;&gt;"",E996,IF(E996="","",IFERROR(MATCH(TRUE(),INDEX(INDEX(K:K,E996+1):K203&lt;&gt;"",0),0)+E996,"")))</f>
        <v>1138</v>
      </c>
      <c r="F997" s="117" cm="1">
        <f t="array" ref="F997">IF(E997="","",IF(H996&lt;&gt;"",H996,INDEX(D:D,E997)))</f>
        <v>0</v>
      </c>
      <c r="G997" s="117" t="str">
        <f t="shared" si="99"/>
        <v>0</v>
      </c>
      <c r="H997" s="118" t="str">
        <f t="shared" si="100"/>
        <v/>
      </c>
      <c r="I997" s="116" t="str">
        <f>IF(AND(F997&lt;&gt;"",N10&gt;0,M997&gt;N10),"Mot &gt; limite","")</f>
        <v/>
      </c>
      <c r="M997" s="70">
        <f>IF(OR(F997="",N10="",N10&lt;=0),"",IF(LEN(F997)&lt;=N10,LEN(F997),IFERROR(FIND("♦",SUBSTITUTE(LEFT(F997,N10)," ","♦",LEN(LEFT(F997,N10))-LEN(SUBSTITUTE(LEFT(F997,N10)," ","")))),FIND(" ",F997&amp;" ",N10+1)-1)))</f>
        <v>1</v>
      </c>
      <c r="N997" s="119">
        <f t="shared" si="101"/>
        <v>980</v>
      </c>
      <c r="O997" s="99" t="str">
        <f t="shared" si="102"/>
        <v>0</v>
      </c>
      <c r="P997" s="119">
        <f t="shared" si="103"/>
        <v>1</v>
      </c>
      <c r="Q997" s="119">
        <f t="shared" si="104"/>
        <v>1</v>
      </c>
      <c r="S997" s="3">
        <v>1</v>
      </c>
    </row>
    <row r="998" spans="2:19">
      <c r="B998" s="116"/>
      <c r="C998" s="116"/>
      <c r="D998" s="116"/>
      <c r="E998" s="116" cm="1">
        <f t="array" ref="E998">IF(H997&lt;&gt;"",E997,IF(E997="","",IFERROR(MATCH(TRUE(),INDEX(INDEX(K:K,E997+1):K203&lt;&gt;"",0),0)+E997,"")))</f>
        <v>1139</v>
      </c>
      <c r="F998" s="117" cm="1">
        <f t="array" ref="F998">IF(E998="","",IF(H997&lt;&gt;"",H997,INDEX(D:D,E998)))</f>
        <v>0</v>
      </c>
      <c r="G998" s="117" t="str">
        <f t="shared" si="99"/>
        <v>0</v>
      </c>
      <c r="H998" s="118" t="str">
        <f t="shared" si="100"/>
        <v/>
      </c>
      <c r="I998" s="116" t="str">
        <f>IF(AND(F998&lt;&gt;"",N10&gt;0,M998&gt;N10),"Mot &gt; limite","")</f>
        <v/>
      </c>
      <c r="M998" s="70">
        <f>IF(OR(F998="",N10="",N10&lt;=0),"",IF(LEN(F998)&lt;=N10,LEN(F998),IFERROR(FIND("♦",SUBSTITUTE(LEFT(F998,N10)," ","♦",LEN(LEFT(F998,N10))-LEN(SUBSTITUTE(LEFT(F998,N10)," ","")))),FIND(" ",F998&amp;" ",N10+1)-1)))</f>
        <v>1</v>
      </c>
      <c r="N998" s="119">
        <f t="shared" si="101"/>
        <v>981</v>
      </c>
      <c r="O998" s="99" t="str">
        <f t="shared" si="102"/>
        <v>0</v>
      </c>
      <c r="P998" s="119">
        <f t="shared" si="103"/>
        <v>1</v>
      </c>
      <c r="Q998" s="119">
        <f t="shared" si="104"/>
        <v>1</v>
      </c>
      <c r="S998" s="3">
        <v>1</v>
      </c>
    </row>
    <row r="999" spans="2:19">
      <c r="B999" s="116"/>
      <c r="C999" s="116"/>
      <c r="D999" s="116"/>
      <c r="E999" s="116" cm="1">
        <f t="array" ref="E999">IF(H998&lt;&gt;"",E998,IF(E998="","",IFERROR(MATCH(TRUE(),INDEX(INDEX(K:K,E998+1):K203&lt;&gt;"",0),0)+E998,"")))</f>
        <v>1140</v>
      </c>
      <c r="F999" s="117" cm="1">
        <f t="array" ref="F999">IF(E999="","",IF(H998&lt;&gt;"",H998,INDEX(D:D,E999)))</f>
        <v>0</v>
      </c>
      <c r="G999" s="117" t="str">
        <f t="shared" si="99"/>
        <v>0</v>
      </c>
      <c r="H999" s="118" t="str">
        <f t="shared" si="100"/>
        <v/>
      </c>
      <c r="I999" s="116" t="str">
        <f>IF(AND(F999&lt;&gt;"",N10&gt;0,M999&gt;N10),"Mot &gt; limite","")</f>
        <v/>
      </c>
      <c r="M999" s="70">
        <f>IF(OR(F999="",N10="",N10&lt;=0),"",IF(LEN(F999)&lt;=N10,LEN(F999),IFERROR(FIND("♦",SUBSTITUTE(LEFT(F999,N10)," ","♦",LEN(LEFT(F999,N10))-LEN(SUBSTITUTE(LEFT(F999,N10)," ","")))),FIND(" ",F999&amp;" ",N10+1)-1)))</f>
        <v>1</v>
      </c>
      <c r="N999" s="119">
        <f t="shared" si="101"/>
        <v>982</v>
      </c>
      <c r="O999" s="99" t="str">
        <f t="shared" si="102"/>
        <v>0</v>
      </c>
      <c r="P999" s="119">
        <f t="shared" si="103"/>
        <v>1</v>
      </c>
      <c r="Q999" s="119">
        <f t="shared" si="104"/>
        <v>1</v>
      </c>
      <c r="S999" s="3">
        <v>1</v>
      </c>
    </row>
    <row r="1000" spans="2:19">
      <c r="B1000" s="116"/>
      <c r="C1000" s="116"/>
      <c r="D1000" s="116"/>
      <c r="E1000" s="116" cm="1">
        <f t="array" ref="E1000">IF(H999&lt;&gt;"",E999,IF(E999="","",IFERROR(MATCH(TRUE(),INDEX(INDEX(K:K,E999+1):K203&lt;&gt;"",0),0)+E999,"")))</f>
        <v>1141</v>
      </c>
      <c r="F1000" s="117" cm="1">
        <f t="array" ref="F1000">IF(E1000="","",IF(H999&lt;&gt;"",H999,INDEX(D:D,E1000)))</f>
        <v>0</v>
      </c>
      <c r="G1000" s="117" t="str">
        <f t="shared" si="99"/>
        <v>0</v>
      </c>
      <c r="H1000" s="118" t="str">
        <f t="shared" si="100"/>
        <v/>
      </c>
      <c r="I1000" s="116" t="str">
        <f>IF(AND(F1000&lt;&gt;"",N10&gt;0,M1000&gt;N10),"Mot &gt; limite","")</f>
        <v/>
      </c>
      <c r="M1000" s="70">
        <f>IF(OR(F1000="",N10="",N10&lt;=0),"",IF(LEN(F1000)&lt;=N10,LEN(F1000),IFERROR(FIND("♦",SUBSTITUTE(LEFT(F1000,N10)," ","♦",LEN(LEFT(F1000,N10))-LEN(SUBSTITUTE(LEFT(F1000,N10)," ","")))),FIND(" ",F1000&amp;" ",N10+1)-1)))</f>
        <v>1</v>
      </c>
      <c r="N1000" s="119">
        <f t="shared" si="101"/>
        <v>983</v>
      </c>
      <c r="O1000" s="99" t="str">
        <f t="shared" si="102"/>
        <v>0</v>
      </c>
      <c r="P1000" s="119">
        <f t="shared" si="103"/>
        <v>1</v>
      </c>
      <c r="Q1000" s="119">
        <f t="shared" si="104"/>
        <v>1</v>
      </c>
      <c r="S1000" s="3">
        <v>1</v>
      </c>
    </row>
    <row r="1001" spans="2:19">
      <c r="B1001" s="116"/>
      <c r="C1001" s="116"/>
      <c r="D1001" s="116"/>
      <c r="E1001" s="116" cm="1">
        <f t="array" ref="E1001">IF(H1000&lt;&gt;"",E1000,IF(E1000="","",IFERROR(MATCH(TRUE(),INDEX(INDEX(K:K,E1000+1):K203&lt;&gt;"",0),0)+E1000,"")))</f>
        <v>1142</v>
      </c>
      <c r="F1001" s="117" cm="1">
        <f t="array" ref="F1001">IF(E1001="","",IF(H1000&lt;&gt;"",H1000,INDEX(D:D,E1001)))</f>
        <v>0</v>
      </c>
      <c r="G1001" s="117" t="str">
        <f t="shared" si="99"/>
        <v>0</v>
      </c>
      <c r="H1001" s="118" t="str">
        <f t="shared" si="100"/>
        <v/>
      </c>
      <c r="I1001" s="116" t="str">
        <f>IF(AND(F1001&lt;&gt;"",N10&gt;0,M1001&gt;N10),"Mot &gt; limite","")</f>
        <v/>
      </c>
      <c r="M1001" s="70">
        <f>IF(OR(F1001="",N10="",N10&lt;=0),"",IF(LEN(F1001)&lt;=N10,LEN(F1001),IFERROR(FIND("♦",SUBSTITUTE(LEFT(F1001,N10)," ","♦",LEN(LEFT(F1001,N10))-LEN(SUBSTITUTE(LEFT(F1001,N10)," ","")))),FIND(" ",F1001&amp;" ",N10+1)-1)))</f>
        <v>1</v>
      </c>
      <c r="N1001" s="119">
        <f t="shared" si="101"/>
        <v>984</v>
      </c>
      <c r="O1001" s="99" t="str">
        <f t="shared" si="102"/>
        <v>0</v>
      </c>
      <c r="P1001" s="119">
        <f t="shared" si="103"/>
        <v>1</v>
      </c>
      <c r="Q1001" s="119">
        <f t="shared" si="104"/>
        <v>1</v>
      </c>
      <c r="S1001" s="3">
        <v>1</v>
      </c>
    </row>
    <row r="1002" spans="2:19">
      <c r="B1002" s="116"/>
      <c r="C1002" s="116"/>
      <c r="D1002" s="116"/>
      <c r="E1002" s="116" cm="1">
        <f t="array" ref="E1002">IF(H1001&lt;&gt;"",E1001,IF(E1001="","",IFERROR(MATCH(TRUE(),INDEX(INDEX(K:K,E1001+1):K203&lt;&gt;"",0),0)+E1001,"")))</f>
        <v>1143</v>
      </c>
      <c r="F1002" s="117" cm="1">
        <f t="array" ref="F1002">IF(E1002="","",IF(H1001&lt;&gt;"",H1001,INDEX(D:D,E1002)))</f>
        <v>0</v>
      </c>
      <c r="G1002" s="117" t="str">
        <f t="shared" si="99"/>
        <v>0</v>
      </c>
      <c r="H1002" s="118" t="str">
        <f t="shared" si="100"/>
        <v/>
      </c>
      <c r="I1002" s="116" t="str">
        <f>IF(AND(F1002&lt;&gt;"",N10&gt;0,M1002&gt;N10),"Mot &gt; limite","")</f>
        <v/>
      </c>
      <c r="M1002" s="70">
        <f>IF(OR(F1002="",N10="",N10&lt;=0),"",IF(LEN(F1002)&lt;=N10,LEN(F1002),IFERROR(FIND("♦",SUBSTITUTE(LEFT(F1002,N10)," ","♦",LEN(LEFT(F1002,N10))-LEN(SUBSTITUTE(LEFT(F1002,N10)," ","")))),FIND(" ",F1002&amp;" ",N10+1)-1)))</f>
        <v>1</v>
      </c>
      <c r="N1002" s="119">
        <f t="shared" si="101"/>
        <v>985</v>
      </c>
      <c r="O1002" s="99" t="str">
        <f t="shared" si="102"/>
        <v>0</v>
      </c>
      <c r="P1002" s="119">
        <f t="shared" si="103"/>
        <v>1</v>
      </c>
      <c r="Q1002" s="119">
        <f t="shared" si="104"/>
        <v>1</v>
      </c>
      <c r="S1002" s="3">
        <v>1</v>
      </c>
    </row>
    <row r="1003" spans="2:19">
      <c r="B1003" s="116"/>
      <c r="C1003" s="116"/>
      <c r="D1003" s="116"/>
      <c r="E1003" s="116" cm="1">
        <f t="array" ref="E1003">IF(H1002&lt;&gt;"",E1002,IF(E1002="","",IFERROR(MATCH(TRUE(),INDEX(INDEX(K:K,E1002+1):K203&lt;&gt;"",0),0)+E1002,"")))</f>
        <v>1144</v>
      </c>
      <c r="F1003" s="117" cm="1">
        <f t="array" ref="F1003">IF(E1003="","",IF(H1002&lt;&gt;"",H1002,INDEX(D:D,E1003)))</f>
        <v>0</v>
      </c>
      <c r="G1003" s="117" t="str">
        <f t="shared" si="99"/>
        <v>0</v>
      </c>
      <c r="H1003" s="118" t="str">
        <f t="shared" si="100"/>
        <v/>
      </c>
      <c r="I1003" s="116" t="str">
        <f>IF(AND(F1003&lt;&gt;"",N10&gt;0,M1003&gt;N10),"Mot &gt; limite","")</f>
        <v/>
      </c>
      <c r="M1003" s="70">
        <f>IF(OR(F1003="",N10="",N10&lt;=0),"",IF(LEN(F1003)&lt;=N10,LEN(F1003),IFERROR(FIND("♦",SUBSTITUTE(LEFT(F1003,N10)," ","♦",LEN(LEFT(F1003,N10))-LEN(SUBSTITUTE(LEFT(F1003,N10)," ","")))),FIND(" ",F1003&amp;" ",N10+1)-1)))</f>
        <v>1</v>
      </c>
      <c r="N1003" s="119">
        <f t="shared" si="101"/>
        <v>986</v>
      </c>
      <c r="O1003" s="99" t="str">
        <f t="shared" si="102"/>
        <v>0</v>
      </c>
      <c r="P1003" s="119">
        <f t="shared" si="103"/>
        <v>1</v>
      </c>
      <c r="Q1003" s="119">
        <f t="shared" si="104"/>
        <v>1</v>
      </c>
      <c r="S1003" s="3">
        <v>1</v>
      </c>
    </row>
    <row r="1004" spans="2:19">
      <c r="B1004" s="116"/>
      <c r="C1004" s="116"/>
      <c r="D1004" s="116"/>
      <c r="E1004" s="116" cm="1">
        <f t="array" ref="E1004">IF(H1003&lt;&gt;"",E1003,IF(E1003="","",IFERROR(MATCH(TRUE(),INDEX(INDEX(K:K,E1003+1):K203&lt;&gt;"",0),0)+E1003,"")))</f>
        <v>1145</v>
      </c>
      <c r="F1004" s="117" cm="1">
        <f t="array" ref="F1004">IF(E1004="","",IF(H1003&lt;&gt;"",H1003,INDEX(D:D,E1004)))</f>
        <v>0</v>
      </c>
      <c r="G1004" s="117" t="str">
        <f t="shared" si="99"/>
        <v>0</v>
      </c>
      <c r="H1004" s="118" t="str">
        <f t="shared" si="100"/>
        <v/>
      </c>
      <c r="I1004" s="116" t="str">
        <f>IF(AND(F1004&lt;&gt;"",N10&gt;0,M1004&gt;N10),"Mot &gt; limite","")</f>
        <v/>
      </c>
      <c r="M1004" s="70">
        <f>IF(OR(F1004="",N10="",N10&lt;=0),"",IF(LEN(F1004)&lt;=N10,LEN(F1004),IFERROR(FIND("♦",SUBSTITUTE(LEFT(F1004,N10)," ","♦",LEN(LEFT(F1004,N10))-LEN(SUBSTITUTE(LEFT(F1004,N10)," ","")))),FIND(" ",F1004&amp;" ",N10+1)-1)))</f>
        <v>1</v>
      </c>
      <c r="N1004" s="119">
        <f t="shared" si="101"/>
        <v>987</v>
      </c>
      <c r="O1004" s="99" t="str">
        <f t="shared" si="102"/>
        <v>0</v>
      </c>
      <c r="P1004" s="119">
        <f t="shared" si="103"/>
        <v>1</v>
      </c>
      <c r="Q1004" s="119">
        <f t="shared" si="104"/>
        <v>1</v>
      </c>
      <c r="S1004" s="3">
        <v>1</v>
      </c>
    </row>
    <row r="1005" spans="2:19">
      <c r="B1005" s="116"/>
      <c r="C1005" s="116"/>
      <c r="D1005" s="116"/>
      <c r="E1005" s="116" cm="1">
        <f t="array" ref="E1005">IF(H1004&lt;&gt;"",E1004,IF(E1004="","",IFERROR(MATCH(TRUE(),INDEX(INDEX(K:K,E1004+1):K203&lt;&gt;"",0),0)+E1004,"")))</f>
        <v>1146</v>
      </c>
      <c r="F1005" s="117" cm="1">
        <f t="array" ref="F1005">IF(E1005="","",IF(H1004&lt;&gt;"",H1004,INDEX(D:D,E1005)))</f>
        <v>0</v>
      </c>
      <c r="G1005" s="117" t="str">
        <f t="shared" si="99"/>
        <v>0</v>
      </c>
      <c r="H1005" s="118" t="str">
        <f t="shared" si="100"/>
        <v/>
      </c>
      <c r="I1005" s="116" t="str">
        <f>IF(AND(F1005&lt;&gt;"",N10&gt;0,M1005&gt;N10),"Mot &gt; limite","")</f>
        <v/>
      </c>
      <c r="M1005" s="70">
        <f>IF(OR(F1005="",N10="",N10&lt;=0),"",IF(LEN(F1005)&lt;=N10,LEN(F1005),IFERROR(FIND("♦",SUBSTITUTE(LEFT(F1005,N10)," ","♦",LEN(LEFT(F1005,N10))-LEN(SUBSTITUTE(LEFT(F1005,N10)," ","")))),FIND(" ",F1005&amp;" ",N10+1)-1)))</f>
        <v>1</v>
      </c>
      <c r="N1005" s="119">
        <f t="shared" si="101"/>
        <v>988</v>
      </c>
      <c r="O1005" s="99" t="str">
        <f t="shared" si="102"/>
        <v>0</v>
      </c>
      <c r="P1005" s="119">
        <f t="shared" si="103"/>
        <v>1</v>
      </c>
      <c r="Q1005" s="119">
        <f t="shared" si="104"/>
        <v>1</v>
      </c>
      <c r="S1005" s="3">
        <v>1</v>
      </c>
    </row>
    <row r="1006" spans="2:19">
      <c r="B1006" s="116"/>
      <c r="C1006" s="116"/>
      <c r="D1006" s="116"/>
      <c r="E1006" s="116" cm="1">
        <f t="array" ref="E1006">IF(H1005&lt;&gt;"",E1005,IF(E1005="","",IFERROR(MATCH(TRUE(),INDEX(INDEX(K:K,E1005+1):K203&lt;&gt;"",0),0)+E1005,"")))</f>
        <v>1147</v>
      </c>
      <c r="F1006" s="117" cm="1">
        <f t="array" ref="F1006">IF(E1006="","",IF(H1005&lt;&gt;"",H1005,INDEX(D:D,E1006)))</f>
        <v>0</v>
      </c>
      <c r="G1006" s="117" t="str">
        <f t="shared" si="99"/>
        <v>0</v>
      </c>
      <c r="H1006" s="118" t="str">
        <f t="shared" si="100"/>
        <v/>
      </c>
      <c r="I1006" s="116" t="str">
        <f>IF(AND(F1006&lt;&gt;"",N10&gt;0,M1006&gt;N10),"Mot &gt; limite","")</f>
        <v/>
      </c>
      <c r="M1006" s="70">
        <f>IF(OR(F1006="",N10="",N10&lt;=0),"",IF(LEN(F1006)&lt;=N10,LEN(F1006),IFERROR(FIND("♦",SUBSTITUTE(LEFT(F1006,N10)," ","♦",LEN(LEFT(F1006,N10))-LEN(SUBSTITUTE(LEFT(F1006,N10)," ","")))),FIND(" ",F1006&amp;" ",N10+1)-1)))</f>
        <v>1</v>
      </c>
      <c r="N1006" s="119">
        <f t="shared" si="101"/>
        <v>989</v>
      </c>
      <c r="O1006" s="99" t="str">
        <f t="shared" si="102"/>
        <v>0</v>
      </c>
      <c r="P1006" s="119">
        <f t="shared" si="103"/>
        <v>1</v>
      </c>
      <c r="Q1006" s="119">
        <f t="shared" si="104"/>
        <v>1</v>
      </c>
      <c r="S1006" s="3">
        <v>1</v>
      </c>
    </row>
    <row r="1007" spans="2:19">
      <c r="B1007" s="116"/>
      <c r="C1007" s="116"/>
      <c r="D1007" s="116"/>
      <c r="E1007" s="116" cm="1">
        <f t="array" ref="E1007">IF(H1006&lt;&gt;"",E1006,IF(E1006="","",IFERROR(MATCH(TRUE(),INDEX(INDEX(K:K,E1006+1):K203&lt;&gt;"",0),0)+E1006,"")))</f>
        <v>1148</v>
      </c>
      <c r="F1007" s="117" cm="1">
        <f t="array" ref="F1007">IF(E1007="","",IF(H1006&lt;&gt;"",H1006,INDEX(D:D,E1007)))</f>
        <v>0</v>
      </c>
      <c r="G1007" s="117" t="str">
        <f t="shared" si="99"/>
        <v>0</v>
      </c>
      <c r="H1007" s="118" t="str">
        <f t="shared" si="100"/>
        <v/>
      </c>
      <c r="I1007" s="116" t="str">
        <f>IF(AND(F1007&lt;&gt;"",N10&gt;0,M1007&gt;N10),"Mot &gt; limite","")</f>
        <v/>
      </c>
      <c r="M1007" s="70">
        <f>IF(OR(F1007="",N10="",N10&lt;=0),"",IF(LEN(F1007)&lt;=N10,LEN(F1007),IFERROR(FIND("♦",SUBSTITUTE(LEFT(F1007,N10)," ","♦",LEN(LEFT(F1007,N10))-LEN(SUBSTITUTE(LEFT(F1007,N10)," ","")))),FIND(" ",F1007&amp;" ",N10+1)-1)))</f>
        <v>1</v>
      </c>
      <c r="N1007" s="119">
        <f t="shared" si="101"/>
        <v>990</v>
      </c>
      <c r="O1007" s="99" t="str">
        <f t="shared" si="102"/>
        <v>0</v>
      </c>
      <c r="P1007" s="119">
        <f t="shared" si="103"/>
        <v>1</v>
      </c>
      <c r="Q1007" s="119">
        <f t="shared" si="104"/>
        <v>1</v>
      </c>
      <c r="S1007" s="3">
        <v>1</v>
      </c>
    </row>
    <row r="1008" spans="2:19">
      <c r="B1008" s="116"/>
      <c r="C1008" s="116"/>
      <c r="D1008" s="116"/>
      <c r="E1008" s="116" cm="1">
        <f t="array" ref="E1008">IF(H1007&lt;&gt;"",E1007,IF(E1007="","",IFERROR(MATCH(TRUE(),INDEX(INDEX(K:K,E1007+1):K203&lt;&gt;"",0),0)+E1007,"")))</f>
        <v>1149</v>
      </c>
      <c r="F1008" s="117" cm="1">
        <f t="array" ref="F1008">IF(E1008="","",IF(H1007&lt;&gt;"",H1007,INDEX(D:D,E1008)))</f>
        <v>0</v>
      </c>
      <c r="G1008" s="117" t="str">
        <f t="shared" si="99"/>
        <v>0</v>
      </c>
      <c r="H1008" s="118" t="str">
        <f t="shared" si="100"/>
        <v/>
      </c>
      <c r="I1008" s="116" t="str">
        <f>IF(AND(F1008&lt;&gt;"",N10&gt;0,M1008&gt;N10),"Mot &gt; limite","")</f>
        <v/>
      </c>
      <c r="M1008" s="70">
        <f>IF(OR(F1008="",N10="",N10&lt;=0),"",IF(LEN(F1008)&lt;=N10,LEN(F1008),IFERROR(FIND("♦",SUBSTITUTE(LEFT(F1008,N10)," ","♦",LEN(LEFT(F1008,N10))-LEN(SUBSTITUTE(LEFT(F1008,N10)," ","")))),FIND(" ",F1008&amp;" ",N10+1)-1)))</f>
        <v>1</v>
      </c>
      <c r="N1008" s="119">
        <f t="shared" si="101"/>
        <v>991</v>
      </c>
      <c r="O1008" s="99" t="str">
        <f t="shared" si="102"/>
        <v>0</v>
      </c>
      <c r="P1008" s="119">
        <f t="shared" si="103"/>
        <v>1</v>
      </c>
      <c r="Q1008" s="119">
        <f t="shared" si="104"/>
        <v>1</v>
      </c>
      <c r="S1008" s="3">
        <v>1</v>
      </c>
    </row>
    <row r="1009" spans="1:19">
      <c r="B1009" s="116"/>
      <c r="C1009" s="116"/>
      <c r="D1009" s="116"/>
      <c r="E1009" s="116" cm="1">
        <f t="array" ref="E1009">IF(H1008&lt;&gt;"",E1008,IF(E1008="","",IFERROR(MATCH(TRUE(),INDEX(INDEX(K:K,E1008+1):K203&lt;&gt;"",0),0)+E1008,"")))</f>
        <v>1150</v>
      </c>
      <c r="F1009" s="117" cm="1">
        <f t="array" ref="F1009">IF(E1009="","",IF(H1008&lt;&gt;"",H1008,INDEX(D:D,E1009)))</f>
        <v>0</v>
      </c>
      <c r="G1009" s="117" t="str">
        <f t="shared" si="99"/>
        <v>0</v>
      </c>
      <c r="H1009" s="118" t="str">
        <f t="shared" si="100"/>
        <v/>
      </c>
      <c r="I1009" s="116" t="str">
        <f>IF(AND(F1009&lt;&gt;"",N10&gt;0,M1009&gt;N10),"Mot &gt; limite","")</f>
        <v/>
      </c>
      <c r="M1009" s="70">
        <f>IF(OR(F1009="",N10="",N10&lt;=0),"",IF(LEN(F1009)&lt;=N10,LEN(F1009),IFERROR(FIND("♦",SUBSTITUTE(LEFT(F1009,N10)," ","♦",LEN(LEFT(F1009,N10))-LEN(SUBSTITUTE(LEFT(F1009,N10)," ","")))),FIND(" ",F1009&amp;" ",N10+1)-1)))</f>
        <v>1</v>
      </c>
      <c r="N1009" s="119">
        <f t="shared" si="101"/>
        <v>992</v>
      </c>
      <c r="O1009" s="99" t="str">
        <f t="shared" si="102"/>
        <v>0</v>
      </c>
      <c r="P1009" s="119">
        <f t="shared" si="103"/>
        <v>1</v>
      </c>
      <c r="Q1009" s="119">
        <f t="shared" si="104"/>
        <v>1</v>
      </c>
      <c r="S1009" s="3">
        <v>1</v>
      </c>
    </row>
    <row r="1010" spans="1:19">
      <c r="B1010" s="116"/>
      <c r="C1010" s="116"/>
      <c r="D1010" s="116"/>
      <c r="E1010" s="116" cm="1">
        <f t="array" ref="E1010">IF(H1009&lt;&gt;"",E1009,IF(E1009="","",IFERROR(MATCH(TRUE(),INDEX(INDEX(K:K,E1009+1):K203&lt;&gt;"",0),0)+E1009,"")))</f>
        <v>1151</v>
      </c>
      <c r="F1010" s="117" cm="1">
        <f t="array" ref="F1010">IF(E1010="","",IF(H1009&lt;&gt;"",H1009,INDEX(D:D,E1010)))</f>
        <v>0</v>
      </c>
      <c r="G1010" s="117" t="str">
        <f t="shared" si="99"/>
        <v>0</v>
      </c>
      <c r="H1010" s="118" t="str">
        <f t="shared" si="100"/>
        <v/>
      </c>
      <c r="I1010" s="116" t="str">
        <f>IF(AND(F1010&lt;&gt;"",N10&gt;0,M1010&gt;N10),"Mot &gt; limite","")</f>
        <v/>
      </c>
      <c r="M1010" s="70">
        <f>IF(OR(F1010="",N10="",N10&lt;=0),"",IF(LEN(F1010)&lt;=N10,LEN(F1010),IFERROR(FIND("♦",SUBSTITUTE(LEFT(F1010,N10)," ","♦",LEN(LEFT(F1010,N10))-LEN(SUBSTITUTE(LEFT(F1010,N10)," ","")))),FIND(" ",F1010&amp;" ",N10+1)-1)))</f>
        <v>1</v>
      </c>
      <c r="N1010" s="119">
        <f t="shared" si="101"/>
        <v>993</v>
      </c>
      <c r="O1010" s="99" t="str">
        <f t="shared" si="102"/>
        <v>0</v>
      </c>
      <c r="P1010" s="119">
        <f t="shared" si="103"/>
        <v>1</v>
      </c>
      <c r="Q1010" s="119">
        <f t="shared" si="104"/>
        <v>1</v>
      </c>
      <c r="S1010" s="3">
        <v>1</v>
      </c>
    </row>
    <row r="1011" spans="1:19">
      <c r="B1011" s="116"/>
      <c r="C1011" s="116"/>
      <c r="D1011" s="116"/>
      <c r="E1011" s="116" cm="1">
        <f t="array" ref="E1011">IF(H1010&lt;&gt;"",E1010,IF(E1010="","",IFERROR(MATCH(TRUE(),INDEX(INDEX(K:K,E1010+1):K203&lt;&gt;"",0),0)+E1010,"")))</f>
        <v>1152</v>
      </c>
      <c r="F1011" s="117" cm="1">
        <f t="array" ref="F1011">IF(E1011="","",IF(H1010&lt;&gt;"",H1010,INDEX(D:D,E1011)))</f>
        <v>0</v>
      </c>
      <c r="G1011" s="117" t="str">
        <f t="shared" si="99"/>
        <v>0</v>
      </c>
      <c r="H1011" s="118" t="str">
        <f t="shared" si="100"/>
        <v/>
      </c>
      <c r="I1011" s="116" t="str">
        <f>IF(AND(F1011&lt;&gt;"",N10&gt;0,M1011&gt;N10),"Mot &gt; limite","")</f>
        <v/>
      </c>
      <c r="M1011" s="70">
        <f>IF(OR(F1011="",N10="",N10&lt;=0),"",IF(LEN(F1011)&lt;=N10,LEN(F1011),IFERROR(FIND("♦",SUBSTITUTE(LEFT(F1011,N10)," ","♦",LEN(LEFT(F1011,N10))-LEN(SUBSTITUTE(LEFT(F1011,N10)," ","")))),FIND(" ",F1011&amp;" ",N10+1)-1)))</f>
        <v>1</v>
      </c>
      <c r="N1011" s="119">
        <f t="shared" si="101"/>
        <v>994</v>
      </c>
      <c r="O1011" s="99" t="str">
        <f t="shared" si="102"/>
        <v>0</v>
      </c>
      <c r="P1011" s="119">
        <f t="shared" si="103"/>
        <v>1</v>
      </c>
      <c r="Q1011" s="119">
        <f t="shared" si="104"/>
        <v>1</v>
      </c>
      <c r="S1011" s="3">
        <v>1</v>
      </c>
    </row>
    <row r="1012" spans="1:19">
      <c r="B1012" s="116"/>
      <c r="C1012" s="116"/>
      <c r="D1012" s="116"/>
      <c r="E1012" s="116" cm="1">
        <f t="array" ref="E1012">IF(H1011&lt;&gt;"",E1011,IF(E1011="","",IFERROR(MATCH(TRUE(),INDEX(INDEX(K:K,E1011+1):K203&lt;&gt;"",0),0)+E1011,"")))</f>
        <v>1153</v>
      </c>
      <c r="F1012" s="117" cm="1">
        <f t="array" ref="F1012">IF(E1012="","",IF(H1011&lt;&gt;"",H1011,INDEX(D:D,E1012)))</f>
        <v>0</v>
      </c>
      <c r="G1012" s="117" t="str">
        <f t="shared" si="99"/>
        <v>0</v>
      </c>
      <c r="H1012" s="118" t="str">
        <f t="shared" si="100"/>
        <v/>
      </c>
      <c r="I1012" s="116" t="str">
        <f>IF(AND(F1012&lt;&gt;"",N10&gt;0,M1012&gt;N10),"Mot &gt; limite","")</f>
        <v/>
      </c>
      <c r="M1012" s="70">
        <f>IF(OR(F1012="",N10="",N10&lt;=0),"",IF(LEN(F1012)&lt;=N10,LEN(F1012),IFERROR(FIND("♦",SUBSTITUTE(LEFT(F1012,N10)," ","♦",LEN(LEFT(F1012,N10))-LEN(SUBSTITUTE(LEFT(F1012,N10)," ","")))),FIND(" ",F1012&amp;" ",N10+1)-1)))</f>
        <v>1</v>
      </c>
      <c r="N1012" s="119">
        <f t="shared" si="101"/>
        <v>995</v>
      </c>
      <c r="O1012" s="99" t="str">
        <f t="shared" si="102"/>
        <v>0</v>
      </c>
      <c r="P1012" s="119">
        <f t="shared" si="103"/>
        <v>1</v>
      </c>
      <c r="Q1012" s="119">
        <f t="shared" si="104"/>
        <v>1</v>
      </c>
      <c r="S1012" s="3">
        <v>1</v>
      </c>
    </row>
    <row r="1013" spans="1:19">
      <c r="B1013" s="116"/>
      <c r="C1013" s="116"/>
      <c r="D1013" s="116"/>
      <c r="E1013" s="116" cm="1">
        <f t="array" ref="E1013">IF(H1012&lt;&gt;"",E1012,IF(E1012="","",IFERROR(MATCH(TRUE(),INDEX(INDEX(K:K,E1012+1):K203&lt;&gt;"",0),0)+E1012,"")))</f>
        <v>1154</v>
      </c>
      <c r="F1013" s="117" cm="1">
        <f t="array" ref="F1013">IF(E1013="","",IF(H1012&lt;&gt;"",H1012,INDEX(D:D,E1013)))</f>
        <v>0</v>
      </c>
      <c r="G1013" s="117" t="str">
        <f t="shared" si="99"/>
        <v>0</v>
      </c>
      <c r="H1013" s="118" t="str">
        <f t="shared" si="100"/>
        <v/>
      </c>
      <c r="I1013" s="116" t="str">
        <f>IF(AND(F1013&lt;&gt;"",N10&gt;0,M1013&gt;N10),"Mot &gt; limite","")</f>
        <v/>
      </c>
      <c r="M1013" s="70">
        <f>IF(OR(F1013="",N10="",N10&lt;=0),"",IF(LEN(F1013)&lt;=N10,LEN(F1013),IFERROR(FIND("♦",SUBSTITUTE(LEFT(F1013,N10)," ","♦",LEN(LEFT(F1013,N10))-LEN(SUBSTITUTE(LEFT(F1013,N10)," ","")))),FIND(" ",F1013&amp;" ",N10+1)-1)))</f>
        <v>1</v>
      </c>
      <c r="N1013" s="119">
        <f t="shared" si="101"/>
        <v>996</v>
      </c>
      <c r="O1013" s="99" t="str">
        <f t="shared" si="102"/>
        <v>0</v>
      </c>
      <c r="P1013" s="119">
        <f t="shared" si="103"/>
        <v>1</v>
      </c>
      <c r="Q1013" s="119">
        <f t="shared" si="104"/>
        <v>1</v>
      </c>
      <c r="S1013" s="3">
        <v>1</v>
      </c>
    </row>
    <row r="1014" spans="1:19">
      <c r="B1014" s="116"/>
      <c r="C1014" s="116"/>
      <c r="D1014" s="116"/>
      <c r="E1014" s="116" cm="1">
        <f t="array" ref="E1014">IF(H1013&lt;&gt;"",E1013,IF(E1013="","",IFERROR(MATCH(TRUE(),INDEX(INDEX(K:K,E1013+1):K203&lt;&gt;"",0),0)+E1013,"")))</f>
        <v>1155</v>
      </c>
      <c r="F1014" s="117" cm="1">
        <f t="array" ref="F1014">IF(E1014="","",IF(H1013&lt;&gt;"",H1013,INDEX(D:D,E1014)))</f>
        <v>0</v>
      </c>
      <c r="G1014" s="117" t="str">
        <f t="shared" si="99"/>
        <v>0</v>
      </c>
      <c r="H1014" s="118" t="str">
        <f t="shared" si="100"/>
        <v/>
      </c>
      <c r="I1014" s="116" t="str">
        <f>IF(AND(F1014&lt;&gt;"",N10&gt;0,M1014&gt;N10),"Mot &gt; limite","")</f>
        <v/>
      </c>
      <c r="M1014" s="70">
        <f>IF(OR(F1014="",N10="",N10&lt;=0),"",IF(LEN(F1014)&lt;=N10,LEN(F1014),IFERROR(FIND("♦",SUBSTITUTE(LEFT(F1014,N10)," ","♦",LEN(LEFT(F1014,N10))-LEN(SUBSTITUTE(LEFT(F1014,N10)," ","")))),FIND(" ",F1014&amp;" ",N10+1)-1)))</f>
        <v>1</v>
      </c>
      <c r="N1014" s="119">
        <f t="shared" si="101"/>
        <v>997</v>
      </c>
      <c r="O1014" s="99" t="str">
        <f t="shared" si="102"/>
        <v>0</v>
      </c>
      <c r="P1014" s="119">
        <f t="shared" si="103"/>
        <v>1</v>
      </c>
      <c r="Q1014" s="119">
        <f t="shared" si="104"/>
        <v>1</v>
      </c>
      <c r="S1014" s="3">
        <v>1</v>
      </c>
    </row>
    <row r="1015" spans="1:19">
      <c r="B1015" s="116"/>
      <c r="C1015" s="116"/>
      <c r="D1015" s="116"/>
      <c r="E1015" s="116" cm="1">
        <f t="array" ref="E1015">IF(H1014&lt;&gt;"",E1014,IF(E1014="","",IFERROR(MATCH(TRUE(),INDEX(INDEX(K:K,E1014+1):K203&lt;&gt;"",0),0)+E1014,"")))</f>
        <v>1156</v>
      </c>
      <c r="F1015" s="117" cm="1">
        <f t="array" ref="F1015">IF(E1015="","",IF(H1014&lt;&gt;"",H1014,INDEX(D:D,E1015)))</f>
        <v>0</v>
      </c>
      <c r="G1015" s="117" t="str">
        <f t="shared" si="99"/>
        <v>0</v>
      </c>
      <c r="H1015" s="118" t="str">
        <f t="shared" si="100"/>
        <v/>
      </c>
      <c r="I1015" s="116" t="str">
        <f>IF(AND(F1015&lt;&gt;"",N10&gt;0,M1015&gt;N10),"Mot &gt; limite","")</f>
        <v/>
      </c>
      <c r="M1015" s="70">
        <f>IF(OR(F1015="",N10="",N10&lt;=0),"",IF(LEN(F1015)&lt;=N10,LEN(F1015),IFERROR(FIND("♦",SUBSTITUTE(LEFT(F1015,N10)," ","♦",LEN(LEFT(F1015,N10))-LEN(SUBSTITUTE(LEFT(F1015,N10)," ","")))),FIND(" ",F1015&amp;" ",N10+1)-1)))</f>
        <v>1</v>
      </c>
      <c r="N1015" s="119">
        <f t="shared" si="101"/>
        <v>998</v>
      </c>
      <c r="O1015" s="99" t="str">
        <f t="shared" si="102"/>
        <v>0</v>
      </c>
      <c r="P1015" s="119">
        <f t="shared" si="103"/>
        <v>1</v>
      </c>
      <c r="Q1015" s="119">
        <f t="shared" si="104"/>
        <v>1</v>
      </c>
      <c r="S1015" s="3">
        <v>1</v>
      </c>
    </row>
    <row r="1016" spans="1:19">
      <c r="B1016" s="116"/>
      <c r="C1016" s="116"/>
      <c r="D1016" s="116"/>
      <c r="E1016" s="116" cm="1">
        <f t="array" ref="E1016">IF(H1015&lt;&gt;"",E1015,IF(E1015="","",IFERROR(MATCH(TRUE(),INDEX(INDEX(K:K,E1015+1):K203&lt;&gt;"",0),0)+E1015,"")))</f>
        <v>1157</v>
      </c>
      <c r="F1016" s="117" cm="1">
        <f t="array" ref="F1016">IF(E1016="","",IF(H1015&lt;&gt;"",H1015,INDEX(D:D,E1016)))</f>
        <v>0</v>
      </c>
      <c r="G1016" s="117" t="str">
        <f t="shared" si="99"/>
        <v>0</v>
      </c>
      <c r="H1016" s="118" t="str">
        <f t="shared" si="100"/>
        <v/>
      </c>
      <c r="I1016" s="116" t="str">
        <f>IF(AND(F1016&lt;&gt;"",N10&gt;0,M1016&gt;N10),"Mot &gt; limite","")</f>
        <v/>
      </c>
      <c r="M1016" s="70">
        <f>IF(OR(F1016="",N10="",N10&lt;=0),"",IF(LEN(F1016)&lt;=N10,LEN(F1016),IFERROR(FIND("♦",SUBSTITUTE(LEFT(F1016,N10)," ","♦",LEN(LEFT(F1016,N10))-LEN(SUBSTITUTE(LEFT(F1016,N10)," ","")))),FIND(" ",F1016&amp;" ",N10+1)-1)))</f>
        <v>1</v>
      </c>
      <c r="N1016" s="119">
        <f t="shared" si="101"/>
        <v>999</v>
      </c>
      <c r="O1016" s="99" t="str">
        <f t="shared" si="102"/>
        <v>0</v>
      </c>
      <c r="P1016" s="119">
        <f t="shared" si="103"/>
        <v>1</v>
      </c>
      <c r="Q1016" s="119">
        <f t="shared" si="104"/>
        <v>1</v>
      </c>
      <c r="S1016" s="3">
        <v>1</v>
      </c>
    </row>
    <row r="1017" spans="1:19">
      <c r="B1017" s="116"/>
      <c r="C1017" s="116"/>
      <c r="D1017" s="116"/>
      <c r="E1017" s="116" cm="1">
        <f t="array" ref="E1017">IF(H1016&lt;&gt;"",E1016,IF(E1016="","",IFERROR(MATCH(TRUE(),INDEX(INDEX(K:K,E1016+1):K203&lt;&gt;"",0),0)+E1016,"")))</f>
        <v>1158</v>
      </c>
      <c r="F1017" s="117" cm="1">
        <f t="array" ref="F1017">IF(E1017="","",IF(H1016&lt;&gt;"",H1016,INDEX(D:D,E1017)))</f>
        <v>0</v>
      </c>
      <c r="G1017" s="117" t="str">
        <f t="shared" si="99"/>
        <v>0</v>
      </c>
      <c r="H1017" s="118" t="str">
        <f t="shared" si="100"/>
        <v/>
      </c>
      <c r="I1017" s="116" t="str">
        <f>IF(AND(F1017&lt;&gt;"",N10&gt;0,M1017&gt;N10),"Mot &gt; limite","")</f>
        <v/>
      </c>
      <c r="M1017" s="70">
        <f>IF(OR(F1017="",N10="",N10&lt;=0),"",IF(LEN(F1017)&lt;=N10,LEN(F1017),IFERROR(FIND("♦",SUBSTITUTE(LEFT(F1017,N10)," ","♦",LEN(LEFT(F1017,N10))-LEN(SUBSTITUTE(LEFT(F1017,N10)," ","")))),FIND(" ",F1017&amp;" ",N10+1)-1)))</f>
        <v>1</v>
      </c>
      <c r="N1017" s="119">
        <f t="shared" si="101"/>
        <v>1000</v>
      </c>
      <c r="O1017" s="99" t="str">
        <f t="shared" si="102"/>
        <v>0</v>
      </c>
      <c r="P1017" s="119">
        <f t="shared" si="103"/>
        <v>1</v>
      </c>
      <c r="Q1017" s="119">
        <f t="shared" si="104"/>
        <v>1</v>
      </c>
      <c r="S1017" s="3">
        <v>1</v>
      </c>
    </row>
    <row r="1018" spans="1:19">
      <c r="S1018" s="20" t="s">
        <v>5</v>
      </c>
    </row>
    <row r="1019" spans="1:19">
      <c r="A1019" s="3">
        <v>1</v>
      </c>
      <c r="B1019" s="3">
        <v>1</v>
      </c>
      <c r="C1019" s="3">
        <v>1</v>
      </c>
      <c r="D1019" s="3">
        <v>1</v>
      </c>
      <c r="E1019" s="3">
        <v>1</v>
      </c>
      <c r="F1019" s="3">
        <v>1</v>
      </c>
      <c r="G1019" s="3">
        <v>1</v>
      </c>
      <c r="H1019" s="3">
        <v>1</v>
      </c>
      <c r="I1019" s="3">
        <v>1</v>
      </c>
      <c r="J1019" s="3">
        <v>1</v>
      </c>
      <c r="K1019" s="3">
        <v>1</v>
      </c>
      <c r="L1019" s="3">
        <v>1</v>
      </c>
      <c r="M1019" s="3">
        <v>1</v>
      </c>
      <c r="N1019" s="3">
        <v>1</v>
      </c>
      <c r="O1019" s="3">
        <v>1</v>
      </c>
      <c r="P1019" s="3">
        <v>1</v>
      </c>
      <c r="Q1019" s="3">
        <v>1</v>
      </c>
      <c r="R1019" s="3">
        <v>1</v>
      </c>
      <c r="S1019" s="1" t="str">
        <f>ADDRESS(ROW(),COLUMN(),4)</f>
        <v>S1019</v>
      </c>
    </row>
  </sheetData>
  <mergeCells count="10">
    <mergeCell ref="J1:Q2"/>
    <mergeCell ref="A2:A3"/>
    <mergeCell ref="J4:Q4"/>
    <mergeCell ref="N7:Q7"/>
    <mergeCell ref="N12:Q13"/>
    <mergeCell ref="B14:I14"/>
    <mergeCell ref="J14:L14"/>
    <mergeCell ref="N14:Q14"/>
    <mergeCell ref="K16:K17"/>
    <mergeCell ref="O16:O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46100-9FFA-4E95-B3F7-99DF56EECD6D}">
  <dimension ref="A1:DQ2470"/>
  <sheetViews>
    <sheetView workbookViewId="0">
      <selection activeCell="K253" sqref="K253"/>
    </sheetView>
  </sheetViews>
  <sheetFormatPr baseColWidth="10" defaultColWidth="9.140625" defaultRowHeight="15.75"/>
  <cols>
    <col min="1" max="1" width="11.7109375" style="126" customWidth="1"/>
    <col min="2" max="8" width="5.7109375" style="126" hidden="1" customWidth="1"/>
    <col min="9" max="9" width="12.28515625" style="126" hidden="1" customWidth="1"/>
    <col min="10" max="10" width="14" style="126" customWidth="1"/>
    <col min="11" max="11" width="122.7109375" style="126" customWidth="1"/>
    <col min="12" max="12" width="9" style="126" customWidth="1"/>
    <col min="13" max="13" width="7.85546875" style="126" customWidth="1"/>
    <col min="14" max="14" width="8.5703125" style="126" customWidth="1"/>
    <col min="15" max="15" width="122.7109375" style="126" customWidth="1"/>
    <col min="16" max="17" width="9" style="126" customWidth="1"/>
    <col min="18" max="18" width="3" style="126" customWidth="1"/>
    <col min="19" max="19" width="7.7109375" style="127" customWidth="1"/>
    <col min="20" max="20" width="87.7109375" style="128" customWidth="1"/>
    <col min="21" max="21" width="88.28515625" style="127" customWidth="1"/>
    <col min="22" max="22" width="44.42578125" style="127" customWidth="1"/>
    <col min="23" max="36" width="13.85546875" style="127" customWidth="1"/>
    <col min="37" max="37" width="39.140625" style="127" customWidth="1"/>
    <col min="38" max="38" width="2.5703125" style="127" customWidth="1"/>
    <col min="39" max="45" width="23.5703125" style="127" customWidth="1"/>
    <col min="46" max="108" width="6.5703125" style="127" customWidth="1"/>
    <col min="109" max="109" width="2.28515625" style="129" customWidth="1"/>
    <col min="110" max="110" width="14.42578125" style="127" customWidth="1"/>
    <col min="111" max="111" width="41.85546875" style="127" customWidth="1"/>
    <col min="112" max="112" width="17" style="127" customWidth="1"/>
    <col min="113" max="114" width="41.85546875" style="127" customWidth="1"/>
    <col min="115" max="115" width="46.7109375" style="127" customWidth="1"/>
    <col min="116" max="116" width="79.28515625" style="127" customWidth="1"/>
    <col min="117" max="117" width="112" style="127" customWidth="1"/>
    <col min="118" max="118" width="13" style="127" customWidth="1"/>
    <col min="119" max="119" width="9.140625" style="127"/>
    <col min="120" max="120" width="9.140625" style="246"/>
    <col min="121" max="121" width="9.140625" style="127"/>
    <col min="122" max="16384" width="9.140625" style="126"/>
  </cols>
  <sheetData>
    <row r="1" spans="1:120" ht="24" customHeight="1">
      <c r="A1" s="73" t="str">
        <f>ADDRESS(ROW(),COLUMN(),4)</f>
        <v>A1</v>
      </c>
      <c r="B1" s="124"/>
      <c r="C1" s="125"/>
      <c r="D1" s="125"/>
      <c r="E1" s="125"/>
      <c r="F1" s="125"/>
      <c r="G1" s="125"/>
      <c r="H1" s="125"/>
      <c r="I1" s="125"/>
      <c r="J1" s="278" t="s">
        <v>570</v>
      </c>
      <c r="K1" s="278"/>
      <c r="L1" s="278"/>
      <c r="M1" s="278"/>
      <c r="N1" s="278"/>
      <c r="O1" s="278"/>
      <c r="P1" s="278"/>
      <c r="Q1" s="278"/>
      <c r="DP1" s="130">
        <v>1</v>
      </c>
    </row>
    <row r="2" spans="1:120" ht="24" customHeight="1">
      <c r="A2" s="279" t="s">
        <v>390</v>
      </c>
      <c r="B2" s="124"/>
      <c r="C2" s="131"/>
      <c r="D2" s="131"/>
      <c r="E2" s="131"/>
      <c r="F2" s="131"/>
      <c r="G2" s="131"/>
      <c r="H2" s="131"/>
      <c r="I2" s="131"/>
      <c r="J2" s="278"/>
      <c r="K2" s="278"/>
      <c r="L2" s="278"/>
      <c r="M2" s="278"/>
      <c r="N2" s="278"/>
      <c r="O2" s="278"/>
      <c r="P2" s="278"/>
      <c r="Q2" s="278"/>
      <c r="DP2" s="130">
        <v>1</v>
      </c>
    </row>
    <row r="3" spans="1:120" ht="24" customHeight="1">
      <c r="A3" s="279"/>
      <c r="B3" s="124" t="s">
        <v>391</v>
      </c>
      <c r="C3" s="131"/>
      <c r="D3" s="131"/>
      <c r="E3" s="131"/>
      <c r="F3" s="131"/>
      <c r="G3" s="131"/>
      <c r="H3" s="131"/>
      <c r="I3" s="131" t="s">
        <v>21</v>
      </c>
      <c r="J3" s="132" t="s">
        <v>21</v>
      </c>
      <c r="K3" s="133" t="s">
        <v>389</v>
      </c>
      <c r="L3" s="134"/>
      <c r="M3" s="134"/>
      <c r="N3" s="134"/>
      <c r="O3" s="134"/>
      <c r="P3" s="134"/>
      <c r="Q3" s="134"/>
      <c r="DP3" s="130">
        <v>1</v>
      </c>
    </row>
    <row r="4" spans="1:120" ht="30" customHeight="1">
      <c r="B4" s="135"/>
      <c r="C4" s="135"/>
      <c r="D4" s="135"/>
      <c r="E4" s="135"/>
      <c r="F4" s="135"/>
      <c r="G4" s="135"/>
      <c r="H4" s="135"/>
      <c r="I4" s="135"/>
      <c r="J4" s="280" t="str">
        <f>"Saisir le texte en "&amp;K15&amp;"  Régler la longueur en "&amp;ADDRESS(ROW(N10),COLUMN(N10),4)&amp;"    en option  Mettre un  X en  "&amp;ADDRESS(ROW(N11),COLUMN(N11),4)&amp;"  pour alléger une partie de la ponctuation."</f>
        <v>Saisir le texte en COLONNE K  Régler la longueur en N10    en option  Mettre un  X en  N11  pour alléger une partie de la ponctuation.</v>
      </c>
      <c r="K4" s="280"/>
      <c r="L4" s="280"/>
      <c r="M4" s="280"/>
      <c r="N4" s="280"/>
      <c r="O4" s="280"/>
      <c r="P4" s="280"/>
      <c r="Q4" s="280"/>
      <c r="DP4" s="130">
        <v>1</v>
      </c>
    </row>
    <row r="5" spans="1:120" ht="21" customHeight="1">
      <c r="B5" s="135"/>
      <c r="C5" s="135"/>
      <c r="D5" s="135"/>
      <c r="E5" s="135"/>
      <c r="F5" s="135"/>
      <c r="G5" s="135"/>
      <c r="H5" s="135"/>
      <c r="I5" s="136" t="s">
        <v>380</v>
      </c>
      <c r="J5" s="82">
        <f ca="1">INDEX(CELL("largeur",J5),1,1)</f>
        <v>13</v>
      </c>
      <c r="K5" s="82">
        <f ca="1">INDEX(CELL("largeur",K5),1,1)</f>
        <v>122</v>
      </c>
      <c r="L5" s="82">
        <f ca="1">INDEX(CELL("largeur",L5),1,1)</f>
        <v>8</v>
      </c>
      <c r="M5" s="135"/>
      <c r="N5" s="82">
        <f ca="1">INDEX(CELL("largeur",N5),1,1)</f>
        <v>8</v>
      </c>
      <c r="O5" s="82">
        <f ca="1">INDEX(CELL("largeur",O5),1,1)</f>
        <v>122</v>
      </c>
      <c r="P5" s="82">
        <f ca="1">INDEX(CELL("largeur",P5),1,1)</f>
        <v>8</v>
      </c>
      <c r="Q5" s="82">
        <f ca="1">INDEX(CELL("largeur",Q5),1,1)</f>
        <v>8</v>
      </c>
      <c r="DP5" s="130">
        <v>1</v>
      </c>
    </row>
    <row r="6" spans="1:120" ht="21" customHeight="1">
      <c r="B6" s="135"/>
      <c r="C6" s="135"/>
      <c r="D6" s="135"/>
      <c r="E6" s="135"/>
      <c r="F6" s="135"/>
      <c r="G6" s="135"/>
      <c r="H6" s="135"/>
      <c r="I6" s="135"/>
      <c r="J6" s="137"/>
      <c r="K6" s="138" t="str">
        <f ca="1">" Largeur de cette colonne : "&amp;INDEX(CELL("largeur",K6),1,1)</f>
        <v xml:space="preserve"> Largeur de cette colonne : 122</v>
      </c>
      <c r="L6" s="137"/>
      <c r="M6" s="135"/>
      <c r="N6" s="137"/>
      <c r="O6" s="139" t="str">
        <f ca="1">" Largeur de cette colonne : " &amp; O5 &amp; IF(O5 &gt; N9, " - Colonne trop large de " &amp; (O5 - N9), IF(O5 &lt; N9, " - Élargissez la colonne à " &amp; N9, " Largeur correcte"))</f>
        <v xml:space="preserve"> Largeur de cette colonne : 122 Largeur correcte</v>
      </c>
      <c r="P6" s="137"/>
      <c r="Q6" s="137"/>
      <c r="S6" s="140"/>
      <c r="DP6" s="130">
        <v>1</v>
      </c>
    </row>
    <row r="7" spans="1:120" ht="21" customHeight="1">
      <c r="B7" s="135"/>
      <c r="C7" s="135"/>
      <c r="D7" s="135"/>
      <c r="E7" s="135"/>
      <c r="F7" s="135"/>
      <c r="G7" s="135"/>
      <c r="H7" s="135"/>
      <c r="I7" s="135"/>
      <c r="J7" s="141" t="s">
        <v>381</v>
      </c>
      <c r="K7" s="142"/>
      <c r="L7" s="142"/>
      <c r="M7" s="135"/>
      <c r="N7" s="281" t="s">
        <v>382</v>
      </c>
      <c r="O7" s="281"/>
      <c r="P7" s="281"/>
      <c r="Q7" s="281"/>
      <c r="U7" s="143" t="s">
        <v>571</v>
      </c>
      <c r="V7" s="143" t="s">
        <v>571</v>
      </c>
      <c r="DP7" s="130">
        <v>1</v>
      </c>
    </row>
    <row r="8" spans="1:120" ht="21" customHeight="1">
      <c r="B8" s="135"/>
      <c r="C8" s="135"/>
      <c r="D8" s="135"/>
      <c r="E8" s="135"/>
      <c r="F8" s="135"/>
      <c r="G8" s="135"/>
      <c r="H8" s="135"/>
      <c r="I8" s="135"/>
      <c r="J8" s="144">
        <f>COUNTIF(K18:K203,"&lt;&gt;")</f>
        <v>54</v>
      </c>
      <c r="K8" s="145" t="s">
        <v>101</v>
      </c>
      <c r="L8" s="135"/>
      <c r="N8" s="146"/>
      <c r="O8" s="147" t="str">
        <f>"1️⃣ saisissez ou collez votre texte "&amp;K15</f>
        <v>1️⃣ saisissez ou collez votre texte COLONNE K</v>
      </c>
      <c r="P8" s="135"/>
      <c r="Q8" s="135"/>
      <c r="S8" s="282" t="s">
        <v>572</v>
      </c>
      <c r="T8" s="282"/>
      <c r="U8" s="282"/>
      <c r="V8" s="282"/>
      <c r="W8" s="282"/>
      <c r="X8" s="282"/>
      <c r="Y8" s="282"/>
      <c r="Z8" s="282"/>
      <c r="AA8" s="282"/>
      <c r="AB8" s="282"/>
      <c r="AC8" s="282"/>
      <c r="AD8" s="282"/>
      <c r="AE8" s="282"/>
      <c r="AF8" s="282"/>
      <c r="AG8" s="282"/>
      <c r="AH8" s="282"/>
      <c r="AI8" s="282"/>
      <c r="AJ8" s="282"/>
      <c r="AK8" s="282"/>
      <c r="DP8" s="130">
        <v>1</v>
      </c>
    </row>
    <row r="9" spans="1:120" ht="21" customHeight="1">
      <c r="B9" s="135"/>
      <c r="C9" s="135"/>
      <c r="D9" s="135"/>
      <c r="E9" s="135"/>
      <c r="F9" s="135"/>
      <c r="G9" s="135"/>
      <c r="H9" s="135"/>
      <c r="I9" s="135"/>
      <c r="J9" s="144">
        <f>SUM(L18:L203)</f>
        <v>4486</v>
      </c>
      <c r="K9" s="145" t="s">
        <v>111</v>
      </c>
      <c r="L9" s="135"/>
      <c r="M9" s="148" t="str">
        <f>ADDRESS(ROW(N10),COLUMN(N10),4)&amp;" ►"</f>
        <v>N10 ►</v>
      </c>
      <c r="N9" s="149">
        <v>122</v>
      </c>
      <c r="O9" s="150" t="s">
        <v>17</v>
      </c>
      <c r="P9" s="135"/>
      <c r="Q9" s="135"/>
      <c r="S9" s="282"/>
      <c r="T9" s="282"/>
      <c r="U9" s="282"/>
      <c r="V9" s="282"/>
      <c r="W9" s="282"/>
      <c r="X9" s="282"/>
      <c r="Y9" s="282"/>
      <c r="Z9" s="282"/>
      <c r="AA9" s="282"/>
      <c r="AB9" s="282"/>
      <c r="AC9" s="282"/>
      <c r="AD9" s="282"/>
      <c r="AE9" s="282"/>
      <c r="AF9" s="282"/>
      <c r="AG9" s="282"/>
      <c r="AH9" s="282"/>
      <c r="AI9" s="282"/>
      <c r="AJ9" s="282"/>
      <c r="AK9" s="282"/>
      <c r="DP9" s="130">
        <v>1</v>
      </c>
    </row>
    <row r="10" spans="1:120" ht="21" customHeight="1">
      <c r="B10" s="135"/>
      <c r="C10" s="135"/>
      <c r="D10" s="135"/>
      <c r="E10" s="135"/>
      <c r="F10" s="135"/>
      <c r="G10" s="135"/>
      <c r="H10" s="135"/>
      <c r="I10" s="135"/>
      <c r="J10" s="144" cm="1">
        <f t="array" ref="J10">SUMPRODUCT((K18:K203&lt;&gt;"")*(LEN(TRIM(K18:K203))-LEN(SUBSTITUTE(TRIM(K18:K203)," ",""))+1))</f>
        <v>788</v>
      </c>
      <c r="K10" s="145" t="s">
        <v>112</v>
      </c>
      <c r="L10" s="135"/>
      <c r="M10" s="148" t="str">
        <f>ADDRESS(ROW(N11),COLUMN(N11),4)&amp;" ►"</f>
        <v>N11 ►</v>
      </c>
      <c r="N10" s="95">
        <v>80</v>
      </c>
      <c r="O10" s="150" t="s">
        <v>49</v>
      </c>
      <c r="P10" s="135"/>
      <c r="Q10" s="135"/>
      <c r="S10" s="277" t="s">
        <v>573</v>
      </c>
      <c r="T10" s="277"/>
      <c r="U10" s="277"/>
      <c r="V10" s="277"/>
      <c r="W10" s="277"/>
      <c r="X10" s="277"/>
      <c r="Y10" s="277"/>
      <c r="Z10" s="277"/>
      <c r="AA10" s="277"/>
      <c r="AB10" s="277"/>
      <c r="AC10" s="277"/>
      <c r="AD10" s="277"/>
      <c r="AE10" s="277"/>
      <c r="AF10" s="277"/>
      <c r="AG10" s="277"/>
      <c r="AH10" s="277"/>
      <c r="AI10" s="277"/>
      <c r="AJ10" s="277"/>
      <c r="AK10" s="277"/>
      <c r="DP10" s="130">
        <v>1</v>
      </c>
    </row>
    <row r="11" spans="1:120" ht="21" customHeight="1">
      <c r="B11" s="135"/>
      <c r="C11" s="135"/>
      <c r="D11" s="135"/>
      <c r="E11" s="135"/>
      <c r="F11" s="135"/>
      <c r="G11" s="135"/>
      <c r="H11" s="135"/>
      <c r="I11" s="135"/>
      <c r="J11" s="144">
        <f>COUNTIF(O18:O1017,"&lt;&gt;")</f>
        <v>1000</v>
      </c>
      <c r="K11" s="145" t="s">
        <v>113</v>
      </c>
      <c r="L11" s="135"/>
      <c r="M11" s="148" t="str">
        <f>ADDRESS(ROW(N12),COLUMN(N12),4)&amp;" ►"</f>
        <v>N12 ►</v>
      </c>
      <c r="N11" s="96"/>
      <c r="O11" s="151" t="s">
        <v>18</v>
      </c>
      <c r="P11" s="135"/>
      <c r="Q11" s="135"/>
      <c r="S11" s="277"/>
      <c r="T11" s="277"/>
      <c r="U11" s="277"/>
      <c r="V11" s="277"/>
      <c r="W11" s="277"/>
      <c r="X11" s="277"/>
      <c r="Y11" s="277"/>
      <c r="Z11" s="277"/>
      <c r="AA11" s="277"/>
      <c r="AB11" s="277"/>
      <c r="AC11" s="277"/>
      <c r="AD11" s="277"/>
      <c r="AE11" s="277"/>
      <c r="AF11" s="277"/>
      <c r="AG11" s="277"/>
      <c r="AH11" s="277"/>
      <c r="AI11" s="277"/>
      <c r="AJ11" s="277"/>
      <c r="AK11" s="277"/>
      <c r="DP11" s="130">
        <v>1</v>
      </c>
    </row>
    <row r="12" spans="1:120" ht="21" customHeight="1">
      <c r="B12" s="135"/>
      <c r="C12" s="135"/>
      <c r="D12" s="135"/>
      <c r="E12" s="135"/>
      <c r="F12" s="135"/>
      <c r="G12" s="135"/>
      <c r="H12" s="135"/>
      <c r="I12" s="135"/>
      <c r="J12" s="144" t="str">
        <f>IF(H1017&lt;&gt;"","Texte plus long que la zone de sortie","Prêt")</f>
        <v>Prêt</v>
      </c>
      <c r="K12" s="145" t="s">
        <v>114</v>
      </c>
      <c r="L12" s="135"/>
      <c r="M12" s="135"/>
      <c r="N12" s="283" t="s">
        <v>383</v>
      </c>
      <c r="O12" s="283"/>
      <c r="P12" s="283"/>
      <c r="Q12" s="283"/>
      <c r="S12" s="284" t="s">
        <v>574</v>
      </c>
      <c r="T12" s="284"/>
      <c r="U12" s="284"/>
      <c r="V12" s="284"/>
      <c r="W12" s="284"/>
      <c r="X12" s="284"/>
      <c r="Y12" s="284"/>
      <c r="Z12" s="284"/>
      <c r="AA12" s="284"/>
      <c r="AB12" s="284"/>
      <c r="AC12" s="284"/>
      <c r="AD12" s="284"/>
      <c r="AE12" s="284"/>
      <c r="AF12" s="284"/>
      <c r="AG12" s="284"/>
      <c r="AH12" s="284"/>
      <c r="AI12" s="284"/>
      <c r="AJ12" s="284"/>
      <c r="AK12" s="284"/>
      <c r="DE12" s="152"/>
      <c r="DF12" s="153" t="s">
        <v>575</v>
      </c>
      <c r="DG12" s="153" t="s">
        <v>576</v>
      </c>
      <c r="DH12" s="153" t="s">
        <v>114</v>
      </c>
      <c r="DI12" s="153" t="s">
        <v>577</v>
      </c>
      <c r="DJ12" s="153" t="s">
        <v>578</v>
      </c>
      <c r="DK12" s="153" t="s">
        <v>579</v>
      </c>
      <c r="DL12" s="153" t="s">
        <v>580</v>
      </c>
      <c r="DM12" s="153" t="s">
        <v>581</v>
      </c>
      <c r="DN12" s="153" t="s">
        <v>582</v>
      </c>
      <c r="DO12" s="153"/>
      <c r="DP12" s="130">
        <v>1</v>
      </c>
    </row>
    <row r="13" spans="1:120" ht="21" customHeight="1">
      <c r="B13" s="135"/>
      <c r="C13" s="135"/>
      <c r="D13" s="135"/>
      <c r="E13" s="135"/>
      <c r="F13" s="135"/>
      <c r="G13" s="135"/>
      <c r="H13" s="135"/>
      <c r="I13" s="135"/>
      <c r="J13" s="135"/>
      <c r="K13" s="144"/>
      <c r="L13" s="135"/>
      <c r="M13" s="135"/>
      <c r="N13" s="283"/>
      <c r="O13" s="283"/>
      <c r="P13" s="283"/>
      <c r="Q13" s="283"/>
      <c r="T13" s="123" t="s">
        <v>583</v>
      </c>
      <c r="U13" s="154"/>
      <c r="V13" s="154"/>
      <c r="W13" s="155"/>
      <c r="X13" s="156" t="s">
        <v>584</v>
      </c>
      <c r="Y13" s="155"/>
      <c r="Z13" s="157"/>
      <c r="AA13" s="157"/>
      <c r="AB13" s="157"/>
      <c r="AC13" s="157"/>
      <c r="AD13" s="157"/>
      <c r="AE13" s="157"/>
      <c r="AF13" s="157"/>
      <c r="AG13" s="157"/>
      <c r="AH13" s="157"/>
      <c r="AI13" s="158" t="s">
        <v>585</v>
      </c>
      <c r="AJ13" s="159" t="str">
        <f>$DP$2470</f>
        <v>DP2470</v>
      </c>
      <c r="AK13" s="157"/>
      <c r="DE13" s="152"/>
      <c r="DF13" s="160" t="s">
        <v>586</v>
      </c>
      <c r="DG13" s="160" t="s">
        <v>584</v>
      </c>
      <c r="DH13" s="160" t="s">
        <v>125</v>
      </c>
      <c r="DI13" s="160" t="s">
        <v>587</v>
      </c>
      <c r="DJ13" s="160" t="s">
        <v>587</v>
      </c>
      <c r="DK13" s="160" t="s">
        <v>588</v>
      </c>
      <c r="DL13" s="160" t="s">
        <v>589</v>
      </c>
      <c r="DM13" s="160" t="s">
        <v>590</v>
      </c>
      <c r="DN13" s="161" t="s">
        <v>591</v>
      </c>
      <c r="DP13" s="130">
        <v>1</v>
      </c>
    </row>
    <row r="14" spans="1:120" ht="21" customHeight="1">
      <c r="B14" s="285" t="s">
        <v>384</v>
      </c>
      <c r="C14" s="285"/>
      <c r="D14" s="285"/>
      <c r="E14" s="285"/>
      <c r="F14" s="285"/>
      <c r="G14" s="285"/>
      <c r="H14" s="285"/>
      <c r="I14" s="285"/>
      <c r="J14" s="285" t="s">
        <v>385</v>
      </c>
      <c r="K14" s="285"/>
      <c r="L14" s="285"/>
      <c r="M14" s="162"/>
      <c r="N14" s="285" t="s">
        <v>386</v>
      </c>
      <c r="O14" s="285"/>
      <c r="P14" s="285"/>
      <c r="Q14" s="285"/>
      <c r="T14" s="286" t="s">
        <v>592</v>
      </c>
      <c r="U14" s="286"/>
      <c r="V14" s="286"/>
      <c r="W14" s="163" t="s">
        <v>593</v>
      </c>
      <c r="X14" s="140"/>
      <c r="Y14" s="140"/>
      <c r="Z14" s="140"/>
      <c r="AB14" s="140"/>
      <c r="AD14" s="164" t="s">
        <v>594</v>
      </c>
      <c r="AE14" s="140"/>
      <c r="AF14" s="140"/>
      <c r="AG14" s="140"/>
      <c r="AH14" s="140"/>
      <c r="AI14" s="140"/>
      <c r="AJ14" s="140"/>
      <c r="AK14" s="140"/>
      <c r="DE14" s="152"/>
      <c r="DF14" s="160" t="s">
        <v>595</v>
      </c>
      <c r="DG14" s="160" t="s">
        <v>584</v>
      </c>
      <c r="DH14" s="160" t="s">
        <v>125</v>
      </c>
      <c r="DI14" s="160" t="s">
        <v>596</v>
      </c>
      <c r="DJ14" s="160" t="s">
        <v>454</v>
      </c>
      <c r="DK14" s="160" t="s">
        <v>588</v>
      </c>
      <c r="DL14" s="160" t="s">
        <v>589</v>
      </c>
      <c r="DM14" s="160" t="s">
        <v>590</v>
      </c>
      <c r="DN14" s="161" t="s">
        <v>591</v>
      </c>
      <c r="DP14" s="130">
        <v>1</v>
      </c>
    </row>
    <row r="15" spans="1:120" ht="21" customHeight="1">
      <c r="B15" s="165"/>
      <c r="C15" s="165"/>
      <c r="D15" s="165"/>
      <c r="E15" s="165"/>
      <c r="F15" s="165"/>
      <c r="G15" s="165"/>
      <c r="H15" s="165"/>
      <c r="I15" s="165"/>
      <c r="J15" s="166"/>
      <c r="K15" s="101" t="str">
        <f>"COLONNE "&amp;SUBSTITUTE(ADDRESS(1,COLUMN(),4),"1","")</f>
        <v>COLONNE K</v>
      </c>
      <c r="L15" s="166"/>
      <c r="M15" s="135"/>
      <c r="N15" s="167"/>
      <c r="O15" s="103" t="str">
        <f>"COLONNE "&amp;SUBSTITUTE(ADDRESS(1,COLUMN(),4),"1","")</f>
        <v>COLONNE O</v>
      </c>
      <c r="P15" s="167"/>
      <c r="Q15" s="167"/>
      <c r="DE15" s="152"/>
      <c r="DF15" s="160" t="s">
        <v>597</v>
      </c>
      <c r="DG15" s="160" t="s">
        <v>584</v>
      </c>
      <c r="DH15" s="160" t="s">
        <v>125</v>
      </c>
      <c r="DI15" s="160" t="s">
        <v>177</v>
      </c>
      <c r="DJ15" s="160" t="s">
        <v>177</v>
      </c>
      <c r="DK15" s="160" t="s">
        <v>588</v>
      </c>
      <c r="DL15" s="160" t="s">
        <v>589</v>
      </c>
      <c r="DM15" s="160" t="s">
        <v>590</v>
      </c>
      <c r="DN15" s="161" t="s">
        <v>591</v>
      </c>
      <c r="DP15" s="130">
        <v>1</v>
      </c>
    </row>
    <row r="16" spans="1:120" ht="21" customHeight="1">
      <c r="B16" s="168" t="s">
        <v>102</v>
      </c>
      <c r="C16" s="169" t="s">
        <v>387</v>
      </c>
      <c r="D16" s="169" t="s">
        <v>103</v>
      </c>
      <c r="E16" s="169" t="s">
        <v>104</v>
      </c>
      <c r="F16" s="169" t="s">
        <v>105</v>
      </c>
      <c r="G16" s="169" t="s">
        <v>106</v>
      </c>
      <c r="H16" s="169" t="s">
        <v>107</v>
      </c>
      <c r="I16" s="169" t="s">
        <v>108</v>
      </c>
      <c r="J16" s="170" t="s">
        <v>109</v>
      </c>
      <c r="K16" s="287" t="s">
        <v>19</v>
      </c>
      <c r="L16" s="170" t="s">
        <v>388</v>
      </c>
      <c r="M16" s="135"/>
      <c r="N16" s="171" t="s">
        <v>109</v>
      </c>
      <c r="O16" s="271" t="s">
        <v>598</v>
      </c>
      <c r="P16" s="171" t="s">
        <v>110</v>
      </c>
      <c r="Q16" s="171" t="s">
        <v>388</v>
      </c>
      <c r="S16" s="288" t="s">
        <v>109</v>
      </c>
      <c r="T16" s="290" t="str">
        <f>"Texte de la  "&amp;O15</f>
        <v>Texte de la  COLONNE O</v>
      </c>
      <c r="U16" s="292" t="s">
        <v>599</v>
      </c>
      <c r="V16" s="292" t="s">
        <v>600</v>
      </c>
      <c r="W16" s="295" t="str">
        <f>"Céréales contenant du gluten "&amp;(COUNTIF(W18:W77,"X")+COUNTIF(W18:W77,"~?"))</f>
        <v>Céréales contenant du gluten 4</v>
      </c>
      <c r="X16" s="295" t="str">
        <f>"Crustacés "&amp;" "&amp;(COUNTIF(X18:X77,"X")+COUNTIF(X18:X77,"~?"))</f>
        <v>Crustacés  0</v>
      </c>
      <c r="Y16" s="295" t="str">
        <f>"Œufs "&amp;(COUNTIF(Y18:Y77,"X")+COUNTIF(Y18:Y77,"~?"))</f>
        <v>Œufs 5</v>
      </c>
      <c r="Z16" s="295" t="str">
        <f>"Poissons "&amp;(COUNTIF(Z18:Z77,"X")+COUNTIF(Z18:Z77,"~?"))</f>
        <v>Poissons 0</v>
      </c>
      <c r="AA16" s="295" t="str">
        <f>"Arachides "&amp;" "&amp;(COUNTIF(AA18:AA77,"X")+COUNTIF(AA18:AA77,"~?"))</f>
        <v>Arachides  0</v>
      </c>
      <c r="AB16" s="295" t="str">
        <f>"Soja "&amp;" "&amp;(COUNTIF(AB18:AB77,"X")+COUNTIF(AB18:AB77,"~?"))</f>
        <v>Soja  0</v>
      </c>
      <c r="AC16" s="295" t="str">
        <f>"Lait "&amp;" "&amp;(COUNTIF(AC18:AC77,"X")+COUNTIF(AC18:AC77,"~?"))</f>
        <v>Lait  8</v>
      </c>
      <c r="AD16" s="295" t="str">
        <f>"Fruits à coque "&amp;" "&amp;(COUNTIF(AD18:AD77,"X")+COUNTIF(AD18:AD77,"~?"))</f>
        <v>Fruits à coque  7</v>
      </c>
      <c r="AE16" s="295" t="str">
        <f>"Céleri "&amp;(COUNTIF(AE18:AE77,"X")+COUNTIF(AE18:AE77,"~?"))</f>
        <v>Céleri 2</v>
      </c>
      <c r="AF16" s="295" t="str">
        <f>"Moutarde "&amp;(COUNTIF(AF18:AF77,"X")+COUNTIF(AF18:AF77,"~?"))</f>
        <v>Moutarde 4</v>
      </c>
      <c r="AG16" s="295" t="str">
        <f>"Sésame "&amp;(COUNTIF(AG18:AG77,"X")+COUNTIF(AG18:AG77,"~?"))</f>
        <v>Sésame 0</v>
      </c>
      <c r="AH16" s="295" t="str">
        <f>"Sulfites "&amp;(COUNTIF(AH18:AH77,"X")+COUNTIF(AH18:AH77,"~?"))</f>
        <v>Sulfites 1</v>
      </c>
      <c r="AI16" s="295" t="str">
        <f>"Lupin "&amp;(COUNTIF(AI18:AI77,"X")+COUNTIF(AI18:AI77,"~?"))</f>
        <v>Lupin 0</v>
      </c>
      <c r="AJ16" s="295" t="str">
        <f>"Mollusques "&amp;(COUNTIF(AJ18:AJ77,"X")+COUNTIF(AJ18:AJ77,"~?"))</f>
        <v>Mollusques 1</v>
      </c>
      <c r="AK16" s="295" t="s">
        <v>601</v>
      </c>
      <c r="DE16" s="152"/>
      <c r="DF16" s="160" t="s">
        <v>602</v>
      </c>
      <c r="DG16" s="160" t="s">
        <v>584</v>
      </c>
      <c r="DH16" s="160" t="s">
        <v>125</v>
      </c>
      <c r="DI16" s="160" t="s">
        <v>603</v>
      </c>
      <c r="DJ16" s="160" t="s">
        <v>603</v>
      </c>
      <c r="DK16" s="160" t="s">
        <v>588</v>
      </c>
      <c r="DL16" s="160" t="s">
        <v>589</v>
      </c>
      <c r="DM16" s="160" t="s">
        <v>590</v>
      </c>
      <c r="DN16" s="161" t="s">
        <v>591</v>
      </c>
      <c r="DP16" s="130">
        <v>1</v>
      </c>
    </row>
    <row r="17" spans="2:120" ht="20.100000000000001" customHeight="1">
      <c r="B17" s="165"/>
      <c r="C17" s="165"/>
      <c r="D17" s="165"/>
      <c r="E17" s="165"/>
      <c r="F17" s="165"/>
      <c r="G17" s="165"/>
      <c r="H17" s="165"/>
      <c r="I17" s="165"/>
      <c r="J17" s="170"/>
      <c r="K17" s="287"/>
      <c r="L17" s="170"/>
      <c r="M17" s="135"/>
      <c r="N17" s="172"/>
      <c r="O17" s="271"/>
      <c r="P17" s="172"/>
      <c r="Q17" s="172"/>
      <c r="S17" s="289"/>
      <c r="T17" s="291"/>
      <c r="U17" s="293"/>
      <c r="V17" s="293"/>
      <c r="W17" s="296"/>
      <c r="X17" s="296"/>
      <c r="Y17" s="296"/>
      <c r="Z17" s="296"/>
      <c r="AA17" s="296"/>
      <c r="AB17" s="296"/>
      <c r="AC17" s="296"/>
      <c r="AD17" s="296"/>
      <c r="AE17" s="296"/>
      <c r="AF17" s="296"/>
      <c r="AG17" s="296"/>
      <c r="AH17" s="296"/>
      <c r="AI17" s="296"/>
      <c r="AJ17" s="296"/>
      <c r="AK17" s="296"/>
      <c r="AM17" s="173" t="s">
        <v>604</v>
      </c>
      <c r="AN17" s="173" t="s">
        <v>605</v>
      </c>
      <c r="AO17" s="173" t="s">
        <v>606</v>
      </c>
      <c r="AP17" s="173" t="s">
        <v>607</v>
      </c>
      <c r="AQ17" s="173" t="s">
        <v>608</v>
      </c>
      <c r="AR17" s="173" t="s">
        <v>609</v>
      </c>
      <c r="AS17" s="173" t="s">
        <v>610</v>
      </c>
      <c r="AT17" s="173" t="s">
        <v>611</v>
      </c>
      <c r="AU17" s="173" t="s">
        <v>612</v>
      </c>
      <c r="AV17" s="173" t="s">
        <v>613</v>
      </c>
      <c r="AW17" s="173" t="s">
        <v>614</v>
      </c>
      <c r="AX17" s="173" t="s">
        <v>584</v>
      </c>
      <c r="AY17" s="173" t="s">
        <v>615</v>
      </c>
      <c r="AZ17" s="173" t="s">
        <v>616</v>
      </c>
      <c r="BA17" s="173" t="s">
        <v>617</v>
      </c>
      <c r="BB17" s="173" t="s">
        <v>618</v>
      </c>
      <c r="BC17" s="173" t="s">
        <v>619</v>
      </c>
      <c r="BD17" s="173" t="s">
        <v>620</v>
      </c>
      <c r="BE17" s="173" t="s">
        <v>621</v>
      </c>
      <c r="BF17" s="173" t="s">
        <v>622</v>
      </c>
      <c r="BG17" s="173" t="s">
        <v>623</v>
      </c>
      <c r="BH17" s="173" t="s">
        <v>624</v>
      </c>
      <c r="BI17" s="173" t="s">
        <v>625</v>
      </c>
      <c r="BJ17" s="173" t="s">
        <v>626</v>
      </c>
      <c r="BK17" s="173" t="s">
        <v>627</v>
      </c>
      <c r="BL17" s="173" t="s">
        <v>628</v>
      </c>
      <c r="BM17" s="173" t="s">
        <v>629</v>
      </c>
      <c r="BN17" s="173" t="s">
        <v>630</v>
      </c>
      <c r="BO17" s="173" t="s">
        <v>631</v>
      </c>
      <c r="BP17" s="173" t="s">
        <v>632</v>
      </c>
      <c r="BQ17" s="173" t="s">
        <v>633</v>
      </c>
      <c r="BR17" s="173" t="s">
        <v>122</v>
      </c>
      <c r="BS17" s="173" t="s">
        <v>634</v>
      </c>
      <c r="BT17" s="173" t="s">
        <v>117</v>
      </c>
      <c r="BU17" s="173" t="s">
        <v>635</v>
      </c>
      <c r="BV17" s="173" t="s">
        <v>636</v>
      </c>
      <c r="BW17" s="173" t="s">
        <v>637</v>
      </c>
      <c r="BX17" s="173" t="s">
        <v>123</v>
      </c>
      <c r="BY17" s="173" t="s">
        <v>638</v>
      </c>
      <c r="BZ17" s="173" t="s">
        <v>639</v>
      </c>
      <c r="CA17" s="173" t="s">
        <v>640</v>
      </c>
      <c r="CB17" s="173" t="s">
        <v>641</v>
      </c>
      <c r="CC17" s="173" t="s">
        <v>642</v>
      </c>
      <c r="CD17" s="173" t="s">
        <v>643</v>
      </c>
      <c r="CE17" s="173" t="s">
        <v>118</v>
      </c>
      <c r="CF17" s="173" t="s">
        <v>644</v>
      </c>
      <c r="CG17" s="173" t="s">
        <v>645</v>
      </c>
      <c r="CH17" s="173" t="s">
        <v>646</v>
      </c>
      <c r="CI17" s="173" t="s">
        <v>647</v>
      </c>
      <c r="CJ17" s="173" t="s">
        <v>648</v>
      </c>
      <c r="CK17" s="173" t="s">
        <v>649</v>
      </c>
      <c r="CL17" s="173" t="s">
        <v>650</v>
      </c>
      <c r="CM17" s="173" t="s">
        <v>651</v>
      </c>
      <c r="CN17" s="173" t="s">
        <v>652</v>
      </c>
      <c r="CO17" s="173" t="s">
        <v>121</v>
      </c>
      <c r="CP17" s="173" t="s">
        <v>653</v>
      </c>
      <c r="CQ17" s="173" t="s">
        <v>654</v>
      </c>
      <c r="CR17" s="173" t="s">
        <v>655</v>
      </c>
      <c r="CS17" s="173" t="s">
        <v>656</v>
      </c>
      <c r="CT17" s="173" t="s">
        <v>657</v>
      </c>
      <c r="CU17" s="173" t="s">
        <v>124</v>
      </c>
      <c r="CV17" s="173" t="s">
        <v>658</v>
      </c>
      <c r="CW17" s="173" t="s">
        <v>659</v>
      </c>
      <c r="CX17" s="173" t="s">
        <v>119</v>
      </c>
      <c r="CY17" s="173" t="s">
        <v>660</v>
      </c>
      <c r="CZ17" s="173" t="s">
        <v>661</v>
      </c>
      <c r="DA17" s="173" t="s">
        <v>662</v>
      </c>
      <c r="DB17" s="173" t="s">
        <v>663</v>
      </c>
      <c r="DC17" s="173" t="s">
        <v>664</v>
      </c>
      <c r="DD17" s="173" t="s">
        <v>120</v>
      </c>
      <c r="DE17" s="152"/>
      <c r="DF17" s="160" t="s">
        <v>665</v>
      </c>
      <c r="DG17" s="160" t="s">
        <v>584</v>
      </c>
      <c r="DH17" s="160" t="s">
        <v>125</v>
      </c>
      <c r="DI17" s="160" t="s">
        <v>455</v>
      </c>
      <c r="DJ17" s="160" t="s">
        <v>455</v>
      </c>
      <c r="DK17" s="160" t="s">
        <v>666</v>
      </c>
      <c r="DL17" s="160" t="s">
        <v>667</v>
      </c>
      <c r="DM17" s="160" t="s">
        <v>590</v>
      </c>
      <c r="DN17" s="161" t="s">
        <v>668</v>
      </c>
      <c r="DP17" s="130">
        <v>1</v>
      </c>
    </row>
    <row r="18" spans="2:120" ht="30" customHeight="1">
      <c r="B18" s="165" t="str">
        <f t="shared" ref="B18:B81" si="0">IF(TRIM(SUBSTITUTE(K18,CHAR(160),""))="","",TRIM(SUBSTITUTE(SUBSTITUTE(SUBSTITUTE(SUBSTITUTE(CLEAN(K18),CHAR(160)," "),CHAR(9)," "),CHAR(10)," "),CHAR(13)," ")))</f>
        <v>Tarte normande aux pommes et aux amandes 🍎🥧</v>
      </c>
      <c r="C18" s="165" t="str">
        <f t="shared" ref="C18:C81" si="1">IF(B18="","",TRIM(SUBSTITUTE(SUBSTITUTE(SUBSTITUTE(SUBSTITUTE(SUBSTITUTE(SUBSTITUTE(SUBSTITUTE(SUBSTITUTE(SUBSTITUTE(SUBSTITUTE(B18,","," "),";"," "),":"," "),"."," "),"?"," "), "!"," "),"/"," "), "("," "), ")"," "), "-"," ")))</f>
        <v>Tarte normande aux pommes et aux amandes 🍎🥧</v>
      </c>
      <c r="D18" s="165" t="str">
        <f>IF(UPPER(TRIM(N11))="X",C18,B18)</f>
        <v>Tarte normande aux pommes et aux amandes 🍎🥧</v>
      </c>
      <c r="E18" s="165" cm="1">
        <f t="array" ref="E18">IFERROR(MATCH(TRUE(),INDEX(K18:K203&lt;&gt;"",0),0)+17,"")</f>
        <v>18</v>
      </c>
      <c r="F18" s="165" t="str" cm="1">
        <f t="array" ref="F18">IF(E18="","",INDEX(D:D,E18))</f>
        <v>Tarte normande aux pommes et aux amandes 🍎🥧</v>
      </c>
      <c r="G18" s="165" t="str">
        <f t="shared" ref="G18:G81" si="2">IF(OR(F18="",M18=""),"",LEFT(F18,M18))</f>
        <v>Tarte normande aux pommes et aux amandes 🍎🥧</v>
      </c>
      <c r="H18" s="174" t="str">
        <f t="shared" ref="H18:H81" si="3">IF(OR(F18="",M18=""),"",TRIM(MID(F18,M18+1,99999)))</f>
        <v/>
      </c>
      <c r="I18" s="165" t="str">
        <f>IF(AND(F18&lt;&gt;"",N10&gt;0,M18&gt;N10),"Mot &gt; limite","")</f>
        <v/>
      </c>
      <c r="J18" s="175">
        <f>IF(K18="","",COUNTIF(K18:K18,"&lt;&gt;"))</f>
        <v>1</v>
      </c>
      <c r="K18" s="111" t="s">
        <v>393</v>
      </c>
      <c r="L18" s="175">
        <f t="shared" ref="L18:L81" si="4">IF(TRIM(SUBSTITUTE(K18,CHAR(160),""))="","",LEN(K18))</f>
        <v>45</v>
      </c>
      <c r="M18" s="135">
        <f>IF(OR(F18="",N10="",N10&lt;=0),"",IF(LEN(F18)&lt;=N10,LEN(F18),IFERROR(FIND("♦",SUBSTITUTE(LEFT(F18,N10)," ","♦",LEN(LEFT(F18,N10))-LEN(SUBSTITUTE(LEFT(F18,N10)," ","")))),FIND(" ",F18&amp;" ",N10+1)-1)))</f>
        <v>45</v>
      </c>
      <c r="N18" s="176">
        <f t="shared" ref="N18:N81" si="5">IF(O18="","",ROW()-17)</f>
        <v>1</v>
      </c>
      <c r="O18" s="177" t="str">
        <f t="shared" ref="O18:O81" si="6">G18</f>
        <v>Tarte normande aux pommes et aux amandes 🍎🥧</v>
      </c>
      <c r="P18" s="176">
        <f t="shared" ref="P18:P81" si="7">IF(O18="","",LEN(TRIM(O18))-LEN(SUBSTITUTE(TRIM(O18)," ",""))+1)</f>
        <v>8</v>
      </c>
      <c r="Q18" s="176">
        <f t="shared" ref="Q18:Q81" si="8">IF(O18="","",LEN(O18))</f>
        <v>45</v>
      </c>
      <c r="S18" s="178">
        <v>1</v>
      </c>
      <c r="T18" s="179" t="str">
        <f>O18</f>
        <v>Tarte normande aux pommes et aux amandes 🍎🥧</v>
      </c>
      <c r="U18" s="180" t="str">
        <f t="shared" ref="U18:U49" si="9">IF(7=7,IF(T18="","",TRIM(IF(RIGHT(TRIM(T18),1)="?",LEFT(TRIM(T18),LEN(TRIM(T18))-1),TRIM(T18)))&amp;IF(COUNTIF(W18:AJ18,"X")&gt;0," *",IF(OR(W18="?",X18="?",Y18="?",Z18="?",AA18="?",AB18="?",AC18="?",AD18="?",AE18="?",AF18="?",AG18="?",AH18="?",AI18="?",AJ18="?")," ?",""))),"")</f>
        <v>Tarte normande aux pommes et aux amandes 🍎🥧 *</v>
      </c>
      <c r="V18" s="181" t="str">
        <f>IF(7=7,IF(T18="","",IF(W18="X",""&amp;"Céréales contenant du gluten","")&amp;IF(X18="X",IF(COUNTIF(W18:W18,"X")&gt;0,", ","")&amp;"Crustacés","")&amp;IF(Y18="X",IF(COUNTIF(W18:X18,"X")&gt;0,", ","")&amp;"Œufs","")&amp;IF(Z18="X",IF(COUNTIF(W18:Y18,"X")&gt;0,", ","")&amp;"Poissons","")&amp;IF(AA18="X",IF(COUNTIF(W18:Z18,"X")&gt;0,", ","")&amp;"Arachides","")&amp;IF(AB18="X",IF(COUNTIF(W18:AA18,"X")&gt;0,", ","")&amp;"Soja","")&amp;IF(AC18="X",IF(COUNTIF(W18:AB18,"X")&gt;0,", ","")&amp;"Lait","")&amp;IF(AD18="X",IF(COUNTIF(W18:AC18,"X")&gt;0,", ","")&amp;"Fruits à coque","")&amp;IF(AE18="X",IF(COUNTIF(W18:AD18,"X")&gt;0,", ","")&amp;"Céleri","")&amp;IF(AF18="X",IF(COUNTIF(W18:AE18,"X")&gt;0,", ","")&amp;"Moutarde","")&amp;IF(AG18="X",IF(COUNTIF(W18:AF18,"X")&gt;0,", ","")&amp;"Sésame","")&amp;IF(AH18="X",IF(COUNTIF(W18:AG18,"X")&gt;0,", ","")&amp;"Sulfites","")&amp;IF(AI18="X",IF(COUNTIF(W18:AH18,"X")&gt;0,", ","")&amp;"Lupin","")&amp;IF(AJ18="X",IF(COUNTIF(W18:AI18,"X")&gt;0,", ","")&amp;"Mollusques","")),"")</f>
        <v>Fruits à coque</v>
      </c>
      <c r="W18" s="182" t="str">
        <f>IF(7=7,IF(T18="","",AX18),"")</f>
        <v/>
      </c>
      <c r="X18" s="182" t="str">
        <f>IF(7=7,IF(T18="","",BA18),"")</f>
        <v/>
      </c>
      <c r="Y18" s="182" t="str">
        <f>IF(7=7,IF(T18="","",BE18),"")</f>
        <v/>
      </c>
      <c r="Z18" s="182" t="str">
        <f>IF(7=7,IF(T18="","",IF(ISNUMBER(SEARCH(" colin ",AS18)),"X",BR18)),"")</f>
        <v/>
      </c>
      <c r="AA18" s="182" t="str">
        <f>IF(7=7,IF(T18="","",BT18),"")</f>
        <v/>
      </c>
      <c r="AB18" s="182" t="str">
        <f>IF(7=7,IF(T18="","",BX18),"")</f>
        <v/>
      </c>
      <c r="AC18" s="182" t="str">
        <f>IF(7=7,IF(T18="","",CE18),"")</f>
        <v/>
      </c>
      <c r="AD18" s="182" t="str">
        <f>IF(7=7,IF(T18="","",CI18),"")</f>
        <v>X</v>
      </c>
      <c r="AE18" s="182" t="str">
        <f>IF(7=7,IF(T18="","",CL18),"")</f>
        <v/>
      </c>
      <c r="AF18" s="182" t="str">
        <f>IF(7=7,IF(T18="","",CO18),"")</f>
        <v/>
      </c>
      <c r="AG18" s="182" t="str">
        <f>IF(7=7,IF(T18="","",CR18),"")</f>
        <v/>
      </c>
      <c r="AH18" s="182" t="str">
        <f>IF(7=7,IF(T18="","",CU18),"")</f>
        <v/>
      </c>
      <c r="AI18" s="182" t="str">
        <f>IF(7=7,IF(T18="","",CX18),"")</f>
        <v/>
      </c>
      <c r="AJ18" s="182" t="str">
        <f>IF(7=7,IF(T18="","",DD18),"")</f>
        <v/>
      </c>
      <c r="AK18" s="183" t="str">
        <f>IF(7=7,IF(T18="","",IF(W18="?",""&amp;"Céréales contenant du gluten","")&amp;IF(X18="?",IF(COUNTIF(W18:W18,"~?")&gt;0,", ","")&amp;"Crustacés","")&amp;IF(Y18="?",IF(COUNTIF(W18:X18,"~?")&gt;0,", ","")&amp;"Œufs","")&amp;IF(Z18="?",IF(COUNTIF(W18:Y18,"~?")&gt;0,", ","")&amp;"Poissons","")&amp;IF(AA18="?",IF(COUNTIF(W18:Z18,"~?")&gt;0,", ","")&amp;"Arachides","")&amp;IF(AB18="?",IF(COUNTIF(W18:AA18,"~?")&gt;0,", ","")&amp;"Soja","")&amp;IF(AC18="?",IF(COUNTIF(W18:AB18,"~?")&gt;0,", ","")&amp;"Lait","")&amp;IF(AD18="?",IF(COUNTIF(W18:AC18,"~?")&gt;0,", ","")&amp;"Fruits à coque","")&amp;IF(AE18="?",IF(COUNTIF(W18:AD18,"~?")&gt;0,", ","")&amp;"Céleri","")&amp;IF(AF18="?",IF(COUNTIF(W18:AE18,"~?")&gt;0,", ","")&amp;"Moutarde","")&amp;IF(AG18="?",IF(COUNTIF(W18:AF18,"~?")&gt;0,", ","")&amp;"Sésame","")&amp;IF(AH18="?",IF(COUNTIF(W18:AG18,"~?")&gt;0,", ","")&amp;"Sulfites","")&amp;IF(AI18="?",IF(COUNTIF(W18:AH18,"~?")&gt;0,", ","")&amp;"Lupin","")&amp;IF(AJ18="?",IF(COUNTIF(W18:AI18,"~?")&gt;0,", ","")&amp;"Mollusques","")),"")</f>
        <v/>
      </c>
      <c r="AM18" s="127" t="str">
        <f>IF(7=7,IF(T18="","",T18),"")</f>
        <v>Tarte normande aux pommes et aux amandes 🍎🥧</v>
      </c>
      <c r="AN18" s="127" t="str">
        <f>IF(7=7,LOWER(CLEAN(SUBSTITUTE(SUBSTITUTE(SUBSTITUTE(SUBSTITUTE(AM18,CHAR(160)," ")," "," "),CHAR(10)," "),CHAR(13)," "))),"")</f>
        <v>tarte normande aux pommes et aux amandes 🍎🥧</v>
      </c>
      <c r="AO18" s="127" t="str">
        <f>IF(7=7,SUBSTITUTE(SUBSTITUTE(SUBSTITUTE(SUBSTITUTE(SUBSTITUTE(SUBSTITUTE(SUBSTITUTE(SUBSTITUTE(SUBSTITUTE(SUBSTITUTE(SUBSTITUTE(SUBSTITUTE(AN18,"œ","oe"),"æ","ae"),"à","a"),"á","a"),"â","a"),"ä","a"),"ã","a"),"ç","c"),"è","e"),"é","e"),"ê","e"),"ë","e"),"")</f>
        <v>tarte normande aux pommes et aux amandes 🍎🥧</v>
      </c>
      <c r="AP18" s="127" t="str">
        <f>IF(7=7,SUBSTITUTE(SUBSTITUTE(SUBSTITUTE(SUBSTITUTE(SUBSTITUTE(SUBSTITUTE(SUBSTITUTE(SUBSTITUTE(SUBSTITUTE(SUBSTITUTE(SUBSTITUTE(SUBSTITUTE(SUBSTITUTE(SUBSTITUTE(SUBSTITUTE(SUBSTITUTE(AO18,"ì","i"),"í","i"),"î","i"),"ï","i"),"ñ","n"),"ò","o"),"ó","o"),"ô","o"),"ö","o"),"õ","o"),"ù","u"),"ú","u"),"û","u"),"ü","u"),"ý","y"),"ÿ","y"),"")</f>
        <v>tarte normande aux pommes et aux amandes 🍎🥧</v>
      </c>
      <c r="AQ18" s="127" t="str">
        <f>IF(7=7,SUBSTITUTE(SUBSTITUTE(SUBSTITUTE(SUBSTITUTE(SUBSTITUTE(SUBSTITUTE(SUBSTITUTE(SUBSTITUTE(SUBSTITUTE(SUBSTITUTE(SUBSTITUTE(SUBSTITUTE(SUBSTITUTE(SUBSTITUTE(AP18,"’"," "),"`"," "),"–"," "),"—"," "),"-"," "),"'"," "),"/"," "),"_"," "),","," "),"."," "),"("," "),")"," "),";"," "),":"," "),"")</f>
        <v>tarte normande aux pommes et aux amandes 🍎🥧</v>
      </c>
      <c r="AR18" s="127" t="str">
        <f>IF(7=7,SUBSTITUTE(SUBSTITUTE(SUBSTITUTE(SUBSTITUTE(SUBSTITUTE(SUBSTITUTE(SUBSTITUTE(SUBSTITUTE(SUBSTITUTE(SUBSTITUTE(SUBSTITUTE(SUBSTITUTE(SUBSTITUTE(SUBSTITUTE(SUBSTITUTE(AQ18,"!"," "),"?"," "),"+"," "),"*"," "),"&amp;"," "),"["," "),"]"," "),"{"," "),"}"," "),"%"," "),"="," "),"\"," "),"|"," "),"&lt;"," "),"&gt;"," "),"")</f>
        <v>tarte normande aux pommes et aux amandes 🍎🥧</v>
      </c>
      <c r="AS18" s="127" t="str">
        <f>IF(7=7," "&amp;TRIM(SUBSTITUTE(SUBSTITUTE(SUBSTITUTE(SUBSTITUTE(SUBSTITUTE(SUBSTITUTE(AR18,CHAR(34)," "),"  "," "),"  "," "),"  "," "),"  "," "),"  "," "))&amp;" ","")</f>
        <v xml:space="preserve"> tarte normande aux pommes et aux amandes 🍎🥧 </v>
      </c>
      <c r="AT18" s="127" cm="1">
        <f t="array" ref="AT18">IF(7=7,IF(AM18="","",SUMPRODUCT(--ISNUMBER(SEARCH(" "&amp;DJ13:DJ112&amp;" ",AV18)))),"")</f>
        <v>0</v>
      </c>
      <c r="AU18" s="127" cm="1">
        <f t="array" ref="AU18">IF(7=7,IF(AM18="","",SUMPRODUCT(--ISNUMBER(SEARCH(" "&amp;DJ113:DJ162&amp;" ",AV18)))),"")</f>
        <v>0</v>
      </c>
      <c r="AV18" s="127" t="str">
        <f>IF(AM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tarte normande aux pommes et aux amandes 🍎🥧 </v>
      </c>
      <c r="AW18" s="127" cm="1">
        <f t="array" ref="AW18">IF(AM18="","",SUMPRODUCT(--ISNUMBER(SEARCH(" "&amp;DJ195:DJ216&amp;" ",AV18)))+--ISNUMBER(SEARCH(" "&amp;DJ2465&amp;" ",AV18)))</f>
        <v>0</v>
      </c>
      <c r="AX18" s="127" t="str" cm="1">
        <f t="array" ref="AX18">IF(7=7,IF(AM18="","",IF(SUM(AT18:AU18)+SUMPRODUCT(--ISNUMBER(SEARCH(" "&amp;DJ2429:DJ2431&amp;" ",AV18)))&gt;0,"X",IF(AW18&gt;0,"?",""))),"")</f>
        <v/>
      </c>
      <c r="AY18" s="127" cm="1">
        <f t="array" ref="AY18">IF(7=7,IF(AM18="","",SUMPRODUCT(--ISNUMBER(SEARCH(" "&amp;DJ217:DJ316&amp;" ",AS18)))),"")</f>
        <v>0</v>
      </c>
      <c r="AZ18" s="127" cm="1">
        <f t="array" ref="AZ18">IF(7=7,IF(AM18="","",SUMPRODUCT(--ISNUMBER(SEARCH(" "&amp;DJ317:DJ351&amp;" ",AS18)))),"")</f>
        <v>0</v>
      </c>
      <c r="BA18" s="127" t="str">
        <f>IF(7=7,IF(AM18="","",IF((SUM(AY18:AZ18))-(0)&gt;0,"X",IF((0)-(0)&gt;0,"?",""))),"")</f>
        <v/>
      </c>
      <c r="BB18" s="127" cm="1">
        <f t="array" ref="BB18">IF(7=7,IF(AM18="","",SUMPRODUCT(--ISNUMBER(SEARCH(" "&amp;DJ352:DJ409&amp;" ",AS18)))),"")</f>
        <v>0</v>
      </c>
      <c r="BC18" s="127" cm="1">
        <f t="array" ref="BC18">IF(7=7,IF(AM18="","",SUMPRODUCT(--ISNUMBER(SEARCH(" "&amp;DJ410:DJ437&amp;" ",BD18)))+SUMPRODUCT(--ISNUMBER(SEARCH(" "&amp;DJ2451:DJ2464&amp;" ",BD18)))),"")</f>
        <v>0</v>
      </c>
      <c r="BD18" s="127" t="str">
        <f>IF(7=7,IF(AM18="","",SUBSTITUTE(SUBSTITUTE(SUBSTITUTE(SUBSTITUTE(SUBSTITUTE(SUBSTITUTE(SUBSTITUTE(SUBSTITUTE(SUBSTITUTE(SUBSTITUTE(SUBSTITUTE(SUBSTITUTE(SUBSTITUTE(SUBSTITUTE(AS18," "&amp;DJ2466&amp;" "," ")," "&amp;DJ444&amp;" "," ")," "&amp;DJ442&amp;" "," ")," "&amp;DJ2449&amp;" "," ")," "&amp;DJ2450&amp;" "," ")," "&amp;DJ439&amp;" "," ")," "&amp;DJ443&amp;" "," ")," "&amp;DJ445&amp;" "," ")," "&amp;DJ440&amp;" "," ")," "&amp;DJ438&amp;" "," ")," "&amp;DJ1378&amp;" "," ")," "&amp;DJ446&amp;" "," ")," "&amp;DJ1377&amp;" "," ")," "&amp;DJ441&amp;" "," ")),"")</f>
        <v xml:space="preserve"> tarte normande aux pommes et aux amandes 🍎🥧 </v>
      </c>
      <c r="BE18" s="127" t="str">
        <f>IF(7=7,IF(AM18="","",IF(BB18&gt;0,"X",IF(BC18&gt;0,"?",""))),"")</f>
        <v/>
      </c>
      <c r="BF18" s="127" cm="1">
        <f t="array" ref="BF18">IF(7=7,IF(AM18="","",SUMPRODUCT(--ISNUMBER(SEARCH(" "&amp;DJ447:DJ546&amp;" ",BP18)))),"")</f>
        <v>0</v>
      </c>
      <c r="BG18" s="127" cm="1">
        <f t="array" ref="BG18">IF(7=7,IF(AM18="","",SUMPRODUCT(--ISNUMBER(SEARCH(" "&amp;DJ547:DJ646&amp;" ",BP18)))),"")</f>
        <v>0</v>
      </c>
      <c r="BH18" s="127" cm="1">
        <f t="array" ref="BH18">IF(7=7,IF(AM18="","",SUMPRODUCT(--ISNUMBER(SEARCH(" "&amp;DJ647:DJ746&amp;" ",BP18)))),"")</f>
        <v>0</v>
      </c>
      <c r="BI18" s="127" cm="1">
        <f t="array" ref="BI18">IF(7=7,IF(AM18="","",SUMPRODUCT(--ISNUMBER(SEARCH(" "&amp;DJ747:DJ846&amp;" ",BP18)))),"")</f>
        <v>0</v>
      </c>
      <c r="BJ18" s="127" cm="1">
        <f t="array" ref="BJ18">IF(7=7,IF(AM18="","",SUMPRODUCT(--ISNUMBER(SEARCH(" "&amp;DJ847:DJ946&amp;" ",BP18)))),"")</f>
        <v>0</v>
      </c>
      <c r="BK18" s="127" cm="1">
        <f t="array" ref="BK18">IF(7=7,IF(AM18="","",SUMPRODUCT(--ISNUMBER(SEARCH(" "&amp;DJ947:DJ1046&amp;" ",BP18)))),"")</f>
        <v>0</v>
      </c>
      <c r="BL18" s="127" cm="1">
        <f t="array" ref="BL18">IF(7=7,IF(AM18="","",SUMPRODUCT(--ISNUMBER(SEARCH(" "&amp;DJ1047:DJ1146&amp;" ",BP18)))),"")</f>
        <v>0</v>
      </c>
      <c r="BM18" s="127" cm="1">
        <f t="array" ref="BM18">IF(7=7,IF(AM18="","",SUMPRODUCT(--ISNUMBER(SEARCH(" "&amp;DJ1147:DJ1246&amp;" ",BP18)))),"")</f>
        <v>0</v>
      </c>
      <c r="BN18" s="127" cm="1">
        <f t="array" ref="BN18">IF(7=7,IF(AM18="","",SUMPRODUCT(--ISNUMBER(SEARCH(" "&amp;DJ1247:DJ1346&amp;" ",BP18)))),"")</f>
        <v>0</v>
      </c>
      <c r="BO18" s="127" cm="1">
        <f t="array" ref="BO18">IF(7=7,IF(AM18="","",SUMPRODUCT(--ISNUMBER(SEARCH(" "&amp;DJ1347:DJ1374&amp;" ",BP18)))),"")</f>
        <v>0</v>
      </c>
      <c r="BP18" s="127" t="str">
        <f>IF(7=7,IF(AM18="","",SUBSTITUTE(SUBSTITUTE(SUBSTITUTE(SUBSTITUTE(SUBSTITUTE(SUBSTITUTE(SUBSTITUTE(SUBSTITUTE(SUBSTITUTE(AS18," "&amp;DJ1376&amp;" "," ")," "&amp;DJ1375&amp;" "," ")," "&amp;DJ1381&amp;" "," ")," "&amp;DJ1382&amp;" "," ")," "&amp;DJ1378&amp;" "," ")," "&amp;DJ1380&amp;" "," ")," "&amp;DJ1377&amp;" "," ")," "&amp;DJ1379&amp;" "," ")," "&amp;DJ1383&amp;" "," ")),"")</f>
        <v xml:space="preserve"> tarte normande aux pommes et aux amandes 🍎🥧 </v>
      </c>
      <c r="BQ18" s="127" cm="1">
        <f t="array" ref="BQ18">IF(7=7,IF(AM18="","",SUMPRODUCT(--ISNUMBER(SEARCH(" "&amp;DJ1384:DJ1394&amp;" ",BP18)))),"")</f>
        <v>0</v>
      </c>
      <c r="BR18" s="127" t="str" cm="1">
        <f t="array" ref="BR18">IF(7=7,IF(AM18="","",IF(SUM(BF18:BO18)+SUMPRODUCT(--ISNUMBER(SEARCH(" "&amp;DJ2432:DJ2433&amp;" ",BP18)))&gt;0,"X",IF(BQ18&gt;0,"?",""))),"")</f>
        <v/>
      </c>
      <c r="BS18" s="127" cm="1">
        <f t="array" ref="BS18">IF(7=7,IF(AM18="","",SUMPRODUCT(--ISNUMBER(SEARCH(" "&amp;DJ1395:DJ1415&amp;" ",AS18)))),"")</f>
        <v>0</v>
      </c>
      <c r="BT18" s="127" t="str">
        <f>IF(7=7,IF(AM18="","",IF((BS18)-(0)&gt;0,"X",IF((0)-(0)&gt;0,"?",""))),"")</f>
        <v/>
      </c>
      <c r="BU18" s="127" cm="1">
        <f t="array" ref="BU18">IF(7=7,IF(AM18="","",SUMPRODUCT(--ISNUMBER(SEARCH(" "&amp;DJ1416:DJ1453&amp;" ",BV18)))),"")</f>
        <v>0</v>
      </c>
      <c r="BV18" s="127" t="str">
        <f>IF(7=7,IF(AM18="","",SUBSTITUTE(SUBSTITUTE(AS18," "&amp;DJ1454&amp;" "," ")," "&amp;DJ1455&amp;" "," ")),"")</f>
        <v xml:space="preserve"> tarte normande aux pommes et aux amandes 🍎🥧 </v>
      </c>
      <c r="BW18" s="127" cm="1">
        <f t="array" ref="BW18">IF(7=7,IF(AM18="","",SUMPRODUCT(--ISNUMBER(SEARCH(" "&amp;DJ1456:DJ1466&amp;" ",BV18)))),"")</f>
        <v>0</v>
      </c>
      <c r="BX18" s="127" t="str">
        <f>IF(7=7,IF(AM18="","",IF(BU18&gt;0,"X",IF(BW18&gt;0,"?",""))),"")</f>
        <v/>
      </c>
      <c r="BY18" s="127" cm="1">
        <f t="array" ref="BY18">IF(7=7,IF(AM18="","",SUMPRODUCT(--ISNUMBER(SEARCH(" "&amp;DJ1467:DJ1566&amp;" ",CB18)))),"")</f>
        <v>0</v>
      </c>
      <c r="BZ18" s="127" cm="1">
        <f t="array" ref="BZ18">IF(7=7,IF(AM18="","",SUMPRODUCT(--ISNUMBER(SEARCH(" "&amp;DJ1567:DJ1666&amp;" ",CB18)))),"")</f>
        <v>0</v>
      </c>
      <c r="CA18" s="127" cm="1">
        <f t="array" ref="CA18">IF(7=7,IF(AM18="","",SUMPRODUCT(--ISNUMBER(SEARCH(" "&amp;DJ1667:DJ1750&amp;" ",CB18)))),"")</f>
        <v>0</v>
      </c>
      <c r="CB18" s="127" t="str">
        <f>IF(7=7,IF(AM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tarte normande aux pommes et aux amandes 🍎🥧 </v>
      </c>
      <c r="CC18" s="127" cm="1">
        <f t="array" ref="CC18">IF(7=7,IF(AM18="","",SUMPRODUCT(--ISNUMBER(SEARCH(" "&amp;DJ1801:DJ1880&amp;" ",CD18)))+SUMPRODUCT(--ISNUMBER(SEARCH(" "&amp;DJ2451:DJ2464&amp;" ",CD18)))),"")</f>
        <v>0</v>
      </c>
      <c r="CD18" s="127" t="str">
        <f>IF(7=7,IF(AM18="","",SUBSTITUTE(SUBSTITUTE(SUBSTITUTE(SUBSTITUTE(SUBSTITUTE(SUBSTITUTE(SUBSTITUTE(SUBSTITUTE(SUBSTITUTE(SUBSTITUTE(SUBSTITUTE(SUBSTITUTE(SUBSTITUTE(CB18," "&amp;DJ1887&amp;" "," ")," "&amp;DJ1885&amp;" "," ")," "&amp;DJ2449&amp;" "," ")," "&amp;DJ2450&amp;" "," ")," "&amp;DJ1882&amp;" "," ")," "&amp;DJ1886&amp;" "," ")," "&amp;DJ1888&amp;" "," ")," "&amp;DJ1883&amp;" "," ")," "&amp;DJ1881&amp;" "," ")," "&amp;DJ1378&amp;" "," ")," "&amp;DJ1889&amp;" "," ")," "&amp;DJ1377&amp;" "," ")," "&amp;DJ1884&amp;" "," ")),"")</f>
        <v xml:space="preserve"> tarte normande aux pommes et aux amandes 🍎🥧 </v>
      </c>
      <c r="CE18" s="127" t="str" cm="1">
        <f t="array" ref="CE18">IF(7=7,IF(AM18="","",IF(SUM(BY18:CA18)+SUMPRODUCT(--ISNUMBER(SEARCH(" "&amp;DJ2434:DJ2435&amp;" ",CB18)))&gt;0,"X",IF(CC18&gt;0,"?",""))),"")</f>
        <v/>
      </c>
      <c r="CF18" s="127" cm="1">
        <f t="array" ref="CF18">IF(7=7,IF(AM18="","",SUMPRODUCT(--ISNUMBER(SEARCH(" "&amp;DJ1890:DJ1947&amp;" ",CG18)))),"")</f>
        <v>1</v>
      </c>
      <c r="CG18" s="127" t="str">
        <f>IF(7=7,IF(AM18="","",SUBSTITUTE(SUBSTITUTE(SUBSTITUTE(SUBSTITUTE(SUBSTITUTE(SUBSTITUTE(SUBSTITUTE(SUBSTITUTE(SUBSTITUTE(SUBSTITUTE(SUBSTITUTE(SUBSTITUTE(SUBSTITUTE(SUBSTITUTE(SUBSTITUTE(SUBSTITUTE(SUBSTITUTE(SUBSTITUTE(SUBSTITUTE(SUBSTITUTE(SUBSTITUTE(SUBSTITUTE(SUBSTITUTE(AS18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tarte normande aux pommes et aux amandes 🍎🥧 </v>
      </c>
      <c r="CH18" s="127" cm="1">
        <f t="array" ref="CH18">IF(7=7,IF(AM18="","",SUMPRODUCT(--ISNUMBER(SEARCH(" "&amp;DJ1971:DJ1987&amp;" ",CG18)))),"")</f>
        <v>0</v>
      </c>
      <c r="CI18" s="127" t="str">
        <f>IF(7=7,IF(AM18="","",IF(CF18&gt;0,"X",IF(CH18&gt;0,"?",""))),"")</f>
        <v>X</v>
      </c>
      <c r="CJ18" s="127" cm="1">
        <f t="array" ref="CJ18">IF(7=7,IF(AM18="","",SUMPRODUCT(--ISNUMBER(SEARCH(" "&amp;DJ1988:DJ2001&amp;" ",AS18)))),"")</f>
        <v>0</v>
      </c>
      <c r="CK18" s="127" cm="1">
        <f t="array" ref="CK18">IF(7=7,IF(AM18="","",SUMPRODUCT(--ISNUMBER(SEARCH(" "&amp;DJ2002:DJ2016&amp;" ",AS18)))),"")</f>
        <v>0</v>
      </c>
      <c r="CL18" s="127" t="str">
        <f>IF(7=7,IF(AM18="","",IF((CJ18)-(0)&gt;0,"X",IF((CK18)-(0)&gt;0,"?",""))),"")</f>
        <v/>
      </c>
      <c r="CM18" s="127" cm="1">
        <f t="array" ref="CM18">IF(7=7,IF(AM18="","",SUMPRODUCT(--ISNUMBER(SEARCH(" "&amp;DJ2017:DJ2034&amp;" ",AS18)))),"")</f>
        <v>0</v>
      </c>
      <c r="CN18" s="127" cm="1">
        <f t="array" ref="CN18">IF(7=7,IF(AM18="","",SUMPRODUCT(--ISNUMBER(SEARCH(" "&amp;DJ2035:DJ2049&amp;" ",AS18)))),"")</f>
        <v>0</v>
      </c>
      <c r="CO18" s="127" t="str">
        <f>IF(7=7,IF(AM18="","",IF((CM18)-(0)&gt;0,"X",IF((CN18)-(0)&gt;0,"?",""))),"")</f>
        <v/>
      </c>
      <c r="CP18" s="127" cm="1">
        <f t="array" ref="CP18">IF(7=7,IF(AM18="","",SUMPRODUCT(--ISNUMBER(SEARCH(" "&amp;DJ2050:DJ2068&amp;" ",AS18)))),"")</f>
        <v>0</v>
      </c>
      <c r="CQ18" s="127" cm="1">
        <f t="array" ref="CQ18">IF(7=7,IF(AM18="","",SUMPRODUCT(--ISNUMBER(SEARCH(" "&amp;DJ2069:DJ2083&amp;" ",AS18)))),"")</f>
        <v>0</v>
      </c>
      <c r="CR18" s="127" t="str">
        <f>IF(7=7,IF(AM18="","",IF((CP18)-(0)&gt;0,"X",IF((CQ18)-(0)&gt;0,"?",""))),"")</f>
        <v/>
      </c>
      <c r="CS18" s="127" cm="1">
        <f t="array" ref="CS18">IF(7=7,IF(AM18="","",SUMPRODUCT(--ISNUMBER(SEARCH(" "&amp;DJ2084:DJ2104&amp;" ",AS18)))),"")</f>
        <v>0</v>
      </c>
      <c r="CT18" s="127" cm="1">
        <f t="array" ref="CT18">IF(7=7,IF(AM18="","",SUMPRODUCT(--ISNUMBER(SEARCH(" "&amp;DJ2105:DJ2144&amp;" ",SUBSTITUTE(SUBSTITUTE(AS18," "&amp;DJ1378&amp;" "," ")," "&amp;DJ1377&amp;" "," "))))+--ISNUMBER(SEARCH("poiré",AN18))),"")</f>
        <v>0</v>
      </c>
      <c r="CU18" s="127" t="str">
        <f>IF(7=7,IF(AM18="","",IF(OR(CS18&gt;0,ISNUMBER(SEARCH(" vinaigre de vin ",AS18)),ISNUMBER(SEARCH(" vinaigre au vin ",AS18))),"X",IF(CT18&gt;0,"?",""))),"")</f>
        <v/>
      </c>
      <c r="CV18" s="127" cm="1">
        <f t="array" ref="CV18">IF(7=7,IF(AM18="","",SUMPRODUCT(--ISNUMBER(SEARCH(" "&amp;DJ2145:DJ2157&amp;" ",AS18)))),"")</f>
        <v>0</v>
      </c>
      <c r="CW18" s="127" cm="1">
        <f t="array" ref="CW18">IF(7=7,IF(AM18="","",SUMPRODUCT(--ISNUMBER(SEARCH(" "&amp;DJ2158:DJ2163&amp;" ",AS18)))),"")</f>
        <v>0</v>
      </c>
      <c r="CX18" s="127" t="str">
        <f>IF(7=7,IF(AM18="","",IF((CV18)-(0)&gt;0,"X",IF((CW18)-(0)&gt;0,"?",""))),"")</f>
        <v/>
      </c>
      <c r="CY18" s="127" cm="1">
        <f t="array" ref="CY18">IF(7=7,IF(AM18="","",SUMPRODUCT(--ISNUMBER(SEARCH(" "&amp;DJ2164:DJ2263&amp;" ",DB18)))),"")</f>
        <v>0</v>
      </c>
      <c r="CZ18" s="127" cm="1">
        <f t="array" ref="CZ18">IF(7=7,IF(AM18="","",SUMPRODUCT(--ISNUMBER(SEARCH(" "&amp;DJ2264:DJ2363&amp;" ",DB18)))),"")</f>
        <v>0</v>
      </c>
      <c r="DA18" s="127" cm="1">
        <f t="array" ref="DA18">IF(7=7,IF(AM18="","",SUMPRODUCT(--ISNUMBER(SEARCH(" "&amp;DJ2364:DJ2406&amp;" ",DB18)))),"")</f>
        <v>0</v>
      </c>
      <c r="DB18" s="127" t="str">
        <f>IF(7=7,IF(AM18="","",SUBSTITUTE(SUBSTITUTE(SUBSTITUTE(SUBSTITUTE(SUBSTITUTE(SUBSTITUTE(SUBSTITUTE(SUBSTITUTE(SUBSTITUTE(SUBSTITUTE(SUBSTITUTE(SUBSTITUTE(SUBSTITUTE(SUBSTITUTE(SUBSTITUTE(SUBSTITUTE(AS18," "&amp;DJ2412&amp;" "," ")," "&amp;DJ2411&amp;" "," ")," "&amp;DJ2410&amp;" "," ")," "&amp;DJ2417&amp;" "," ")," "&amp;DJ2409&amp;" "," ")," "&amp;DJ2421&amp;" "," ")," "&amp;DJ2408&amp;" "," ")," "&amp;DJ2413&amp;" "," ")," "&amp;DJ2416&amp;" "," ")," "&amp;DJ2407&amp;" "," ")," "&amp;DJ2415&amp;" "," ")," "&amp;DJ2422&amp;" "," ")," "&amp;DJ2419&amp;" "," ")," "&amp;DJ2414&amp;" "," ")," "&amp;DJ2418&amp;" "," ")," "&amp;DJ2420&amp;" "," ")),"")</f>
        <v xml:space="preserve"> tarte normande aux pommes et aux amandes 🍎🥧 </v>
      </c>
      <c r="DC18" s="127" cm="1">
        <f t="array" ref="DC18">IF(7=7,IF(AM18="","",SUMPRODUCT(--ISNUMBER(SEARCH(" "&amp;DJ2423:DJ2427&amp;" ",DB18)))),"")</f>
        <v>0</v>
      </c>
      <c r="DD18" s="127" t="str">
        <f>IF(7=7,IF(AM18="","",IF(SUM(CY18:DA18)&gt;0,"X",IF(DC18&gt;0,"?",""))),"")</f>
        <v/>
      </c>
      <c r="DE18" s="152"/>
      <c r="DF18" s="160" t="s">
        <v>669</v>
      </c>
      <c r="DG18" s="160" t="s">
        <v>584</v>
      </c>
      <c r="DH18" s="160" t="s">
        <v>125</v>
      </c>
      <c r="DI18" s="160" t="s">
        <v>670</v>
      </c>
      <c r="DJ18" s="160" t="s">
        <v>671</v>
      </c>
      <c r="DK18" s="160" t="s">
        <v>588</v>
      </c>
      <c r="DL18" s="160" t="s">
        <v>589</v>
      </c>
      <c r="DM18" s="160" t="s">
        <v>590</v>
      </c>
      <c r="DN18" s="161" t="s">
        <v>591</v>
      </c>
      <c r="DP18" s="130">
        <v>1</v>
      </c>
    </row>
    <row r="19" spans="2:120" ht="30" customHeight="1">
      <c r="B19" s="165" t="str">
        <f t="shared" si="0"/>
        <v>Un grand classique de la pâtisserie française ! Cette tarte normande fondante aux pommes et aux amandes est à la fois simple, économique et délicieusement parfumée. À servir tiède avec une cuillerée de crème fraîche pour un pur moment de douceur.</v>
      </c>
      <c r="C19" s="165" t="str">
        <f t="shared" si="1"/>
        <v>Un grand classique de la pâtisserie française Cette tarte normande fondante aux pommes et aux amandes est à la fois simple économique et délicieusement parfumée À servir tiède avec une cuillerée de crème fraîche pour un pur moment de douceur</v>
      </c>
      <c r="D19" s="165" t="str">
        <f>IF(UPPER(TRIM(N11))="X",C19,B19)</f>
        <v>Un grand classique de la pâtisserie française ! Cette tarte normande fondante aux pommes et aux amandes est à la fois simple, économique et délicieusement parfumée. À servir tiède avec une cuillerée de crème fraîche pour un pur moment de douceur.</v>
      </c>
      <c r="E19" s="165" cm="1">
        <f t="array" ref="E19">IF(H18&lt;&gt;"",E18,IF(E18="","",IFERROR(MATCH(TRUE(),INDEX(INDEX(K:K,E18+1):K203&lt;&gt;"",0),0)+E18,"")))</f>
        <v>19</v>
      </c>
      <c r="F19" s="165" t="str" cm="1">
        <f t="array" ref="F19">IF(E19="","",IF(H18&lt;&gt;"",H18,INDEX(D:D,E19)))</f>
        <v>Un grand classique de la pâtisserie française ! Cette tarte normande fondante aux pommes et aux amandes est à la fois simple, économique et délicieusement parfumée. À servir tiède avec une cuillerée de crème fraîche pour un pur moment de douceur.</v>
      </c>
      <c r="G19" s="165" t="str">
        <f t="shared" si="2"/>
        <v xml:space="preserve">Un grand classique de la pâtisserie française ! Cette tarte normande fondante </v>
      </c>
      <c r="H19" s="174" t="str">
        <f t="shared" si="3"/>
        <v>aux pommes et aux amandes est à la fois simple, économique et délicieusement parfumée. À servir tiède avec une cuillerée de crème fraîche pour un pur moment de douceur.</v>
      </c>
      <c r="I19" s="184" t="str">
        <f>IF(AND(F19&lt;&gt;"",N10&gt;0,M19&gt;N10),"Mot &gt; limite","")</f>
        <v/>
      </c>
      <c r="J19" s="175">
        <f>IF(K19="","",COUNTIF(K18:K19,"&lt;&gt;"))</f>
        <v>2</v>
      </c>
      <c r="K19" s="111" t="s">
        <v>394</v>
      </c>
      <c r="L19" s="175">
        <f t="shared" si="4"/>
        <v>246</v>
      </c>
      <c r="M19" s="135">
        <f>IF(OR(F19="",N10="",N10&lt;=0),"",IF(LEN(F19)&lt;=N10,LEN(F19),IFERROR(FIND("♦",SUBSTITUTE(LEFT(F19,N10)," ","♦",LEN(LEFT(F19,N10))-LEN(SUBSTITUTE(LEFT(F19,N10)," ","")))),FIND(" ",F19&amp;" ",N10+1)-1)))</f>
        <v>78</v>
      </c>
      <c r="N19" s="176">
        <f t="shared" si="5"/>
        <v>2</v>
      </c>
      <c r="O19" s="185" t="str">
        <f t="shared" si="6"/>
        <v xml:space="preserve">Un grand classique de la pâtisserie française ! Cette tarte normande fondante </v>
      </c>
      <c r="P19" s="176">
        <f t="shared" si="7"/>
        <v>12</v>
      </c>
      <c r="Q19" s="176">
        <f t="shared" si="8"/>
        <v>78</v>
      </c>
      <c r="S19" s="178">
        <v>2</v>
      </c>
      <c r="T19" s="179" t="str">
        <f t="shared" ref="T19:T77" si="10">O19</f>
        <v xml:space="preserve">Un grand classique de la pâtisserie française ! Cette tarte normande fondante </v>
      </c>
      <c r="U19" s="180" t="str">
        <f t="shared" si="9"/>
        <v>Un grand classique de la pâtisserie française ! Cette tarte normande fondante</v>
      </c>
      <c r="V19" s="181" t="str">
        <f>IF(8=8,IF(T19="","",IF(W19="X",""&amp;"Céréales contenant du gluten","")&amp;IF(X19="X",IF(COUNTIF(W19:W19,"X")&gt;0,", ","")&amp;"Crustacés","")&amp;IF(Y19="X",IF(COUNTIF(W19:X19,"X")&gt;0,", ","")&amp;"Œufs","")&amp;IF(Z19="X",IF(COUNTIF(W19:Y19,"X")&gt;0,", ","")&amp;"Poissons","")&amp;IF(AA19="X",IF(COUNTIF(W19:Z19,"X")&gt;0,", ","")&amp;"Arachides","")&amp;IF(AB19="X",IF(COUNTIF(W19:AA19,"X")&gt;0,", ","")&amp;"Soja","")&amp;IF(AC19="X",IF(COUNTIF(W19:AB19,"X")&gt;0,", ","")&amp;"Lait","")&amp;IF(AD19="X",IF(COUNTIF(W19:AC19,"X")&gt;0,", ","")&amp;"Fruits à coque","")&amp;IF(AE19="X",IF(COUNTIF(W19:AD19,"X")&gt;0,", ","")&amp;"Céleri","")&amp;IF(AF19="X",IF(COUNTIF(W19:AE19,"X")&gt;0,", ","")&amp;"Moutarde","")&amp;IF(AG19="X",IF(COUNTIF(W19:AF19,"X")&gt;0,", ","")&amp;"Sésame","")&amp;IF(AH19="X",IF(COUNTIF(W19:AG19,"X")&gt;0,", ","")&amp;"Sulfites","")&amp;IF(AI19="X",IF(COUNTIF(W19:AH19,"X")&gt;0,", ","")&amp;"Lupin","")&amp;IF(AJ19="X",IF(COUNTIF(W19:AI19,"X")&gt;0,", ","")&amp;"Mollusques","")),"")</f>
        <v/>
      </c>
      <c r="W19" s="182" t="str">
        <f>IF(8=8,IF(T19="","",AX19),"")</f>
        <v/>
      </c>
      <c r="X19" s="182" t="str">
        <f>IF(8=8,IF(T19="","",BA19),"")</f>
        <v/>
      </c>
      <c r="Y19" s="182" t="str">
        <f>IF(8=8,IF(T19="","",BE19),"")</f>
        <v/>
      </c>
      <c r="Z19" s="182" t="str">
        <f>IF(8=8,IF(T19="","",IF(ISNUMBER(SEARCH(" colin ",AS19)),"X",BR19)),"")</f>
        <v/>
      </c>
      <c r="AA19" s="182" t="str">
        <f>IF(8=8,IF(T19="","",BT19),"")</f>
        <v/>
      </c>
      <c r="AB19" s="182" t="str">
        <f>IF(8=8,IF(T19="","",BX19),"")</f>
        <v/>
      </c>
      <c r="AC19" s="182" t="str">
        <f>IF(8=8,IF(T19="","",CE19),"")</f>
        <v/>
      </c>
      <c r="AD19" s="182" t="str">
        <f>IF(8=8,IF(T19="","",CI19),"")</f>
        <v/>
      </c>
      <c r="AE19" s="182" t="str">
        <f>IF(8=8,IF(T19="","",CL19),"")</f>
        <v/>
      </c>
      <c r="AF19" s="182" t="str">
        <f>IF(8=8,IF(T19="","",CO19),"")</f>
        <v/>
      </c>
      <c r="AG19" s="182" t="str">
        <f>IF(8=8,IF(T19="","",CR19),"")</f>
        <v/>
      </c>
      <c r="AH19" s="182" t="str">
        <f>IF(8=8,IF(T19="","",CU19),"")</f>
        <v/>
      </c>
      <c r="AI19" s="182" t="str">
        <f>IF(8=8,IF(T19="","",CX19),"")</f>
        <v/>
      </c>
      <c r="AJ19" s="182" t="str">
        <f>IF(8=8,IF(T19="","",DD19),"")</f>
        <v/>
      </c>
      <c r="AK19" s="183" t="str">
        <f>IF(8=8,IF(T19="","",IF(W19="?",""&amp;"Céréales contenant du gluten","")&amp;IF(X19="?",IF(COUNTIF(W19:W19,"~?")&gt;0,", ","")&amp;"Crustacés","")&amp;IF(Y19="?",IF(COUNTIF(W19:X19,"~?")&gt;0,", ","")&amp;"Œufs","")&amp;IF(Z19="?",IF(COUNTIF(W19:Y19,"~?")&gt;0,", ","")&amp;"Poissons","")&amp;IF(AA19="?",IF(COUNTIF(W19:Z19,"~?")&gt;0,", ","")&amp;"Arachides","")&amp;IF(AB19="?",IF(COUNTIF(W19:AA19,"~?")&gt;0,", ","")&amp;"Soja","")&amp;IF(AC19="?",IF(COUNTIF(W19:AB19,"~?")&gt;0,", ","")&amp;"Lait","")&amp;IF(AD19="?",IF(COUNTIF(W19:AC19,"~?")&gt;0,", ","")&amp;"Fruits à coque","")&amp;IF(AE19="?",IF(COUNTIF(W19:AD19,"~?")&gt;0,", ","")&amp;"Céleri","")&amp;IF(AF19="?",IF(COUNTIF(W19:AE19,"~?")&gt;0,", ","")&amp;"Moutarde","")&amp;IF(AG19="?",IF(COUNTIF(W19:AF19,"~?")&gt;0,", ","")&amp;"Sésame","")&amp;IF(AH19="?",IF(COUNTIF(W19:AG19,"~?")&gt;0,", ","")&amp;"Sulfites","")&amp;IF(AI19="?",IF(COUNTIF(W19:AH19,"~?")&gt;0,", ","")&amp;"Lupin","")&amp;IF(AJ19="?",IF(COUNTIF(W19:AI19,"~?")&gt;0,", ","")&amp;"Mollusques","")),"")</f>
        <v/>
      </c>
      <c r="AM19" s="127" t="str">
        <f>IF(8=8,IF(T19="","",T19),"")</f>
        <v xml:space="preserve">Un grand classique de la pâtisserie française ! Cette tarte normande fondante </v>
      </c>
      <c r="AN19" s="127" t="str">
        <f>IF(8=8,LOWER(CLEAN(SUBSTITUTE(SUBSTITUTE(SUBSTITUTE(SUBSTITUTE(AM19,CHAR(160)," ")," "," "),CHAR(10)," "),CHAR(13)," "))),"")</f>
        <v xml:space="preserve">un grand classique de la pâtisserie française ! cette tarte normande fondante </v>
      </c>
      <c r="AO19" s="127" t="str">
        <f>IF(8=8,SUBSTITUTE(SUBSTITUTE(SUBSTITUTE(SUBSTITUTE(SUBSTITUTE(SUBSTITUTE(SUBSTITUTE(SUBSTITUTE(SUBSTITUTE(SUBSTITUTE(SUBSTITUTE(SUBSTITUTE(AN19,"œ","oe"),"æ","ae"),"à","a"),"á","a"),"â","a"),"ä","a"),"ã","a"),"ç","c"),"è","e"),"é","e"),"ê","e"),"ë","e"),"")</f>
        <v xml:space="preserve">un grand classique de la patisserie francaise ! cette tarte normande fondante </v>
      </c>
      <c r="AP19" s="127" t="str">
        <f>IF(8=8,SUBSTITUTE(SUBSTITUTE(SUBSTITUTE(SUBSTITUTE(SUBSTITUTE(SUBSTITUTE(SUBSTITUTE(SUBSTITUTE(SUBSTITUTE(SUBSTITUTE(SUBSTITUTE(SUBSTITUTE(SUBSTITUTE(SUBSTITUTE(SUBSTITUTE(SUBSTITUTE(AO19,"ì","i"),"í","i"),"î","i"),"ï","i"),"ñ","n"),"ò","o"),"ó","o"),"ô","o"),"ö","o"),"õ","o"),"ù","u"),"ú","u"),"û","u"),"ü","u"),"ý","y"),"ÿ","y"),"")</f>
        <v xml:space="preserve">un grand classique de la patisserie francaise ! cette tarte normande fondante </v>
      </c>
      <c r="AQ19" s="127" t="str">
        <f>IF(8=8,SUBSTITUTE(SUBSTITUTE(SUBSTITUTE(SUBSTITUTE(SUBSTITUTE(SUBSTITUTE(SUBSTITUTE(SUBSTITUTE(SUBSTITUTE(SUBSTITUTE(SUBSTITUTE(SUBSTITUTE(SUBSTITUTE(SUBSTITUTE(AP19,"’"," "),"`"," "),"–"," "),"—"," "),"-"," "),"'"," "),"/"," "),"_"," "),","," "),"."," "),"("," "),")"," "),";"," "),":"," "),"")</f>
        <v xml:space="preserve">un grand classique de la patisserie francaise ! cette tarte normande fondante </v>
      </c>
      <c r="AR19" s="127" t="str">
        <f>IF(8=8,SUBSTITUTE(SUBSTITUTE(SUBSTITUTE(SUBSTITUTE(SUBSTITUTE(SUBSTITUTE(SUBSTITUTE(SUBSTITUTE(SUBSTITUTE(SUBSTITUTE(SUBSTITUTE(SUBSTITUTE(SUBSTITUTE(SUBSTITUTE(SUBSTITUTE(AQ19,"!"," "),"?"," "),"+"," "),"*"," "),"&amp;"," "),"["," "),"]"," "),"{"," "),"}"," "),"%"," "),"="," "),"\"," "),"|"," "),"&lt;"," "),"&gt;"," "),"")</f>
        <v xml:space="preserve">un grand classique de la patisserie francaise   cette tarte normande fondante </v>
      </c>
      <c r="AS19" s="127" t="str">
        <f>IF(8=8," "&amp;TRIM(SUBSTITUTE(SUBSTITUTE(SUBSTITUTE(SUBSTITUTE(SUBSTITUTE(SUBSTITUTE(AR19,CHAR(34)," "),"  "," "),"  "," "),"  "," "),"  "," "),"  "," "))&amp;" ","")</f>
        <v xml:space="preserve"> un grand classique de la patisserie francaise cette tarte normande fondante </v>
      </c>
      <c r="AT19" s="127" cm="1">
        <f t="array" ref="AT19">IF(8=8,IF(AM19="","",SUMPRODUCT(--ISNUMBER(SEARCH(" "&amp;DJ13:DJ112&amp;" ",AV19)))),"")</f>
        <v>0</v>
      </c>
      <c r="AU19" s="127" cm="1">
        <f t="array" ref="AU19">IF(8=8,IF(AM19="","",SUMPRODUCT(--ISNUMBER(SEARCH(" "&amp;DJ113:DJ162&amp;" ",AV19)))),"")</f>
        <v>0</v>
      </c>
      <c r="AV19" s="127" t="str">
        <f>IF(AM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un grand classique de la patisserie francaise cette tarte normande fondante </v>
      </c>
      <c r="AW19" s="127" cm="1">
        <f t="array" ref="AW19">IF(AM19="","",SUMPRODUCT(--ISNUMBER(SEARCH(" "&amp;DJ195:DJ216&amp;" ",AV19)))+--ISNUMBER(SEARCH(" "&amp;DJ2465&amp;" ",AV19)))</f>
        <v>0</v>
      </c>
      <c r="AX19" s="127" t="str" cm="1">
        <f t="array" ref="AX19">IF(8=8,IF(AM19="","",IF(SUM(AT19:AU19)+SUMPRODUCT(--ISNUMBER(SEARCH(" "&amp;DJ2429:DJ2431&amp;" ",AV19)))&gt;0,"X",IF(AW19&gt;0,"?",""))),"")</f>
        <v/>
      </c>
      <c r="AY19" s="127" cm="1">
        <f t="array" ref="AY19">IF(8=8,IF(AM19="","",SUMPRODUCT(--ISNUMBER(SEARCH(" "&amp;DJ217:DJ316&amp;" ",AS19)))),"")</f>
        <v>0</v>
      </c>
      <c r="AZ19" s="127" cm="1">
        <f t="array" ref="AZ19">IF(8=8,IF(AM19="","",SUMPRODUCT(--ISNUMBER(SEARCH(" "&amp;DJ317:DJ351&amp;" ",AS19)))),"")</f>
        <v>0</v>
      </c>
      <c r="BA19" s="127" t="str">
        <f>IF(8=8,IF(AM19="","",IF((SUM(AY19:AZ19))-(0)&gt;0,"X",IF((0)-(0)&gt;0,"?",""))),"")</f>
        <v/>
      </c>
      <c r="BB19" s="127" cm="1">
        <f t="array" ref="BB19">IF(8=8,IF(AM19="","",SUMPRODUCT(--ISNUMBER(SEARCH(" "&amp;DJ352:DJ409&amp;" ",AS19)))),"")</f>
        <v>0</v>
      </c>
      <c r="BC19" s="127" cm="1">
        <f t="array" ref="BC19">IF(8=8,IF(AM19="","",SUMPRODUCT(--ISNUMBER(SEARCH(" "&amp;DJ410:DJ437&amp;" ",BD19)))+SUMPRODUCT(--ISNUMBER(SEARCH(" "&amp;DJ2451:DJ2464&amp;" ",BD19)))),"")</f>
        <v>0</v>
      </c>
      <c r="BD19" s="127" t="str">
        <f>IF(8=8,IF(AM19="","",SUBSTITUTE(SUBSTITUTE(SUBSTITUTE(SUBSTITUTE(SUBSTITUTE(SUBSTITUTE(SUBSTITUTE(SUBSTITUTE(SUBSTITUTE(SUBSTITUTE(SUBSTITUTE(SUBSTITUTE(SUBSTITUTE(SUBSTITUTE(AS19," "&amp;DJ2466&amp;" "," ")," "&amp;DJ444&amp;" "," ")," "&amp;DJ442&amp;" "," ")," "&amp;DJ2449&amp;" "," ")," "&amp;DJ2450&amp;" "," ")," "&amp;DJ439&amp;" "," ")," "&amp;DJ443&amp;" "," ")," "&amp;DJ445&amp;" "," ")," "&amp;DJ440&amp;" "," ")," "&amp;DJ438&amp;" "," ")," "&amp;DJ1378&amp;" "," ")," "&amp;DJ446&amp;" "," ")," "&amp;DJ1377&amp;" "," ")," "&amp;DJ441&amp;" "," ")),"")</f>
        <v xml:space="preserve"> un grand classique de la patisserie francaise cette tarte normande fondante </v>
      </c>
      <c r="BE19" s="127" t="str">
        <f>IF(8=8,IF(AM19="","",IF(BB19&gt;0,"X",IF(BC19&gt;0,"?",""))),"")</f>
        <v/>
      </c>
      <c r="BF19" s="127" cm="1">
        <f t="array" ref="BF19">IF(8=8,IF(AM19="","",SUMPRODUCT(--ISNUMBER(SEARCH(" "&amp;DJ447:DJ546&amp;" ",BP19)))),"")</f>
        <v>0</v>
      </c>
      <c r="BG19" s="127" cm="1">
        <f t="array" ref="BG19">IF(8=8,IF(AM19="","",SUMPRODUCT(--ISNUMBER(SEARCH(" "&amp;DJ547:DJ646&amp;" ",BP19)))),"")</f>
        <v>0</v>
      </c>
      <c r="BH19" s="127" cm="1">
        <f t="array" ref="BH19">IF(8=8,IF(AM19="","",SUMPRODUCT(--ISNUMBER(SEARCH(" "&amp;DJ647:DJ746&amp;" ",BP19)))),"")</f>
        <v>0</v>
      </c>
      <c r="BI19" s="127" cm="1">
        <f t="array" ref="BI19">IF(8=8,IF(AM19="","",SUMPRODUCT(--ISNUMBER(SEARCH(" "&amp;DJ747:DJ846&amp;" ",BP19)))),"")</f>
        <v>0</v>
      </c>
      <c r="BJ19" s="127" cm="1">
        <f t="array" ref="BJ19">IF(8=8,IF(AM19="","",SUMPRODUCT(--ISNUMBER(SEARCH(" "&amp;DJ847:DJ946&amp;" ",BP19)))),"")</f>
        <v>0</v>
      </c>
      <c r="BK19" s="127" cm="1">
        <f t="array" ref="BK19">IF(8=8,IF(AM19="","",SUMPRODUCT(--ISNUMBER(SEARCH(" "&amp;DJ947:DJ1046&amp;" ",BP19)))),"")</f>
        <v>0</v>
      </c>
      <c r="BL19" s="127" cm="1">
        <f t="array" ref="BL19">IF(8=8,IF(AM19="","",SUMPRODUCT(--ISNUMBER(SEARCH(" "&amp;DJ1047:DJ1146&amp;" ",BP19)))),"")</f>
        <v>0</v>
      </c>
      <c r="BM19" s="127" cm="1">
        <f t="array" ref="BM19">IF(8=8,IF(AM19="","",SUMPRODUCT(--ISNUMBER(SEARCH(" "&amp;DJ1147:DJ1246&amp;" ",BP19)))),"")</f>
        <v>0</v>
      </c>
      <c r="BN19" s="127" cm="1">
        <f t="array" ref="BN19">IF(8=8,IF(AM19="","",SUMPRODUCT(--ISNUMBER(SEARCH(" "&amp;DJ1247:DJ1346&amp;" ",BP19)))),"")</f>
        <v>0</v>
      </c>
      <c r="BO19" s="127" cm="1">
        <f t="array" ref="BO19">IF(8=8,IF(AM19="","",SUMPRODUCT(--ISNUMBER(SEARCH(" "&amp;DJ1347:DJ1374&amp;" ",BP19)))),"")</f>
        <v>0</v>
      </c>
      <c r="BP19" s="127" t="str">
        <f>IF(8=8,IF(AM19="","",SUBSTITUTE(SUBSTITUTE(SUBSTITUTE(SUBSTITUTE(SUBSTITUTE(SUBSTITUTE(SUBSTITUTE(SUBSTITUTE(SUBSTITUTE(AS19," "&amp;DJ1376&amp;" "," ")," "&amp;DJ1375&amp;" "," ")," "&amp;DJ1381&amp;" "," ")," "&amp;DJ1382&amp;" "," ")," "&amp;DJ1378&amp;" "," ")," "&amp;DJ1380&amp;" "," ")," "&amp;DJ1377&amp;" "," ")," "&amp;DJ1379&amp;" "," ")," "&amp;DJ1383&amp;" "," ")),"")</f>
        <v xml:space="preserve"> un grand classique de la patisserie francaise cette tarte normande fondante </v>
      </c>
      <c r="BQ19" s="127" cm="1">
        <f t="array" ref="BQ19">IF(8=8,IF(AM19="","",SUMPRODUCT(--ISNUMBER(SEARCH(" "&amp;DJ1384:DJ1394&amp;" ",BP19)))),"")</f>
        <v>0</v>
      </c>
      <c r="BR19" s="127" t="str" cm="1">
        <f t="array" ref="BR19">IF(8=8,IF(AM19="","",IF(SUM(BF19:BO19)+SUMPRODUCT(--ISNUMBER(SEARCH(" "&amp;DJ2432:DJ2433&amp;" ",BP19)))&gt;0,"X",IF(BQ19&gt;0,"?",""))),"")</f>
        <v/>
      </c>
      <c r="BS19" s="127" cm="1">
        <f t="array" ref="BS19">IF(8=8,IF(AM19="","",SUMPRODUCT(--ISNUMBER(SEARCH(" "&amp;DJ1395:DJ1415&amp;" ",AS19)))),"")</f>
        <v>0</v>
      </c>
      <c r="BT19" s="127" t="str">
        <f>IF(8=8,IF(AM19="","",IF((BS19)-(0)&gt;0,"X",IF((0)-(0)&gt;0,"?",""))),"")</f>
        <v/>
      </c>
      <c r="BU19" s="127" cm="1">
        <f t="array" ref="BU19">IF(8=8,IF(AM19="","",SUMPRODUCT(--ISNUMBER(SEARCH(" "&amp;DJ1416:DJ1453&amp;" ",BV19)))),"")</f>
        <v>0</v>
      </c>
      <c r="BV19" s="127" t="str">
        <f>IF(8=8,IF(AM19="","",SUBSTITUTE(SUBSTITUTE(AS19," "&amp;DJ1454&amp;" "," ")," "&amp;DJ1455&amp;" "," ")),"")</f>
        <v xml:space="preserve"> un grand classique de la patisserie francaise cette tarte normande fondante </v>
      </c>
      <c r="BW19" s="127" cm="1">
        <f t="array" ref="BW19">IF(8=8,IF(AM19="","",SUMPRODUCT(--ISNUMBER(SEARCH(" "&amp;DJ1456:DJ1466&amp;" ",BV19)))),"")</f>
        <v>0</v>
      </c>
      <c r="BX19" s="127" t="str">
        <f>IF(8=8,IF(AM19="","",IF(BU19&gt;0,"X",IF(BW19&gt;0,"?",""))),"")</f>
        <v/>
      </c>
      <c r="BY19" s="127" cm="1">
        <f t="array" ref="BY19">IF(8=8,IF(AM19="","",SUMPRODUCT(--ISNUMBER(SEARCH(" "&amp;DJ1467:DJ1566&amp;" ",CB19)))),"")</f>
        <v>0</v>
      </c>
      <c r="BZ19" s="127" cm="1">
        <f t="array" ref="BZ19">IF(8=8,IF(AM19="","",SUMPRODUCT(--ISNUMBER(SEARCH(" "&amp;DJ1567:DJ1666&amp;" ",CB19)))),"")</f>
        <v>0</v>
      </c>
      <c r="CA19" s="127" cm="1">
        <f t="array" ref="CA19">IF(8=8,IF(AM19="","",SUMPRODUCT(--ISNUMBER(SEARCH(" "&amp;DJ1667:DJ1750&amp;" ",CB19)))),"")</f>
        <v>0</v>
      </c>
      <c r="CB19" s="127" t="str">
        <f>IF(8=8,IF(AM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un grand classique de la patisserie francaise cette tarte normande fondante </v>
      </c>
      <c r="CC19" s="127" cm="1">
        <f t="array" ref="CC19">IF(8=8,IF(AM19="","",SUMPRODUCT(--ISNUMBER(SEARCH(" "&amp;DJ1801:DJ1880&amp;" ",CD19)))+SUMPRODUCT(--ISNUMBER(SEARCH(" "&amp;DJ2451:DJ2464&amp;" ",CD19)))),"")</f>
        <v>0</v>
      </c>
      <c r="CD19" s="127" t="str">
        <f>IF(8=8,IF(AM19="","",SUBSTITUTE(SUBSTITUTE(SUBSTITUTE(SUBSTITUTE(SUBSTITUTE(SUBSTITUTE(SUBSTITUTE(SUBSTITUTE(SUBSTITUTE(SUBSTITUTE(SUBSTITUTE(SUBSTITUTE(SUBSTITUTE(CB19," "&amp;DJ1887&amp;" "," ")," "&amp;DJ1885&amp;" "," ")," "&amp;DJ2449&amp;" "," ")," "&amp;DJ2450&amp;" "," ")," "&amp;DJ1882&amp;" "," ")," "&amp;DJ1886&amp;" "," ")," "&amp;DJ1888&amp;" "," ")," "&amp;DJ1883&amp;" "," ")," "&amp;DJ1881&amp;" "," ")," "&amp;DJ1378&amp;" "," ")," "&amp;DJ1889&amp;" "," ")," "&amp;DJ1377&amp;" "," ")," "&amp;DJ1884&amp;" "," ")),"")</f>
        <v xml:space="preserve"> un grand classique de la patisserie francaise cette tarte normande fondante </v>
      </c>
      <c r="CE19" s="127" t="str" cm="1">
        <f t="array" ref="CE19">IF(8=8,IF(AM19="","",IF(SUM(BY19:CA19)+SUMPRODUCT(--ISNUMBER(SEARCH(" "&amp;DJ2434:DJ2435&amp;" ",CB19)))&gt;0,"X",IF(CC19&gt;0,"?",""))),"")</f>
        <v/>
      </c>
      <c r="CF19" s="127" cm="1">
        <f t="array" ref="CF19">IF(8=8,IF(AM19="","",SUMPRODUCT(--ISNUMBER(SEARCH(" "&amp;DJ1890:DJ1947&amp;" ",CG19)))),"")</f>
        <v>0</v>
      </c>
      <c r="CG19" s="127" t="str">
        <f>IF(8=8,IF(AM19="","",SUBSTITUTE(SUBSTITUTE(SUBSTITUTE(SUBSTITUTE(SUBSTITUTE(SUBSTITUTE(SUBSTITUTE(SUBSTITUTE(SUBSTITUTE(SUBSTITUTE(SUBSTITUTE(SUBSTITUTE(SUBSTITUTE(SUBSTITUTE(SUBSTITUTE(SUBSTITUTE(SUBSTITUTE(SUBSTITUTE(SUBSTITUTE(SUBSTITUTE(SUBSTITUTE(SUBSTITUTE(SUBSTITUTE(AS19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un grand classique de la patisserie francaise cette tarte normande fondante </v>
      </c>
      <c r="CH19" s="127" cm="1">
        <f t="array" ref="CH19">IF(8=8,IF(AM19="","",SUMPRODUCT(--ISNUMBER(SEARCH(" "&amp;DJ1971:DJ1987&amp;" ",CG19)))),"")</f>
        <v>0</v>
      </c>
      <c r="CI19" s="127" t="str">
        <f>IF(8=8,IF(AM19="","",IF(CF19&gt;0,"X",IF(CH19&gt;0,"?",""))),"")</f>
        <v/>
      </c>
      <c r="CJ19" s="127" cm="1">
        <f t="array" ref="CJ19">IF(8=8,IF(AM19="","",SUMPRODUCT(--ISNUMBER(SEARCH(" "&amp;DJ1988:DJ2001&amp;" ",AS19)))),"")</f>
        <v>0</v>
      </c>
      <c r="CK19" s="127" cm="1">
        <f t="array" ref="CK19">IF(8=8,IF(AM19="","",SUMPRODUCT(--ISNUMBER(SEARCH(" "&amp;DJ2002:DJ2016&amp;" ",AS19)))),"")</f>
        <v>0</v>
      </c>
      <c r="CL19" s="127" t="str">
        <f>IF(8=8,IF(AM19="","",IF((CJ19)-(0)&gt;0,"X",IF((CK19)-(0)&gt;0,"?",""))),"")</f>
        <v/>
      </c>
      <c r="CM19" s="127" cm="1">
        <f t="array" ref="CM19">IF(8=8,IF(AM19="","",SUMPRODUCT(--ISNUMBER(SEARCH(" "&amp;DJ2017:DJ2034&amp;" ",AS19)))),"")</f>
        <v>0</v>
      </c>
      <c r="CN19" s="127" cm="1">
        <f t="array" ref="CN19">IF(8=8,IF(AM19="","",SUMPRODUCT(--ISNUMBER(SEARCH(" "&amp;DJ2035:DJ2049&amp;" ",AS19)))),"")</f>
        <v>0</v>
      </c>
      <c r="CO19" s="127" t="str">
        <f>IF(8=8,IF(AM19="","",IF((CM19)-(0)&gt;0,"X",IF((CN19)-(0)&gt;0,"?",""))),"")</f>
        <v/>
      </c>
      <c r="CP19" s="127" cm="1">
        <f t="array" ref="CP19">IF(8=8,IF(AM19="","",SUMPRODUCT(--ISNUMBER(SEARCH(" "&amp;DJ2050:DJ2068&amp;" ",AS19)))),"")</f>
        <v>0</v>
      </c>
      <c r="CQ19" s="127" cm="1">
        <f t="array" ref="CQ19">IF(8=8,IF(AM19="","",SUMPRODUCT(--ISNUMBER(SEARCH(" "&amp;DJ2069:DJ2083&amp;" ",AS19)))),"")</f>
        <v>0</v>
      </c>
      <c r="CR19" s="127" t="str">
        <f>IF(8=8,IF(AM19="","",IF((CP19)-(0)&gt;0,"X",IF((CQ19)-(0)&gt;0,"?",""))),"")</f>
        <v/>
      </c>
      <c r="CS19" s="127" cm="1">
        <f t="array" ref="CS19">IF(8=8,IF(AM19="","",SUMPRODUCT(--ISNUMBER(SEARCH(" "&amp;DJ2084:DJ2104&amp;" ",AS19)))),"")</f>
        <v>0</v>
      </c>
      <c r="CT19" s="127" cm="1">
        <f t="array" ref="CT19">IF(8=8,IF(AM19="","",SUMPRODUCT(--ISNUMBER(SEARCH(" "&amp;DJ2105:DJ2144&amp;" ",SUBSTITUTE(SUBSTITUTE(AS19," "&amp;DJ1378&amp;" "," ")," "&amp;DJ1377&amp;" "," "))))+--ISNUMBER(SEARCH("poiré",AN19))),"")</f>
        <v>0</v>
      </c>
      <c r="CU19" s="127" t="str">
        <f>IF(8=8,IF(AM19="","",IF(OR(CS19&gt;0,ISNUMBER(SEARCH(" vinaigre de vin ",AS19)),ISNUMBER(SEARCH(" vinaigre au vin ",AS19))),"X",IF(CT19&gt;0,"?",""))),"")</f>
        <v/>
      </c>
      <c r="CV19" s="127" cm="1">
        <f t="array" ref="CV19">IF(8=8,IF(AM19="","",SUMPRODUCT(--ISNUMBER(SEARCH(" "&amp;DJ2145:DJ2157&amp;" ",AS19)))),"")</f>
        <v>0</v>
      </c>
      <c r="CW19" s="127" cm="1">
        <f t="array" ref="CW19">IF(8=8,IF(AM19="","",SUMPRODUCT(--ISNUMBER(SEARCH(" "&amp;DJ2158:DJ2163&amp;" ",AS19)))),"")</f>
        <v>0</v>
      </c>
      <c r="CX19" s="127" t="str">
        <f>IF(8=8,IF(AM19="","",IF((CV19)-(0)&gt;0,"X",IF((CW19)-(0)&gt;0,"?",""))),"")</f>
        <v/>
      </c>
      <c r="CY19" s="127" cm="1">
        <f t="array" ref="CY19">IF(8=8,IF(AM19="","",SUMPRODUCT(--ISNUMBER(SEARCH(" "&amp;DJ2164:DJ2263&amp;" ",DB19)))),"")</f>
        <v>0</v>
      </c>
      <c r="CZ19" s="127" cm="1">
        <f t="array" ref="CZ19">IF(8=8,IF(AM19="","",SUMPRODUCT(--ISNUMBER(SEARCH(" "&amp;DJ2264:DJ2363&amp;" ",DB19)))),"")</f>
        <v>0</v>
      </c>
      <c r="DA19" s="127" cm="1">
        <f t="array" ref="DA19">IF(8=8,IF(AM19="","",SUMPRODUCT(--ISNUMBER(SEARCH(" "&amp;DJ2364:DJ2406&amp;" ",DB19)))),"")</f>
        <v>0</v>
      </c>
      <c r="DB19" s="127" t="str">
        <f>IF(8=8,IF(AM19="","",SUBSTITUTE(SUBSTITUTE(SUBSTITUTE(SUBSTITUTE(SUBSTITUTE(SUBSTITUTE(SUBSTITUTE(SUBSTITUTE(SUBSTITUTE(SUBSTITUTE(SUBSTITUTE(SUBSTITUTE(SUBSTITUTE(SUBSTITUTE(SUBSTITUTE(SUBSTITUTE(AS19," "&amp;DJ2412&amp;" "," ")," "&amp;DJ2411&amp;" "," ")," "&amp;DJ2410&amp;" "," ")," "&amp;DJ2417&amp;" "," ")," "&amp;DJ2409&amp;" "," ")," "&amp;DJ2421&amp;" "," ")," "&amp;DJ2408&amp;" "," ")," "&amp;DJ2413&amp;" "," ")," "&amp;DJ2416&amp;" "," ")," "&amp;DJ2407&amp;" "," ")," "&amp;DJ2415&amp;" "," ")," "&amp;DJ2422&amp;" "," ")," "&amp;DJ2419&amp;" "," ")," "&amp;DJ2414&amp;" "," ")," "&amp;DJ2418&amp;" "," ")," "&amp;DJ2420&amp;" "," ")),"")</f>
        <v xml:space="preserve"> un grand classique de la patisserie francaise cette tarte normande fondante </v>
      </c>
      <c r="DC19" s="127" cm="1">
        <f t="array" ref="DC19">IF(8=8,IF(AM19="","",SUMPRODUCT(--ISNUMBER(SEARCH(" "&amp;DJ2423:DJ2427&amp;" ",DB19)))),"")</f>
        <v>0</v>
      </c>
      <c r="DD19" s="127" t="str">
        <f>IF(8=8,IF(AM19="","",IF(SUM(CY19:DA19)&gt;0,"X",IF(DC19&gt;0,"?",""))),"")</f>
        <v/>
      </c>
      <c r="DE19" s="152"/>
      <c r="DF19" s="160" t="s">
        <v>672</v>
      </c>
      <c r="DG19" s="160" t="s">
        <v>584</v>
      </c>
      <c r="DH19" s="160" t="s">
        <v>125</v>
      </c>
      <c r="DI19" s="160" t="s">
        <v>673</v>
      </c>
      <c r="DJ19" s="160" t="s">
        <v>674</v>
      </c>
      <c r="DK19" s="160" t="s">
        <v>588</v>
      </c>
      <c r="DL19" s="160" t="s">
        <v>589</v>
      </c>
      <c r="DM19" s="160" t="s">
        <v>590</v>
      </c>
      <c r="DN19" s="161" t="s">
        <v>591</v>
      </c>
      <c r="DP19" s="130">
        <v>1</v>
      </c>
    </row>
    <row r="20" spans="2:120" ht="30" customHeight="1">
      <c r="B20" s="165" t="str">
        <f t="shared" si="0"/>
        <v>Ingrédients :</v>
      </c>
      <c r="C20" s="165" t="str">
        <f t="shared" si="1"/>
        <v>Ingrédients</v>
      </c>
      <c r="D20" s="165" t="str">
        <f>IF(UPPER(TRIM(N11))="X",C20,B20)</f>
        <v>Ingrédients :</v>
      </c>
      <c r="E20" s="165" cm="1">
        <f t="array" ref="E20">IF(H19&lt;&gt;"",E19,IF(E19="","",IFERROR(MATCH(TRUE(),INDEX(INDEX(K:K,E19+1):K203&lt;&gt;"",0),0)+E19,"")))</f>
        <v>19</v>
      </c>
      <c r="F20" s="165" t="str" cm="1">
        <f t="array" ref="F20">IF(E20="","",IF(H19&lt;&gt;"",H19,INDEX(D:D,E20)))</f>
        <v>aux pommes et aux amandes est à la fois simple, économique et délicieusement parfumée. À servir tiède avec une cuillerée de crème fraîche pour un pur moment de douceur.</v>
      </c>
      <c r="G20" s="165" t="str">
        <f t="shared" si="2"/>
        <v xml:space="preserve">aux pommes et aux amandes est à la fois simple, économique et délicieusement </v>
      </c>
      <c r="H20" s="174" t="str">
        <f t="shared" si="3"/>
        <v>parfumée. À servir tiède avec une cuillerée de crème fraîche pour un pur moment de douceur.</v>
      </c>
      <c r="I20" s="184" t="str">
        <f>IF(AND(F20&lt;&gt;"",N10&gt;0,M20&gt;N10),"Mot &gt; limite","")</f>
        <v/>
      </c>
      <c r="J20" s="175">
        <f>IF(K20="","",COUNTIF(K18:K20,"&lt;&gt;"))</f>
        <v>3</v>
      </c>
      <c r="K20" s="111" t="s">
        <v>395</v>
      </c>
      <c r="L20" s="175">
        <f t="shared" si="4"/>
        <v>13</v>
      </c>
      <c r="M20" s="135">
        <f>IF(OR(F20="",N10="",N10&lt;=0),"",IF(LEN(F20)&lt;=N10,LEN(F20),IFERROR(FIND("♦",SUBSTITUTE(LEFT(F20,N10)," ","♦",LEN(LEFT(F20,N10))-LEN(SUBSTITUTE(LEFT(F20,N10)," ","")))),FIND(" ",F20&amp;" ",N10+1)-1)))</f>
        <v>77</v>
      </c>
      <c r="N20" s="176">
        <f t="shared" si="5"/>
        <v>3</v>
      </c>
      <c r="O20" s="177" t="str">
        <f t="shared" si="6"/>
        <v xml:space="preserve">aux pommes et aux amandes est à la fois simple, économique et délicieusement </v>
      </c>
      <c r="P20" s="176">
        <f t="shared" si="7"/>
        <v>13</v>
      </c>
      <c r="Q20" s="176">
        <f t="shared" si="8"/>
        <v>77</v>
      </c>
      <c r="S20" s="178">
        <v>3</v>
      </c>
      <c r="T20" s="179" t="str">
        <f t="shared" si="10"/>
        <v xml:space="preserve">aux pommes et aux amandes est à la fois simple, économique et délicieusement </v>
      </c>
      <c r="U20" s="180" t="str">
        <f t="shared" si="9"/>
        <v>aux pommes et aux amandes est à la fois simple, économique et délicieusement *</v>
      </c>
      <c r="V20" s="181" t="str">
        <f>IF(9=9,IF(T20="","",IF(W20="X",""&amp;"Céréales contenant du gluten","")&amp;IF(X20="X",IF(COUNTIF(W20:W20,"X")&gt;0,", ","")&amp;"Crustacés","")&amp;IF(Y20="X",IF(COUNTIF(W20:X20,"X")&gt;0,", ","")&amp;"Œufs","")&amp;IF(Z20="X",IF(COUNTIF(W20:Y20,"X")&gt;0,", ","")&amp;"Poissons","")&amp;IF(AA20="X",IF(COUNTIF(W20:Z20,"X")&gt;0,", ","")&amp;"Arachides","")&amp;IF(AB20="X",IF(COUNTIF(W20:AA20,"X")&gt;0,", ","")&amp;"Soja","")&amp;IF(AC20="X",IF(COUNTIF(W20:AB20,"X")&gt;0,", ","")&amp;"Lait","")&amp;IF(AD20="X",IF(COUNTIF(W20:AC20,"X")&gt;0,", ","")&amp;"Fruits à coque","")&amp;IF(AE20="X",IF(COUNTIF(W20:AD20,"X")&gt;0,", ","")&amp;"Céleri","")&amp;IF(AF20="X",IF(COUNTIF(W20:AE20,"X")&gt;0,", ","")&amp;"Moutarde","")&amp;IF(AG20="X",IF(COUNTIF(W20:AF20,"X")&gt;0,", ","")&amp;"Sésame","")&amp;IF(AH20="X",IF(COUNTIF(W20:AG20,"X")&gt;0,", ","")&amp;"Sulfites","")&amp;IF(AI20="X",IF(COUNTIF(W20:AH20,"X")&gt;0,", ","")&amp;"Lupin","")&amp;IF(AJ20="X",IF(COUNTIF(W20:AI20,"X")&gt;0,", ","")&amp;"Mollusques","")),"")</f>
        <v>Fruits à coque</v>
      </c>
      <c r="W20" s="182" t="str">
        <f>IF(9=9,IF(T20="","",AX20),"")</f>
        <v/>
      </c>
      <c r="X20" s="182" t="str">
        <f>IF(9=9,IF(T20="","",BA20),"")</f>
        <v/>
      </c>
      <c r="Y20" s="182" t="str">
        <f>IF(9=9,IF(T20="","",BE20),"")</f>
        <v/>
      </c>
      <c r="Z20" s="182" t="str">
        <f>IF(9=9,IF(T20="","",IF(ISNUMBER(SEARCH(" colin ",AS20)),"X",BR20)),"")</f>
        <v/>
      </c>
      <c r="AA20" s="182" t="str">
        <f>IF(9=9,IF(T20="","",BT20),"")</f>
        <v/>
      </c>
      <c r="AB20" s="182" t="str">
        <f>IF(9=9,IF(T20="","",BX20),"")</f>
        <v/>
      </c>
      <c r="AC20" s="182" t="str">
        <f>IF(9=9,IF(T20="","",CE20),"")</f>
        <v/>
      </c>
      <c r="AD20" s="182" t="str">
        <f>IF(9=9,IF(T20="","",CI20),"")</f>
        <v>X</v>
      </c>
      <c r="AE20" s="182" t="str">
        <f>IF(9=9,IF(T20="","",CL20),"")</f>
        <v/>
      </c>
      <c r="AF20" s="182" t="str">
        <f>IF(9=9,IF(T20="","",CO20),"")</f>
        <v/>
      </c>
      <c r="AG20" s="182" t="str">
        <f>IF(9=9,IF(T20="","",CR20),"")</f>
        <v/>
      </c>
      <c r="AH20" s="182" t="str">
        <f>IF(9=9,IF(T20="","",CU20),"")</f>
        <v/>
      </c>
      <c r="AI20" s="182" t="str">
        <f>IF(9=9,IF(T20="","",CX20),"")</f>
        <v/>
      </c>
      <c r="AJ20" s="182" t="str">
        <f>IF(9=9,IF(T20="","",DD20),"")</f>
        <v/>
      </c>
      <c r="AK20" s="183" t="str">
        <f>IF(9=9,IF(T20="","",IF(W20="?",""&amp;"Céréales contenant du gluten","")&amp;IF(X20="?",IF(COUNTIF(W20:W20,"~?")&gt;0,", ","")&amp;"Crustacés","")&amp;IF(Y20="?",IF(COUNTIF(W20:X20,"~?")&gt;0,", ","")&amp;"Œufs","")&amp;IF(Z20="?",IF(COUNTIF(W20:Y20,"~?")&gt;0,", ","")&amp;"Poissons","")&amp;IF(AA20="?",IF(COUNTIF(W20:Z20,"~?")&gt;0,", ","")&amp;"Arachides","")&amp;IF(AB20="?",IF(COUNTIF(W20:AA20,"~?")&gt;0,", ","")&amp;"Soja","")&amp;IF(AC20="?",IF(COUNTIF(W20:AB20,"~?")&gt;0,", ","")&amp;"Lait","")&amp;IF(AD20="?",IF(COUNTIF(W20:AC20,"~?")&gt;0,", ","")&amp;"Fruits à coque","")&amp;IF(AE20="?",IF(COUNTIF(W20:AD20,"~?")&gt;0,", ","")&amp;"Céleri","")&amp;IF(AF20="?",IF(COUNTIF(W20:AE20,"~?")&gt;0,", ","")&amp;"Moutarde","")&amp;IF(AG20="?",IF(COUNTIF(W20:AF20,"~?")&gt;0,", ","")&amp;"Sésame","")&amp;IF(AH20="?",IF(COUNTIF(W20:AG20,"~?")&gt;0,", ","")&amp;"Sulfites","")&amp;IF(AI20="?",IF(COUNTIF(W20:AH20,"~?")&gt;0,", ","")&amp;"Lupin","")&amp;IF(AJ20="?",IF(COUNTIF(W20:AI20,"~?")&gt;0,", ","")&amp;"Mollusques","")),"")</f>
        <v/>
      </c>
      <c r="AM20" s="127" t="str">
        <f>IF(9=9,IF(T20="","",T20),"")</f>
        <v xml:space="preserve">aux pommes et aux amandes est à la fois simple, économique et délicieusement </v>
      </c>
      <c r="AN20" s="127" t="str">
        <f>IF(9=9,LOWER(CLEAN(SUBSTITUTE(SUBSTITUTE(SUBSTITUTE(SUBSTITUTE(AM20,CHAR(160)," ")," "," "),CHAR(10)," "),CHAR(13)," "))),"")</f>
        <v xml:space="preserve">aux pommes et aux amandes est à la fois simple, économique et délicieusement </v>
      </c>
      <c r="AO20" s="127" t="str">
        <f>IF(9=9,SUBSTITUTE(SUBSTITUTE(SUBSTITUTE(SUBSTITUTE(SUBSTITUTE(SUBSTITUTE(SUBSTITUTE(SUBSTITUTE(SUBSTITUTE(SUBSTITUTE(SUBSTITUTE(SUBSTITUTE(AN20,"œ","oe"),"æ","ae"),"à","a"),"á","a"),"â","a"),"ä","a"),"ã","a"),"ç","c"),"è","e"),"é","e"),"ê","e"),"ë","e"),"")</f>
        <v xml:space="preserve">aux pommes et aux amandes est a la fois simple, economique et delicieusement </v>
      </c>
      <c r="AP20" s="127" t="str">
        <f>IF(9=9,SUBSTITUTE(SUBSTITUTE(SUBSTITUTE(SUBSTITUTE(SUBSTITUTE(SUBSTITUTE(SUBSTITUTE(SUBSTITUTE(SUBSTITUTE(SUBSTITUTE(SUBSTITUTE(SUBSTITUTE(SUBSTITUTE(SUBSTITUTE(SUBSTITUTE(SUBSTITUTE(AO20,"ì","i"),"í","i"),"î","i"),"ï","i"),"ñ","n"),"ò","o"),"ó","o"),"ô","o"),"ö","o"),"õ","o"),"ù","u"),"ú","u"),"û","u"),"ü","u"),"ý","y"),"ÿ","y"),"")</f>
        <v xml:space="preserve">aux pommes et aux amandes est a la fois simple, economique et delicieusement </v>
      </c>
      <c r="AQ20" s="127" t="str">
        <f>IF(9=9,SUBSTITUTE(SUBSTITUTE(SUBSTITUTE(SUBSTITUTE(SUBSTITUTE(SUBSTITUTE(SUBSTITUTE(SUBSTITUTE(SUBSTITUTE(SUBSTITUTE(SUBSTITUTE(SUBSTITUTE(SUBSTITUTE(SUBSTITUTE(AP20,"’"," "),"`"," "),"–"," "),"—"," "),"-"," "),"'"," "),"/"," "),"_"," "),","," "),"."," "),"("," "),")"," "),";"," "),":"," "),"")</f>
        <v xml:space="preserve">aux pommes et aux amandes est a la fois simple  economique et delicieusement </v>
      </c>
      <c r="AR20" s="127" t="str">
        <f>IF(9=9,SUBSTITUTE(SUBSTITUTE(SUBSTITUTE(SUBSTITUTE(SUBSTITUTE(SUBSTITUTE(SUBSTITUTE(SUBSTITUTE(SUBSTITUTE(SUBSTITUTE(SUBSTITUTE(SUBSTITUTE(SUBSTITUTE(SUBSTITUTE(SUBSTITUTE(AQ20,"!"," "),"?"," "),"+"," "),"*"," "),"&amp;"," "),"["," "),"]"," "),"{"," "),"}"," "),"%"," "),"="," "),"\"," "),"|"," "),"&lt;"," "),"&gt;"," "),"")</f>
        <v xml:space="preserve">aux pommes et aux amandes est a la fois simple  economique et delicieusement </v>
      </c>
      <c r="AS20" s="127" t="str">
        <f>IF(9=9," "&amp;TRIM(SUBSTITUTE(SUBSTITUTE(SUBSTITUTE(SUBSTITUTE(SUBSTITUTE(SUBSTITUTE(AR20,CHAR(34)," "),"  "," "),"  "," "),"  "," "),"  "," "),"  "," "))&amp;" ","")</f>
        <v xml:space="preserve"> aux pommes et aux amandes est a la fois simple economique et delicieusement </v>
      </c>
      <c r="AT20" s="127" cm="1">
        <f t="array" ref="AT20">IF(9=9,IF(AM20="","",SUMPRODUCT(--ISNUMBER(SEARCH(" "&amp;DJ13:DJ112&amp;" ",AV20)))),"")</f>
        <v>0</v>
      </c>
      <c r="AU20" s="127" cm="1">
        <f t="array" ref="AU20">IF(9=9,IF(AM20="","",SUMPRODUCT(--ISNUMBER(SEARCH(" "&amp;DJ113:DJ162&amp;" ",AV20)))),"")</f>
        <v>0</v>
      </c>
      <c r="AV20" s="127" t="str">
        <f>IF(AM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aux pommes et aux amandes est a la fois simple economique et delicieusement </v>
      </c>
      <c r="AW20" s="127" cm="1">
        <f t="array" ref="AW20">IF(AM20="","",SUMPRODUCT(--ISNUMBER(SEARCH(" "&amp;DJ195:DJ216&amp;" ",AV20)))+--ISNUMBER(SEARCH(" "&amp;DJ2465&amp;" ",AV20)))</f>
        <v>0</v>
      </c>
      <c r="AX20" s="127" t="str" cm="1">
        <f t="array" ref="AX20">IF(9=9,IF(AM20="","",IF(SUM(AT20:AU20)+SUMPRODUCT(--ISNUMBER(SEARCH(" "&amp;DJ2429:DJ2431&amp;" ",AV20)))&gt;0,"X",IF(AW20&gt;0,"?",""))),"")</f>
        <v/>
      </c>
      <c r="AY20" s="127" cm="1">
        <f t="array" ref="AY20">IF(9=9,IF(AM20="","",SUMPRODUCT(--ISNUMBER(SEARCH(" "&amp;DJ217:DJ316&amp;" ",AS20)))),"")</f>
        <v>0</v>
      </c>
      <c r="AZ20" s="127" cm="1">
        <f t="array" ref="AZ20">IF(9=9,IF(AM20="","",SUMPRODUCT(--ISNUMBER(SEARCH(" "&amp;DJ317:DJ351&amp;" ",AS20)))),"")</f>
        <v>0</v>
      </c>
      <c r="BA20" s="127" t="str">
        <f>IF(9=9,IF(AM20="","",IF((SUM(AY20:AZ20))-(0)&gt;0,"X",IF((0)-(0)&gt;0,"?",""))),"")</f>
        <v/>
      </c>
      <c r="BB20" s="127" cm="1">
        <f t="array" ref="BB20">IF(9=9,IF(AM20="","",SUMPRODUCT(--ISNUMBER(SEARCH(" "&amp;DJ352:DJ409&amp;" ",AS20)))),"")</f>
        <v>0</v>
      </c>
      <c r="BC20" s="127" cm="1">
        <f t="array" ref="BC20">IF(9=9,IF(AM20="","",SUMPRODUCT(--ISNUMBER(SEARCH(" "&amp;DJ410:DJ437&amp;" ",BD20)))+SUMPRODUCT(--ISNUMBER(SEARCH(" "&amp;DJ2451:DJ2464&amp;" ",BD20)))),"")</f>
        <v>0</v>
      </c>
      <c r="BD20" s="127" t="str">
        <f>IF(9=9,IF(AM20="","",SUBSTITUTE(SUBSTITUTE(SUBSTITUTE(SUBSTITUTE(SUBSTITUTE(SUBSTITUTE(SUBSTITUTE(SUBSTITUTE(SUBSTITUTE(SUBSTITUTE(SUBSTITUTE(SUBSTITUTE(SUBSTITUTE(SUBSTITUTE(AS20," "&amp;DJ2466&amp;" "," ")," "&amp;DJ444&amp;" "," ")," "&amp;DJ442&amp;" "," ")," "&amp;DJ2449&amp;" "," ")," "&amp;DJ2450&amp;" "," ")," "&amp;DJ439&amp;" "," ")," "&amp;DJ443&amp;" "," ")," "&amp;DJ445&amp;" "," ")," "&amp;DJ440&amp;" "," ")," "&amp;DJ438&amp;" "," ")," "&amp;DJ1378&amp;" "," ")," "&amp;DJ446&amp;" "," ")," "&amp;DJ1377&amp;" "," ")," "&amp;DJ441&amp;" "," ")),"")</f>
        <v xml:space="preserve"> aux pommes et aux amandes est a la fois simple economique et delicieusement </v>
      </c>
      <c r="BE20" s="127" t="str">
        <f>IF(9=9,IF(AM20="","",IF(BB20&gt;0,"X",IF(BC20&gt;0,"?",""))),"")</f>
        <v/>
      </c>
      <c r="BF20" s="127" cm="1">
        <f t="array" ref="BF20">IF(9=9,IF(AM20="","",SUMPRODUCT(--ISNUMBER(SEARCH(" "&amp;DJ447:DJ546&amp;" ",BP20)))),"")</f>
        <v>0</v>
      </c>
      <c r="BG20" s="127" cm="1">
        <f t="array" ref="BG20">IF(9=9,IF(AM20="","",SUMPRODUCT(--ISNUMBER(SEARCH(" "&amp;DJ547:DJ646&amp;" ",BP20)))),"")</f>
        <v>0</v>
      </c>
      <c r="BH20" s="127" cm="1">
        <f t="array" ref="BH20">IF(9=9,IF(AM20="","",SUMPRODUCT(--ISNUMBER(SEARCH(" "&amp;DJ647:DJ746&amp;" ",BP20)))),"")</f>
        <v>0</v>
      </c>
      <c r="BI20" s="127" cm="1">
        <f t="array" ref="BI20">IF(9=9,IF(AM20="","",SUMPRODUCT(--ISNUMBER(SEARCH(" "&amp;DJ747:DJ846&amp;" ",BP20)))),"")</f>
        <v>0</v>
      </c>
      <c r="BJ20" s="127" cm="1">
        <f t="array" ref="BJ20">IF(9=9,IF(AM20="","",SUMPRODUCT(--ISNUMBER(SEARCH(" "&amp;DJ847:DJ946&amp;" ",BP20)))),"")</f>
        <v>0</v>
      </c>
      <c r="BK20" s="127" cm="1">
        <f t="array" ref="BK20">IF(9=9,IF(AM20="","",SUMPRODUCT(--ISNUMBER(SEARCH(" "&amp;DJ947:DJ1046&amp;" ",BP20)))),"")</f>
        <v>0</v>
      </c>
      <c r="BL20" s="127" cm="1">
        <f t="array" ref="BL20">IF(9=9,IF(AM20="","",SUMPRODUCT(--ISNUMBER(SEARCH(" "&amp;DJ1047:DJ1146&amp;" ",BP20)))),"")</f>
        <v>0</v>
      </c>
      <c r="BM20" s="127" cm="1">
        <f t="array" ref="BM20">IF(9=9,IF(AM20="","",SUMPRODUCT(--ISNUMBER(SEARCH(" "&amp;DJ1147:DJ1246&amp;" ",BP20)))),"")</f>
        <v>0</v>
      </c>
      <c r="BN20" s="127" cm="1">
        <f t="array" ref="BN20">IF(9=9,IF(AM20="","",SUMPRODUCT(--ISNUMBER(SEARCH(" "&amp;DJ1247:DJ1346&amp;" ",BP20)))),"")</f>
        <v>0</v>
      </c>
      <c r="BO20" s="127" cm="1">
        <f t="array" ref="BO20">IF(9=9,IF(AM20="","",SUMPRODUCT(--ISNUMBER(SEARCH(" "&amp;DJ1347:DJ1374&amp;" ",BP20)))),"")</f>
        <v>0</v>
      </c>
      <c r="BP20" s="127" t="str">
        <f>IF(9=9,IF(AM20="","",SUBSTITUTE(SUBSTITUTE(SUBSTITUTE(SUBSTITUTE(SUBSTITUTE(SUBSTITUTE(SUBSTITUTE(SUBSTITUTE(SUBSTITUTE(AS20," "&amp;DJ1376&amp;" "," ")," "&amp;DJ1375&amp;" "," ")," "&amp;DJ1381&amp;" "," ")," "&amp;DJ1382&amp;" "," ")," "&amp;DJ1378&amp;" "," ")," "&amp;DJ1380&amp;" "," ")," "&amp;DJ1377&amp;" "," ")," "&amp;DJ1379&amp;" "," ")," "&amp;DJ1383&amp;" "," ")),"")</f>
        <v xml:space="preserve"> aux pommes et aux amandes est a la fois simple economique et delicieusement </v>
      </c>
      <c r="BQ20" s="127" cm="1">
        <f t="array" ref="BQ20">IF(9=9,IF(AM20="","",SUMPRODUCT(--ISNUMBER(SEARCH(" "&amp;DJ1384:DJ1394&amp;" ",BP20)))),"")</f>
        <v>0</v>
      </c>
      <c r="BR20" s="127" t="str" cm="1">
        <f t="array" ref="BR20">IF(9=9,IF(AM20="","",IF(SUM(BF20:BO20)+SUMPRODUCT(--ISNUMBER(SEARCH(" "&amp;DJ2432:DJ2433&amp;" ",BP20)))&gt;0,"X",IF(BQ20&gt;0,"?",""))),"")</f>
        <v/>
      </c>
      <c r="BS20" s="127" cm="1">
        <f t="array" ref="BS20">IF(9=9,IF(AM20="","",SUMPRODUCT(--ISNUMBER(SEARCH(" "&amp;DJ1395:DJ1415&amp;" ",AS20)))),"")</f>
        <v>0</v>
      </c>
      <c r="BT20" s="127" t="str">
        <f>IF(9=9,IF(AM20="","",IF((BS20)-(0)&gt;0,"X",IF((0)-(0)&gt;0,"?",""))),"")</f>
        <v/>
      </c>
      <c r="BU20" s="127" cm="1">
        <f t="array" ref="BU20">IF(9=9,IF(AM20="","",SUMPRODUCT(--ISNUMBER(SEARCH(" "&amp;DJ1416:DJ1453&amp;" ",BV20)))),"")</f>
        <v>0</v>
      </c>
      <c r="BV20" s="127" t="str">
        <f>IF(9=9,IF(AM20="","",SUBSTITUTE(SUBSTITUTE(AS20," "&amp;DJ1454&amp;" "," ")," "&amp;DJ1455&amp;" "," ")),"")</f>
        <v xml:space="preserve"> aux pommes et aux amandes est a la fois simple economique et delicieusement </v>
      </c>
      <c r="BW20" s="127" cm="1">
        <f t="array" ref="BW20">IF(9=9,IF(AM20="","",SUMPRODUCT(--ISNUMBER(SEARCH(" "&amp;DJ1456:DJ1466&amp;" ",BV20)))),"")</f>
        <v>0</v>
      </c>
      <c r="BX20" s="127" t="str">
        <f>IF(9=9,IF(AM20="","",IF(BU20&gt;0,"X",IF(BW20&gt;0,"?",""))),"")</f>
        <v/>
      </c>
      <c r="BY20" s="127" cm="1">
        <f t="array" ref="BY20">IF(9=9,IF(AM20="","",SUMPRODUCT(--ISNUMBER(SEARCH(" "&amp;DJ1467:DJ1566&amp;" ",CB20)))),"")</f>
        <v>0</v>
      </c>
      <c r="BZ20" s="127" cm="1">
        <f t="array" ref="BZ20">IF(9=9,IF(AM20="","",SUMPRODUCT(--ISNUMBER(SEARCH(" "&amp;DJ1567:DJ1666&amp;" ",CB20)))),"")</f>
        <v>0</v>
      </c>
      <c r="CA20" s="127" cm="1">
        <f t="array" ref="CA20">IF(9=9,IF(AM20="","",SUMPRODUCT(--ISNUMBER(SEARCH(" "&amp;DJ1667:DJ1750&amp;" ",CB20)))),"")</f>
        <v>0</v>
      </c>
      <c r="CB20" s="127" t="str">
        <f>IF(9=9,IF(AM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aux pommes et aux amandes est a la fois simple economique et delicieusement </v>
      </c>
      <c r="CC20" s="127" cm="1">
        <f t="array" ref="CC20">IF(9=9,IF(AM20="","",SUMPRODUCT(--ISNUMBER(SEARCH(" "&amp;DJ1801:DJ1880&amp;" ",CD20)))+SUMPRODUCT(--ISNUMBER(SEARCH(" "&amp;DJ2451:DJ2464&amp;" ",CD20)))),"")</f>
        <v>0</v>
      </c>
      <c r="CD20" s="127" t="str">
        <f>IF(9=9,IF(AM20="","",SUBSTITUTE(SUBSTITUTE(SUBSTITUTE(SUBSTITUTE(SUBSTITUTE(SUBSTITUTE(SUBSTITUTE(SUBSTITUTE(SUBSTITUTE(SUBSTITUTE(SUBSTITUTE(SUBSTITUTE(SUBSTITUTE(CB20," "&amp;DJ1887&amp;" "," ")," "&amp;DJ1885&amp;" "," ")," "&amp;DJ2449&amp;" "," ")," "&amp;DJ2450&amp;" "," ")," "&amp;DJ1882&amp;" "," ")," "&amp;DJ1886&amp;" "," ")," "&amp;DJ1888&amp;" "," ")," "&amp;DJ1883&amp;" "," ")," "&amp;DJ1881&amp;" "," ")," "&amp;DJ1378&amp;" "," ")," "&amp;DJ1889&amp;" "," ")," "&amp;DJ1377&amp;" "," ")," "&amp;DJ1884&amp;" "," ")),"")</f>
        <v xml:space="preserve"> aux pommes et aux amandes est a la fois simple economique et delicieusement </v>
      </c>
      <c r="CE20" s="127" t="str" cm="1">
        <f t="array" ref="CE20">IF(9=9,IF(AM20="","",IF(SUM(BY20:CA20)+SUMPRODUCT(--ISNUMBER(SEARCH(" "&amp;DJ2434:DJ2435&amp;" ",CB20)))&gt;0,"X",IF(CC20&gt;0,"?",""))),"")</f>
        <v/>
      </c>
      <c r="CF20" s="127" cm="1">
        <f t="array" ref="CF20">IF(9=9,IF(AM20="","",SUMPRODUCT(--ISNUMBER(SEARCH(" "&amp;DJ1890:DJ1947&amp;" ",CG20)))),"")</f>
        <v>1</v>
      </c>
      <c r="CG20" s="127" t="str">
        <f>IF(9=9,IF(AM20="","",SUBSTITUTE(SUBSTITUTE(SUBSTITUTE(SUBSTITUTE(SUBSTITUTE(SUBSTITUTE(SUBSTITUTE(SUBSTITUTE(SUBSTITUTE(SUBSTITUTE(SUBSTITUTE(SUBSTITUTE(SUBSTITUTE(SUBSTITUTE(SUBSTITUTE(SUBSTITUTE(SUBSTITUTE(SUBSTITUTE(SUBSTITUTE(SUBSTITUTE(SUBSTITUTE(SUBSTITUTE(SUBSTITUTE(AS20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aux pommes et aux amandes est a la fois simple economique et delicieusement </v>
      </c>
      <c r="CH20" s="127" cm="1">
        <f t="array" ref="CH20">IF(9=9,IF(AM20="","",SUMPRODUCT(--ISNUMBER(SEARCH(" "&amp;DJ1971:DJ1987&amp;" ",CG20)))),"")</f>
        <v>0</v>
      </c>
      <c r="CI20" s="127" t="str">
        <f>IF(9=9,IF(AM20="","",IF(CF20&gt;0,"X",IF(CH20&gt;0,"?",""))),"")</f>
        <v>X</v>
      </c>
      <c r="CJ20" s="127" cm="1">
        <f t="array" ref="CJ20">IF(9=9,IF(AM20="","",SUMPRODUCT(--ISNUMBER(SEARCH(" "&amp;DJ1988:DJ2001&amp;" ",AS20)))),"")</f>
        <v>0</v>
      </c>
      <c r="CK20" s="127" cm="1">
        <f t="array" ref="CK20">IF(9=9,IF(AM20="","",SUMPRODUCT(--ISNUMBER(SEARCH(" "&amp;DJ2002:DJ2016&amp;" ",AS20)))),"")</f>
        <v>0</v>
      </c>
      <c r="CL20" s="127" t="str">
        <f>IF(9=9,IF(AM20="","",IF((CJ20)-(0)&gt;0,"X",IF((CK20)-(0)&gt;0,"?",""))),"")</f>
        <v/>
      </c>
      <c r="CM20" s="127" cm="1">
        <f t="array" ref="CM20">IF(9=9,IF(AM20="","",SUMPRODUCT(--ISNUMBER(SEARCH(" "&amp;DJ2017:DJ2034&amp;" ",AS20)))),"")</f>
        <v>0</v>
      </c>
      <c r="CN20" s="127" cm="1">
        <f t="array" ref="CN20">IF(9=9,IF(AM20="","",SUMPRODUCT(--ISNUMBER(SEARCH(" "&amp;DJ2035:DJ2049&amp;" ",AS20)))),"")</f>
        <v>0</v>
      </c>
      <c r="CO20" s="127" t="str">
        <f>IF(9=9,IF(AM20="","",IF((CM20)-(0)&gt;0,"X",IF((CN20)-(0)&gt;0,"?",""))),"")</f>
        <v/>
      </c>
      <c r="CP20" s="127" cm="1">
        <f t="array" ref="CP20">IF(9=9,IF(AM20="","",SUMPRODUCT(--ISNUMBER(SEARCH(" "&amp;DJ2050:DJ2068&amp;" ",AS20)))),"")</f>
        <v>0</v>
      </c>
      <c r="CQ20" s="127" cm="1">
        <f t="array" ref="CQ20">IF(9=9,IF(AM20="","",SUMPRODUCT(--ISNUMBER(SEARCH(" "&amp;DJ2069:DJ2083&amp;" ",AS20)))),"")</f>
        <v>0</v>
      </c>
      <c r="CR20" s="127" t="str">
        <f>IF(9=9,IF(AM20="","",IF((CP20)-(0)&gt;0,"X",IF((CQ20)-(0)&gt;0,"?",""))),"")</f>
        <v/>
      </c>
      <c r="CS20" s="127" cm="1">
        <f t="array" ref="CS20">IF(9=9,IF(AM20="","",SUMPRODUCT(--ISNUMBER(SEARCH(" "&amp;DJ2084:DJ2104&amp;" ",AS20)))),"")</f>
        <v>0</v>
      </c>
      <c r="CT20" s="127" cm="1">
        <f t="array" ref="CT20">IF(9=9,IF(AM20="","",SUMPRODUCT(--ISNUMBER(SEARCH(" "&amp;DJ2105:DJ2144&amp;" ",SUBSTITUTE(SUBSTITUTE(AS20," "&amp;DJ1378&amp;" "," ")," "&amp;DJ1377&amp;" "," "))))+--ISNUMBER(SEARCH("poiré",AN20))),"")</f>
        <v>0</v>
      </c>
      <c r="CU20" s="127" t="str">
        <f>IF(9=9,IF(AM20="","",IF(OR(CS20&gt;0,ISNUMBER(SEARCH(" vinaigre de vin ",AS20)),ISNUMBER(SEARCH(" vinaigre au vin ",AS20))),"X",IF(CT20&gt;0,"?",""))),"")</f>
        <v/>
      </c>
      <c r="CV20" s="127" cm="1">
        <f t="array" ref="CV20">IF(9=9,IF(AM20="","",SUMPRODUCT(--ISNUMBER(SEARCH(" "&amp;DJ2145:DJ2157&amp;" ",AS20)))),"")</f>
        <v>0</v>
      </c>
      <c r="CW20" s="127" cm="1">
        <f t="array" ref="CW20">IF(9=9,IF(AM20="","",SUMPRODUCT(--ISNUMBER(SEARCH(" "&amp;DJ2158:DJ2163&amp;" ",AS20)))),"")</f>
        <v>0</v>
      </c>
      <c r="CX20" s="127" t="str">
        <f>IF(9=9,IF(AM20="","",IF((CV20)-(0)&gt;0,"X",IF((CW20)-(0)&gt;0,"?",""))),"")</f>
        <v/>
      </c>
      <c r="CY20" s="127" cm="1">
        <f t="array" ref="CY20">IF(9=9,IF(AM20="","",SUMPRODUCT(--ISNUMBER(SEARCH(" "&amp;DJ2164:DJ2263&amp;" ",DB20)))),"")</f>
        <v>0</v>
      </c>
      <c r="CZ20" s="127" cm="1">
        <f t="array" ref="CZ20">IF(9=9,IF(AM20="","",SUMPRODUCT(--ISNUMBER(SEARCH(" "&amp;DJ2264:DJ2363&amp;" ",DB20)))),"")</f>
        <v>0</v>
      </c>
      <c r="DA20" s="127" cm="1">
        <f t="array" ref="DA20">IF(9=9,IF(AM20="","",SUMPRODUCT(--ISNUMBER(SEARCH(" "&amp;DJ2364:DJ2406&amp;" ",DB20)))),"")</f>
        <v>0</v>
      </c>
      <c r="DB20" s="127" t="str">
        <f>IF(9=9,IF(AM20="","",SUBSTITUTE(SUBSTITUTE(SUBSTITUTE(SUBSTITUTE(SUBSTITUTE(SUBSTITUTE(SUBSTITUTE(SUBSTITUTE(SUBSTITUTE(SUBSTITUTE(SUBSTITUTE(SUBSTITUTE(SUBSTITUTE(SUBSTITUTE(SUBSTITUTE(SUBSTITUTE(AS20," "&amp;DJ2412&amp;" "," ")," "&amp;DJ2411&amp;" "," ")," "&amp;DJ2410&amp;" "," ")," "&amp;DJ2417&amp;" "," ")," "&amp;DJ2409&amp;" "," ")," "&amp;DJ2421&amp;" "," ")," "&amp;DJ2408&amp;" "," ")," "&amp;DJ2413&amp;" "," ")," "&amp;DJ2416&amp;" "," ")," "&amp;DJ2407&amp;" "," ")," "&amp;DJ2415&amp;" "," ")," "&amp;DJ2422&amp;" "," ")," "&amp;DJ2419&amp;" "," ")," "&amp;DJ2414&amp;" "," ")," "&amp;DJ2418&amp;" "," ")," "&amp;DJ2420&amp;" "," ")),"")</f>
        <v xml:space="preserve"> aux pommes et aux amandes est a la fois simple economique et delicieusement </v>
      </c>
      <c r="DC20" s="127" cm="1">
        <f t="array" ref="DC20">IF(9=9,IF(AM20="","",SUMPRODUCT(--ISNUMBER(SEARCH(" "&amp;DJ2423:DJ2427&amp;" ",DB20)))),"")</f>
        <v>0</v>
      </c>
      <c r="DD20" s="127" t="str">
        <f>IF(9=9,IF(AM20="","",IF(SUM(CY20:DA20)&gt;0,"X",IF(DC20&gt;0,"?",""))),"")</f>
        <v/>
      </c>
      <c r="DE20" s="152"/>
      <c r="DF20" s="160" t="s">
        <v>675</v>
      </c>
      <c r="DG20" s="160" t="s">
        <v>584</v>
      </c>
      <c r="DH20" s="160" t="s">
        <v>125</v>
      </c>
      <c r="DI20" s="160" t="s">
        <v>676</v>
      </c>
      <c r="DJ20" s="160" t="s">
        <v>677</v>
      </c>
      <c r="DK20" s="160" t="s">
        <v>588</v>
      </c>
      <c r="DL20" s="160" t="s">
        <v>589</v>
      </c>
      <c r="DM20" s="160" t="s">
        <v>590</v>
      </c>
      <c r="DN20" s="161" t="s">
        <v>591</v>
      </c>
      <c r="DP20" s="130">
        <v>1</v>
      </c>
    </row>
    <row r="21" spans="2:120" ht="30" customHeight="1">
      <c r="B21" s="165" t="str">
        <f t="shared" si="0"/>
        <v>• 1 pâte sablée</v>
      </c>
      <c r="C21" s="165" t="str">
        <f t="shared" si="1"/>
        <v>• 1 pâte sablée</v>
      </c>
      <c r="D21" s="165" t="str">
        <f>IF(UPPER(TRIM(N11))="X",C21,B21)</f>
        <v>• 1 pâte sablée</v>
      </c>
      <c r="E21" s="165" cm="1">
        <f t="array" ref="E21">IF(H20&lt;&gt;"",E20,IF(E20="","",IFERROR(MATCH(TRUE(),INDEX(INDEX(K:K,E20+1):K203&lt;&gt;"",0),0)+E20,"")))</f>
        <v>19</v>
      </c>
      <c r="F21" s="165" t="str" cm="1">
        <f t="array" ref="F21">IF(E21="","",IF(H20&lt;&gt;"",H20,INDEX(D:D,E21)))</f>
        <v>parfumée. À servir tiède avec une cuillerée de crème fraîche pour un pur moment de douceur.</v>
      </c>
      <c r="G21" s="165" t="str">
        <f t="shared" si="2"/>
        <v xml:space="preserve">parfumée. À servir tiède avec une cuillerée de crème fraîche pour un pur moment </v>
      </c>
      <c r="H21" s="174" t="str">
        <f t="shared" si="3"/>
        <v>de douceur.</v>
      </c>
      <c r="I21" s="184" t="str">
        <f>IF(AND(F21&lt;&gt;"",N10&gt;0,M21&gt;N10),"Mot &gt; limite","")</f>
        <v/>
      </c>
      <c r="J21" s="175">
        <f>IF(K21="","",COUNTIF(K18:K21,"&lt;&gt;"))</f>
        <v>4</v>
      </c>
      <c r="K21" s="111" t="s">
        <v>396</v>
      </c>
      <c r="L21" s="175">
        <f t="shared" si="4"/>
        <v>15</v>
      </c>
      <c r="M21" s="135">
        <f>IF(OR(F21="",N10="",N10&lt;=0),"",IF(LEN(F21)&lt;=N10,LEN(F21),IFERROR(FIND("♦",SUBSTITUTE(LEFT(F21,N10)," ","♦",LEN(LEFT(F21,N10))-LEN(SUBSTITUTE(LEFT(F21,N10)," ","")))),FIND(" ",F21&amp;" ",N10+1)-1)))</f>
        <v>80</v>
      </c>
      <c r="N21" s="176">
        <f t="shared" si="5"/>
        <v>4</v>
      </c>
      <c r="O21" s="177" t="str">
        <f t="shared" si="6"/>
        <v xml:space="preserve">parfumée. À servir tiède avec une cuillerée de crème fraîche pour un pur moment </v>
      </c>
      <c r="P21" s="176">
        <f t="shared" si="7"/>
        <v>14</v>
      </c>
      <c r="Q21" s="176">
        <f t="shared" si="8"/>
        <v>80</v>
      </c>
      <c r="S21" s="178">
        <v>4</v>
      </c>
      <c r="T21" s="179" t="str">
        <f t="shared" si="10"/>
        <v xml:space="preserve">parfumée. À servir tiède avec une cuillerée de crème fraîche pour un pur moment </v>
      </c>
      <c r="U21" s="180" t="str">
        <f t="shared" si="9"/>
        <v>parfumée. À servir tiède avec une cuillerée de crème fraîche pour un pur moment *</v>
      </c>
      <c r="V21" s="181" t="str">
        <f>IF(10=10,IF(T21="","",IF(W21="X",""&amp;"Céréales contenant du gluten","")&amp;IF(X21="X",IF(COUNTIF(W21:W21,"X")&gt;0,", ","")&amp;"Crustacés","")&amp;IF(Y21="X",IF(COUNTIF(W21:X21,"X")&gt;0,", ","")&amp;"Œufs","")&amp;IF(Z21="X",IF(COUNTIF(W21:Y21,"X")&gt;0,", ","")&amp;"Poissons","")&amp;IF(AA21="X",IF(COUNTIF(W21:Z21,"X")&gt;0,", ","")&amp;"Arachides","")&amp;IF(AB21="X",IF(COUNTIF(W21:AA21,"X")&gt;0,", ","")&amp;"Soja","")&amp;IF(AC21="X",IF(COUNTIF(W21:AB21,"X")&gt;0,", ","")&amp;"Lait","")&amp;IF(AD21="X",IF(COUNTIF(W21:AC21,"X")&gt;0,", ","")&amp;"Fruits à coque","")&amp;IF(AE21="X",IF(COUNTIF(W21:AD21,"X")&gt;0,", ","")&amp;"Céleri","")&amp;IF(AF21="X",IF(COUNTIF(W21:AE21,"X")&gt;0,", ","")&amp;"Moutarde","")&amp;IF(AG21="X",IF(COUNTIF(W21:AF21,"X")&gt;0,", ","")&amp;"Sésame","")&amp;IF(AH21="X",IF(COUNTIF(W21:AG21,"X")&gt;0,", ","")&amp;"Sulfites","")&amp;IF(AI21="X",IF(COUNTIF(W21:AH21,"X")&gt;0,", ","")&amp;"Lupin","")&amp;IF(AJ21="X",IF(COUNTIF(W21:AI21,"X")&gt;0,", ","")&amp;"Mollusques","")),"")</f>
        <v>Lait</v>
      </c>
      <c r="W21" s="182" t="str">
        <f>IF(10=10,IF(T21="","",AX21),"")</f>
        <v/>
      </c>
      <c r="X21" s="182" t="str">
        <f>IF(10=10,IF(T21="","",BA21),"")</f>
        <v/>
      </c>
      <c r="Y21" s="182" t="str">
        <f>IF(10=10,IF(T21="","",BE21),"")</f>
        <v/>
      </c>
      <c r="Z21" s="182" t="str">
        <f>IF(10=10,IF(T21="","",IF(ISNUMBER(SEARCH(" colin ",AS21)),"X",BR21)),"")</f>
        <v/>
      </c>
      <c r="AA21" s="182" t="str">
        <f>IF(10=10,IF(T21="","",BT21),"")</f>
        <v/>
      </c>
      <c r="AB21" s="182" t="str">
        <f>IF(10=10,IF(T21="","",BX21),"")</f>
        <v/>
      </c>
      <c r="AC21" s="182" t="str">
        <f>IF(10=10,IF(T21="","",CE21),"")</f>
        <v>X</v>
      </c>
      <c r="AD21" s="182" t="str">
        <f>IF(10=10,IF(T21="","",CI21),"")</f>
        <v/>
      </c>
      <c r="AE21" s="182" t="str">
        <f>IF(10=10,IF(T21="","",CL21),"")</f>
        <v/>
      </c>
      <c r="AF21" s="182" t="str">
        <f>IF(10=10,IF(T21="","",CO21),"")</f>
        <v/>
      </c>
      <c r="AG21" s="182" t="str">
        <f>IF(10=10,IF(T21="","",CR21),"")</f>
        <v/>
      </c>
      <c r="AH21" s="182" t="str">
        <f>IF(10=10,IF(T21="","",CU21),"")</f>
        <v/>
      </c>
      <c r="AI21" s="182" t="str">
        <f>IF(10=10,IF(T21="","",CX21),"")</f>
        <v/>
      </c>
      <c r="AJ21" s="182" t="str">
        <f>IF(10=10,IF(T21="","",DD21),"")</f>
        <v/>
      </c>
      <c r="AK21" s="183" t="str">
        <f>IF(10=10,IF(T21="","",IF(W21="?",""&amp;"Céréales contenant du gluten","")&amp;IF(X21="?",IF(COUNTIF(W21:W21,"~?")&gt;0,", ","")&amp;"Crustacés","")&amp;IF(Y21="?",IF(COUNTIF(W21:X21,"~?")&gt;0,", ","")&amp;"Œufs","")&amp;IF(Z21="?",IF(COUNTIF(W21:Y21,"~?")&gt;0,", ","")&amp;"Poissons","")&amp;IF(AA21="?",IF(COUNTIF(W21:Z21,"~?")&gt;0,", ","")&amp;"Arachides","")&amp;IF(AB21="?",IF(COUNTIF(W21:AA21,"~?")&gt;0,", ","")&amp;"Soja","")&amp;IF(AC21="?",IF(COUNTIF(W21:AB21,"~?")&gt;0,", ","")&amp;"Lait","")&amp;IF(AD21="?",IF(COUNTIF(W21:AC21,"~?")&gt;0,", ","")&amp;"Fruits à coque","")&amp;IF(AE21="?",IF(COUNTIF(W21:AD21,"~?")&gt;0,", ","")&amp;"Céleri","")&amp;IF(AF21="?",IF(COUNTIF(W21:AE21,"~?")&gt;0,", ","")&amp;"Moutarde","")&amp;IF(AG21="?",IF(COUNTIF(W21:AF21,"~?")&gt;0,", ","")&amp;"Sésame","")&amp;IF(AH21="?",IF(COUNTIF(W21:AG21,"~?")&gt;0,", ","")&amp;"Sulfites","")&amp;IF(AI21="?",IF(COUNTIF(W21:AH21,"~?")&gt;0,", ","")&amp;"Lupin","")&amp;IF(AJ21="?",IF(COUNTIF(W21:AI21,"~?")&gt;0,", ","")&amp;"Mollusques","")),"")</f>
        <v/>
      </c>
      <c r="AM21" s="127" t="str">
        <f>IF(10=10,IF(T21="","",T21),"")</f>
        <v xml:space="preserve">parfumée. À servir tiède avec une cuillerée de crème fraîche pour un pur moment </v>
      </c>
      <c r="AN21" s="127" t="str">
        <f>IF(10=10,LOWER(CLEAN(SUBSTITUTE(SUBSTITUTE(SUBSTITUTE(SUBSTITUTE(AM21,CHAR(160)," ")," "," "),CHAR(10)," "),CHAR(13)," "))),"")</f>
        <v xml:space="preserve">parfumée. à servir tiède avec une cuillerée de crème fraîche pour un pur moment </v>
      </c>
      <c r="AO21" s="127" t="str">
        <f>IF(10=10,SUBSTITUTE(SUBSTITUTE(SUBSTITUTE(SUBSTITUTE(SUBSTITUTE(SUBSTITUTE(SUBSTITUTE(SUBSTITUTE(SUBSTITUTE(SUBSTITUTE(SUBSTITUTE(SUBSTITUTE(AN21,"œ","oe"),"æ","ae"),"à","a"),"á","a"),"â","a"),"ä","a"),"ã","a"),"ç","c"),"è","e"),"é","e"),"ê","e"),"ë","e"),"")</f>
        <v xml:space="preserve">parfumee. a servir tiede avec une cuilleree de creme fraîche pour un pur moment </v>
      </c>
      <c r="AP21" s="127" t="str">
        <f>IF(10=10,SUBSTITUTE(SUBSTITUTE(SUBSTITUTE(SUBSTITUTE(SUBSTITUTE(SUBSTITUTE(SUBSTITUTE(SUBSTITUTE(SUBSTITUTE(SUBSTITUTE(SUBSTITUTE(SUBSTITUTE(SUBSTITUTE(SUBSTITUTE(SUBSTITUTE(SUBSTITUTE(AO21,"ì","i"),"í","i"),"î","i"),"ï","i"),"ñ","n"),"ò","o"),"ó","o"),"ô","o"),"ö","o"),"õ","o"),"ù","u"),"ú","u"),"û","u"),"ü","u"),"ý","y"),"ÿ","y"),"")</f>
        <v xml:space="preserve">parfumee. a servir tiede avec une cuilleree de creme fraiche pour un pur moment </v>
      </c>
      <c r="AQ21" s="127" t="str">
        <f>IF(10=10,SUBSTITUTE(SUBSTITUTE(SUBSTITUTE(SUBSTITUTE(SUBSTITUTE(SUBSTITUTE(SUBSTITUTE(SUBSTITUTE(SUBSTITUTE(SUBSTITUTE(SUBSTITUTE(SUBSTITUTE(SUBSTITUTE(SUBSTITUTE(AP21,"’"," "),"`"," "),"–"," "),"—"," "),"-"," "),"'"," "),"/"," "),"_"," "),","," "),"."," "),"("," "),")"," "),";"," "),":"," "),"")</f>
        <v xml:space="preserve">parfumee  a servir tiede avec une cuilleree de creme fraiche pour un pur moment </v>
      </c>
      <c r="AR21" s="127" t="str">
        <f>IF(10=10,SUBSTITUTE(SUBSTITUTE(SUBSTITUTE(SUBSTITUTE(SUBSTITUTE(SUBSTITUTE(SUBSTITUTE(SUBSTITUTE(SUBSTITUTE(SUBSTITUTE(SUBSTITUTE(SUBSTITUTE(SUBSTITUTE(SUBSTITUTE(SUBSTITUTE(AQ21,"!"," "),"?"," "),"+"," "),"*"," "),"&amp;"," "),"["," "),"]"," "),"{"," "),"}"," "),"%"," "),"="," "),"\"," "),"|"," "),"&lt;"," "),"&gt;"," "),"")</f>
        <v xml:space="preserve">parfumee  a servir tiede avec une cuilleree de creme fraiche pour un pur moment </v>
      </c>
      <c r="AS21" s="127" t="str">
        <f>IF(10=10," "&amp;TRIM(SUBSTITUTE(SUBSTITUTE(SUBSTITUTE(SUBSTITUTE(SUBSTITUTE(SUBSTITUTE(AR21,CHAR(34)," "),"  "," "),"  "," "),"  "," "),"  "," "),"  "," "))&amp;" ","")</f>
        <v xml:space="preserve"> parfumee a servir tiede avec une cuilleree de creme fraiche pour un pur moment </v>
      </c>
      <c r="AT21" s="127" cm="1">
        <f t="array" ref="AT21">IF(10=10,IF(AM21="","",SUMPRODUCT(--ISNUMBER(SEARCH(" "&amp;DJ13:DJ112&amp;" ",AV21)))),"")</f>
        <v>0</v>
      </c>
      <c r="AU21" s="127" cm="1">
        <f t="array" ref="AU21">IF(10=10,IF(AM21="","",SUMPRODUCT(--ISNUMBER(SEARCH(" "&amp;DJ113:DJ162&amp;" ",AV21)))),"")</f>
        <v>0</v>
      </c>
      <c r="AV21" s="127" t="str">
        <f>IF(AM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parfumee a servir tiede avec une cuilleree de creme fraiche pour un pur moment </v>
      </c>
      <c r="AW21" s="127" cm="1">
        <f t="array" ref="AW21">IF(AM21="","",SUMPRODUCT(--ISNUMBER(SEARCH(" "&amp;DJ195:DJ216&amp;" ",AV21)))+--ISNUMBER(SEARCH(" "&amp;DJ2465&amp;" ",AV21)))</f>
        <v>0</v>
      </c>
      <c r="AX21" s="127" t="str" cm="1">
        <f t="array" ref="AX21">IF(10=10,IF(AM21="","",IF(SUM(AT21:AU21)+SUMPRODUCT(--ISNUMBER(SEARCH(" "&amp;DJ2429:DJ2431&amp;" ",AV21)))&gt;0,"X",IF(AW21&gt;0,"?",""))),"")</f>
        <v/>
      </c>
      <c r="AY21" s="127" cm="1">
        <f t="array" ref="AY21">IF(10=10,IF(AM21="","",SUMPRODUCT(--ISNUMBER(SEARCH(" "&amp;DJ217:DJ316&amp;" ",AS21)))),"")</f>
        <v>0</v>
      </c>
      <c r="AZ21" s="127" cm="1">
        <f t="array" ref="AZ21">IF(10=10,IF(AM21="","",SUMPRODUCT(--ISNUMBER(SEARCH(" "&amp;DJ317:DJ351&amp;" ",AS21)))),"")</f>
        <v>0</v>
      </c>
      <c r="BA21" s="127" t="str">
        <f>IF(10=10,IF(AM21="","",IF((SUM(AY21:AZ21))-(0)&gt;0,"X",IF((0)-(0)&gt;0,"?",""))),"")</f>
        <v/>
      </c>
      <c r="BB21" s="127" cm="1">
        <f t="array" ref="BB21">IF(10=10,IF(AM21="","",SUMPRODUCT(--ISNUMBER(SEARCH(" "&amp;DJ352:DJ409&amp;" ",AS21)))),"")</f>
        <v>0</v>
      </c>
      <c r="BC21" s="127" cm="1">
        <f t="array" ref="BC21">IF(10=10,IF(AM21="","",SUMPRODUCT(--ISNUMBER(SEARCH(" "&amp;DJ410:DJ437&amp;" ",BD21)))+SUMPRODUCT(--ISNUMBER(SEARCH(" "&amp;DJ2451:DJ2464&amp;" ",BD21)))),"")</f>
        <v>0</v>
      </c>
      <c r="BD21" s="127" t="str">
        <f>IF(10=10,IF(AM21="","",SUBSTITUTE(SUBSTITUTE(SUBSTITUTE(SUBSTITUTE(SUBSTITUTE(SUBSTITUTE(SUBSTITUTE(SUBSTITUTE(SUBSTITUTE(SUBSTITUTE(SUBSTITUTE(SUBSTITUTE(SUBSTITUTE(SUBSTITUTE(AS21," "&amp;DJ2466&amp;" "," ")," "&amp;DJ444&amp;" "," ")," "&amp;DJ442&amp;" "," ")," "&amp;DJ2449&amp;" "," ")," "&amp;DJ2450&amp;" "," ")," "&amp;DJ439&amp;" "," ")," "&amp;DJ443&amp;" "," ")," "&amp;DJ445&amp;" "," ")," "&amp;DJ440&amp;" "," ")," "&amp;DJ438&amp;" "," ")," "&amp;DJ1378&amp;" "," ")," "&amp;DJ446&amp;" "," ")," "&amp;DJ1377&amp;" "," ")," "&amp;DJ441&amp;" "," ")),"")</f>
        <v xml:space="preserve"> parfumee a servir tiede avec une cuilleree de creme fraiche pour un pur moment </v>
      </c>
      <c r="BE21" s="127" t="str">
        <f>IF(10=10,IF(AM21="","",IF(BB21&gt;0,"X",IF(BC21&gt;0,"?",""))),"")</f>
        <v/>
      </c>
      <c r="BF21" s="127" cm="1">
        <f t="array" ref="BF21">IF(10=10,IF(AM21="","",SUMPRODUCT(--ISNUMBER(SEARCH(" "&amp;DJ447:DJ546&amp;" ",BP21)))),"")</f>
        <v>0</v>
      </c>
      <c r="BG21" s="127" cm="1">
        <f t="array" ref="BG21">IF(10=10,IF(AM21="","",SUMPRODUCT(--ISNUMBER(SEARCH(" "&amp;DJ547:DJ646&amp;" ",BP21)))),"")</f>
        <v>0</v>
      </c>
      <c r="BH21" s="127" cm="1">
        <f t="array" ref="BH21">IF(10=10,IF(AM21="","",SUMPRODUCT(--ISNUMBER(SEARCH(" "&amp;DJ647:DJ746&amp;" ",BP21)))),"")</f>
        <v>0</v>
      </c>
      <c r="BI21" s="127" cm="1">
        <f t="array" ref="BI21">IF(10=10,IF(AM21="","",SUMPRODUCT(--ISNUMBER(SEARCH(" "&amp;DJ747:DJ846&amp;" ",BP21)))),"")</f>
        <v>0</v>
      </c>
      <c r="BJ21" s="127" cm="1">
        <f t="array" ref="BJ21">IF(10=10,IF(AM21="","",SUMPRODUCT(--ISNUMBER(SEARCH(" "&amp;DJ847:DJ946&amp;" ",BP21)))),"")</f>
        <v>0</v>
      </c>
      <c r="BK21" s="127" cm="1">
        <f t="array" ref="BK21">IF(10=10,IF(AM21="","",SUMPRODUCT(--ISNUMBER(SEARCH(" "&amp;DJ947:DJ1046&amp;" ",BP21)))),"")</f>
        <v>0</v>
      </c>
      <c r="BL21" s="127" cm="1">
        <f t="array" ref="BL21">IF(10=10,IF(AM21="","",SUMPRODUCT(--ISNUMBER(SEARCH(" "&amp;DJ1047:DJ1146&amp;" ",BP21)))),"")</f>
        <v>0</v>
      </c>
      <c r="BM21" s="127" cm="1">
        <f t="array" ref="BM21">IF(10=10,IF(AM21="","",SUMPRODUCT(--ISNUMBER(SEARCH(" "&amp;DJ1147:DJ1246&amp;" ",BP21)))),"")</f>
        <v>0</v>
      </c>
      <c r="BN21" s="127" cm="1">
        <f t="array" ref="BN21">IF(10=10,IF(AM21="","",SUMPRODUCT(--ISNUMBER(SEARCH(" "&amp;DJ1247:DJ1346&amp;" ",BP21)))),"")</f>
        <v>0</v>
      </c>
      <c r="BO21" s="127" cm="1">
        <f t="array" ref="BO21">IF(10=10,IF(AM21="","",SUMPRODUCT(--ISNUMBER(SEARCH(" "&amp;DJ1347:DJ1374&amp;" ",BP21)))),"")</f>
        <v>0</v>
      </c>
      <c r="BP21" s="127" t="str">
        <f>IF(10=10,IF(AM21="","",SUBSTITUTE(SUBSTITUTE(SUBSTITUTE(SUBSTITUTE(SUBSTITUTE(SUBSTITUTE(SUBSTITUTE(SUBSTITUTE(SUBSTITUTE(AS21," "&amp;DJ1376&amp;" "," ")," "&amp;DJ1375&amp;" "," ")," "&amp;DJ1381&amp;" "," ")," "&amp;DJ1382&amp;" "," ")," "&amp;DJ1378&amp;" "," ")," "&amp;DJ1380&amp;" "," ")," "&amp;DJ1377&amp;" "," ")," "&amp;DJ1379&amp;" "," ")," "&amp;DJ1383&amp;" "," ")),"")</f>
        <v xml:space="preserve"> parfumee a servir tiede avec une cuilleree de creme fraiche pour un pur moment </v>
      </c>
      <c r="BQ21" s="127" cm="1">
        <f t="array" ref="BQ21">IF(10=10,IF(AM21="","",SUMPRODUCT(--ISNUMBER(SEARCH(" "&amp;DJ1384:DJ1394&amp;" ",BP21)))),"")</f>
        <v>0</v>
      </c>
      <c r="BR21" s="127" t="str" cm="1">
        <f t="array" ref="BR21">IF(10=10,IF(AM21="","",IF(SUM(BF21:BO21)+SUMPRODUCT(--ISNUMBER(SEARCH(" "&amp;DJ2432:DJ2433&amp;" ",BP21)))&gt;0,"X",IF(BQ21&gt;0,"?",""))),"")</f>
        <v/>
      </c>
      <c r="BS21" s="127" cm="1">
        <f t="array" ref="BS21">IF(10=10,IF(AM21="","",SUMPRODUCT(--ISNUMBER(SEARCH(" "&amp;DJ1395:DJ1415&amp;" ",AS21)))),"")</f>
        <v>0</v>
      </c>
      <c r="BT21" s="127" t="str">
        <f>IF(10=10,IF(AM21="","",IF((BS21)-(0)&gt;0,"X",IF((0)-(0)&gt;0,"?",""))),"")</f>
        <v/>
      </c>
      <c r="BU21" s="127" cm="1">
        <f t="array" ref="BU21">IF(10=10,IF(AM21="","",SUMPRODUCT(--ISNUMBER(SEARCH(" "&amp;DJ1416:DJ1453&amp;" ",BV21)))),"")</f>
        <v>0</v>
      </c>
      <c r="BV21" s="127" t="str">
        <f>IF(10=10,IF(AM21="","",SUBSTITUTE(SUBSTITUTE(AS21," "&amp;DJ1454&amp;" "," ")," "&amp;DJ1455&amp;" "," ")),"")</f>
        <v xml:space="preserve"> parfumee a servir tiede avec une cuilleree de creme fraiche pour un pur moment </v>
      </c>
      <c r="BW21" s="127" cm="1">
        <f t="array" ref="BW21">IF(10=10,IF(AM21="","",SUMPRODUCT(--ISNUMBER(SEARCH(" "&amp;DJ1456:DJ1466&amp;" ",BV21)))),"")</f>
        <v>0</v>
      </c>
      <c r="BX21" s="127" t="str">
        <f>IF(10=10,IF(AM21="","",IF(BU21&gt;0,"X",IF(BW21&gt;0,"?",""))),"")</f>
        <v/>
      </c>
      <c r="BY21" s="127" cm="1">
        <f t="array" ref="BY21">IF(10=10,IF(AM21="","",SUMPRODUCT(--ISNUMBER(SEARCH(" "&amp;DJ1467:DJ1566&amp;" ",CB21)))),"")</f>
        <v>2</v>
      </c>
      <c r="BZ21" s="127" cm="1">
        <f t="array" ref="BZ21">IF(10=10,IF(AM21="","",SUMPRODUCT(--ISNUMBER(SEARCH(" "&amp;DJ1567:DJ1666&amp;" ",CB21)))),"")</f>
        <v>0</v>
      </c>
      <c r="CA21" s="127" cm="1">
        <f t="array" ref="CA21">IF(10=10,IF(AM21="","",SUMPRODUCT(--ISNUMBER(SEARCH(" "&amp;DJ1667:DJ1750&amp;" ",CB21)))),"")</f>
        <v>0</v>
      </c>
      <c r="CB21" s="127" t="str">
        <f>IF(10=10,IF(AM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parfumee a servir tiede avec une cuilleree de creme fraiche pour un pur moment </v>
      </c>
      <c r="CC21" s="127" cm="1">
        <f t="array" ref="CC21">IF(10=10,IF(AM21="","",SUMPRODUCT(--ISNUMBER(SEARCH(" "&amp;DJ1801:DJ1880&amp;" ",CD21)))+SUMPRODUCT(--ISNUMBER(SEARCH(" "&amp;DJ2451:DJ2464&amp;" ",CD21)))),"")</f>
        <v>0</v>
      </c>
      <c r="CD21" s="127" t="str">
        <f>IF(10=10,IF(AM21="","",SUBSTITUTE(SUBSTITUTE(SUBSTITUTE(SUBSTITUTE(SUBSTITUTE(SUBSTITUTE(SUBSTITUTE(SUBSTITUTE(SUBSTITUTE(SUBSTITUTE(SUBSTITUTE(SUBSTITUTE(SUBSTITUTE(CB21," "&amp;DJ1887&amp;" "," ")," "&amp;DJ1885&amp;" "," ")," "&amp;DJ2449&amp;" "," ")," "&amp;DJ2450&amp;" "," ")," "&amp;DJ1882&amp;" "," ")," "&amp;DJ1886&amp;" "," ")," "&amp;DJ1888&amp;" "," ")," "&amp;DJ1883&amp;" "," ")," "&amp;DJ1881&amp;" "," ")," "&amp;DJ1378&amp;" "," ")," "&amp;DJ1889&amp;" "," ")," "&amp;DJ1377&amp;" "," ")," "&amp;DJ1884&amp;" "," ")),"")</f>
        <v xml:space="preserve"> parfumee a servir tiede avec une cuilleree de creme fraiche pour un pur moment </v>
      </c>
      <c r="CE21" s="127" t="str" cm="1">
        <f t="array" ref="CE21">IF(10=10,IF(AM21="","",IF(SUM(BY21:CA21)+SUMPRODUCT(--ISNUMBER(SEARCH(" "&amp;DJ2434:DJ2435&amp;" ",CB21)))&gt;0,"X",IF(CC21&gt;0,"?",""))),"")</f>
        <v>X</v>
      </c>
      <c r="CF21" s="127" cm="1">
        <f t="array" ref="CF21">IF(10=10,IF(AM21="","",SUMPRODUCT(--ISNUMBER(SEARCH(" "&amp;DJ1890:DJ1947&amp;" ",CG21)))),"")</f>
        <v>0</v>
      </c>
      <c r="CG21" s="127" t="str">
        <f>IF(10=10,IF(AM21="","",SUBSTITUTE(SUBSTITUTE(SUBSTITUTE(SUBSTITUTE(SUBSTITUTE(SUBSTITUTE(SUBSTITUTE(SUBSTITUTE(SUBSTITUTE(SUBSTITUTE(SUBSTITUTE(SUBSTITUTE(SUBSTITUTE(SUBSTITUTE(SUBSTITUTE(SUBSTITUTE(SUBSTITUTE(SUBSTITUTE(SUBSTITUTE(SUBSTITUTE(SUBSTITUTE(SUBSTITUTE(SUBSTITUTE(AS21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parfumee a servir tiede avec une cuilleree de creme fraiche pour un pur moment </v>
      </c>
      <c r="CH21" s="127" cm="1">
        <f t="array" ref="CH21">IF(10=10,IF(AM21="","",SUMPRODUCT(--ISNUMBER(SEARCH(" "&amp;DJ1971:DJ1987&amp;" ",CG21)))),"")</f>
        <v>0</v>
      </c>
      <c r="CI21" s="127" t="str">
        <f>IF(10=10,IF(AM21="","",IF(CF21&gt;0,"X",IF(CH21&gt;0,"?",""))),"")</f>
        <v/>
      </c>
      <c r="CJ21" s="127" cm="1">
        <f t="array" ref="CJ21">IF(10=10,IF(AM21="","",SUMPRODUCT(--ISNUMBER(SEARCH(" "&amp;DJ1988:DJ2001&amp;" ",AS21)))),"")</f>
        <v>0</v>
      </c>
      <c r="CK21" s="127" cm="1">
        <f t="array" ref="CK21">IF(10=10,IF(AM21="","",SUMPRODUCT(--ISNUMBER(SEARCH(" "&amp;DJ2002:DJ2016&amp;" ",AS21)))),"")</f>
        <v>0</v>
      </c>
      <c r="CL21" s="127" t="str">
        <f>IF(10=10,IF(AM21="","",IF((CJ21)-(0)&gt;0,"X",IF((CK21)-(0)&gt;0,"?",""))),"")</f>
        <v/>
      </c>
      <c r="CM21" s="127" cm="1">
        <f t="array" ref="CM21">IF(10=10,IF(AM21="","",SUMPRODUCT(--ISNUMBER(SEARCH(" "&amp;DJ2017:DJ2034&amp;" ",AS21)))),"")</f>
        <v>0</v>
      </c>
      <c r="CN21" s="127" cm="1">
        <f t="array" ref="CN21">IF(10=10,IF(AM21="","",SUMPRODUCT(--ISNUMBER(SEARCH(" "&amp;DJ2035:DJ2049&amp;" ",AS21)))),"")</f>
        <v>0</v>
      </c>
      <c r="CO21" s="127" t="str">
        <f>IF(10=10,IF(AM21="","",IF((CM21)-(0)&gt;0,"X",IF((CN21)-(0)&gt;0,"?",""))),"")</f>
        <v/>
      </c>
      <c r="CP21" s="127" cm="1">
        <f t="array" ref="CP21">IF(10=10,IF(AM21="","",SUMPRODUCT(--ISNUMBER(SEARCH(" "&amp;DJ2050:DJ2068&amp;" ",AS21)))),"")</f>
        <v>0</v>
      </c>
      <c r="CQ21" s="127" cm="1">
        <f t="array" ref="CQ21">IF(10=10,IF(AM21="","",SUMPRODUCT(--ISNUMBER(SEARCH(" "&amp;DJ2069:DJ2083&amp;" ",AS21)))),"")</f>
        <v>0</v>
      </c>
      <c r="CR21" s="127" t="str">
        <f>IF(10=10,IF(AM21="","",IF((CP21)-(0)&gt;0,"X",IF((CQ21)-(0)&gt;0,"?",""))),"")</f>
        <v/>
      </c>
      <c r="CS21" s="127" cm="1">
        <f t="array" ref="CS21">IF(10=10,IF(AM21="","",SUMPRODUCT(--ISNUMBER(SEARCH(" "&amp;DJ2084:DJ2104&amp;" ",AS21)))),"")</f>
        <v>0</v>
      </c>
      <c r="CT21" s="127" cm="1">
        <f t="array" ref="CT21">IF(10=10,IF(AM21="","",SUMPRODUCT(--ISNUMBER(SEARCH(" "&amp;DJ2105:DJ2144&amp;" ",SUBSTITUTE(SUBSTITUTE(AS21," "&amp;DJ1378&amp;" "," ")," "&amp;DJ1377&amp;" "," "))))+--ISNUMBER(SEARCH("poiré",AN21))),"")</f>
        <v>0</v>
      </c>
      <c r="CU21" s="127" t="str">
        <f>IF(10=10,IF(AM21="","",IF(OR(CS21&gt;0,ISNUMBER(SEARCH(" vinaigre de vin ",AS21)),ISNUMBER(SEARCH(" vinaigre au vin ",AS21))),"X",IF(CT21&gt;0,"?",""))),"")</f>
        <v/>
      </c>
      <c r="CV21" s="127" cm="1">
        <f t="array" ref="CV21">IF(10=10,IF(AM21="","",SUMPRODUCT(--ISNUMBER(SEARCH(" "&amp;DJ2145:DJ2157&amp;" ",AS21)))),"")</f>
        <v>0</v>
      </c>
      <c r="CW21" s="127" cm="1">
        <f t="array" ref="CW21">IF(10=10,IF(AM21="","",SUMPRODUCT(--ISNUMBER(SEARCH(" "&amp;DJ2158:DJ2163&amp;" ",AS21)))),"")</f>
        <v>0</v>
      </c>
      <c r="CX21" s="127" t="str">
        <f>IF(10=10,IF(AM21="","",IF((CV21)-(0)&gt;0,"X",IF((CW21)-(0)&gt;0,"?",""))),"")</f>
        <v/>
      </c>
      <c r="CY21" s="127" cm="1">
        <f t="array" ref="CY21">IF(10=10,IF(AM21="","",SUMPRODUCT(--ISNUMBER(SEARCH(" "&amp;DJ2164:DJ2263&amp;" ",DB21)))),"")</f>
        <v>0</v>
      </c>
      <c r="CZ21" s="127" cm="1">
        <f t="array" ref="CZ21">IF(10=10,IF(AM21="","",SUMPRODUCT(--ISNUMBER(SEARCH(" "&amp;DJ2264:DJ2363&amp;" ",DB21)))),"")</f>
        <v>0</v>
      </c>
      <c r="DA21" s="127" cm="1">
        <f t="array" ref="DA21">IF(10=10,IF(AM21="","",SUMPRODUCT(--ISNUMBER(SEARCH(" "&amp;DJ2364:DJ2406&amp;" ",DB21)))),"")</f>
        <v>0</v>
      </c>
      <c r="DB21" s="127" t="str">
        <f>IF(10=10,IF(AM21="","",SUBSTITUTE(SUBSTITUTE(SUBSTITUTE(SUBSTITUTE(SUBSTITUTE(SUBSTITUTE(SUBSTITUTE(SUBSTITUTE(SUBSTITUTE(SUBSTITUTE(SUBSTITUTE(SUBSTITUTE(SUBSTITUTE(SUBSTITUTE(SUBSTITUTE(SUBSTITUTE(AS21," "&amp;DJ2412&amp;" "," ")," "&amp;DJ2411&amp;" "," ")," "&amp;DJ2410&amp;" "," ")," "&amp;DJ2417&amp;" "," ")," "&amp;DJ2409&amp;" "," ")," "&amp;DJ2421&amp;" "," ")," "&amp;DJ2408&amp;" "," ")," "&amp;DJ2413&amp;" "," ")," "&amp;DJ2416&amp;" "," ")," "&amp;DJ2407&amp;" "," ")," "&amp;DJ2415&amp;" "," ")," "&amp;DJ2422&amp;" "," ")," "&amp;DJ2419&amp;" "," ")," "&amp;DJ2414&amp;" "," ")," "&amp;DJ2418&amp;" "," ")," "&amp;DJ2420&amp;" "," ")),"")</f>
        <v xml:space="preserve"> parfumee a servir tiede avec une cuilleree de creme fraiche pour un pur moment </v>
      </c>
      <c r="DC21" s="127" cm="1">
        <f t="array" ref="DC21">IF(10=10,IF(AM21="","",SUMPRODUCT(--ISNUMBER(SEARCH(" "&amp;DJ2423:DJ2427&amp;" ",DB21)))),"")</f>
        <v>0</v>
      </c>
      <c r="DD21" s="127" t="str">
        <f>IF(10=10,IF(AM21="","",IF(SUM(CY21:DA21)&gt;0,"X",IF(DC21&gt;0,"?",""))),"")</f>
        <v/>
      </c>
      <c r="DE21" s="152"/>
      <c r="DF21" s="160" t="s">
        <v>678</v>
      </c>
      <c r="DG21" s="160" t="s">
        <v>584</v>
      </c>
      <c r="DH21" s="160" t="s">
        <v>125</v>
      </c>
      <c r="DI21" s="160" t="s">
        <v>679</v>
      </c>
      <c r="DJ21" s="160" t="s">
        <v>680</v>
      </c>
      <c r="DK21" s="160" t="s">
        <v>588</v>
      </c>
      <c r="DL21" s="160" t="s">
        <v>589</v>
      </c>
      <c r="DM21" s="160" t="s">
        <v>590</v>
      </c>
      <c r="DN21" s="161" t="s">
        <v>591</v>
      </c>
      <c r="DP21" s="130">
        <v>1</v>
      </c>
    </row>
    <row r="22" spans="2:120" ht="30" customHeight="1">
      <c r="B22" s="165" t="str">
        <f t="shared" si="0"/>
        <v>• 6 pommes</v>
      </c>
      <c r="C22" s="165" t="str">
        <f t="shared" si="1"/>
        <v>• 6 pommes</v>
      </c>
      <c r="D22" s="165" t="str">
        <f>IF(UPPER(TRIM(N11))="X",C22,B22)</f>
        <v>• 6 pommes</v>
      </c>
      <c r="E22" s="165" cm="1">
        <f t="array" ref="E22">IF(H21&lt;&gt;"",E21,IF(E21="","",IFERROR(MATCH(TRUE(),INDEX(INDEX(K:K,E21+1):K203&lt;&gt;"",0),0)+E21,"")))</f>
        <v>19</v>
      </c>
      <c r="F22" s="165" t="str" cm="1">
        <f t="array" ref="F22">IF(E22="","",IF(H21&lt;&gt;"",H21,INDEX(D:D,E22)))</f>
        <v>de douceur.</v>
      </c>
      <c r="G22" s="165" t="str">
        <f t="shared" si="2"/>
        <v>de douceur.</v>
      </c>
      <c r="H22" s="174" t="str">
        <f t="shared" si="3"/>
        <v/>
      </c>
      <c r="I22" s="184" t="str">
        <f>IF(AND(F22&lt;&gt;"",N10&gt;0,M22&gt;N10),"Mot &gt; limite","")</f>
        <v/>
      </c>
      <c r="J22" s="175">
        <f>IF(K22="","",COUNTIF(K18:K22,"&lt;&gt;"))</f>
        <v>5</v>
      </c>
      <c r="K22" s="111" t="s">
        <v>397</v>
      </c>
      <c r="L22" s="175">
        <f t="shared" si="4"/>
        <v>10</v>
      </c>
      <c r="M22" s="135">
        <f>IF(OR(F22="",N10="",N10&lt;=0),"",IF(LEN(F22)&lt;=N10,LEN(F22),IFERROR(FIND("♦",SUBSTITUTE(LEFT(F22,N10)," ","♦",LEN(LEFT(F22,N10))-LEN(SUBSTITUTE(LEFT(F22,N10)," ","")))),FIND(" ",F22&amp;" ",N10+1)-1)))</f>
        <v>11</v>
      </c>
      <c r="N22" s="176">
        <f t="shared" si="5"/>
        <v>5</v>
      </c>
      <c r="O22" s="177" t="str">
        <f t="shared" si="6"/>
        <v>de douceur.</v>
      </c>
      <c r="P22" s="176">
        <f t="shared" si="7"/>
        <v>2</v>
      </c>
      <c r="Q22" s="176">
        <f t="shared" si="8"/>
        <v>11</v>
      </c>
      <c r="S22" s="178">
        <v>5</v>
      </c>
      <c r="T22" s="179" t="str">
        <f t="shared" si="10"/>
        <v>de douceur.</v>
      </c>
      <c r="U22" s="180" t="str">
        <f t="shared" si="9"/>
        <v>de douceur.</v>
      </c>
      <c r="V22" s="181" t="str">
        <f>IF(11=11,IF(T22="","",IF(W22="X",""&amp;"Céréales contenant du gluten","")&amp;IF(X22="X",IF(COUNTIF(W22:W22,"X")&gt;0,", ","")&amp;"Crustacés","")&amp;IF(Y22="X",IF(COUNTIF(W22:X22,"X")&gt;0,", ","")&amp;"Œufs","")&amp;IF(Z22="X",IF(COUNTIF(W22:Y22,"X")&gt;0,", ","")&amp;"Poissons","")&amp;IF(AA22="X",IF(COUNTIF(W22:Z22,"X")&gt;0,", ","")&amp;"Arachides","")&amp;IF(AB22="X",IF(COUNTIF(W22:AA22,"X")&gt;0,", ","")&amp;"Soja","")&amp;IF(AC22="X",IF(COUNTIF(W22:AB22,"X")&gt;0,", ","")&amp;"Lait","")&amp;IF(AD22="X",IF(COUNTIF(W22:AC22,"X")&gt;0,", ","")&amp;"Fruits à coque","")&amp;IF(AE22="X",IF(COUNTIF(W22:AD22,"X")&gt;0,", ","")&amp;"Céleri","")&amp;IF(AF22="X",IF(COUNTIF(W22:AE22,"X")&gt;0,", ","")&amp;"Moutarde","")&amp;IF(AG22="X",IF(COUNTIF(W22:AF22,"X")&gt;0,", ","")&amp;"Sésame","")&amp;IF(AH22="X",IF(COUNTIF(W22:AG22,"X")&gt;0,", ","")&amp;"Sulfites","")&amp;IF(AI22="X",IF(COUNTIF(W22:AH22,"X")&gt;0,", ","")&amp;"Lupin","")&amp;IF(AJ22="X",IF(COUNTIF(W22:AI22,"X")&gt;0,", ","")&amp;"Mollusques","")),"")</f>
        <v/>
      </c>
      <c r="W22" s="182" t="str">
        <f>IF(11=11,IF(T22="","",AX22),"")</f>
        <v/>
      </c>
      <c r="X22" s="182" t="str">
        <f>IF(11=11,IF(T22="","",BA22),"")</f>
        <v/>
      </c>
      <c r="Y22" s="182" t="str">
        <f>IF(11=11,IF(T22="","",BE22),"")</f>
        <v/>
      </c>
      <c r="Z22" s="182" t="str">
        <f>IF(11=11,IF(T22="","",IF(ISNUMBER(SEARCH(" colin ",AS22)),"X",BR22)),"")</f>
        <v/>
      </c>
      <c r="AA22" s="182" t="str">
        <f>IF(11=11,IF(T22="","",BT22),"")</f>
        <v/>
      </c>
      <c r="AB22" s="182" t="str">
        <f>IF(11=11,IF(T22="","",BX22),"")</f>
        <v/>
      </c>
      <c r="AC22" s="182" t="str">
        <f>IF(11=11,IF(T22="","",CE22),"")</f>
        <v/>
      </c>
      <c r="AD22" s="182" t="str">
        <f>IF(11=11,IF(T22="","",CI22),"")</f>
        <v/>
      </c>
      <c r="AE22" s="182" t="str">
        <f>IF(11=11,IF(T22="","",CL22),"")</f>
        <v/>
      </c>
      <c r="AF22" s="182" t="str">
        <f>IF(11=11,IF(T22="","",CO22),"")</f>
        <v/>
      </c>
      <c r="AG22" s="182" t="str">
        <f>IF(11=11,IF(T22="","",CR22),"")</f>
        <v/>
      </c>
      <c r="AH22" s="182" t="str">
        <f>IF(11=11,IF(T22="","",CU22),"")</f>
        <v/>
      </c>
      <c r="AI22" s="182" t="str">
        <f>IF(11=11,IF(T22="","",CX22),"")</f>
        <v/>
      </c>
      <c r="AJ22" s="182" t="str">
        <f>IF(11=11,IF(T22="","",DD22),"")</f>
        <v/>
      </c>
      <c r="AK22" s="183" t="str">
        <f>IF(11=11,IF(T22="","",IF(W22="?",""&amp;"Céréales contenant du gluten","")&amp;IF(X22="?",IF(COUNTIF(W22:W22,"~?")&gt;0,", ","")&amp;"Crustacés","")&amp;IF(Y22="?",IF(COUNTIF(W22:X22,"~?")&gt;0,", ","")&amp;"Œufs","")&amp;IF(Z22="?",IF(COUNTIF(W22:Y22,"~?")&gt;0,", ","")&amp;"Poissons","")&amp;IF(AA22="?",IF(COUNTIF(W22:Z22,"~?")&gt;0,", ","")&amp;"Arachides","")&amp;IF(AB22="?",IF(COUNTIF(W22:AA22,"~?")&gt;0,", ","")&amp;"Soja","")&amp;IF(AC22="?",IF(COUNTIF(W22:AB22,"~?")&gt;0,", ","")&amp;"Lait","")&amp;IF(AD22="?",IF(COUNTIF(W22:AC22,"~?")&gt;0,", ","")&amp;"Fruits à coque","")&amp;IF(AE22="?",IF(COUNTIF(W22:AD22,"~?")&gt;0,", ","")&amp;"Céleri","")&amp;IF(AF22="?",IF(COUNTIF(W22:AE22,"~?")&gt;0,", ","")&amp;"Moutarde","")&amp;IF(AG22="?",IF(COUNTIF(W22:AF22,"~?")&gt;0,", ","")&amp;"Sésame","")&amp;IF(AH22="?",IF(COUNTIF(W22:AG22,"~?")&gt;0,", ","")&amp;"Sulfites","")&amp;IF(AI22="?",IF(COUNTIF(W22:AH22,"~?")&gt;0,", ","")&amp;"Lupin","")&amp;IF(AJ22="?",IF(COUNTIF(W22:AI22,"~?")&gt;0,", ","")&amp;"Mollusques","")),"")</f>
        <v/>
      </c>
      <c r="AM22" s="127" t="str">
        <f>IF(11=11,IF(T22="","",T22),"")</f>
        <v>de douceur.</v>
      </c>
      <c r="AN22" s="127" t="str">
        <f>IF(11=11,LOWER(CLEAN(SUBSTITUTE(SUBSTITUTE(SUBSTITUTE(SUBSTITUTE(AM22,CHAR(160)," ")," "," "),CHAR(10)," "),CHAR(13)," "))),"")</f>
        <v>de douceur.</v>
      </c>
      <c r="AO22" s="127" t="str">
        <f>IF(11=11,SUBSTITUTE(SUBSTITUTE(SUBSTITUTE(SUBSTITUTE(SUBSTITUTE(SUBSTITUTE(SUBSTITUTE(SUBSTITUTE(SUBSTITUTE(SUBSTITUTE(SUBSTITUTE(SUBSTITUTE(AN22,"œ","oe"),"æ","ae"),"à","a"),"á","a"),"â","a"),"ä","a"),"ã","a"),"ç","c"),"è","e"),"é","e"),"ê","e"),"ë","e"),"")</f>
        <v>de douceur.</v>
      </c>
      <c r="AP22" s="127" t="str">
        <f>IF(11=11,SUBSTITUTE(SUBSTITUTE(SUBSTITUTE(SUBSTITUTE(SUBSTITUTE(SUBSTITUTE(SUBSTITUTE(SUBSTITUTE(SUBSTITUTE(SUBSTITUTE(SUBSTITUTE(SUBSTITUTE(SUBSTITUTE(SUBSTITUTE(SUBSTITUTE(SUBSTITUTE(AO22,"ì","i"),"í","i"),"î","i"),"ï","i"),"ñ","n"),"ò","o"),"ó","o"),"ô","o"),"ö","o"),"õ","o"),"ù","u"),"ú","u"),"û","u"),"ü","u"),"ý","y"),"ÿ","y"),"")</f>
        <v>de douceur.</v>
      </c>
      <c r="AQ22" s="127" t="str">
        <f>IF(11=11,SUBSTITUTE(SUBSTITUTE(SUBSTITUTE(SUBSTITUTE(SUBSTITUTE(SUBSTITUTE(SUBSTITUTE(SUBSTITUTE(SUBSTITUTE(SUBSTITUTE(SUBSTITUTE(SUBSTITUTE(SUBSTITUTE(SUBSTITUTE(AP22,"’"," "),"`"," "),"–"," "),"—"," "),"-"," "),"'"," "),"/"," "),"_"," "),","," "),"."," "),"("," "),")"," "),";"," "),":"," "),"")</f>
        <v xml:space="preserve">de douceur </v>
      </c>
      <c r="AR22" s="127" t="str">
        <f>IF(11=11,SUBSTITUTE(SUBSTITUTE(SUBSTITUTE(SUBSTITUTE(SUBSTITUTE(SUBSTITUTE(SUBSTITUTE(SUBSTITUTE(SUBSTITUTE(SUBSTITUTE(SUBSTITUTE(SUBSTITUTE(SUBSTITUTE(SUBSTITUTE(SUBSTITUTE(AQ22,"!"," "),"?"," "),"+"," "),"*"," "),"&amp;"," "),"["," "),"]"," "),"{"," "),"}"," "),"%"," "),"="," "),"\"," "),"|"," "),"&lt;"," "),"&gt;"," "),"")</f>
        <v xml:space="preserve">de douceur </v>
      </c>
      <c r="AS22" s="127" t="str">
        <f>IF(11=11," "&amp;TRIM(SUBSTITUTE(SUBSTITUTE(SUBSTITUTE(SUBSTITUTE(SUBSTITUTE(SUBSTITUTE(AR22,CHAR(34)," "),"  "," "),"  "," "),"  "," "),"  "," "),"  "," "))&amp;" ","")</f>
        <v xml:space="preserve"> de douceur </v>
      </c>
      <c r="AT22" s="127" cm="1">
        <f t="array" ref="AT22">IF(11=11,IF(AM22="","",SUMPRODUCT(--ISNUMBER(SEARCH(" "&amp;DJ13:DJ112&amp;" ",AV22)))),"")</f>
        <v>0</v>
      </c>
      <c r="AU22" s="127" cm="1">
        <f t="array" ref="AU22">IF(11=11,IF(AM22="","",SUMPRODUCT(--ISNUMBER(SEARCH(" "&amp;DJ113:DJ162&amp;" ",AV22)))),"")</f>
        <v>0</v>
      </c>
      <c r="AV22" s="127" t="str">
        <f>IF(AM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de douceur </v>
      </c>
      <c r="AW22" s="127" cm="1">
        <f t="array" ref="AW22">IF(AM22="","",SUMPRODUCT(--ISNUMBER(SEARCH(" "&amp;DJ195:DJ216&amp;" ",AV22)))+--ISNUMBER(SEARCH(" "&amp;DJ2465&amp;" ",AV22)))</f>
        <v>0</v>
      </c>
      <c r="AX22" s="127" t="str" cm="1">
        <f t="array" ref="AX22">IF(11=11,IF(AM22="","",IF(SUM(AT22:AU22)+SUMPRODUCT(--ISNUMBER(SEARCH(" "&amp;DJ2429:DJ2431&amp;" ",AV22)))&gt;0,"X",IF(AW22&gt;0,"?",""))),"")</f>
        <v/>
      </c>
      <c r="AY22" s="127" cm="1">
        <f t="array" ref="AY22">IF(11=11,IF(AM22="","",SUMPRODUCT(--ISNUMBER(SEARCH(" "&amp;DJ217:DJ316&amp;" ",AS22)))),"")</f>
        <v>0</v>
      </c>
      <c r="AZ22" s="127" cm="1">
        <f t="array" ref="AZ22">IF(11=11,IF(AM22="","",SUMPRODUCT(--ISNUMBER(SEARCH(" "&amp;DJ317:DJ351&amp;" ",AS22)))),"")</f>
        <v>0</v>
      </c>
      <c r="BA22" s="127" t="str">
        <f>IF(11=11,IF(AM22="","",IF((SUM(AY22:AZ22))-(0)&gt;0,"X",IF((0)-(0)&gt;0,"?",""))),"")</f>
        <v/>
      </c>
      <c r="BB22" s="127" cm="1">
        <f t="array" ref="BB22">IF(11=11,IF(AM22="","",SUMPRODUCT(--ISNUMBER(SEARCH(" "&amp;DJ352:DJ409&amp;" ",AS22)))),"")</f>
        <v>0</v>
      </c>
      <c r="BC22" s="127" cm="1">
        <f t="array" ref="BC22">IF(11=11,IF(AM22="","",SUMPRODUCT(--ISNUMBER(SEARCH(" "&amp;DJ410:DJ437&amp;" ",BD22)))+SUMPRODUCT(--ISNUMBER(SEARCH(" "&amp;DJ2451:DJ2464&amp;" ",BD22)))),"")</f>
        <v>0</v>
      </c>
      <c r="BD22" s="127" t="str">
        <f>IF(11=11,IF(AM22="","",SUBSTITUTE(SUBSTITUTE(SUBSTITUTE(SUBSTITUTE(SUBSTITUTE(SUBSTITUTE(SUBSTITUTE(SUBSTITUTE(SUBSTITUTE(SUBSTITUTE(SUBSTITUTE(SUBSTITUTE(SUBSTITUTE(SUBSTITUTE(AS22," "&amp;DJ2466&amp;" "," ")," "&amp;DJ444&amp;" "," ")," "&amp;DJ442&amp;" "," ")," "&amp;DJ2449&amp;" "," ")," "&amp;DJ2450&amp;" "," ")," "&amp;DJ439&amp;" "," ")," "&amp;DJ443&amp;" "," ")," "&amp;DJ445&amp;" "," ")," "&amp;DJ440&amp;" "," ")," "&amp;DJ438&amp;" "," ")," "&amp;DJ1378&amp;" "," ")," "&amp;DJ446&amp;" "," ")," "&amp;DJ1377&amp;" "," ")," "&amp;DJ441&amp;" "," ")),"")</f>
        <v xml:space="preserve"> de douceur </v>
      </c>
      <c r="BE22" s="127" t="str">
        <f>IF(11=11,IF(AM22="","",IF(BB22&gt;0,"X",IF(BC22&gt;0,"?",""))),"")</f>
        <v/>
      </c>
      <c r="BF22" s="127" cm="1">
        <f t="array" ref="BF22">IF(11=11,IF(AM22="","",SUMPRODUCT(--ISNUMBER(SEARCH(" "&amp;DJ447:DJ546&amp;" ",BP22)))),"")</f>
        <v>0</v>
      </c>
      <c r="BG22" s="127" cm="1">
        <f t="array" ref="BG22">IF(11=11,IF(AM22="","",SUMPRODUCT(--ISNUMBER(SEARCH(" "&amp;DJ547:DJ646&amp;" ",BP22)))),"")</f>
        <v>0</v>
      </c>
      <c r="BH22" s="127" cm="1">
        <f t="array" ref="BH22">IF(11=11,IF(AM22="","",SUMPRODUCT(--ISNUMBER(SEARCH(" "&amp;DJ647:DJ746&amp;" ",BP22)))),"")</f>
        <v>0</v>
      </c>
      <c r="BI22" s="127" cm="1">
        <f t="array" ref="BI22">IF(11=11,IF(AM22="","",SUMPRODUCT(--ISNUMBER(SEARCH(" "&amp;DJ747:DJ846&amp;" ",BP22)))),"")</f>
        <v>0</v>
      </c>
      <c r="BJ22" s="127" cm="1">
        <f t="array" ref="BJ22">IF(11=11,IF(AM22="","",SUMPRODUCT(--ISNUMBER(SEARCH(" "&amp;DJ847:DJ946&amp;" ",BP22)))),"")</f>
        <v>0</v>
      </c>
      <c r="BK22" s="127" cm="1">
        <f t="array" ref="BK22">IF(11=11,IF(AM22="","",SUMPRODUCT(--ISNUMBER(SEARCH(" "&amp;DJ947:DJ1046&amp;" ",BP22)))),"")</f>
        <v>0</v>
      </c>
      <c r="BL22" s="127" cm="1">
        <f t="array" ref="BL22">IF(11=11,IF(AM22="","",SUMPRODUCT(--ISNUMBER(SEARCH(" "&amp;DJ1047:DJ1146&amp;" ",BP22)))),"")</f>
        <v>0</v>
      </c>
      <c r="BM22" s="127" cm="1">
        <f t="array" ref="BM22">IF(11=11,IF(AM22="","",SUMPRODUCT(--ISNUMBER(SEARCH(" "&amp;DJ1147:DJ1246&amp;" ",BP22)))),"")</f>
        <v>0</v>
      </c>
      <c r="BN22" s="127" cm="1">
        <f t="array" ref="BN22">IF(11=11,IF(AM22="","",SUMPRODUCT(--ISNUMBER(SEARCH(" "&amp;DJ1247:DJ1346&amp;" ",BP22)))),"")</f>
        <v>0</v>
      </c>
      <c r="BO22" s="127" cm="1">
        <f t="array" ref="BO22">IF(11=11,IF(AM22="","",SUMPRODUCT(--ISNUMBER(SEARCH(" "&amp;DJ1347:DJ1374&amp;" ",BP22)))),"")</f>
        <v>0</v>
      </c>
      <c r="BP22" s="127" t="str">
        <f>IF(11=11,IF(AM22="","",SUBSTITUTE(SUBSTITUTE(SUBSTITUTE(SUBSTITUTE(SUBSTITUTE(SUBSTITUTE(SUBSTITUTE(SUBSTITUTE(SUBSTITUTE(AS22," "&amp;DJ1376&amp;" "," ")," "&amp;DJ1375&amp;" "," ")," "&amp;DJ1381&amp;" "," ")," "&amp;DJ1382&amp;" "," ")," "&amp;DJ1378&amp;" "," ")," "&amp;DJ1380&amp;" "," ")," "&amp;DJ1377&amp;" "," ")," "&amp;DJ1379&amp;" "," ")," "&amp;DJ1383&amp;" "," ")),"")</f>
        <v xml:space="preserve"> de douceur </v>
      </c>
      <c r="BQ22" s="127" cm="1">
        <f t="array" ref="BQ22">IF(11=11,IF(AM22="","",SUMPRODUCT(--ISNUMBER(SEARCH(" "&amp;DJ1384:DJ1394&amp;" ",BP22)))),"")</f>
        <v>0</v>
      </c>
      <c r="BR22" s="127" t="str" cm="1">
        <f t="array" ref="BR22">IF(11=11,IF(AM22="","",IF(SUM(BF22:BO22)+SUMPRODUCT(--ISNUMBER(SEARCH(" "&amp;DJ2432:DJ2433&amp;" ",BP22)))&gt;0,"X",IF(BQ22&gt;0,"?",""))),"")</f>
        <v/>
      </c>
      <c r="BS22" s="127" cm="1">
        <f t="array" ref="BS22">IF(11=11,IF(AM22="","",SUMPRODUCT(--ISNUMBER(SEARCH(" "&amp;DJ1395:DJ1415&amp;" ",AS22)))),"")</f>
        <v>0</v>
      </c>
      <c r="BT22" s="127" t="str">
        <f>IF(11=11,IF(AM22="","",IF((BS22)-(0)&gt;0,"X",IF((0)-(0)&gt;0,"?",""))),"")</f>
        <v/>
      </c>
      <c r="BU22" s="127" cm="1">
        <f t="array" ref="BU22">IF(11=11,IF(AM22="","",SUMPRODUCT(--ISNUMBER(SEARCH(" "&amp;DJ1416:DJ1453&amp;" ",BV22)))),"")</f>
        <v>0</v>
      </c>
      <c r="BV22" s="127" t="str">
        <f>IF(11=11,IF(AM22="","",SUBSTITUTE(SUBSTITUTE(AS22," "&amp;DJ1454&amp;" "," ")," "&amp;DJ1455&amp;" "," ")),"")</f>
        <v xml:space="preserve"> de douceur </v>
      </c>
      <c r="BW22" s="127" cm="1">
        <f t="array" ref="BW22">IF(11=11,IF(AM22="","",SUMPRODUCT(--ISNUMBER(SEARCH(" "&amp;DJ1456:DJ1466&amp;" ",BV22)))),"")</f>
        <v>0</v>
      </c>
      <c r="BX22" s="127" t="str">
        <f>IF(11=11,IF(AM22="","",IF(BU22&gt;0,"X",IF(BW22&gt;0,"?",""))),"")</f>
        <v/>
      </c>
      <c r="BY22" s="127" cm="1">
        <f t="array" ref="BY22">IF(11=11,IF(AM22="","",SUMPRODUCT(--ISNUMBER(SEARCH(" "&amp;DJ1467:DJ1566&amp;" ",CB22)))),"")</f>
        <v>0</v>
      </c>
      <c r="BZ22" s="127" cm="1">
        <f t="array" ref="BZ22">IF(11=11,IF(AM22="","",SUMPRODUCT(--ISNUMBER(SEARCH(" "&amp;DJ1567:DJ1666&amp;" ",CB22)))),"")</f>
        <v>0</v>
      </c>
      <c r="CA22" s="127" cm="1">
        <f t="array" ref="CA22">IF(11=11,IF(AM22="","",SUMPRODUCT(--ISNUMBER(SEARCH(" "&amp;DJ1667:DJ1750&amp;" ",CB22)))),"")</f>
        <v>0</v>
      </c>
      <c r="CB22" s="127" t="str">
        <f>IF(11=11,IF(AM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de douceur </v>
      </c>
      <c r="CC22" s="127" cm="1">
        <f t="array" ref="CC22">IF(11=11,IF(AM22="","",SUMPRODUCT(--ISNUMBER(SEARCH(" "&amp;DJ1801:DJ1880&amp;" ",CD22)))+SUMPRODUCT(--ISNUMBER(SEARCH(" "&amp;DJ2451:DJ2464&amp;" ",CD22)))),"")</f>
        <v>0</v>
      </c>
      <c r="CD22" s="127" t="str">
        <f>IF(11=11,IF(AM22="","",SUBSTITUTE(SUBSTITUTE(SUBSTITUTE(SUBSTITUTE(SUBSTITUTE(SUBSTITUTE(SUBSTITUTE(SUBSTITUTE(SUBSTITUTE(SUBSTITUTE(SUBSTITUTE(SUBSTITUTE(SUBSTITUTE(CB22," "&amp;DJ1887&amp;" "," ")," "&amp;DJ1885&amp;" "," ")," "&amp;DJ2449&amp;" "," ")," "&amp;DJ2450&amp;" "," ")," "&amp;DJ1882&amp;" "," ")," "&amp;DJ1886&amp;" "," ")," "&amp;DJ1888&amp;" "," ")," "&amp;DJ1883&amp;" "," ")," "&amp;DJ1881&amp;" "," ")," "&amp;DJ1378&amp;" "," ")," "&amp;DJ1889&amp;" "," ")," "&amp;DJ1377&amp;" "," ")," "&amp;DJ1884&amp;" "," ")),"")</f>
        <v xml:space="preserve"> de douceur </v>
      </c>
      <c r="CE22" s="127" t="str" cm="1">
        <f t="array" ref="CE22">IF(11=11,IF(AM22="","",IF(SUM(BY22:CA22)+SUMPRODUCT(--ISNUMBER(SEARCH(" "&amp;DJ2434:DJ2435&amp;" ",CB22)))&gt;0,"X",IF(CC22&gt;0,"?",""))),"")</f>
        <v/>
      </c>
      <c r="CF22" s="127" cm="1">
        <f t="array" ref="CF22">IF(11=11,IF(AM22="","",SUMPRODUCT(--ISNUMBER(SEARCH(" "&amp;DJ1890:DJ1947&amp;" ",CG22)))),"")</f>
        <v>0</v>
      </c>
      <c r="CG22" s="127" t="str">
        <f>IF(11=11,IF(AM22="","",SUBSTITUTE(SUBSTITUTE(SUBSTITUTE(SUBSTITUTE(SUBSTITUTE(SUBSTITUTE(SUBSTITUTE(SUBSTITUTE(SUBSTITUTE(SUBSTITUTE(SUBSTITUTE(SUBSTITUTE(SUBSTITUTE(SUBSTITUTE(SUBSTITUTE(SUBSTITUTE(SUBSTITUTE(SUBSTITUTE(SUBSTITUTE(SUBSTITUTE(SUBSTITUTE(SUBSTITUTE(SUBSTITUTE(AS22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de douceur </v>
      </c>
      <c r="CH22" s="127" cm="1">
        <f t="array" ref="CH22">IF(11=11,IF(AM22="","",SUMPRODUCT(--ISNUMBER(SEARCH(" "&amp;DJ1971:DJ1987&amp;" ",CG22)))),"")</f>
        <v>0</v>
      </c>
      <c r="CI22" s="127" t="str">
        <f>IF(11=11,IF(AM22="","",IF(CF22&gt;0,"X",IF(CH22&gt;0,"?",""))),"")</f>
        <v/>
      </c>
      <c r="CJ22" s="127" cm="1">
        <f t="array" ref="CJ22">IF(11=11,IF(AM22="","",SUMPRODUCT(--ISNUMBER(SEARCH(" "&amp;DJ1988:DJ2001&amp;" ",AS22)))),"")</f>
        <v>0</v>
      </c>
      <c r="CK22" s="127" cm="1">
        <f t="array" ref="CK22">IF(11=11,IF(AM22="","",SUMPRODUCT(--ISNUMBER(SEARCH(" "&amp;DJ2002:DJ2016&amp;" ",AS22)))),"")</f>
        <v>0</v>
      </c>
      <c r="CL22" s="127" t="str">
        <f>IF(11=11,IF(AM22="","",IF((CJ22)-(0)&gt;0,"X",IF((CK22)-(0)&gt;0,"?",""))),"")</f>
        <v/>
      </c>
      <c r="CM22" s="127" cm="1">
        <f t="array" ref="CM22">IF(11=11,IF(AM22="","",SUMPRODUCT(--ISNUMBER(SEARCH(" "&amp;DJ2017:DJ2034&amp;" ",AS22)))),"")</f>
        <v>0</v>
      </c>
      <c r="CN22" s="127" cm="1">
        <f t="array" ref="CN22">IF(11=11,IF(AM22="","",SUMPRODUCT(--ISNUMBER(SEARCH(" "&amp;DJ2035:DJ2049&amp;" ",AS22)))),"")</f>
        <v>0</v>
      </c>
      <c r="CO22" s="127" t="str">
        <f>IF(11=11,IF(AM22="","",IF((CM22)-(0)&gt;0,"X",IF((CN22)-(0)&gt;0,"?",""))),"")</f>
        <v/>
      </c>
      <c r="CP22" s="127" cm="1">
        <f t="array" ref="CP22">IF(11=11,IF(AM22="","",SUMPRODUCT(--ISNUMBER(SEARCH(" "&amp;DJ2050:DJ2068&amp;" ",AS22)))),"")</f>
        <v>0</v>
      </c>
      <c r="CQ22" s="127" cm="1">
        <f t="array" ref="CQ22">IF(11=11,IF(AM22="","",SUMPRODUCT(--ISNUMBER(SEARCH(" "&amp;DJ2069:DJ2083&amp;" ",AS22)))),"")</f>
        <v>0</v>
      </c>
      <c r="CR22" s="127" t="str">
        <f>IF(11=11,IF(AM22="","",IF((CP22)-(0)&gt;0,"X",IF((CQ22)-(0)&gt;0,"?",""))),"")</f>
        <v/>
      </c>
      <c r="CS22" s="127" cm="1">
        <f t="array" ref="CS22">IF(11=11,IF(AM22="","",SUMPRODUCT(--ISNUMBER(SEARCH(" "&amp;DJ2084:DJ2104&amp;" ",AS22)))),"")</f>
        <v>0</v>
      </c>
      <c r="CT22" s="127" cm="1">
        <f t="array" ref="CT22">IF(11=11,IF(AM22="","",SUMPRODUCT(--ISNUMBER(SEARCH(" "&amp;DJ2105:DJ2144&amp;" ",SUBSTITUTE(SUBSTITUTE(AS22," "&amp;DJ1378&amp;" "," ")," "&amp;DJ1377&amp;" "," "))))+--ISNUMBER(SEARCH("poiré",AN22))),"")</f>
        <v>0</v>
      </c>
      <c r="CU22" s="127" t="str">
        <f>IF(11=11,IF(AM22="","",IF(OR(CS22&gt;0,ISNUMBER(SEARCH(" vinaigre de vin ",AS22)),ISNUMBER(SEARCH(" vinaigre au vin ",AS22))),"X",IF(CT22&gt;0,"?",""))),"")</f>
        <v/>
      </c>
      <c r="CV22" s="127" cm="1">
        <f t="array" ref="CV22">IF(11=11,IF(AM22="","",SUMPRODUCT(--ISNUMBER(SEARCH(" "&amp;DJ2145:DJ2157&amp;" ",AS22)))),"")</f>
        <v>0</v>
      </c>
      <c r="CW22" s="127" cm="1">
        <f t="array" ref="CW22">IF(11=11,IF(AM22="","",SUMPRODUCT(--ISNUMBER(SEARCH(" "&amp;DJ2158:DJ2163&amp;" ",AS22)))),"")</f>
        <v>0</v>
      </c>
      <c r="CX22" s="127" t="str">
        <f>IF(11=11,IF(AM22="","",IF((CV22)-(0)&gt;0,"X",IF((CW22)-(0)&gt;0,"?",""))),"")</f>
        <v/>
      </c>
      <c r="CY22" s="127" cm="1">
        <f t="array" ref="CY22">IF(11=11,IF(AM22="","",SUMPRODUCT(--ISNUMBER(SEARCH(" "&amp;DJ2164:DJ2263&amp;" ",DB22)))),"")</f>
        <v>0</v>
      </c>
      <c r="CZ22" s="127" cm="1">
        <f t="array" ref="CZ22">IF(11=11,IF(AM22="","",SUMPRODUCT(--ISNUMBER(SEARCH(" "&amp;DJ2264:DJ2363&amp;" ",DB22)))),"")</f>
        <v>0</v>
      </c>
      <c r="DA22" s="127" cm="1">
        <f t="array" ref="DA22">IF(11=11,IF(AM22="","",SUMPRODUCT(--ISNUMBER(SEARCH(" "&amp;DJ2364:DJ2406&amp;" ",DB22)))),"")</f>
        <v>0</v>
      </c>
      <c r="DB22" s="127" t="str">
        <f>IF(11=11,IF(AM22="","",SUBSTITUTE(SUBSTITUTE(SUBSTITUTE(SUBSTITUTE(SUBSTITUTE(SUBSTITUTE(SUBSTITUTE(SUBSTITUTE(SUBSTITUTE(SUBSTITUTE(SUBSTITUTE(SUBSTITUTE(SUBSTITUTE(SUBSTITUTE(SUBSTITUTE(SUBSTITUTE(AS22," "&amp;DJ2412&amp;" "," ")," "&amp;DJ2411&amp;" "," ")," "&amp;DJ2410&amp;" "," ")," "&amp;DJ2417&amp;" "," ")," "&amp;DJ2409&amp;" "," ")," "&amp;DJ2421&amp;" "," ")," "&amp;DJ2408&amp;" "," ")," "&amp;DJ2413&amp;" "," ")," "&amp;DJ2416&amp;" "," ")," "&amp;DJ2407&amp;" "," ")," "&amp;DJ2415&amp;" "," ")," "&amp;DJ2422&amp;" "," ")," "&amp;DJ2419&amp;" "," ")," "&amp;DJ2414&amp;" "," ")," "&amp;DJ2418&amp;" "," ")," "&amp;DJ2420&amp;" "," ")),"")</f>
        <v xml:space="preserve"> de douceur </v>
      </c>
      <c r="DC22" s="127" cm="1">
        <f t="array" ref="DC22">IF(11=11,IF(AM22="","",SUMPRODUCT(--ISNUMBER(SEARCH(" "&amp;DJ2423:DJ2427&amp;" ",DB22)))),"")</f>
        <v>0</v>
      </c>
      <c r="DD22" s="127" t="str">
        <f>IF(11=11,IF(AM22="","",IF(SUM(CY22:DA22)&gt;0,"X",IF(DC22&gt;0,"?",""))),"")</f>
        <v/>
      </c>
      <c r="DE22" s="152"/>
      <c r="DF22" s="160" t="s">
        <v>681</v>
      </c>
      <c r="DG22" s="160" t="s">
        <v>584</v>
      </c>
      <c r="DH22" s="160" t="s">
        <v>125</v>
      </c>
      <c r="DI22" s="160" t="s">
        <v>374</v>
      </c>
      <c r="DJ22" s="160" t="s">
        <v>374</v>
      </c>
      <c r="DK22" s="160" t="s">
        <v>588</v>
      </c>
      <c r="DL22" s="160" t="s">
        <v>589</v>
      </c>
      <c r="DM22" s="160" t="s">
        <v>590</v>
      </c>
      <c r="DN22" s="161" t="s">
        <v>591</v>
      </c>
      <c r="DP22" s="130">
        <v>1</v>
      </c>
    </row>
    <row r="23" spans="2:120" ht="30" customHeight="1">
      <c r="B23" s="165" t="str">
        <f t="shared" si="0"/>
        <v>• 3 œufs</v>
      </c>
      <c r="C23" s="165" t="str">
        <f t="shared" si="1"/>
        <v>• 3 œufs</v>
      </c>
      <c r="D23" s="165" t="str">
        <f>IF(UPPER(TRIM(N11))="X",C23,B23)</f>
        <v>• 3 œufs</v>
      </c>
      <c r="E23" s="165" cm="1">
        <f t="array" ref="E23">IF(H22&lt;&gt;"",E22,IF(E22="","",IFERROR(MATCH(TRUE(),INDEX(INDEX(K:K,E22+1):K203&lt;&gt;"",0),0)+E22,"")))</f>
        <v>20</v>
      </c>
      <c r="F23" s="165" t="str" cm="1">
        <f t="array" ref="F23">IF(E23="","",IF(H22&lt;&gt;"",H22,INDEX(D:D,E23)))</f>
        <v>Ingrédients :</v>
      </c>
      <c r="G23" s="165" t="str">
        <f t="shared" si="2"/>
        <v>Ingrédients :</v>
      </c>
      <c r="H23" s="174" t="str">
        <f t="shared" si="3"/>
        <v/>
      </c>
      <c r="I23" s="184" t="str">
        <f>IF(AND(F23&lt;&gt;"",N10&gt;0,M23&gt;N10),"Mot &gt; limite","")</f>
        <v/>
      </c>
      <c r="J23" s="175">
        <f>IF(K23="","",COUNTIF(K18:K23,"&lt;&gt;"))</f>
        <v>6</v>
      </c>
      <c r="K23" s="111" t="s">
        <v>398</v>
      </c>
      <c r="L23" s="175">
        <f t="shared" si="4"/>
        <v>8</v>
      </c>
      <c r="M23" s="135">
        <f>IF(OR(F23="",N10="",N10&lt;=0),"",IF(LEN(F23)&lt;=N10,LEN(F23),IFERROR(FIND("♦",SUBSTITUTE(LEFT(F23,N10)," ","♦",LEN(LEFT(F23,N10))-LEN(SUBSTITUTE(LEFT(F23,N10)," ","")))),FIND(" ",F23&amp;" ",N10+1)-1)))</f>
        <v>13</v>
      </c>
      <c r="N23" s="176">
        <f t="shared" si="5"/>
        <v>6</v>
      </c>
      <c r="O23" s="177" t="str">
        <f t="shared" si="6"/>
        <v>Ingrédients :</v>
      </c>
      <c r="P23" s="176">
        <f t="shared" si="7"/>
        <v>2</v>
      </c>
      <c r="Q23" s="176">
        <f t="shared" si="8"/>
        <v>13</v>
      </c>
      <c r="S23" s="178">
        <v>6</v>
      </c>
      <c r="T23" s="179" t="str">
        <f t="shared" si="10"/>
        <v>Ingrédients :</v>
      </c>
      <c r="U23" s="180" t="str">
        <f t="shared" si="9"/>
        <v>Ingrédients :</v>
      </c>
      <c r="V23" s="181" t="str">
        <f>IF(12=12,IF(T23="","",IF(W23="X",""&amp;"Céréales contenant du gluten","")&amp;IF(X23="X",IF(COUNTIF(W23:W23,"X")&gt;0,", ","")&amp;"Crustacés","")&amp;IF(Y23="X",IF(COUNTIF(W23:X23,"X")&gt;0,", ","")&amp;"Œufs","")&amp;IF(Z23="X",IF(COUNTIF(W23:Y23,"X")&gt;0,", ","")&amp;"Poissons","")&amp;IF(AA23="X",IF(COUNTIF(W23:Z23,"X")&gt;0,", ","")&amp;"Arachides","")&amp;IF(AB23="X",IF(COUNTIF(W23:AA23,"X")&gt;0,", ","")&amp;"Soja","")&amp;IF(AC23="X",IF(COUNTIF(W23:AB23,"X")&gt;0,", ","")&amp;"Lait","")&amp;IF(AD23="X",IF(COUNTIF(W23:AC23,"X")&gt;0,", ","")&amp;"Fruits à coque","")&amp;IF(AE23="X",IF(COUNTIF(W23:AD23,"X")&gt;0,", ","")&amp;"Céleri","")&amp;IF(AF23="X",IF(COUNTIF(W23:AE23,"X")&gt;0,", ","")&amp;"Moutarde","")&amp;IF(AG23="X",IF(COUNTIF(W23:AF23,"X")&gt;0,", ","")&amp;"Sésame","")&amp;IF(AH23="X",IF(COUNTIF(W23:AG23,"X")&gt;0,", ","")&amp;"Sulfites","")&amp;IF(AI23="X",IF(COUNTIF(W23:AH23,"X")&gt;0,", ","")&amp;"Lupin","")&amp;IF(AJ23="X",IF(COUNTIF(W23:AI23,"X")&gt;0,", ","")&amp;"Mollusques","")),"")</f>
        <v/>
      </c>
      <c r="W23" s="182" t="str">
        <f>IF(12=12,IF(T23="","",AX23),"")</f>
        <v/>
      </c>
      <c r="X23" s="182" t="str">
        <f>IF(12=12,IF(T23="","",BA23),"")</f>
        <v/>
      </c>
      <c r="Y23" s="182" t="str">
        <f>IF(12=12,IF(T23="","",BE23),"")</f>
        <v/>
      </c>
      <c r="Z23" s="182" t="str">
        <f>IF(12=12,IF(T23="","",IF(ISNUMBER(SEARCH(" colin ",AS23)),"X",BR23)),"")</f>
        <v/>
      </c>
      <c r="AA23" s="182" t="str">
        <f>IF(12=12,IF(T23="","",BT23),"")</f>
        <v/>
      </c>
      <c r="AB23" s="182" t="str">
        <f>IF(12=12,IF(T23="","",BX23),"")</f>
        <v/>
      </c>
      <c r="AC23" s="182" t="str">
        <f>IF(12=12,IF(T23="","",CE23),"")</f>
        <v/>
      </c>
      <c r="AD23" s="182" t="str">
        <f>IF(12=12,IF(T23="","",CI23),"")</f>
        <v/>
      </c>
      <c r="AE23" s="182" t="str">
        <f>IF(12=12,IF(T23="","",CL23),"")</f>
        <v/>
      </c>
      <c r="AF23" s="182" t="str">
        <f>IF(12=12,IF(T23="","",CO23),"")</f>
        <v/>
      </c>
      <c r="AG23" s="182" t="str">
        <f>IF(12=12,IF(T23="","",CR23),"")</f>
        <v/>
      </c>
      <c r="AH23" s="182" t="str">
        <f>IF(12=12,IF(T23="","",CU23),"")</f>
        <v/>
      </c>
      <c r="AI23" s="182" t="str">
        <f>IF(12=12,IF(T23="","",CX23),"")</f>
        <v/>
      </c>
      <c r="AJ23" s="182" t="str">
        <f>IF(12=12,IF(T23="","",DD23),"")</f>
        <v/>
      </c>
      <c r="AK23" s="183" t="str">
        <f>IF(12=12,IF(T23="","",IF(W23="?",""&amp;"Céréales contenant du gluten","")&amp;IF(X23="?",IF(COUNTIF(W23:W23,"~?")&gt;0,", ","")&amp;"Crustacés","")&amp;IF(Y23="?",IF(COUNTIF(W23:X23,"~?")&gt;0,", ","")&amp;"Œufs","")&amp;IF(Z23="?",IF(COUNTIF(W23:Y23,"~?")&gt;0,", ","")&amp;"Poissons","")&amp;IF(AA23="?",IF(COUNTIF(W23:Z23,"~?")&gt;0,", ","")&amp;"Arachides","")&amp;IF(AB23="?",IF(COUNTIF(W23:AA23,"~?")&gt;0,", ","")&amp;"Soja","")&amp;IF(AC23="?",IF(COUNTIF(W23:AB23,"~?")&gt;0,", ","")&amp;"Lait","")&amp;IF(AD23="?",IF(COUNTIF(W23:AC23,"~?")&gt;0,", ","")&amp;"Fruits à coque","")&amp;IF(AE23="?",IF(COUNTIF(W23:AD23,"~?")&gt;0,", ","")&amp;"Céleri","")&amp;IF(AF23="?",IF(COUNTIF(W23:AE23,"~?")&gt;0,", ","")&amp;"Moutarde","")&amp;IF(AG23="?",IF(COUNTIF(W23:AF23,"~?")&gt;0,", ","")&amp;"Sésame","")&amp;IF(AH23="?",IF(COUNTIF(W23:AG23,"~?")&gt;0,", ","")&amp;"Sulfites","")&amp;IF(AI23="?",IF(COUNTIF(W23:AH23,"~?")&gt;0,", ","")&amp;"Lupin","")&amp;IF(AJ23="?",IF(COUNTIF(W23:AI23,"~?")&gt;0,", ","")&amp;"Mollusques","")),"")</f>
        <v/>
      </c>
      <c r="AM23" s="127" t="str">
        <f>IF(12=12,IF(T23="","",T23),"")</f>
        <v>Ingrédients :</v>
      </c>
      <c r="AN23" s="127" t="str">
        <f>IF(12=12,LOWER(CLEAN(SUBSTITUTE(SUBSTITUTE(SUBSTITUTE(SUBSTITUTE(AM23,CHAR(160)," ")," "," "),CHAR(10)," "),CHAR(13)," "))),"")</f>
        <v>ingrédients :</v>
      </c>
      <c r="AO23" s="127" t="str">
        <f>IF(12=12,SUBSTITUTE(SUBSTITUTE(SUBSTITUTE(SUBSTITUTE(SUBSTITUTE(SUBSTITUTE(SUBSTITUTE(SUBSTITUTE(SUBSTITUTE(SUBSTITUTE(SUBSTITUTE(SUBSTITUTE(AN23,"œ","oe"),"æ","ae"),"à","a"),"á","a"),"â","a"),"ä","a"),"ã","a"),"ç","c"),"è","e"),"é","e"),"ê","e"),"ë","e"),"")</f>
        <v>ingredients :</v>
      </c>
      <c r="AP23" s="127" t="str">
        <f>IF(12=12,SUBSTITUTE(SUBSTITUTE(SUBSTITUTE(SUBSTITUTE(SUBSTITUTE(SUBSTITUTE(SUBSTITUTE(SUBSTITUTE(SUBSTITUTE(SUBSTITUTE(SUBSTITUTE(SUBSTITUTE(SUBSTITUTE(SUBSTITUTE(SUBSTITUTE(SUBSTITUTE(AO23,"ì","i"),"í","i"),"î","i"),"ï","i"),"ñ","n"),"ò","o"),"ó","o"),"ô","o"),"ö","o"),"õ","o"),"ù","u"),"ú","u"),"û","u"),"ü","u"),"ý","y"),"ÿ","y"),"")</f>
        <v>ingredients :</v>
      </c>
      <c r="AQ23" s="127" t="str">
        <f>IF(12=12,SUBSTITUTE(SUBSTITUTE(SUBSTITUTE(SUBSTITUTE(SUBSTITUTE(SUBSTITUTE(SUBSTITUTE(SUBSTITUTE(SUBSTITUTE(SUBSTITUTE(SUBSTITUTE(SUBSTITUTE(SUBSTITUTE(SUBSTITUTE(AP23,"’"," "),"`"," "),"–"," "),"—"," "),"-"," "),"'"," "),"/"," "),"_"," "),","," "),"."," "),"("," "),")"," "),";"," "),":"," "),"")</f>
        <v xml:space="preserve">ingredients  </v>
      </c>
      <c r="AR23" s="127" t="str">
        <f>IF(12=12,SUBSTITUTE(SUBSTITUTE(SUBSTITUTE(SUBSTITUTE(SUBSTITUTE(SUBSTITUTE(SUBSTITUTE(SUBSTITUTE(SUBSTITUTE(SUBSTITUTE(SUBSTITUTE(SUBSTITUTE(SUBSTITUTE(SUBSTITUTE(SUBSTITUTE(AQ23,"!"," "),"?"," "),"+"," "),"*"," "),"&amp;"," "),"["," "),"]"," "),"{"," "),"}"," "),"%"," "),"="," "),"\"," "),"|"," "),"&lt;"," "),"&gt;"," "),"")</f>
        <v xml:space="preserve">ingredients  </v>
      </c>
      <c r="AS23" s="127" t="str">
        <f>IF(12=12," "&amp;TRIM(SUBSTITUTE(SUBSTITUTE(SUBSTITUTE(SUBSTITUTE(SUBSTITUTE(SUBSTITUTE(AR23,CHAR(34)," "),"  "," "),"  "," "),"  "," "),"  "," "),"  "," "))&amp;" ","")</f>
        <v xml:space="preserve"> ingredients </v>
      </c>
      <c r="AT23" s="127" cm="1">
        <f t="array" ref="AT23">IF(12=12,IF(AM23="","",SUMPRODUCT(--ISNUMBER(SEARCH(" "&amp;DJ13:DJ112&amp;" ",AV23)))),"")</f>
        <v>0</v>
      </c>
      <c r="AU23" s="127" cm="1">
        <f t="array" ref="AU23">IF(12=12,IF(AM23="","",SUMPRODUCT(--ISNUMBER(SEARCH(" "&amp;DJ113:DJ162&amp;" ",AV23)))),"")</f>
        <v>0</v>
      </c>
      <c r="AV23" s="127" t="str">
        <f>IF(AM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ingredients </v>
      </c>
      <c r="AW23" s="127" cm="1">
        <f t="array" ref="AW23">IF(AM23="","",SUMPRODUCT(--ISNUMBER(SEARCH(" "&amp;DJ195:DJ216&amp;" ",AV23)))+--ISNUMBER(SEARCH(" "&amp;DJ2465&amp;" ",AV23)))</f>
        <v>0</v>
      </c>
      <c r="AX23" s="127" t="str" cm="1">
        <f t="array" ref="AX23">IF(12=12,IF(AM23="","",IF(SUM(AT23:AU23)+SUMPRODUCT(--ISNUMBER(SEARCH(" "&amp;DJ2429:DJ2431&amp;" ",AV23)))&gt;0,"X",IF(AW23&gt;0,"?",""))),"")</f>
        <v/>
      </c>
      <c r="AY23" s="127" cm="1">
        <f t="array" ref="AY23">IF(12=12,IF(AM23="","",SUMPRODUCT(--ISNUMBER(SEARCH(" "&amp;DJ217:DJ316&amp;" ",AS23)))),"")</f>
        <v>0</v>
      </c>
      <c r="AZ23" s="127" cm="1">
        <f t="array" ref="AZ23">IF(12=12,IF(AM23="","",SUMPRODUCT(--ISNUMBER(SEARCH(" "&amp;DJ317:DJ351&amp;" ",AS23)))),"")</f>
        <v>0</v>
      </c>
      <c r="BA23" s="127" t="str">
        <f>IF(12=12,IF(AM23="","",IF((SUM(AY23:AZ23))-(0)&gt;0,"X",IF((0)-(0)&gt;0,"?",""))),"")</f>
        <v/>
      </c>
      <c r="BB23" s="127" cm="1">
        <f t="array" ref="BB23">IF(12=12,IF(AM23="","",SUMPRODUCT(--ISNUMBER(SEARCH(" "&amp;DJ352:DJ409&amp;" ",AS23)))),"")</f>
        <v>0</v>
      </c>
      <c r="BC23" s="127" cm="1">
        <f t="array" ref="BC23">IF(12=12,IF(AM23="","",SUMPRODUCT(--ISNUMBER(SEARCH(" "&amp;DJ410:DJ437&amp;" ",BD23)))+SUMPRODUCT(--ISNUMBER(SEARCH(" "&amp;DJ2451:DJ2464&amp;" ",BD23)))),"")</f>
        <v>0</v>
      </c>
      <c r="BD23" s="127" t="str">
        <f>IF(12=12,IF(AM23="","",SUBSTITUTE(SUBSTITUTE(SUBSTITUTE(SUBSTITUTE(SUBSTITUTE(SUBSTITUTE(SUBSTITUTE(SUBSTITUTE(SUBSTITUTE(SUBSTITUTE(SUBSTITUTE(SUBSTITUTE(SUBSTITUTE(SUBSTITUTE(AS23," "&amp;DJ2466&amp;" "," ")," "&amp;DJ444&amp;" "," ")," "&amp;DJ442&amp;" "," ")," "&amp;DJ2449&amp;" "," ")," "&amp;DJ2450&amp;" "," ")," "&amp;DJ439&amp;" "," ")," "&amp;DJ443&amp;" "," ")," "&amp;DJ445&amp;" "," ")," "&amp;DJ440&amp;" "," ")," "&amp;DJ438&amp;" "," ")," "&amp;DJ1378&amp;" "," ")," "&amp;DJ446&amp;" "," ")," "&amp;DJ1377&amp;" "," ")," "&amp;DJ441&amp;" "," ")),"")</f>
        <v xml:space="preserve"> ingredients </v>
      </c>
      <c r="BE23" s="127" t="str">
        <f>IF(12=12,IF(AM23="","",IF(BB23&gt;0,"X",IF(BC23&gt;0,"?",""))),"")</f>
        <v/>
      </c>
      <c r="BF23" s="127" cm="1">
        <f t="array" ref="BF23">IF(12=12,IF(AM23="","",SUMPRODUCT(--ISNUMBER(SEARCH(" "&amp;DJ447:DJ546&amp;" ",BP23)))),"")</f>
        <v>0</v>
      </c>
      <c r="BG23" s="127" cm="1">
        <f t="array" ref="BG23">IF(12=12,IF(AM23="","",SUMPRODUCT(--ISNUMBER(SEARCH(" "&amp;DJ547:DJ646&amp;" ",BP23)))),"")</f>
        <v>0</v>
      </c>
      <c r="BH23" s="127" cm="1">
        <f t="array" ref="BH23">IF(12=12,IF(AM23="","",SUMPRODUCT(--ISNUMBER(SEARCH(" "&amp;DJ647:DJ746&amp;" ",BP23)))),"")</f>
        <v>0</v>
      </c>
      <c r="BI23" s="127" cm="1">
        <f t="array" ref="BI23">IF(12=12,IF(AM23="","",SUMPRODUCT(--ISNUMBER(SEARCH(" "&amp;DJ747:DJ846&amp;" ",BP23)))),"")</f>
        <v>0</v>
      </c>
      <c r="BJ23" s="127" cm="1">
        <f t="array" ref="BJ23">IF(12=12,IF(AM23="","",SUMPRODUCT(--ISNUMBER(SEARCH(" "&amp;DJ847:DJ946&amp;" ",BP23)))),"")</f>
        <v>0</v>
      </c>
      <c r="BK23" s="127" cm="1">
        <f t="array" ref="BK23">IF(12=12,IF(AM23="","",SUMPRODUCT(--ISNUMBER(SEARCH(" "&amp;DJ947:DJ1046&amp;" ",BP23)))),"")</f>
        <v>0</v>
      </c>
      <c r="BL23" s="127" cm="1">
        <f t="array" ref="BL23">IF(12=12,IF(AM23="","",SUMPRODUCT(--ISNUMBER(SEARCH(" "&amp;DJ1047:DJ1146&amp;" ",BP23)))),"")</f>
        <v>0</v>
      </c>
      <c r="BM23" s="127" cm="1">
        <f t="array" ref="BM23">IF(12=12,IF(AM23="","",SUMPRODUCT(--ISNUMBER(SEARCH(" "&amp;DJ1147:DJ1246&amp;" ",BP23)))),"")</f>
        <v>0</v>
      </c>
      <c r="BN23" s="127" cm="1">
        <f t="array" ref="BN23">IF(12=12,IF(AM23="","",SUMPRODUCT(--ISNUMBER(SEARCH(" "&amp;DJ1247:DJ1346&amp;" ",BP23)))),"")</f>
        <v>0</v>
      </c>
      <c r="BO23" s="127" cm="1">
        <f t="array" ref="BO23">IF(12=12,IF(AM23="","",SUMPRODUCT(--ISNUMBER(SEARCH(" "&amp;DJ1347:DJ1374&amp;" ",BP23)))),"")</f>
        <v>0</v>
      </c>
      <c r="BP23" s="127" t="str">
        <f>IF(12=12,IF(AM23="","",SUBSTITUTE(SUBSTITUTE(SUBSTITUTE(SUBSTITUTE(SUBSTITUTE(SUBSTITUTE(SUBSTITUTE(SUBSTITUTE(SUBSTITUTE(AS23," "&amp;DJ1376&amp;" "," ")," "&amp;DJ1375&amp;" "," ")," "&amp;DJ1381&amp;" "," ")," "&amp;DJ1382&amp;" "," ")," "&amp;DJ1378&amp;" "," ")," "&amp;DJ1380&amp;" "," ")," "&amp;DJ1377&amp;" "," ")," "&amp;DJ1379&amp;" "," ")," "&amp;DJ1383&amp;" "," ")),"")</f>
        <v xml:space="preserve"> ingredients </v>
      </c>
      <c r="BQ23" s="127" cm="1">
        <f t="array" ref="BQ23">IF(12=12,IF(AM23="","",SUMPRODUCT(--ISNUMBER(SEARCH(" "&amp;DJ1384:DJ1394&amp;" ",BP23)))),"")</f>
        <v>0</v>
      </c>
      <c r="BR23" s="127" t="str" cm="1">
        <f t="array" ref="BR23">IF(12=12,IF(AM23="","",IF(SUM(BF23:BO23)+SUMPRODUCT(--ISNUMBER(SEARCH(" "&amp;DJ2432:DJ2433&amp;" ",BP23)))&gt;0,"X",IF(BQ23&gt;0,"?",""))),"")</f>
        <v/>
      </c>
      <c r="BS23" s="127" cm="1">
        <f t="array" ref="BS23">IF(12=12,IF(AM23="","",SUMPRODUCT(--ISNUMBER(SEARCH(" "&amp;DJ1395:DJ1415&amp;" ",AS23)))),"")</f>
        <v>0</v>
      </c>
      <c r="BT23" s="127" t="str">
        <f>IF(12=12,IF(AM23="","",IF((BS23)-(0)&gt;0,"X",IF((0)-(0)&gt;0,"?",""))),"")</f>
        <v/>
      </c>
      <c r="BU23" s="127" cm="1">
        <f t="array" ref="BU23">IF(12=12,IF(AM23="","",SUMPRODUCT(--ISNUMBER(SEARCH(" "&amp;DJ1416:DJ1453&amp;" ",BV23)))),"")</f>
        <v>0</v>
      </c>
      <c r="BV23" s="127" t="str">
        <f>IF(12=12,IF(AM23="","",SUBSTITUTE(SUBSTITUTE(AS23," "&amp;DJ1454&amp;" "," ")," "&amp;DJ1455&amp;" "," ")),"")</f>
        <v xml:space="preserve"> ingredients </v>
      </c>
      <c r="BW23" s="127" cm="1">
        <f t="array" ref="BW23">IF(12=12,IF(AM23="","",SUMPRODUCT(--ISNUMBER(SEARCH(" "&amp;DJ1456:DJ1466&amp;" ",BV23)))),"")</f>
        <v>0</v>
      </c>
      <c r="BX23" s="127" t="str">
        <f>IF(12=12,IF(AM23="","",IF(BU23&gt;0,"X",IF(BW23&gt;0,"?",""))),"")</f>
        <v/>
      </c>
      <c r="BY23" s="127" cm="1">
        <f t="array" ref="BY23">IF(12=12,IF(AM23="","",SUMPRODUCT(--ISNUMBER(SEARCH(" "&amp;DJ1467:DJ1566&amp;" ",CB23)))),"")</f>
        <v>0</v>
      </c>
      <c r="BZ23" s="127" cm="1">
        <f t="array" ref="BZ23">IF(12=12,IF(AM23="","",SUMPRODUCT(--ISNUMBER(SEARCH(" "&amp;DJ1567:DJ1666&amp;" ",CB23)))),"")</f>
        <v>0</v>
      </c>
      <c r="CA23" s="127" cm="1">
        <f t="array" ref="CA23">IF(12=12,IF(AM23="","",SUMPRODUCT(--ISNUMBER(SEARCH(" "&amp;DJ1667:DJ1750&amp;" ",CB23)))),"")</f>
        <v>0</v>
      </c>
      <c r="CB23" s="127" t="str">
        <f>IF(12=12,IF(AM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ingredients </v>
      </c>
      <c r="CC23" s="127" cm="1">
        <f t="array" ref="CC23">IF(12=12,IF(AM23="","",SUMPRODUCT(--ISNUMBER(SEARCH(" "&amp;DJ1801:DJ1880&amp;" ",CD23)))+SUMPRODUCT(--ISNUMBER(SEARCH(" "&amp;DJ2451:DJ2464&amp;" ",CD23)))),"")</f>
        <v>0</v>
      </c>
      <c r="CD23" s="127" t="str">
        <f>IF(12=12,IF(AM23="","",SUBSTITUTE(SUBSTITUTE(SUBSTITUTE(SUBSTITUTE(SUBSTITUTE(SUBSTITUTE(SUBSTITUTE(SUBSTITUTE(SUBSTITUTE(SUBSTITUTE(SUBSTITUTE(SUBSTITUTE(SUBSTITUTE(CB23," "&amp;DJ1887&amp;" "," ")," "&amp;DJ1885&amp;" "," ")," "&amp;DJ2449&amp;" "," ")," "&amp;DJ2450&amp;" "," ")," "&amp;DJ1882&amp;" "," ")," "&amp;DJ1886&amp;" "," ")," "&amp;DJ1888&amp;" "," ")," "&amp;DJ1883&amp;" "," ")," "&amp;DJ1881&amp;" "," ")," "&amp;DJ1378&amp;" "," ")," "&amp;DJ1889&amp;" "," ")," "&amp;DJ1377&amp;" "," ")," "&amp;DJ1884&amp;" "," ")),"")</f>
        <v xml:space="preserve"> ingredients </v>
      </c>
      <c r="CE23" s="127" t="str" cm="1">
        <f t="array" ref="CE23">IF(12=12,IF(AM23="","",IF(SUM(BY23:CA23)+SUMPRODUCT(--ISNUMBER(SEARCH(" "&amp;DJ2434:DJ2435&amp;" ",CB23)))&gt;0,"X",IF(CC23&gt;0,"?",""))),"")</f>
        <v/>
      </c>
      <c r="CF23" s="127" cm="1">
        <f t="array" ref="CF23">IF(12=12,IF(AM23="","",SUMPRODUCT(--ISNUMBER(SEARCH(" "&amp;DJ1890:DJ1947&amp;" ",CG23)))),"")</f>
        <v>0</v>
      </c>
      <c r="CG23" s="127" t="str">
        <f>IF(12=12,IF(AM23="","",SUBSTITUTE(SUBSTITUTE(SUBSTITUTE(SUBSTITUTE(SUBSTITUTE(SUBSTITUTE(SUBSTITUTE(SUBSTITUTE(SUBSTITUTE(SUBSTITUTE(SUBSTITUTE(SUBSTITUTE(SUBSTITUTE(SUBSTITUTE(SUBSTITUTE(SUBSTITUTE(SUBSTITUTE(SUBSTITUTE(SUBSTITUTE(SUBSTITUTE(SUBSTITUTE(SUBSTITUTE(SUBSTITUTE(AS23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ingredients </v>
      </c>
      <c r="CH23" s="127" cm="1">
        <f t="array" ref="CH23">IF(12=12,IF(AM23="","",SUMPRODUCT(--ISNUMBER(SEARCH(" "&amp;DJ1971:DJ1987&amp;" ",CG23)))),"")</f>
        <v>0</v>
      </c>
      <c r="CI23" s="127" t="str">
        <f>IF(12=12,IF(AM23="","",IF(CF23&gt;0,"X",IF(CH23&gt;0,"?",""))),"")</f>
        <v/>
      </c>
      <c r="CJ23" s="127" cm="1">
        <f t="array" ref="CJ23">IF(12=12,IF(AM23="","",SUMPRODUCT(--ISNUMBER(SEARCH(" "&amp;DJ1988:DJ2001&amp;" ",AS23)))),"")</f>
        <v>0</v>
      </c>
      <c r="CK23" s="127" cm="1">
        <f t="array" ref="CK23">IF(12=12,IF(AM23="","",SUMPRODUCT(--ISNUMBER(SEARCH(" "&amp;DJ2002:DJ2016&amp;" ",AS23)))),"")</f>
        <v>0</v>
      </c>
      <c r="CL23" s="127" t="str">
        <f>IF(12=12,IF(AM23="","",IF((CJ23)-(0)&gt;0,"X",IF((CK23)-(0)&gt;0,"?",""))),"")</f>
        <v/>
      </c>
      <c r="CM23" s="127" cm="1">
        <f t="array" ref="CM23">IF(12=12,IF(AM23="","",SUMPRODUCT(--ISNUMBER(SEARCH(" "&amp;DJ2017:DJ2034&amp;" ",AS23)))),"")</f>
        <v>0</v>
      </c>
      <c r="CN23" s="127" cm="1">
        <f t="array" ref="CN23">IF(12=12,IF(AM23="","",SUMPRODUCT(--ISNUMBER(SEARCH(" "&amp;DJ2035:DJ2049&amp;" ",AS23)))),"")</f>
        <v>0</v>
      </c>
      <c r="CO23" s="127" t="str">
        <f>IF(12=12,IF(AM23="","",IF((CM23)-(0)&gt;0,"X",IF((CN23)-(0)&gt;0,"?",""))),"")</f>
        <v/>
      </c>
      <c r="CP23" s="127" cm="1">
        <f t="array" ref="CP23">IF(12=12,IF(AM23="","",SUMPRODUCT(--ISNUMBER(SEARCH(" "&amp;DJ2050:DJ2068&amp;" ",AS23)))),"")</f>
        <v>0</v>
      </c>
      <c r="CQ23" s="127" cm="1">
        <f t="array" ref="CQ23">IF(12=12,IF(AM23="","",SUMPRODUCT(--ISNUMBER(SEARCH(" "&amp;DJ2069:DJ2083&amp;" ",AS23)))),"")</f>
        <v>0</v>
      </c>
      <c r="CR23" s="127" t="str">
        <f>IF(12=12,IF(AM23="","",IF((CP23)-(0)&gt;0,"X",IF((CQ23)-(0)&gt;0,"?",""))),"")</f>
        <v/>
      </c>
      <c r="CS23" s="127" cm="1">
        <f t="array" ref="CS23">IF(12=12,IF(AM23="","",SUMPRODUCT(--ISNUMBER(SEARCH(" "&amp;DJ2084:DJ2104&amp;" ",AS23)))),"")</f>
        <v>0</v>
      </c>
      <c r="CT23" s="127" cm="1">
        <f t="array" ref="CT23">IF(12=12,IF(AM23="","",SUMPRODUCT(--ISNUMBER(SEARCH(" "&amp;DJ2105:DJ2144&amp;" ",SUBSTITUTE(SUBSTITUTE(AS23," "&amp;DJ1378&amp;" "," ")," "&amp;DJ1377&amp;" "," "))))+--ISNUMBER(SEARCH("poiré",AN23))),"")</f>
        <v>0</v>
      </c>
      <c r="CU23" s="127" t="str">
        <f>IF(12=12,IF(AM23="","",IF(OR(CS23&gt;0,ISNUMBER(SEARCH(" vinaigre de vin ",AS23)),ISNUMBER(SEARCH(" vinaigre au vin ",AS23))),"X",IF(CT23&gt;0,"?",""))),"")</f>
        <v/>
      </c>
      <c r="CV23" s="127" cm="1">
        <f t="array" ref="CV23">IF(12=12,IF(AM23="","",SUMPRODUCT(--ISNUMBER(SEARCH(" "&amp;DJ2145:DJ2157&amp;" ",AS23)))),"")</f>
        <v>0</v>
      </c>
      <c r="CW23" s="127" cm="1">
        <f t="array" ref="CW23">IF(12=12,IF(AM23="","",SUMPRODUCT(--ISNUMBER(SEARCH(" "&amp;DJ2158:DJ2163&amp;" ",AS23)))),"")</f>
        <v>0</v>
      </c>
      <c r="CX23" s="127" t="str">
        <f>IF(12=12,IF(AM23="","",IF((CV23)-(0)&gt;0,"X",IF((CW23)-(0)&gt;0,"?",""))),"")</f>
        <v/>
      </c>
      <c r="CY23" s="127" cm="1">
        <f t="array" ref="CY23">IF(12=12,IF(AM23="","",SUMPRODUCT(--ISNUMBER(SEARCH(" "&amp;DJ2164:DJ2263&amp;" ",DB23)))),"")</f>
        <v>0</v>
      </c>
      <c r="CZ23" s="127" cm="1">
        <f t="array" ref="CZ23">IF(12=12,IF(AM23="","",SUMPRODUCT(--ISNUMBER(SEARCH(" "&amp;DJ2264:DJ2363&amp;" ",DB23)))),"")</f>
        <v>0</v>
      </c>
      <c r="DA23" s="127" cm="1">
        <f t="array" ref="DA23">IF(12=12,IF(AM23="","",SUMPRODUCT(--ISNUMBER(SEARCH(" "&amp;DJ2364:DJ2406&amp;" ",DB23)))),"")</f>
        <v>0</v>
      </c>
      <c r="DB23" s="127" t="str">
        <f>IF(12=12,IF(AM23="","",SUBSTITUTE(SUBSTITUTE(SUBSTITUTE(SUBSTITUTE(SUBSTITUTE(SUBSTITUTE(SUBSTITUTE(SUBSTITUTE(SUBSTITUTE(SUBSTITUTE(SUBSTITUTE(SUBSTITUTE(SUBSTITUTE(SUBSTITUTE(SUBSTITUTE(SUBSTITUTE(AS23," "&amp;DJ2412&amp;" "," ")," "&amp;DJ2411&amp;" "," ")," "&amp;DJ2410&amp;" "," ")," "&amp;DJ2417&amp;" "," ")," "&amp;DJ2409&amp;" "," ")," "&amp;DJ2421&amp;" "," ")," "&amp;DJ2408&amp;" "," ")," "&amp;DJ2413&amp;" "," ")," "&amp;DJ2416&amp;" "," ")," "&amp;DJ2407&amp;" "," ")," "&amp;DJ2415&amp;" "," ")," "&amp;DJ2422&amp;" "," ")," "&amp;DJ2419&amp;" "," ")," "&amp;DJ2414&amp;" "," ")," "&amp;DJ2418&amp;" "," ")," "&amp;DJ2420&amp;" "," ")),"")</f>
        <v xml:space="preserve"> ingredients </v>
      </c>
      <c r="DC23" s="127" cm="1">
        <f t="array" ref="DC23">IF(12=12,IF(AM23="","",SUMPRODUCT(--ISNUMBER(SEARCH(" "&amp;DJ2423:DJ2427&amp;" ",DB23)))),"")</f>
        <v>0</v>
      </c>
      <c r="DD23" s="127" t="str">
        <f>IF(12=12,IF(AM23="","",IF(SUM(CY23:DA23)&gt;0,"X",IF(DC23&gt;0,"?",""))),"")</f>
        <v/>
      </c>
      <c r="DE23" s="152"/>
      <c r="DF23" s="160" t="s">
        <v>682</v>
      </c>
      <c r="DG23" s="160" t="s">
        <v>584</v>
      </c>
      <c r="DH23" s="160" t="s">
        <v>125</v>
      </c>
      <c r="DI23" s="160" t="s">
        <v>456</v>
      </c>
      <c r="DJ23" s="160" t="s">
        <v>456</v>
      </c>
      <c r="DK23" s="160" t="s">
        <v>588</v>
      </c>
      <c r="DL23" s="160" t="s">
        <v>589</v>
      </c>
      <c r="DM23" s="160" t="s">
        <v>590</v>
      </c>
      <c r="DN23" s="161" t="s">
        <v>591</v>
      </c>
      <c r="DP23" s="130">
        <v>1</v>
      </c>
    </row>
    <row r="24" spans="2:120" ht="30" customHeight="1">
      <c r="B24" s="165" t="str">
        <f t="shared" si="0"/>
        <v>• 50 g de poudre d’amandes</v>
      </c>
      <c r="C24" s="165" t="str">
        <f t="shared" si="1"/>
        <v>• 50 g de poudre d’amandes</v>
      </c>
      <c r="D24" s="165" t="str">
        <f>IF(UPPER(TRIM(N11))="X",C24,B24)</f>
        <v>• 50 g de poudre d’amandes</v>
      </c>
      <c r="E24" s="165" cm="1">
        <f t="array" ref="E24">IF(H23&lt;&gt;"",E23,IF(E23="","",IFERROR(MATCH(TRUE(),INDEX(INDEX(K:K,E23+1):K203&lt;&gt;"",0),0)+E23,"")))</f>
        <v>21</v>
      </c>
      <c r="F24" s="165" t="str" cm="1">
        <f t="array" ref="F24">IF(E24="","",IF(H23&lt;&gt;"",H23,INDEX(D:D,E24)))</f>
        <v>• 1 pâte sablée</v>
      </c>
      <c r="G24" s="165" t="str">
        <f t="shared" si="2"/>
        <v>• 1 pâte sablée</v>
      </c>
      <c r="H24" s="174" t="str">
        <f t="shared" si="3"/>
        <v/>
      </c>
      <c r="I24" s="184" t="str">
        <f>IF(AND(F24&lt;&gt;"",N10&gt;0,M24&gt;N10),"Mot &gt; limite","")</f>
        <v/>
      </c>
      <c r="J24" s="175">
        <f>IF(K24="","",COUNTIF(K18:K24,"&lt;&gt;"))</f>
        <v>7</v>
      </c>
      <c r="K24" s="111" t="s">
        <v>399</v>
      </c>
      <c r="L24" s="175">
        <f t="shared" si="4"/>
        <v>26</v>
      </c>
      <c r="M24" s="135">
        <f>IF(OR(F24="",N10="",N10&lt;=0),"",IF(LEN(F24)&lt;=N10,LEN(F24),IFERROR(FIND("♦",SUBSTITUTE(LEFT(F24,N10)," ","♦",LEN(LEFT(F24,N10))-LEN(SUBSTITUTE(LEFT(F24,N10)," ","")))),FIND(" ",F24&amp;" ",N10+1)-1)))</f>
        <v>15</v>
      </c>
      <c r="N24" s="176">
        <f t="shared" si="5"/>
        <v>7</v>
      </c>
      <c r="O24" s="177" t="str">
        <f t="shared" si="6"/>
        <v>• 1 pâte sablée</v>
      </c>
      <c r="P24" s="176">
        <f t="shared" si="7"/>
        <v>4</v>
      </c>
      <c r="Q24" s="176">
        <f t="shared" si="8"/>
        <v>15</v>
      </c>
      <c r="S24" s="178">
        <v>7</v>
      </c>
      <c r="T24" s="179" t="str">
        <f t="shared" si="10"/>
        <v>• 1 pâte sablée</v>
      </c>
      <c r="U24" s="180" t="str">
        <f t="shared" si="9"/>
        <v>• 1 pâte sablée *</v>
      </c>
      <c r="V24" s="181" t="str">
        <f>IF(13=13,IF(T24="","",IF(W24="X",""&amp;"Céréales contenant du gluten","")&amp;IF(X24="X",IF(COUNTIF(W24:W24,"X")&gt;0,", ","")&amp;"Crustacés","")&amp;IF(Y24="X",IF(COUNTIF(W24:X24,"X")&gt;0,", ","")&amp;"Œufs","")&amp;IF(Z24="X",IF(COUNTIF(W24:Y24,"X")&gt;0,", ","")&amp;"Poissons","")&amp;IF(AA24="X",IF(COUNTIF(W24:Z24,"X")&gt;0,", ","")&amp;"Arachides","")&amp;IF(AB24="X",IF(COUNTIF(W24:AA24,"X")&gt;0,", ","")&amp;"Soja","")&amp;IF(AC24="X",IF(COUNTIF(W24:AB24,"X")&gt;0,", ","")&amp;"Lait","")&amp;IF(AD24="X",IF(COUNTIF(W24:AC24,"X")&gt;0,", ","")&amp;"Fruits à coque","")&amp;IF(AE24="X",IF(COUNTIF(W24:AD24,"X")&gt;0,", ","")&amp;"Céleri","")&amp;IF(AF24="X",IF(COUNTIF(W24:AE24,"X")&gt;0,", ","")&amp;"Moutarde","")&amp;IF(AG24="X",IF(COUNTIF(W24:AF24,"X")&gt;0,", ","")&amp;"Sésame","")&amp;IF(AH24="X",IF(COUNTIF(W24:AG24,"X")&gt;0,", ","")&amp;"Sulfites","")&amp;IF(AI24="X",IF(COUNTIF(W24:AH24,"X")&gt;0,", ","")&amp;"Lupin","")&amp;IF(AJ24="X",IF(COUNTIF(W24:AI24,"X")&gt;0,", ","")&amp;"Mollusques","")),"")</f>
        <v>Céréales contenant du gluten</v>
      </c>
      <c r="W24" s="182" t="str">
        <f>IF(13=13,IF(T24="","",AX24),"")</f>
        <v>X</v>
      </c>
      <c r="X24" s="182" t="str">
        <f>IF(13=13,IF(T24="","",BA24),"")</f>
        <v/>
      </c>
      <c r="Y24" s="182" t="str">
        <f>IF(13=13,IF(T24="","",BE24),"")</f>
        <v>?</v>
      </c>
      <c r="Z24" s="182" t="str">
        <f>IF(13=13,IF(T24="","",IF(ISNUMBER(SEARCH(" colin ",AS24)),"X",BR24)),"")</f>
        <v/>
      </c>
      <c r="AA24" s="182" t="str">
        <f>IF(13=13,IF(T24="","",BT24),"")</f>
        <v/>
      </c>
      <c r="AB24" s="182" t="str">
        <f>IF(13=13,IF(T24="","",BX24),"")</f>
        <v/>
      </c>
      <c r="AC24" s="182" t="str">
        <f>IF(13=13,IF(T24="","",CE24),"")</f>
        <v/>
      </c>
      <c r="AD24" s="182" t="str">
        <f>IF(13=13,IF(T24="","",CI24),"")</f>
        <v/>
      </c>
      <c r="AE24" s="182" t="str">
        <f>IF(13=13,IF(T24="","",CL24),"")</f>
        <v>?</v>
      </c>
      <c r="AF24" s="182" t="str">
        <f>IF(13=13,IF(T24="","",CO24),"")</f>
        <v>?</v>
      </c>
      <c r="AG24" s="182" t="str">
        <f>IF(13=13,IF(T24="","",CR24),"")</f>
        <v/>
      </c>
      <c r="AH24" s="182" t="str">
        <f>IF(13=13,IF(T24="","",CU24),"")</f>
        <v/>
      </c>
      <c r="AI24" s="182" t="str">
        <f>IF(13=13,IF(T24="","",CX24),"")</f>
        <v/>
      </c>
      <c r="AJ24" s="182" t="str">
        <f>IF(13=13,IF(T24="","",DD24),"")</f>
        <v/>
      </c>
      <c r="AK24" s="183" t="str">
        <f>IF(13=13,IF(T24="","",IF(W24="?",""&amp;"Céréales contenant du gluten","")&amp;IF(X24="?",IF(COUNTIF(W24:W24,"~?")&gt;0,", ","")&amp;"Crustacés","")&amp;IF(Y24="?",IF(COUNTIF(W24:X24,"~?")&gt;0,", ","")&amp;"Œufs","")&amp;IF(Z24="?",IF(COUNTIF(W24:Y24,"~?")&gt;0,", ","")&amp;"Poissons","")&amp;IF(AA24="?",IF(COUNTIF(W24:Z24,"~?")&gt;0,", ","")&amp;"Arachides","")&amp;IF(AB24="?",IF(COUNTIF(W24:AA24,"~?")&gt;0,", ","")&amp;"Soja","")&amp;IF(AC24="?",IF(COUNTIF(W24:AB24,"~?")&gt;0,", ","")&amp;"Lait","")&amp;IF(AD24="?",IF(COUNTIF(W24:AC24,"~?")&gt;0,", ","")&amp;"Fruits à coque","")&amp;IF(AE24="?",IF(COUNTIF(W24:AD24,"~?")&gt;0,", ","")&amp;"Céleri","")&amp;IF(AF24="?",IF(COUNTIF(W24:AE24,"~?")&gt;0,", ","")&amp;"Moutarde","")&amp;IF(AG24="?",IF(COUNTIF(W24:AF24,"~?")&gt;0,", ","")&amp;"Sésame","")&amp;IF(AH24="?",IF(COUNTIF(W24:AG24,"~?")&gt;0,", ","")&amp;"Sulfites","")&amp;IF(AI24="?",IF(COUNTIF(W24:AH24,"~?")&gt;0,", ","")&amp;"Lupin","")&amp;IF(AJ24="?",IF(COUNTIF(W24:AI24,"~?")&gt;0,", ","")&amp;"Mollusques","")),"")</f>
        <v>Œufs, Céleri, Moutarde</v>
      </c>
      <c r="AM24" s="127" t="str">
        <f>IF(13=13,IF(T24="","",T24),"")</f>
        <v>• 1 pâte sablée</v>
      </c>
      <c r="AN24" s="127" t="str">
        <f>IF(13=13,LOWER(CLEAN(SUBSTITUTE(SUBSTITUTE(SUBSTITUTE(SUBSTITUTE(AM24,CHAR(160)," ")," "," "),CHAR(10)," "),CHAR(13)," "))),"")</f>
        <v>• 1 pâte sablée</v>
      </c>
      <c r="AO24" s="127" t="str">
        <f>IF(13=13,SUBSTITUTE(SUBSTITUTE(SUBSTITUTE(SUBSTITUTE(SUBSTITUTE(SUBSTITUTE(SUBSTITUTE(SUBSTITUTE(SUBSTITUTE(SUBSTITUTE(SUBSTITUTE(SUBSTITUTE(AN24,"œ","oe"),"æ","ae"),"à","a"),"á","a"),"â","a"),"ä","a"),"ã","a"),"ç","c"),"è","e"),"é","e"),"ê","e"),"ë","e"),"")</f>
        <v>• 1 pate sablee</v>
      </c>
      <c r="AP24" s="127" t="str">
        <f>IF(13=13,SUBSTITUTE(SUBSTITUTE(SUBSTITUTE(SUBSTITUTE(SUBSTITUTE(SUBSTITUTE(SUBSTITUTE(SUBSTITUTE(SUBSTITUTE(SUBSTITUTE(SUBSTITUTE(SUBSTITUTE(SUBSTITUTE(SUBSTITUTE(SUBSTITUTE(SUBSTITUTE(AO24,"ì","i"),"í","i"),"î","i"),"ï","i"),"ñ","n"),"ò","o"),"ó","o"),"ô","o"),"ö","o"),"õ","o"),"ù","u"),"ú","u"),"û","u"),"ü","u"),"ý","y"),"ÿ","y"),"")</f>
        <v>• 1 pate sablee</v>
      </c>
      <c r="AQ24" s="127" t="str">
        <f>IF(13=13,SUBSTITUTE(SUBSTITUTE(SUBSTITUTE(SUBSTITUTE(SUBSTITUTE(SUBSTITUTE(SUBSTITUTE(SUBSTITUTE(SUBSTITUTE(SUBSTITUTE(SUBSTITUTE(SUBSTITUTE(SUBSTITUTE(SUBSTITUTE(AP24,"’"," "),"`"," "),"–"," "),"—"," "),"-"," "),"'"," "),"/"," "),"_"," "),","," "),"."," "),"("," "),")"," "),";"," "),":"," "),"")</f>
        <v>• 1 pate sablee</v>
      </c>
      <c r="AR24" s="127" t="str">
        <f>IF(13=13,SUBSTITUTE(SUBSTITUTE(SUBSTITUTE(SUBSTITUTE(SUBSTITUTE(SUBSTITUTE(SUBSTITUTE(SUBSTITUTE(SUBSTITUTE(SUBSTITUTE(SUBSTITUTE(SUBSTITUTE(SUBSTITUTE(SUBSTITUTE(SUBSTITUTE(AQ24,"!"," "),"?"," "),"+"," "),"*"," "),"&amp;"," "),"["," "),"]"," "),"{"," "),"}"," "),"%"," "),"="," "),"\"," "),"|"," "),"&lt;"," "),"&gt;"," "),"")</f>
        <v>• 1 pate sablee</v>
      </c>
      <c r="AS24" s="127" t="str">
        <f>IF(13=13," "&amp;TRIM(SUBSTITUTE(SUBSTITUTE(SUBSTITUTE(SUBSTITUTE(SUBSTITUTE(SUBSTITUTE(AR24,CHAR(34)," "),"  "," "),"  "," "),"  "," "),"  "," "),"  "," "))&amp;" ","")</f>
        <v xml:space="preserve"> • 1 pate sablee </v>
      </c>
      <c r="AT24" s="127" cm="1">
        <f t="array" ref="AT24">IF(13=13,IF(AM24="","",SUMPRODUCT(--ISNUMBER(SEARCH(" "&amp;DJ13:DJ112&amp;" ",AV24)))),"")</f>
        <v>0</v>
      </c>
      <c r="AU24" s="127" cm="1">
        <f t="array" ref="AU24">IF(13=13,IF(AM24="","",SUMPRODUCT(--ISNUMBER(SEARCH(" "&amp;DJ113:DJ162&amp;" ",AV24)))),"")</f>
        <v>1</v>
      </c>
      <c r="AV24" s="127" t="str">
        <f>IF(AM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 pate sablee </v>
      </c>
      <c r="AW24" s="127" cm="1">
        <f t="array" ref="AW24">IF(AM24="","",SUMPRODUCT(--ISNUMBER(SEARCH(" "&amp;DJ195:DJ216&amp;" ",AV24)))+--ISNUMBER(SEARCH(" "&amp;DJ2465&amp;" ",AV24)))</f>
        <v>0</v>
      </c>
      <c r="AX24" s="127" t="str" cm="1">
        <f t="array" ref="AX24">IF(13=13,IF(AM24="","",IF(SUM(AT24:AU24)+SUMPRODUCT(--ISNUMBER(SEARCH(" "&amp;DJ2429:DJ2431&amp;" ",AV24)))&gt;0,"X",IF(AW24&gt;0,"?",""))),"")</f>
        <v>X</v>
      </c>
      <c r="AY24" s="127" cm="1">
        <f t="array" ref="AY24">IF(13=13,IF(AM24="","",SUMPRODUCT(--ISNUMBER(SEARCH(" "&amp;DJ217:DJ316&amp;" ",AS24)))),"")</f>
        <v>0</v>
      </c>
      <c r="AZ24" s="127" cm="1">
        <f t="array" ref="AZ24">IF(13=13,IF(AM24="","",SUMPRODUCT(--ISNUMBER(SEARCH(" "&amp;DJ317:DJ351&amp;" ",AS24)))),"")</f>
        <v>0</v>
      </c>
      <c r="BA24" s="127" t="str">
        <f>IF(13=13,IF(AM24="","",IF((SUM(AY24:AZ24))-(0)&gt;0,"X",IF((0)-(0)&gt;0,"?",""))),"")</f>
        <v/>
      </c>
      <c r="BB24" s="127" cm="1">
        <f t="array" ref="BB24">IF(13=13,IF(AM24="","",SUMPRODUCT(--ISNUMBER(SEARCH(" "&amp;DJ352:DJ409&amp;" ",AS24)))),"")</f>
        <v>0</v>
      </c>
      <c r="BC24" s="127" cm="1">
        <f t="array" ref="BC24">IF(13=13,IF(AM24="","",SUMPRODUCT(--ISNUMBER(SEARCH(" "&amp;DJ410:DJ437&amp;" ",BD24)))+SUMPRODUCT(--ISNUMBER(SEARCH(" "&amp;DJ2451:DJ2464&amp;" ",BD24)))),"")</f>
        <v>1</v>
      </c>
      <c r="BD24" s="127" t="str">
        <f>IF(13=13,IF(AM24="","",SUBSTITUTE(SUBSTITUTE(SUBSTITUTE(SUBSTITUTE(SUBSTITUTE(SUBSTITUTE(SUBSTITUTE(SUBSTITUTE(SUBSTITUTE(SUBSTITUTE(SUBSTITUTE(SUBSTITUTE(SUBSTITUTE(SUBSTITUTE(AS24," "&amp;DJ2466&amp;" "," ")," "&amp;DJ444&amp;" "," ")," "&amp;DJ442&amp;" "," ")," "&amp;DJ2449&amp;" "," ")," "&amp;DJ2450&amp;" "," ")," "&amp;DJ439&amp;" "," ")," "&amp;DJ443&amp;" "," ")," "&amp;DJ445&amp;" "," ")," "&amp;DJ440&amp;" "," ")," "&amp;DJ438&amp;" "," ")," "&amp;DJ1378&amp;" "," ")," "&amp;DJ446&amp;" "," ")," "&amp;DJ1377&amp;" "," ")," "&amp;DJ441&amp;" "," ")),"")</f>
        <v xml:space="preserve"> • 1 pate sablee </v>
      </c>
      <c r="BE24" s="127" t="str">
        <f>IF(13=13,IF(AM24="","",IF(BB24&gt;0,"X",IF(BC24&gt;0,"?",""))),"")</f>
        <v>?</v>
      </c>
      <c r="BF24" s="127" cm="1">
        <f t="array" ref="BF24">IF(13=13,IF(AM24="","",SUMPRODUCT(--ISNUMBER(SEARCH(" "&amp;DJ447:DJ546&amp;" ",BP24)))),"")</f>
        <v>0</v>
      </c>
      <c r="BG24" s="127" cm="1">
        <f t="array" ref="BG24">IF(13=13,IF(AM24="","",SUMPRODUCT(--ISNUMBER(SEARCH(" "&amp;DJ547:DJ646&amp;" ",BP24)))),"")</f>
        <v>0</v>
      </c>
      <c r="BH24" s="127" cm="1">
        <f t="array" ref="BH24">IF(13=13,IF(AM24="","",SUMPRODUCT(--ISNUMBER(SEARCH(" "&amp;DJ647:DJ746&amp;" ",BP24)))),"")</f>
        <v>0</v>
      </c>
      <c r="BI24" s="127" cm="1">
        <f t="array" ref="BI24">IF(13=13,IF(AM24="","",SUMPRODUCT(--ISNUMBER(SEARCH(" "&amp;DJ747:DJ846&amp;" ",BP24)))),"")</f>
        <v>0</v>
      </c>
      <c r="BJ24" s="127" cm="1">
        <f t="array" ref="BJ24">IF(13=13,IF(AM24="","",SUMPRODUCT(--ISNUMBER(SEARCH(" "&amp;DJ847:DJ946&amp;" ",BP24)))),"")</f>
        <v>0</v>
      </c>
      <c r="BK24" s="127" cm="1">
        <f t="array" ref="BK24">IF(13=13,IF(AM24="","",SUMPRODUCT(--ISNUMBER(SEARCH(" "&amp;DJ947:DJ1046&amp;" ",BP24)))),"")</f>
        <v>0</v>
      </c>
      <c r="BL24" s="127" cm="1">
        <f t="array" ref="BL24">IF(13=13,IF(AM24="","",SUMPRODUCT(--ISNUMBER(SEARCH(" "&amp;DJ1047:DJ1146&amp;" ",BP24)))),"")</f>
        <v>0</v>
      </c>
      <c r="BM24" s="127" cm="1">
        <f t="array" ref="BM24">IF(13=13,IF(AM24="","",SUMPRODUCT(--ISNUMBER(SEARCH(" "&amp;DJ1147:DJ1246&amp;" ",BP24)))),"")</f>
        <v>0</v>
      </c>
      <c r="BN24" s="127" cm="1">
        <f t="array" ref="BN24">IF(13=13,IF(AM24="","",SUMPRODUCT(--ISNUMBER(SEARCH(" "&amp;DJ1247:DJ1346&amp;" ",BP24)))),"")</f>
        <v>0</v>
      </c>
      <c r="BO24" s="127" cm="1">
        <f t="array" ref="BO24">IF(13=13,IF(AM24="","",SUMPRODUCT(--ISNUMBER(SEARCH(" "&amp;DJ1347:DJ1374&amp;" ",BP24)))),"")</f>
        <v>0</v>
      </c>
      <c r="BP24" s="127" t="str">
        <f>IF(13=13,IF(AM24="","",SUBSTITUTE(SUBSTITUTE(SUBSTITUTE(SUBSTITUTE(SUBSTITUTE(SUBSTITUTE(SUBSTITUTE(SUBSTITUTE(SUBSTITUTE(AS24," "&amp;DJ1376&amp;" "," ")," "&amp;DJ1375&amp;" "," ")," "&amp;DJ1381&amp;" "," ")," "&amp;DJ1382&amp;" "," ")," "&amp;DJ1378&amp;" "," ")," "&amp;DJ1380&amp;" "," ")," "&amp;DJ1377&amp;" "," ")," "&amp;DJ1379&amp;" "," ")," "&amp;DJ1383&amp;" "," ")),"")</f>
        <v xml:space="preserve"> • 1 pate sablee </v>
      </c>
      <c r="BQ24" s="127" cm="1">
        <f t="array" ref="BQ24">IF(13=13,IF(AM24="","",SUMPRODUCT(--ISNUMBER(SEARCH(" "&amp;DJ1384:DJ1394&amp;" ",BP24)))),"")</f>
        <v>0</v>
      </c>
      <c r="BR24" s="127" t="str" cm="1">
        <f t="array" ref="BR24">IF(13=13,IF(AM24="","",IF(SUM(BF24:BO24)+SUMPRODUCT(--ISNUMBER(SEARCH(" "&amp;DJ2432:DJ2433&amp;" ",BP24)))&gt;0,"X",IF(BQ24&gt;0,"?",""))),"")</f>
        <v/>
      </c>
      <c r="BS24" s="127" cm="1">
        <f t="array" ref="BS24">IF(13=13,IF(AM24="","",SUMPRODUCT(--ISNUMBER(SEARCH(" "&amp;DJ1395:DJ1415&amp;" ",AS24)))),"")</f>
        <v>0</v>
      </c>
      <c r="BT24" s="127" t="str">
        <f>IF(13=13,IF(AM24="","",IF((BS24)-(0)&gt;0,"X",IF((0)-(0)&gt;0,"?",""))),"")</f>
        <v/>
      </c>
      <c r="BU24" s="127" cm="1">
        <f t="array" ref="BU24">IF(13=13,IF(AM24="","",SUMPRODUCT(--ISNUMBER(SEARCH(" "&amp;DJ1416:DJ1453&amp;" ",BV24)))),"")</f>
        <v>0</v>
      </c>
      <c r="BV24" s="127" t="str">
        <f>IF(13=13,IF(AM24="","",SUBSTITUTE(SUBSTITUTE(AS24," "&amp;DJ1454&amp;" "," ")," "&amp;DJ1455&amp;" "," ")),"")</f>
        <v xml:space="preserve"> • 1 pate sablee </v>
      </c>
      <c r="BW24" s="127" cm="1">
        <f t="array" ref="BW24">IF(13=13,IF(AM24="","",SUMPRODUCT(--ISNUMBER(SEARCH(" "&amp;DJ1456:DJ1466&amp;" ",BV24)))),"")</f>
        <v>0</v>
      </c>
      <c r="BX24" s="127" t="str">
        <f>IF(13=13,IF(AM24="","",IF(BU24&gt;0,"X",IF(BW24&gt;0,"?",""))),"")</f>
        <v/>
      </c>
      <c r="BY24" s="127" cm="1">
        <f t="array" ref="BY24">IF(13=13,IF(AM24="","",SUMPRODUCT(--ISNUMBER(SEARCH(" "&amp;DJ1467:DJ1566&amp;" ",CB24)))),"")</f>
        <v>0</v>
      </c>
      <c r="BZ24" s="127" cm="1">
        <f t="array" ref="BZ24">IF(13=13,IF(AM24="","",SUMPRODUCT(--ISNUMBER(SEARCH(" "&amp;DJ1567:DJ1666&amp;" ",CB24)))),"")</f>
        <v>0</v>
      </c>
      <c r="CA24" s="127" cm="1">
        <f t="array" ref="CA24">IF(13=13,IF(AM24="","",SUMPRODUCT(--ISNUMBER(SEARCH(" "&amp;DJ1667:DJ1750&amp;" ",CB24)))),"")</f>
        <v>0</v>
      </c>
      <c r="CB24" s="127" t="str">
        <f>IF(13=13,IF(AM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 pate sablee </v>
      </c>
      <c r="CC24" s="127" cm="1">
        <f t="array" ref="CC24">IF(13=13,IF(AM24="","",SUMPRODUCT(--ISNUMBER(SEARCH(" "&amp;DJ1801:DJ1880&amp;" ",CD24)))+SUMPRODUCT(--ISNUMBER(SEARCH(" "&amp;DJ2451:DJ2464&amp;" ",CD24)))),"")</f>
        <v>0</v>
      </c>
      <c r="CD24" s="127" t="str">
        <f>IF(13=13,IF(AM24="","",SUBSTITUTE(SUBSTITUTE(SUBSTITUTE(SUBSTITUTE(SUBSTITUTE(SUBSTITUTE(SUBSTITUTE(SUBSTITUTE(SUBSTITUTE(SUBSTITUTE(SUBSTITUTE(SUBSTITUTE(SUBSTITUTE(CB24," "&amp;DJ1887&amp;" "," ")," "&amp;DJ1885&amp;" "," ")," "&amp;DJ2449&amp;" "," ")," "&amp;DJ2450&amp;" "," ")," "&amp;DJ1882&amp;" "," ")," "&amp;DJ1886&amp;" "," ")," "&amp;DJ1888&amp;" "," ")," "&amp;DJ1883&amp;" "," ")," "&amp;DJ1881&amp;" "," ")," "&amp;DJ1378&amp;" "," ")," "&amp;DJ1889&amp;" "," ")," "&amp;DJ1377&amp;" "," ")," "&amp;DJ1884&amp;" "," ")),"")</f>
        <v xml:space="preserve"> • 1 pate sablee </v>
      </c>
      <c r="CE24" s="127" t="str" cm="1">
        <f t="array" ref="CE24">IF(13=13,IF(AM24="","",IF(SUM(BY24:CA24)+SUMPRODUCT(--ISNUMBER(SEARCH(" "&amp;DJ2434:DJ2435&amp;" ",CB24)))&gt;0,"X",IF(CC24&gt;0,"?",""))),"")</f>
        <v/>
      </c>
      <c r="CF24" s="127" cm="1">
        <f t="array" ref="CF24">IF(13=13,IF(AM24="","",SUMPRODUCT(--ISNUMBER(SEARCH(" "&amp;DJ1890:DJ1947&amp;" ",CG24)))),"")</f>
        <v>0</v>
      </c>
      <c r="CG24" s="127" t="str">
        <f>IF(13=13,IF(AM24="","",SUBSTITUTE(SUBSTITUTE(SUBSTITUTE(SUBSTITUTE(SUBSTITUTE(SUBSTITUTE(SUBSTITUTE(SUBSTITUTE(SUBSTITUTE(SUBSTITUTE(SUBSTITUTE(SUBSTITUTE(SUBSTITUTE(SUBSTITUTE(SUBSTITUTE(SUBSTITUTE(SUBSTITUTE(SUBSTITUTE(SUBSTITUTE(SUBSTITUTE(SUBSTITUTE(SUBSTITUTE(SUBSTITUTE(AS24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 pate sablee </v>
      </c>
      <c r="CH24" s="127" cm="1">
        <f t="array" ref="CH24">IF(13=13,IF(AM24="","",SUMPRODUCT(--ISNUMBER(SEARCH(" "&amp;DJ1971:DJ1987&amp;" ",CG24)))),"")</f>
        <v>0</v>
      </c>
      <c r="CI24" s="127" t="str">
        <f>IF(13=13,IF(AM24="","",IF(CF24&gt;0,"X",IF(CH24&gt;0,"?",""))),"")</f>
        <v/>
      </c>
      <c r="CJ24" s="127" cm="1">
        <f t="array" ref="CJ24">IF(13=13,IF(AM24="","",SUMPRODUCT(--ISNUMBER(SEARCH(" "&amp;DJ1988:DJ2001&amp;" ",AS24)))),"")</f>
        <v>0</v>
      </c>
      <c r="CK24" s="127" cm="1">
        <f t="array" ref="CK24">IF(13=13,IF(AM24="","",SUMPRODUCT(--ISNUMBER(SEARCH(" "&amp;DJ2002:DJ2016&amp;" ",AS24)))),"")</f>
        <v>1</v>
      </c>
      <c r="CL24" s="127" t="str">
        <f>IF(13=13,IF(AM24="","",IF((CJ24)-(0)&gt;0,"X",IF((CK24)-(0)&gt;0,"?",""))),"")</f>
        <v>?</v>
      </c>
      <c r="CM24" s="127" cm="1">
        <f t="array" ref="CM24">IF(13=13,IF(AM24="","",SUMPRODUCT(--ISNUMBER(SEARCH(" "&amp;DJ2017:DJ2034&amp;" ",AS24)))),"")</f>
        <v>0</v>
      </c>
      <c r="CN24" s="127" cm="1">
        <f t="array" ref="CN24">IF(13=13,IF(AM24="","",SUMPRODUCT(--ISNUMBER(SEARCH(" "&amp;DJ2035:DJ2049&amp;" ",AS24)))),"")</f>
        <v>1</v>
      </c>
      <c r="CO24" s="127" t="str">
        <f>IF(13=13,IF(AM24="","",IF((CM24)-(0)&gt;0,"X",IF((CN24)-(0)&gt;0,"?",""))),"")</f>
        <v>?</v>
      </c>
      <c r="CP24" s="127" cm="1">
        <f t="array" ref="CP24">IF(13=13,IF(AM24="","",SUMPRODUCT(--ISNUMBER(SEARCH(" "&amp;DJ2050:DJ2068&amp;" ",AS24)))),"")</f>
        <v>0</v>
      </c>
      <c r="CQ24" s="127" cm="1">
        <f t="array" ref="CQ24">IF(13=13,IF(AM24="","",SUMPRODUCT(--ISNUMBER(SEARCH(" "&amp;DJ2069:DJ2083&amp;" ",AS24)))),"")</f>
        <v>0</v>
      </c>
      <c r="CR24" s="127" t="str">
        <f>IF(13=13,IF(AM24="","",IF((CP24)-(0)&gt;0,"X",IF((CQ24)-(0)&gt;0,"?",""))),"")</f>
        <v/>
      </c>
      <c r="CS24" s="127" cm="1">
        <f t="array" ref="CS24">IF(13=13,IF(AM24="","",SUMPRODUCT(--ISNUMBER(SEARCH(" "&amp;DJ2084:DJ2104&amp;" ",AS24)))),"")</f>
        <v>0</v>
      </c>
      <c r="CT24" s="127" cm="1">
        <f t="array" ref="CT24">IF(13=13,IF(AM24="","",SUMPRODUCT(--ISNUMBER(SEARCH(" "&amp;DJ2105:DJ2144&amp;" ",SUBSTITUTE(SUBSTITUTE(AS24," "&amp;DJ1378&amp;" "," ")," "&amp;DJ1377&amp;" "," "))))+--ISNUMBER(SEARCH("poiré",AN24))),"")</f>
        <v>0</v>
      </c>
      <c r="CU24" s="127" t="str">
        <f>IF(13=13,IF(AM24="","",IF(OR(CS24&gt;0,ISNUMBER(SEARCH(" vinaigre de vin ",AS24)),ISNUMBER(SEARCH(" vinaigre au vin ",AS24))),"X",IF(CT24&gt;0,"?",""))),"")</f>
        <v/>
      </c>
      <c r="CV24" s="127" cm="1">
        <f t="array" ref="CV24">IF(13=13,IF(AM24="","",SUMPRODUCT(--ISNUMBER(SEARCH(" "&amp;DJ2145:DJ2157&amp;" ",AS24)))),"")</f>
        <v>0</v>
      </c>
      <c r="CW24" s="127" cm="1">
        <f t="array" ref="CW24">IF(13=13,IF(AM24="","",SUMPRODUCT(--ISNUMBER(SEARCH(" "&amp;DJ2158:DJ2163&amp;" ",AS24)))),"")</f>
        <v>0</v>
      </c>
      <c r="CX24" s="127" t="str">
        <f>IF(13=13,IF(AM24="","",IF((CV24)-(0)&gt;0,"X",IF((CW24)-(0)&gt;0,"?",""))),"")</f>
        <v/>
      </c>
      <c r="CY24" s="127" cm="1">
        <f t="array" ref="CY24">IF(13=13,IF(AM24="","",SUMPRODUCT(--ISNUMBER(SEARCH(" "&amp;DJ2164:DJ2263&amp;" ",DB24)))),"")</f>
        <v>0</v>
      </c>
      <c r="CZ24" s="127" cm="1">
        <f t="array" ref="CZ24">IF(13=13,IF(AM24="","",SUMPRODUCT(--ISNUMBER(SEARCH(" "&amp;DJ2264:DJ2363&amp;" ",DB24)))),"")</f>
        <v>0</v>
      </c>
      <c r="DA24" s="127" cm="1">
        <f t="array" ref="DA24">IF(13=13,IF(AM24="","",SUMPRODUCT(--ISNUMBER(SEARCH(" "&amp;DJ2364:DJ2406&amp;" ",DB24)))),"")</f>
        <v>0</v>
      </c>
      <c r="DB24" s="127" t="str">
        <f>IF(13=13,IF(AM24="","",SUBSTITUTE(SUBSTITUTE(SUBSTITUTE(SUBSTITUTE(SUBSTITUTE(SUBSTITUTE(SUBSTITUTE(SUBSTITUTE(SUBSTITUTE(SUBSTITUTE(SUBSTITUTE(SUBSTITUTE(SUBSTITUTE(SUBSTITUTE(SUBSTITUTE(SUBSTITUTE(AS24," "&amp;DJ2412&amp;" "," ")," "&amp;DJ2411&amp;" "," ")," "&amp;DJ2410&amp;" "," ")," "&amp;DJ2417&amp;" "," ")," "&amp;DJ2409&amp;" "," ")," "&amp;DJ2421&amp;" "," ")," "&amp;DJ2408&amp;" "," ")," "&amp;DJ2413&amp;" "," ")," "&amp;DJ2416&amp;" "," ")," "&amp;DJ2407&amp;" "," ")," "&amp;DJ2415&amp;" "," ")," "&amp;DJ2422&amp;" "," ")," "&amp;DJ2419&amp;" "," ")," "&amp;DJ2414&amp;" "," ")," "&amp;DJ2418&amp;" "," ")," "&amp;DJ2420&amp;" "," ")),"")</f>
        <v xml:space="preserve"> • 1 pate sablee </v>
      </c>
      <c r="DC24" s="127" cm="1">
        <f t="array" ref="DC24">IF(13=13,IF(AM24="","",SUMPRODUCT(--ISNUMBER(SEARCH(" "&amp;DJ2423:DJ2427&amp;" ",DB24)))),"")</f>
        <v>0</v>
      </c>
      <c r="DD24" s="127" t="str">
        <f>IF(13=13,IF(AM24="","",IF(SUM(CY24:DA24)&gt;0,"X",IF(DC24&gt;0,"?",""))),"")</f>
        <v/>
      </c>
      <c r="DE24" s="152"/>
      <c r="DF24" s="160" t="s">
        <v>683</v>
      </c>
      <c r="DG24" s="160" t="s">
        <v>584</v>
      </c>
      <c r="DH24" s="160" t="s">
        <v>125</v>
      </c>
      <c r="DI24" s="160" t="s">
        <v>375</v>
      </c>
      <c r="DJ24" s="160" t="s">
        <v>375</v>
      </c>
      <c r="DK24" s="160" t="s">
        <v>588</v>
      </c>
      <c r="DL24" s="160" t="s">
        <v>589</v>
      </c>
      <c r="DM24" s="160" t="s">
        <v>590</v>
      </c>
      <c r="DN24" s="161" t="s">
        <v>591</v>
      </c>
      <c r="DP24" s="130">
        <v>1</v>
      </c>
    </row>
    <row r="25" spans="2:120" ht="30" customHeight="1">
      <c r="B25" s="165" t="str">
        <f t="shared" si="0"/>
        <v>• 50 g d’amandes effilées</v>
      </c>
      <c r="C25" s="165" t="str">
        <f t="shared" si="1"/>
        <v>• 50 g d’amandes effilées</v>
      </c>
      <c r="D25" s="165" t="str">
        <f>IF(UPPER(TRIM(N11))="X",C25,B25)</f>
        <v>• 50 g d’amandes effilées</v>
      </c>
      <c r="E25" s="165" cm="1">
        <f t="array" ref="E25">IF(H24&lt;&gt;"",E24,IF(E24="","",IFERROR(MATCH(TRUE(),INDEX(INDEX(K:K,E24+1):K203&lt;&gt;"",0),0)+E24,"")))</f>
        <v>22</v>
      </c>
      <c r="F25" s="165" t="str" cm="1">
        <f t="array" ref="F25">IF(E25="","",IF(H24&lt;&gt;"",H24,INDEX(D:D,E25)))</f>
        <v>• 6 pommes</v>
      </c>
      <c r="G25" s="165" t="str">
        <f t="shared" si="2"/>
        <v>• 6 pommes</v>
      </c>
      <c r="H25" s="174" t="str">
        <f t="shared" si="3"/>
        <v/>
      </c>
      <c r="I25" s="184" t="str">
        <f>IF(AND(F25&lt;&gt;"",N10&gt;0,M25&gt;N10),"Mot &gt; limite","")</f>
        <v/>
      </c>
      <c r="J25" s="175">
        <f>IF(K25="","",COUNTIF(K18:K25,"&lt;&gt;"))</f>
        <v>8</v>
      </c>
      <c r="K25" s="111" t="s">
        <v>400</v>
      </c>
      <c r="L25" s="175">
        <f t="shared" si="4"/>
        <v>25</v>
      </c>
      <c r="M25" s="135">
        <f>IF(OR(F25="",N10="",N10&lt;=0),"",IF(LEN(F25)&lt;=N10,LEN(F25),IFERROR(FIND("♦",SUBSTITUTE(LEFT(F25,N10)," ","♦",LEN(LEFT(F25,N10))-LEN(SUBSTITUTE(LEFT(F25,N10)," ","")))),FIND(" ",F25&amp;" ",N10+1)-1)))</f>
        <v>10</v>
      </c>
      <c r="N25" s="176">
        <f t="shared" si="5"/>
        <v>8</v>
      </c>
      <c r="O25" s="177" t="str">
        <f t="shared" si="6"/>
        <v>• 6 pommes</v>
      </c>
      <c r="P25" s="176">
        <f t="shared" si="7"/>
        <v>3</v>
      </c>
      <c r="Q25" s="176">
        <f t="shared" si="8"/>
        <v>10</v>
      </c>
      <c r="S25" s="178">
        <v>8</v>
      </c>
      <c r="T25" s="179" t="str">
        <f t="shared" si="10"/>
        <v>• 6 pommes</v>
      </c>
      <c r="U25" s="180" t="str">
        <f t="shared" si="9"/>
        <v>• 6 pommes</v>
      </c>
      <c r="V25" s="181" t="str">
        <f>IF(14=14,IF(T25="","",IF(W25="X",""&amp;"Céréales contenant du gluten","")&amp;IF(X25="X",IF(COUNTIF(W25:W25,"X")&gt;0,", ","")&amp;"Crustacés","")&amp;IF(Y25="X",IF(COUNTIF(W25:X25,"X")&gt;0,", ","")&amp;"Œufs","")&amp;IF(Z25="X",IF(COUNTIF(W25:Y25,"X")&gt;0,", ","")&amp;"Poissons","")&amp;IF(AA25="X",IF(COUNTIF(W25:Z25,"X")&gt;0,", ","")&amp;"Arachides","")&amp;IF(AB25="X",IF(COUNTIF(W25:AA25,"X")&gt;0,", ","")&amp;"Soja","")&amp;IF(AC25="X",IF(COUNTIF(W25:AB25,"X")&gt;0,", ","")&amp;"Lait","")&amp;IF(AD25="X",IF(COUNTIF(W25:AC25,"X")&gt;0,", ","")&amp;"Fruits à coque","")&amp;IF(AE25="X",IF(COUNTIF(W25:AD25,"X")&gt;0,", ","")&amp;"Céleri","")&amp;IF(AF25="X",IF(COUNTIF(W25:AE25,"X")&gt;0,", ","")&amp;"Moutarde","")&amp;IF(AG25="X",IF(COUNTIF(W25:AF25,"X")&gt;0,", ","")&amp;"Sésame","")&amp;IF(AH25="X",IF(COUNTIF(W25:AG25,"X")&gt;0,", ","")&amp;"Sulfites","")&amp;IF(AI25="X",IF(COUNTIF(W25:AH25,"X")&gt;0,", ","")&amp;"Lupin","")&amp;IF(AJ25="X",IF(COUNTIF(W25:AI25,"X")&gt;0,", ","")&amp;"Mollusques","")),"")</f>
        <v/>
      </c>
      <c r="W25" s="182" t="str">
        <f>IF(14=14,IF(T25="","",AX25),"")</f>
        <v/>
      </c>
      <c r="X25" s="182" t="str">
        <f>IF(14=14,IF(T25="","",BA25),"")</f>
        <v/>
      </c>
      <c r="Y25" s="182" t="str">
        <f>IF(14=14,IF(T25="","",BE25),"")</f>
        <v/>
      </c>
      <c r="Z25" s="182" t="str">
        <f>IF(14=14,IF(T25="","",IF(ISNUMBER(SEARCH(" colin ",AS25)),"X",BR25)),"")</f>
        <v/>
      </c>
      <c r="AA25" s="182" t="str">
        <f>IF(14=14,IF(T25="","",BT25),"")</f>
        <v/>
      </c>
      <c r="AB25" s="182" t="str">
        <f>IF(14=14,IF(T25="","",BX25),"")</f>
        <v/>
      </c>
      <c r="AC25" s="182" t="str">
        <f>IF(14=14,IF(T25="","",CE25),"")</f>
        <v/>
      </c>
      <c r="AD25" s="182" t="str">
        <f>IF(14=14,IF(T25="","",CI25),"")</f>
        <v/>
      </c>
      <c r="AE25" s="182" t="str">
        <f>IF(14=14,IF(T25="","",CL25),"")</f>
        <v/>
      </c>
      <c r="AF25" s="182" t="str">
        <f>IF(14=14,IF(T25="","",CO25),"")</f>
        <v/>
      </c>
      <c r="AG25" s="182" t="str">
        <f>IF(14=14,IF(T25="","",CR25),"")</f>
        <v/>
      </c>
      <c r="AH25" s="182" t="str">
        <f>IF(14=14,IF(T25="","",CU25),"")</f>
        <v/>
      </c>
      <c r="AI25" s="182" t="str">
        <f>IF(14=14,IF(T25="","",CX25),"")</f>
        <v/>
      </c>
      <c r="AJ25" s="182" t="str">
        <f>IF(14=14,IF(T25="","",DD25),"")</f>
        <v/>
      </c>
      <c r="AK25" s="183" t="str">
        <f>IF(14=14,IF(T25="","",IF(W25="?",""&amp;"Céréales contenant du gluten","")&amp;IF(X25="?",IF(COUNTIF(W25:W25,"~?")&gt;0,", ","")&amp;"Crustacés","")&amp;IF(Y25="?",IF(COUNTIF(W25:X25,"~?")&gt;0,", ","")&amp;"Œufs","")&amp;IF(Z25="?",IF(COUNTIF(W25:Y25,"~?")&gt;0,", ","")&amp;"Poissons","")&amp;IF(AA25="?",IF(COUNTIF(W25:Z25,"~?")&gt;0,", ","")&amp;"Arachides","")&amp;IF(AB25="?",IF(COUNTIF(W25:AA25,"~?")&gt;0,", ","")&amp;"Soja","")&amp;IF(AC25="?",IF(COUNTIF(W25:AB25,"~?")&gt;0,", ","")&amp;"Lait","")&amp;IF(AD25="?",IF(COUNTIF(W25:AC25,"~?")&gt;0,", ","")&amp;"Fruits à coque","")&amp;IF(AE25="?",IF(COUNTIF(W25:AD25,"~?")&gt;0,", ","")&amp;"Céleri","")&amp;IF(AF25="?",IF(COUNTIF(W25:AE25,"~?")&gt;0,", ","")&amp;"Moutarde","")&amp;IF(AG25="?",IF(COUNTIF(W25:AF25,"~?")&gt;0,", ","")&amp;"Sésame","")&amp;IF(AH25="?",IF(COUNTIF(W25:AG25,"~?")&gt;0,", ","")&amp;"Sulfites","")&amp;IF(AI25="?",IF(COUNTIF(W25:AH25,"~?")&gt;0,", ","")&amp;"Lupin","")&amp;IF(AJ25="?",IF(COUNTIF(W25:AI25,"~?")&gt;0,", ","")&amp;"Mollusques","")),"")</f>
        <v/>
      </c>
      <c r="AM25" s="127" t="str">
        <f>IF(14=14,IF(T25="","",T25),"")</f>
        <v>• 6 pommes</v>
      </c>
      <c r="AN25" s="127" t="str">
        <f>IF(14=14,LOWER(CLEAN(SUBSTITUTE(SUBSTITUTE(SUBSTITUTE(SUBSTITUTE(AM25,CHAR(160)," ")," "," "),CHAR(10)," "),CHAR(13)," "))),"")</f>
        <v>• 6 pommes</v>
      </c>
      <c r="AO25" s="127" t="str">
        <f>IF(14=14,SUBSTITUTE(SUBSTITUTE(SUBSTITUTE(SUBSTITUTE(SUBSTITUTE(SUBSTITUTE(SUBSTITUTE(SUBSTITUTE(SUBSTITUTE(SUBSTITUTE(SUBSTITUTE(SUBSTITUTE(AN25,"œ","oe"),"æ","ae"),"à","a"),"á","a"),"â","a"),"ä","a"),"ã","a"),"ç","c"),"è","e"),"é","e"),"ê","e"),"ë","e"),"")</f>
        <v>• 6 pommes</v>
      </c>
      <c r="AP25" s="127" t="str">
        <f>IF(14=14,SUBSTITUTE(SUBSTITUTE(SUBSTITUTE(SUBSTITUTE(SUBSTITUTE(SUBSTITUTE(SUBSTITUTE(SUBSTITUTE(SUBSTITUTE(SUBSTITUTE(SUBSTITUTE(SUBSTITUTE(SUBSTITUTE(SUBSTITUTE(SUBSTITUTE(SUBSTITUTE(AO25,"ì","i"),"í","i"),"î","i"),"ï","i"),"ñ","n"),"ò","o"),"ó","o"),"ô","o"),"ö","o"),"õ","o"),"ù","u"),"ú","u"),"û","u"),"ü","u"),"ý","y"),"ÿ","y"),"")</f>
        <v>• 6 pommes</v>
      </c>
      <c r="AQ25" s="127" t="str">
        <f>IF(14=14,SUBSTITUTE(SUBSTITUTE(SUBSTITUTE(SUBSTITUTE(SUBSTITUTE(SUBSTITUTE(SUBSTITUTE(SUBSTITUTE(SUBSTITUTE(SUBSTITUTE(SUBSTITUTE(SUBSTITUTE(SUBSTITUTE(SUBSTITUTE(AP25,"’"," "),"`"," "),"–"," "),"—"," "),"-"," "),"'"," "),"/"," "),"_"," "),","," "),"."," "),"("," "),")"," "),";"," "),":"," "),"")</f>
        <v>• 6 pommes</v>
      </c>
      <c r="AR25" s="127" t="str">
        <f>IF(14=14,SUBSTITUTE(SUBSTITUTE(SUBSTITUTE(SUBSTITUTE(SUBSTITUTE(SUBSTITUTE(SUBSTITUTE(SUBSTITUTE(SUBSTITUTE(SUBSTITUTE(SUBSTITUTE(SUBSTITUTE(SUBSTITUTE(SUBSTITUTE(SUBSTITUTE(AQ25,"!"," "),"?"," "),"+"," "),"*"," "),"&amp;"," "),"["," "),"]"," "),"{"," "),"}"," "),"%"," "),"="," "),"\"," "),"|"," "),"&lt;"," "),"&gt;"," "),"")</f>
        <v>• 6 pommes</v>
      </c>
      <c r="AS25" s="127" t="str">
        <f>IF(14=14," "&amp;TRIM(SUBSTITUTE(SUBSTITUTE(SUBSTITUTE(SUBSTITUTE(SUBSTITUTE(SUBSTITUTE(AR25,CHAR(34)," "),"  "," "),"  "," "),"  "," "),"  "," "),"  "," "))&amp;" ","")</f>
        <v xml:space="preserve"> • 6 pommes </v>
      </c>
      <c r="AT25" s="127" cm="1">
        <f t="array" ref="AT25">IF(14=14,IF(AM25="","",SUMPRODUCT(--ISNUMBER(SEARCH(" "&amp;DJ13:DJ112&amp;" ",AV25)))),"")</f>
        <v>0</v>
      </c>
      <c r="AU25" s="127" cm="1">
        <f t="array" ref="AU25">IF(14=14,IF(AM25="","",SUMPRODUCT(--ISNUMBER(SEARCH(" "&amp;DJ113:DJ162&amp;" ",AV25)))),"")</f>
        <v>0</v>
      </c>
      <c r="AV25" s="127" t="str">
        <f>IF(AM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6 pommes </v>
      </c>
      <c r="AW25" s="127" cm="1">
        <f t="array" ref="AW25">IF(AM25="","",SUMPRODUCT(--ISNUMBER(SEARCH(" "&amp;DJ195:DJ216&amp;" ",AV25)))+--ISNUMBER(SEARCH(" "&amp;DJ2465&amp;" ",AV25)))</f>
        <v>0</v>
      </c>
      <c r="AX25" s="127" t="str" cm="1">
        <f t="array" ref="AX25">IF(14=14,IF(AM25="","",IF(SUM(AT25:AU25)+SUMPRODUCT(--ISNUMBER(SEARCH(" "&amp;DJ2429:DJ2431&amp;" ",AV25)))&gt;0,"X",IF(AW25&gt;0,"?",""))),"")</f>
        <v/>
      </c>
      <c r="AY25" s="127" cm="1">
        <f t="array" ref="AY25">IF(14=14,IF(AM25="","",SUMPRODUCT(--ISNUMBER(SEARCH(" "&amp;DJ217:DJ316&amp;" ",AS25)))),"")</f>
        <v>0</v>
      </c>
      <c r="AZ25" s="127" cm="1">
        <f t="array" ref="AZ25">IF(14=14,IF(AM25="","",SUMPRODUCT(--ISNUMBER(SEARCH(" "&amp;DJ317:DJ351&amp;" ",AS25)))),"")</f>
        <v>0</v>
      </c>
      <c r="BA25" s="127" t="str">
        <f>IF(14=14,IF(AM25="","",IF((SUM(AY25:AZ25))-(0)&gt;0,"X",IF((0)-(0)&gt;0,"?",""))),"")</f>
        <v/>
      </c>
      <c r="BB25" s="127" cm="1">
        <f t="array" ref="BB25">IF(14=14,IF(AM25="","",SUMPRODUCT(--ISNUMBER(SEARCH(" "&amp;DJ352:DJ409&amp;" ",AS25)))),"")</f>
        <v>0</v>
      </c>
      <c r="BC25" s="127" cm="1">
        <f t="array" ref="BC25">IF(14=14,IF(AM25="","",SUMPRODUCT(--ISNUMBER(SEARCH(" "&amp;DJ410:DJ437&amp;" ",BD25)))+SUMPRODUCT(--ISNUMBER(SEARCH(" "&amp;DJ2451:DJ2464&amp;" ",BD25)))),"")</f>
        <v>0</v>
      </c>
      <c r="BD25" s="127" t="str">
        <f>IF(14=14,IF(AM25="","",SUBSTITUTE(SUBSTITUTE(SUBSTITUTE(SUBSTITUTE(SUBSTITUTE(SUBSTITUTE(SUBSTITUTE(SUBSTITUTE(SUBSTITUTE(SUBSTITUTE(SUBSTITUTE(SUBSTITUTE(SUBSTITUTE(SUBSTITUTE(AS25," "&amp;DJ2466&amp;" "," ")," "&amp;DJ444&amp;" "," ")," "&amp;DJ442&amp;" "," ")," "&amp;DJ2449&amp;" "," ")," "&amp;DJ2450&amp;" "," ")," "&amp;DJ439&amp;" "," ")," "&amp;DJ443&amp;" "," ")," "&amp;DJ445&amp;" "," ")," "&amp;DJ440&amp;" "," ")," "&amp;DJ438&amp;" "," ")," "&amp;DJ1378&amp;" "," ")," "&amp;DJ446&amp;" "," ")," "&amp;DJ1377&amp;" "," ")," "&amp;DJ441&amp;" "," ")),"")</f>
        <v xml:space="preserve"> • 6 pommes </v>
      </c>
      <c r="BE25" s="127" t="str">
        <f>IF(14=14,IF(AM25="","",IF(BB25&gt;0,"X",IF(BC25&gt;0,"?",""))),"")</f>
        <v/>
      </c>
      <c r="BF25" s="127" cm="1">
        <f t="array" ref="BF25">IF(14=14,IF(AM25="","",SUMPRODUCT(--ISNUMBER(SEARCH(" "&amp;DJ447:DJ546&amp;" ",BP25)))),"")</f>
        <v>0</v>
      </c>
      <c r="BG25" s="127" cm="1">
        <f t="array" ref="BG25">IF(14=14,IF(AM25="","",SUMPRODUCT(--ISNUMBER(SEARCH(" "&amp;DJ547:DJ646&amp;" ",BP25)))),"")</f>
        <v>0</v>
      </c>
      <c r="BH25" s="127" cm="1">
        <f t="array" ref="BH25">IF(14=14,IF(AM25="","",SUMPRODUCT(--ISNUMBER(SEARCH(" "&amp;DJ647:DJ746&amp;" ",BP25)))),"")</f>
        <v>0</v>
      </c>
      <c r="BI25" s="127" cm="1">
        <f t="array" ref="BI25">IF(14=14,IF(AM25="","",SUMPRODUCT(--ISNUMBER(SEARCH(" "&amp;DJ747:DJ846&amp;" ",BP25)))),"")</f>
        <v>0</v>
      </c>
      <c r="BJ25" s="127" cm="1">
        <f t="array" ref="BJ25">IF(14=14,IF(AM25="","",SUMPRODUCT(--ISNUMBER(SEARCH(" "&amp;DJ847:DJ946&amp;" ",BP25)))),"")</f>
        <v>0</v>
      </c>
      <c r="BK25" s="127" cm="1">
        <f t="array" ref="BK25">IF(14=14,IF(AM25="","",SUMPRODUCT(--ISNUMBER(SEARCH(" "&amp;DJ947:DJ1046&amp;" ",BP25)))),"")</f>
        <v>0</v>
      </c>
      <c r="BL25" s="127" cm="1">
        <f t="array" ref="BL25">IF(14=14,IF(AM25="","",SUMPRODUCT(--ISNUMBER(SEARCH(" "&amp;DJ1047:DJ1146&amp;" ",BP25)))),"")</f>
        <v>0</v>
      </c>
      <c r="BM25" s="127" cm="1">
        <f t="array" ref="BM25">IF(14=14,IF(AM25="","",SUMPRODUCT(--ISNUMBER(SEARCH(" "&amp;DJ1147:DJ1246&amp;" ",BP25)))),"")</f>
        <v>0</v>
      </c>
      <c r="BN25" s="127" cm="1">
        <f t="array" ref="BN25">IF(14=14,IF(AM25="","",SUMPRODUCT(--ISNUMBER(SEARCH(" "&amp;DJ1247:DJ1346&amp;" ",BP25)))),"")</f>
        <v>0</v>
      </c>
      <c r="BO25" s="127" cm="1">
        <f t="array" ref="BO25">IF(14=14,IF(AM25="","",SUMPRODUCT(--ISNUMBER(SEARCH(" "&amp;DJ1347:DJ1374&amp;" ",BP25)))),"")</f>
        <v>0</v>
      </c>
      <c r="BP25" s="127" t="str">
        <f>IF(14=14,IF(AM25="","",SUBSTITUTE(SUBSTITUTE(SUBSTITUTE(SUBSTITUTE(SUBSTITUTE(SUBSTITUTE(SUBSTITUTE(SUBSTITUTE(SUBSTITUTE(AS25," "&amp;DJ1376&amp;" "," ")," "&amp;DJ1375&amp;" "," ")," "&amp;DJ1381&amp;" "," ")," "&amp;DJ1382&amp;" "," ")," "&amp;DJ1378&amp;" "," ")," "&amp;DJ1380&amp;" "," ")," "&amp;DJ1377&amp;" "," ")," "&amp;DJ1379&amp;" "," ")," "&amp;DJ1383&amp;" "," ")),"")</f>
        <v xml:space="preserve"> • 6 pommes </v>
      </c>
      <c r="BQ25" s="127" cm="1">
        <f t="array" ref="BQ25">IF(14=14,IF(AM25="","",SUMPRODUCT(--ISNUMBER(SEARCH(" "&amp;DJ1384:DJ1394&amp;" ",BP25)))),"")</f>
        <v>0</v>
      </c>
      <c r="BR25" s="127" t="str" cm="1">
        <f t="array" ref="BR25">IF(14=14,IF(AM25="","",IF(SUM(BF25:BO25)+SUMPRODUCT(--ISNUMBER(SEARCH(" "&amp;DJ2432:DJ2433&amp;" ",BP25)))&gt;0,"X",IF(BQ25&gt;0,"?",""))),"")</f>
        <v/>
      </c>
      <c r="BS25" s="127" cm="1">
        <f t="array" ref="BS25">IF(14=14,IF(AM25="","",SUMPRODUCT(--ISNUMBER(SEARCH(" "&amp;DJ1395:DJ1415&amp;" ",AS25)))),"")</f>
        <v>0</v>
      </c>
      <c r="BT25" s="127" t="str">
        <f>IF(14=14,IF(AM25="","",IF((BS25)-(0)&gt;0,"X",IF((0)-(0)&gt;0,"?",""))),"")</f>
        <v/>
      </c>
      <c r="BU25" s="127" cm="1">
        <f t="array" ref="BU25">IF(14=14,IF(AM25="","",SUMPRODUCT(--ISNUMBER(SEARCH(" "&amp;DJ1416:DJ1453&amp;" ",BV25)))),"")</f>
        <v>0</v>
      </c>
      <c r="BV25" s="127" t="str">
        <f>IF(14=14,IF(AM25="","",SUBSTITUTE(SUBSTITUTE(AS25," "&amp;DJ1454&amp;" "," ")," "&amp;DJ1455&amp;" "," ")),"")</f>
        <v xml:space="preserve"> • 6 pommes </v>
      </c>
      <c r="BW25" s="127" cm="1">
        <f t="array" ref="BW25">IF(14=14,IF(AM25="","",SUMPRODUCT(--ISNUMBER(SEARCH(" "&amp;DJ1456:DJ1466&amp;" ",BV25)))),"")</f>
        <v>0</v>
      </c>
      <c r="BX25" s="127" t="str">
        <f>IF(14=14,IF(AM25="","",IF(BU25&gt;0,"X",IF(BW25&gt;0,"?",""))),"")</f>
        <v/>
      </c>
      <c r="BY25" s="127" cm="1">
        <f t="array" ref="BY25">IF(14=14,IF(AM25="","",SUMPRODUCT(--ISNUMBER(SEARCH(" "&amp;DJ1467:DJ1566&amp;" ",CB25)))),"")</f>
        <v>0</v>
      </c>
      <c r="BZ25" s="127" cm="1">
        <f t="array" ref="BZ25">IF(14=14,IF(AM25="","",SUMPRODUCT(--ISNUMBER(SEARCH(" "&amp;DJ1567:DJ1666&amp;" ",CB25)))),"")</f>
        <v>0</v>
      </c>
      <c r="CA25" s="127" cm="1">
        <f t="array" ref="CA25">IF(14=14,IF(AM25="","",SUMPRODUCT(--ISNUMBER(SEARCH(" "&amp;DJ1667:DJ1750&amp;" ",CB25)))),"")</f>
        <v>0</v>
      </c>
      <c r="CB25" s="127" t="str">
        <f>IF(14=14,IF(AM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6 pommes </v>
      </c>
      <c r="CC25" s="127" cm="1">
        <f t="array" ref="CC25">IF(14=14,IF(AM25="","",SUMPRODUCT(--ISNUMBER(SEARCH(" "&amp;DJ1801:DJ1880&amp;" ",CD25)))+SUMPRODUCT(--ISNUMBER(SEARCH(" "&amp;DJ2451:DJ2464&amp;" ",CD25)))),"")</f>
        <v>0</v>
      </c>
      <c r="CD25" s="127" t="str">
        <f>IF(14=14,IF(AM25="","",SUBSTITUTE(SUBSTITUTE(SUBSTITUTE(SUBSTITUTE(SUBSTITUTE(SUBSTITUTE(SUBSTITUTE(SUBSTITUTE(SUBSTITUTE(SUBSTITUTE(SUBSTITUTE(SUBSTITUTE(SUBSTITUTE(CB25," "&amp;DJ1887&amp;" "," ")," "&amp;DJ1885&amp;" "," ")," "&amp;DJ2449&amp;" "," ")," "&amp;DJ2450&amp;" "," ")," "&amp;DJ1882&amp;" "," ")," "&amp;DJ1886&amp;" "," ")," "&amp;DJ1888&amp;" "," ")," "&amp;DJ1883&amp;" "," ")," "&amp;DJ1881&amp;" "," ")," "&amp;DJ1378&amp;" "," ")," "&amp;DJ1889&amp;" "," ")," "&amp;DJ1377&amp;" "," ")," "&amp;DJ1884&amp;" "," ")),"")</f>
        <v xml:space="preserve"> • 6 pommes </v>
      </c>
      <c r="CE25" s="127" t="str" cm="1">
        <f t="array" ref="CE25">IF(14=14,IF(AM25="","",IF(SUM(BY25:CA25)+SUMPRODUCT(--ISNUMBER(SEARCH(" "&amp;DJ2434:DJ2435&amp;" ",CB25)))&gt;0,"X",IF(CC25&gt;0,"?",""))),"")</f>
        <v/>
      </c>
      <c r="CF25" s="127" cm="1">
        <f t="array" ref="CF25">IF(14=14,IF(AM25="","",SUMPRODUCT(--ISNUMBER(SEARCH(" "&amp;DJ1890:DJ1947&amp;" ",CG25)))),"")</f>
        <v>0</v>
      </c>
      <c r="CG25" s="127" t="str">
        <f>IF(14=14,IF(AM25="","",SUBSTITUTE(SUBSTITUTE(SUBSTITUTE(SUBSTITUTE(SUBSTITUTE(SUBSTITUTE(SUBSTITUTE(SUBSTITUTE(SUBSTITUTE(SUBSTITUTE(SUBSTITUTE(SUBSTITUTE(SUBSTITUTE(SUBSTITUTE(SUBSTITUTE(SUBSTITUTE(SUBSTITUTE(SUBSTITUTE(SUBSTITUTE(SUBSTITUTE(SUBSTITUTE(SUBSTITUTE(SUBSTITUTE(AS25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6 pommes </v>
      </c>
      <c r="CH25" s="127" cm="1">
        <f t="array" ref="CH25">IF(14=14,IF(AM25="","",SUMPRODUCT(--ISNUMBER(SEARCH(" "&amp;DJ1971:DJ1987&amp;" ",CG25)))),"")</f>
        <v>0</v>
      </c>
      <c r="CI25" s="127" t="str">
        <f>IF(14=14,IF(AM25="","",IF(CF25&gt;0,"X",IF(CH25&gt;0,"?",""))),"")</f>
        <v/>
      </c>
      <c r="CJ25" s="127" cm="1">
        <f t="array" ref="CJ25">IF(14=14,IF(AM25="","",SUMPRODUCT(--ISNUMBER(SEARCH(" "&amp;DJ1988:DJ2001&amp;" ",AS25)))),"")</f>
        <v>0</v>
      </c>
      <c r="CK25" s="127" cm="1">
        <f t="array" ref="CK25">IF(14=14,IF(AM25="","",SUMPRODUCT(--ISNUMBER(SEARCH(" "&amp;DJ2002:DJ2016&amp;" ",AS25)))),"")</f>
        <v>0</v>
      </c>
      <c r="CL25" s="127" t="str">
        <f>IF(14=14,IF(AM25="","",IF((CJ25)-(0)&gt;0,"X",IF((CK25)-(0)&gt;0,"?",""))),"")</f>
        <v/>
      </c>
      <c r="CM25" s="127" cm="1">
        <f t="array" ref="CM25">IF(14=14,IF(AM25="","",SUMPRODUCT(--ISNUMBER(SEARCH(" "&amp;DJ2017:DJ2034&amp;" ",AS25)))),"")</f>
        <v>0</v>
      </c>
      <c r="CN25" s="127" cm="1">
        <f t="array" ref="CN25">IF(14=14,IF(AM25="","",SUMPRODUCT(--ISNUMBER(SEARCH(" "&amp;DJ2035:DJ2049&amp;" ",AS25)))),"")</f>
        <v>0</v>
      </c>
      <c r="CO25" s="127" t="str">
        <f>IF(14=14,IF(AM25="","",IF((CM25)-(0)&gt;0,"X",IF((CN25)-(0)&gt;0,"?",""))),"")</f>
        <v/>
      </c>
      <c r="CP25" s="127" cm="1">
        <f t="array" ref="CP25">IF(14=14,IF(AM25="","",SUMPRODUCT(--ISNUMBER(SEARCH(" "&amp;DJ2050:DJ2068&amp;" ",AS25)))),"")</f>
        <v>0</v>
      </c>
      <c r="CQ25" s="127" cm="1">
        <f t="array" ref="CQ25">IF(14=14,IF(AM25="","",SUMPRODUCT(--ISNUMBER(SEARCH(" "&amp;DJ2069:DJ2083&amp;" ",AS25)))),"")</f>
        <v>0</v>
      </c>
      <c r="CR25" s="127" t="str">
        <f>IF(14=14,IF(AM25="","",IF((CP25)-(0)&gt;0,"X",IF((CQ25)-(0)&gt;0,"?",""))),"")</f>
        <v/>
      </c>
      <c r="CS25" s="127" cm="1">
        <f t="array" ref="CS25">IF(14=14,IF(AM25="","",SUMPRODUCT(--ISNUMBER(SEARCH(" "&amp;DJ2084:DJ2104&amp;" ",AS25)))),"")</f>
        <v>0</v>
      </c>
      <c r="CT25" s="127" cm="1">
        <f t="array" ref="CT25">IF(14=14,IF(AM25="","",SUMPRODUCT(--ISNUMBER(SEARCH(" "&amp;DJ2105:DJ2144&amp;" ",SUBSTITUTE(SUBSTITUTE(AS25," "&amp;DJ1378&amp;" "," ")," "&amp;DJ1377&amp;" "," "))))+--ISNUMBER(SEARCH("poiré",AN25))),"")</f>
        <v>0</v>
      </c>
      <c r="CU25" s="127" t="str">
        <f>IF(14=14,IF(AM25="","",IF(OR(CS25&gt;0,ISNUMBER(SEARCH(" vinaigre de vin ",AS25)),ISNUMBER(SEARCH(" vinaigre au vin ",AS25))),"X",IF(CT25&gt;0,"?",""))),"")</f>
        <v/>
      </c>
      <c r="CV25" s="127" cm="1">
        <f t="array" ref="CV25">IF(14=14,IF(AM25="","",SUMPRODUCT(--ISNUMBER(SEARCH(" "&amp;DJ2145:DJ2157&amp;" ",AS25)))),"")</f>
        <v>0</v>
      </c>
      <c r="CW25" s="127" cm="1">
        <f t="array" ref="CW25">IF(14=14,IF(AM25="","",SUMPRODUCT(--ISNUMBER(SEARCH(" "&amp;DJ2158:DJ2163&amp;" ",AS25)))),"")</f>
        <v>0</v>
      </c>
      <c r="CX25" s="127" t="str">
        <f>IF(14=14,IF(AM25="","",IF((CV25)-(0)&gt;0,"X",IF((CW25)-(0)&gt;0,"?",""))),"")</f>
        <v/>
      </c>
      <c r="CY25" s="127" cm="1">
        <f t="array" ref="CY25">IF(14=14,IF(AM25="","",SUMPRODUCT(--ISNUMBER(SEARCH(" "&amp;DJ2164:DJ2263&amp;" ",DB25)))),"")</f>
        <v>0</v>
      </c>
      <c r="CZ25" s="127" cm="1">
        <f t="array" ref="CZ25">IF(14=14,IF(AM25="","",SUMPRODUCT(--ISNUMBER(SEARCH(" "&amp;DJ2264:DJ2363&amp;" ",DB25)))),"")</f>
        <v>0</v>
      </c>
      <c r="DA25" s="127" cm="1">
        <f t="array" ref="DA25">IF(14=14,IF(AM25="","",SUMPRODUCT(--ISNUMBER(SEARCH(" "&amp;DJ2364:DJ2406&amp;" ",DB25)))),"")</f>
        <v>0</v>
      </c>
      <c r="DB25" s="127" t="str">
        <f>IF(14=14,IF(AM25="","",SUBSTITUTE(SUBSTITUTE(SUBSTITUTE(SUBSTITUTE(SUBSTITUTE(SUBSTITUTE(SUBSTITUTE(SUBSTITUTE(SUBSTITUTE(SUBSTITUTE(SUBSTITUTE(SUBSTITUTE(SUBSTITUTE(SUBSTITUTE(SUBSTITUTE(SUBSTITUTE(AS25," "&amp;DJ2412&amp;" "," ")," "&amp;DJ2411&amp;" "," ")," "&amp;DJ2410&amp;" "," ")," "&amp;DJ2417&amp;" "," ")," "&amp;DJ2409&amp;" "," ")," "&amp;DJ2421&amp;" "," ")," "&amp;DJ2408&amp;" "," ")," "&amp;DJ2413&amp;" "," ")," "&amp;DJ2416&amp;" "," ")," "&amp;DJ2407&amp;" "," ")," "&amp;DJ2415&amp;" "," ")," "&amp;DJ2422&amp;" "," ")," "&amp;DJ2419&amp;" "," ")," "&amp;DJ2414&amp;" "," ")," "&amp;DJ2418&amp;" "," ")," "&amp;DJ2420&amp;" "," ")),"")</f>
        <v xml:space="preserve"> • 6 pommes </v>
      </c>
      <c r="DC25" s="127" cm="1">
        <f t="array" ref="DC25">IF(14=14,IF(AM25="","",SUMPRODUCT(--ISNUMBER(SEARCH(" "&amp;DJ2423:DJ2427&amp;" ",DB25)))),"")</f>
        <v>0</v>
      </c>
      <c r="DD25" s="127" t="str">
        <f>IF(14=14,IF(AM25="","",IF(SUM(CY25:DA25)&gt;0,"X",IF(DC25&gt;0,"?",""))),"")</f>
        <v/>
      </c>
      <c r="DE25" s="152"/>
      <c r="DF25" s="160" t="s">
        <v>684</v>
      </c>
      <c r="DG25" s="160" t="s">
        <v>584</v>
      </c>
      <c r="DH25" s="160" t="s">
        <v>125</v>
      </c>
      <c r="DI25" s="160" t="s">
        <v>376</v>
      </c>
      <c r="DJ25" s="160" t="s">
        <v>376</v>
      </c>
      <c r="DK25" s="160" t="s">
        <v>588</v>
      </c>
      <c r="DL25" s="160" t="s">
        <v>589</v>
      </c>
      <c r="DM25" s="160" t="s">
        <v>590</v>
      </c>
      <c r="DN25" s="161" t="s">
        <v>591</v>
      </c>
      <c r="DP25" s="130">
        <v>1</v>
      </c>
    </row>
    <row r="26" spans="2:120" ht="30" customHeight="1">
      <c r="B26" s="165" t="str">
        <f t="shared" si="0"/>
        <v>• 50 g de sucre en poudre</v>
      </c>
      <c r="C26" s="165" t="str">
        <f t="shared" si="1"/>
        <v>• 50 g de sucre en poudre</v>
      </c>
      <c r="D26" s="165" t="str">
        <f>IF(UPPER(TRIM(N11))="X",C26,B26)</f>
        <v>• 50 g de sucre en poudre</v>
      </c>
      <c r="E26" s="165" cm="1">
        <f t="array" ref="E26">IF(H25&lt;&gt;"",E25,IF(E25="","",IFERROR(MATCH(TRUE(),INDEX(INDEX(K:K,E25+1):K203&lt;&gt;"",0),0)+E25,"")))</f>
        <v>23</v>
      </c>
      <c r="F26" s="165" t="str" cm="1">
        <f t="array" ref="F26">IF(E26="","",IF(H25&lt;&gt;"",H25,INDEX(D:D,E26)))</f>
        <v>• 3 œufs</v>
      </c>
      <c r="G26" s="165" t="str">
        <f t="shared" si="2"/>
        <v>• 3 œufs</v>
      </c>
      <c r="H26" s="174" t="str">
        <f t="shared" si="3"/>
        <v/>
      </c>
      <c r="I26" s="184" t="str">
        <f>IF(AND(F26&lt;&gt;"",N10&gt;0,M26&gt;N10),"Mot &gt; limite","")</f>
        <v/>
      </c>
      <c r="J26" s="175">
        <f>IF(K26="","",COUNTIF(K18:K26,"&lt;&gt;"))</f>
        <v>9</v>
      </c>
      <c r="K26" s="111" t="s">
        <v>401</v>
      </c>
      <c r="L26" s="175">
        <f t="shared" si="4"/>
        <v>25</v>
      </c>
      <c r="M26" s="135">
        <f>IF(OR(F26="",N10="",N10&lt;=0),"",IF(LEN(F26)&lt;=N10,LEN(F26),IFERROR(FIND("♦",SUBSTITUTE(LEFT(F26,N10)," ","♦",LEN(LEFT(F26,N10))-LEN(SUBSTITUTE(LEFT(F26,N10)," ","")))),FIND(" ",F26&amp;" ",N10+1)-1)))</f>
        <v>8</v>
      </c>
      <c r="N26" s="176">
        <f t="shared" si="5"/>
        <v>9</v>
      </c>
      <c r="O26" s="177" t="str">
        <f t="shared" si="6"/>
        <v>• 3 œufs</v>
      </c>
      <c r="P26" s="176">
        <f t="shared" si="7"/>
        <v>3</v>
      </c>
      <c r="Q26" s="176">
        <f t="shared" si="8"/>
        <v>8</v>
      </c>
      <c r="S26" s="178">
        <v>9</v>
      </c>
      <c r="T26" s="179" t="str">
        <f t="shared" si="10"/>
        <v>• 3 œufs</v>
      </c>
      <c r="U26" s="180" t="str">
        <f t="shared" si="9"/>
        <v>• 3 œufs *</v>
      </c>
      <c r="V26" s="181" t="str">
        <f>IF(15=15,IF(T26="","",IF(W26="X",""&amp;"Céréales contenant du gluten","")&amp;IF(X26="X",IF(COUNTIF(W26:W26,"X")&gt;0,", ","")&amp;"Crustacés","")&amp;IF(Y26="X",IF(COUNTIF(W26:X26,"X")&gt;0,", ","")&amp;"Œufs","")&amp;IF(Z26="X",IF(COUNTIF(W26:Y26,"X")&gt;0,", ","")&amp;"Poissons","")&amp;IF(AA26="X",IF(COUNTIF(W26:Z26,"X")&gt;0,", ","")&amp;"Arachides","")&amp;IF(AB26="X",IF(COUNTIF(W26:AA26,"X")&gt;0,", ","")&amp;"Soja","")&amp;IF(AC26="X",IF(COUNTIF(W26:AB26,"X")&gt;0,", ","")&amp;"Lait","")&amp;IF(AD26="X",IF(COUNTIF(W26:AC26,"X")&gt;0,", ","")&amp;"Fruits à coque","")&amp;IF(AE26="X",IF(COUNTIF(W26:AD26,"X")&gt;0,", ","")&amp;"Céleri","")&amp;IF(AF26="X",IF(COUNTIF(W26:AE26,"X")&gt;0,", ","")&amp;"Moutarde","")&amp;IF(AG26="X",IF(COUNTIF(W26:AF26,"X")&gt;0,", ","")&amp;"Sésame","")&amp;IF(AH26="X",IF(COUNTIF(W26:AG26,"X")&gt;0,", ","")&amp;"Sulfites","")&amp;IF(AI26="X",IF(COUNTIF(W26:AH26,"X")&gt;0,", ","")&amp;"Lupin","")&amp;IF(AJ26="X",IF(COUNTIF(W26:AI26,"X")&gt;0,", ","")&amp;"Mollusques","")),"")</f>
        <v>Œufs</v>
      </c>
      <c r="W26" s="182" t="str">
        <f>IF(15=15,IF(T26="","",AX26),"")</f>
        <v/>
      </c>
      <c r="X26" s="182" t="str">
        <f>IF(15=15,IF(T26="","",BA26),"")</f>
        <v/>
      </c>
      <c r="Y26" s="182" t="str">
        <f>IF(15=15,IF(T26="","",BE26),"")</f>
        <v>X</v>
      </c>
      <c r="Z26" s="182" t="str">
        <f>IF(15=15,IF(T26="","",IF(ISNUMBER(SEARCH(" colin ",AS26)),"X",BR26)),"")</f>
        <v/>
      </c>
      <c r="AA26" s="182" t="str">
        <f>IF(15=15,IF(T26="","",BT26),"")</f>
        <v/>
      </c>
      <c r="AB26" s="182" t="str">
        <f>IF(15=15,IF(T26="","",BX26),"")</f>
        <v/>
      </c>
      <c r="AC26" s="182" t="str">
        <f>IF(15=15,IF(T26="","",CE26),"")</f>
        <v/>
      </c>
      <c r="AD26" s="182" t="str">
        <f>IF(15=15,IF(T26="","",CI26),"")</f>
        <v/>
      </c>
      <c r="AE26" s="182" t="str">
        <f>IF(15=15,IF(T26="","",CL26),"")</f>
        <v/>
      </c>
      <c r="AF26" s="182" t="str">
        <f>IF(15=15,IF(T26="","",CO26),"")</f>
        <v/>
      </c>
      <c r="AG26" s="182" t="str">
        <f>IF(15=15,IF(T26="","",CR26),"")</f>
        <v/>
      </c>
      <c r="AH26" s="182" t="str">
        <f>IF(15=15,IF(T26="","",CU26),"")</f>
        <v/>
      </c>
      <c r="AI26" s="182" t="str">
        <f>IF(15=15,IF(T26="","",CX26),"")</f>
        <v/>
      </c>
      <c r="AJ26" s="182" t="str">
        <f>IF(15=15,IF(T26="","",DD26),"")</f>
        <v/>
      </c>
      <c r="AK26" s="183" t="str">
        <f>IF(15=15,IF(T26="","",IF(W26="?",""&amp;"Céréales contenant du gluten","")&amp;IF(X26="?",IF(COUNTIF(W26:W26,"~?")&gt;0,", ","")&amp;"Crustacés","")&amp;IF(Y26="?",IF(COUNTIF(W26:X26,"~?")&gt;0,", ","")&amp;"Œufs","")&amp;IF(Z26="?",IF(COUNTIF(W26:Y26,"~?")&gt;0,", ","")&amp;"Poissons","")&amp;IF(AA26="?",IF(COUNTIF(W26:Z26,"~?")&gt;0,", ","")&amp;"Arachides","")&amp;IF(AB26="?",IF(COUNTIF(W26:AA26,"~?")&gt;0,", ","")&amp;"Soja","")&amp;IF(AC26="?",IF(COUNTIF(W26:AB26,"~?")&gt;0,", ","")&amp;"Lait","")&amp;IF(AD26="?",IF(COUNTIF(W26:AC26,"~?")&gt;0,", ","")&amp;"Fruits à coque","")&amp;IF(AE26="?",IF(COUNTIF(W26:AD26,"~?")&gt;0,", ","")&amp;"Céleri","")&amp;IF(AF26="?",IF(COUNTIF(W26:AE26,"~?")&gt;0,", ","")&amp;"Moutarde","")&amp;IF(AG26="?",IF(COUNTIF(W26:AF26,"~?")&gt;0,", ","")&amp;"Sésame","")&amp;IF(AH26="?",IF(COUNTIF(W26:AG26,"~?")&gt;0,", ","")&amp;"Sulfites","")&amp;IF(AI26="?",IF(COUNTIF(W26:AH26,"~?")&gt;0,", ","")&amp;"Lupin","")&amp;IF(AJ26="?",IF(COUNTIF(W26:AI26,"~?")&gt;0,", ","")&amp;"Mollusques","")),"")</f>
        <v/>
      </c>
      <c r="AM26" s="127" t="str">
        <f>IF(15=15,IF(T26="","",T26),"")</f>
        <v>• 3 œufs</v>
      </c>
      <c r="AN26" s="127" t="str">
        <f>IF(15=15,LOWER(CLEAN(SUBSTITUTE(SUBSTITUTE(SUBSTITUTE(SUBSTITUTE(AM26,CHAR(160)," ")," "," "),CHAR(10)," "),CHAR(13)," "))),"")</f>
        <v>• 3 œufs</v>
      </c>
      <c r="AO26" s="127" t="str">
        <f>IF(15=15,SUBSTITUTE(SUBSTITUTE(SUBSTITUTE(SUBSTITUTE(SUBSTITUTE(SUBSTITUTE(SUBSTITUTE(SUBSTITUTE(SUBSTITUTE(SUBSTITUTE(SUBSTITUTE(SUBSTITUTE(AN26,"œ","oe"),"æ","ae"),"à","a"),"á","a"),"â","a"),"ä","a"),"ã","a"),"ç","c"),"è","e"),"é","e"),"ê","e"),"ë","e"),"")</f>
        <v>• 3 oeufs</v>
      </c>
      <c r="AP26" s="127" t="str">
        <f>IF(15=15,SUBSTITUTE(SUBSTITUTE(SUBSTITUTE(SUBSTITUTE(SUBSTITUTE(SUBSTITUTE(SUBSTITUTE(SUBSTITUTE(SUBSTITUTE(SUBSTITUTE(SUBSTITUTE(SUBSTITUTE(SUBSTITUTE(SUBSTITUTE(SUBSTITUTE(SUBSTITUTE(AO26,"ì","i"),"í","i"),"î","i"),"ï","i"),"ñ","n"),"ò","o"),"ó","o"),"ô","o"),"ö","o"),"õ","o"),"ù","u"),"ú","u"),"û","u"),"ü","u"),"ý","y"),"ÿ","y"),"")</f>
        <v>• 3 oeufs</v>
      </c>
      <c r="AQ26" s="127" t="str">
        <f>IF(15=15,SUBSTITUTE(SUBSTITUTE(SUBSTITUTE(SUBSTITUTE(SUBSTITUTE(SUBSTITUTE(SUBSTITUTE(SUBSTITUTE(SUBSTITUTE(SUBSTITUTE(SUBSTITUTE(SUBSTITUTE(SUBSTITUTE(SUBSTITUTE(AP26,"’"," "),"`"," "),"–"," "),"—"," "),"-"," "),"'"," "),"/"," "),"_"," "),","," "),"."," "),"("," "),")"," "),";"," "),":"," "),"")</f>
        <v>• 3 oeufs</v>
      </c>
      <c r="AR26" s="127" t="str">
        <f>IF(15=15,SUBSTITUTE(SUBSTITUTE(SUBSTITUTE(SUBSTITUTE(SUBSTITUTE(SUBSTITUTE(SUBSTITUTE(SUBSTITUTE(SUBSTITUTE(SUBSTITUTE(SUBSTITUTE(SUBSTITUTE(SUBSTITUTE(SUBSTITUTE(SUBSTITUTE(AQ26,"!"," "),"?"," "),"+"," "),"*"," "),"&amp;"," "),"["," "),"]"," "),"{"," "),"}"," "),"%"," "),"="," "),"\"," "),"|"," "),"&lt;"," "),"&gt;"," "),"")</f>
        <v>• 3 oeufs</v>
      </c>
      <c r="AS26" s="127" t="str">
        <f>IF(15=15," "&amp;TRIM(SUBSTITUTE(SUBSTITUTE(SUBSTITUTE(SUBSTITUTE(SUBSTITUTE(SUBSTITUTE(AR26,CHAR(34)," "),"  "," "),"  "," "),"  "," "),"  "," "),"  "," "))&amp;" ","")</f>
        <v xml:space="preserve"> • 3 oeufs </v>
      </c>
      <c r="AT26" s="127" cm="1">
        <f t="array" ref="AT26">IF(15=15,IF(AM26="","",SUMPRODUCT(--ISNUMBER(SEARCH(" "&amp;DJ13:DJ112&amp;" ",AV26)))),"")</f>
        <v>0</v>
      </c>
      <c r="AU26" s="127" cm="1">
        <f t="array" ref="AU26">IF(15=15,IF(AM26="","",SUMPRODUCT(--ISNUMBER(SEARCH(" "&amp;DJ113:DJ162&amp;" ",AV26)))),"")</f>
        <v>0</v>
      </c>
      <c r="AV26" s="127" t="str">
        <f>IF(AM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3 oeufs </v>
      </c>
      <c r="AW26" s="127" cm="1">
        <f t="array" ref="AW26">IF(AM26="","",SUMPRODUCT(--ISNUMBER(SEARCH(" "&amp;DJ195:DJ216&amp;" ",AV26)))+--ISNUMBER(SEARCH(" "&amp;DJ2465&amp;" ",AV26)))</f>
        <v>0</v>
      </c>
      <c r="AX26" s="127" t="str" cm="1">
        <f t="array" ref="AX26">IF(15=15,IF(AM26="","",IF(SUM(AT26:AU26)+SUMPRODUCT(--ISNUMBER(SEARCH(" "&amp;DJ2429:DJ2431&amp;" ",AV26)))&gt;0,"X",IF(AW26&gt;0,"?",""))),"")</f>
        <v/>
      </c>
      <c r="AY26" s="127" cm="1">
        <f t="array" ref="AY26">IF(15=15,IF(AM26="","",SUMPRODUCT(--ISNUMBER(SEARCH(" "&amp;DJ217:DJ316&amp;" ",AS26)))),"")</f>
        <v>0</v>
      </c>
      <c r="AZ26" s="127" cm="1">
        <f t="array" ref="AZ26">IF(15=15,IF(AM26="","",SUMPRODUCT(--ISNUMBER(SEARCH(" "&amp;DJ317:DJ351&amp;" ",AS26)))),"")</f>
        <v>0</v>
      </c>
      <c r="BA26" s="127" t="str">
        <f>IF(15=15,IF(AM26="","",IF((SUM(AY26:AZ26))-(0)&gt;0,"X",IF((0)-(0)&gt;0,"?",""))),"")</f>
        <v/>
      </c>
      <c r="BB26" s="127" cm="1">
        <f t="array" ref="BB26">IF(15=15,IF(AM26="","",SUMPRODUCT(--ISNUMBER(SEARCH(" "&amp;DJ352:DJ409&amp;" ",AS26)))),"")</f>
        <v>1</v>
      </c>
      <c r="BC26" s="127" cm="1">
        <f t="array" ref="BC26">IF(15=15,IF(AM26="","",SUMPRODUCT(--ISNUMBER(SEARCH(" "&amp;DJ410:DJ437&amp;" ",BD26)))+SUMPRODUCT(--ISNUMBER(SEARCH(" "&amp;DJ2451:DJ2464&amp;" ",BD26)))),"")</f>
        <v>0</v>
      </c>
      <c r="BD26" s="127" t="str">
        <f>IF(15=15,IF(AM26="","",SUBSTITUTE(SUBSTITUTE(SUBSTITUTE(SUBSTITUTE(SUBSTITUTE(SUBSTITUTE(SUBSTITUTE(SUBSTITUTE(SUBSTITUTE(SUBSTITUTE(SUBSTITUTE(SUBSTITUTE(SUBSTITUTE(SUBSTITUTE(AS26," "&amp;DJ2466&amp;" "," ")," "&amp;DJ444&amp;" "," ")," "&amp;DJ442&amp;" "," ")," "&amp;DJ2449&amp;" "," ")," "&amp;DJ2450&amp;" "," ")," "&amp;DJ439&amp;" "," ")," "&amp;DJ443&amp;" "," ")," "&amp;DJ445&amp;" "," ")," "&amp;DJ440&amp;" "," ")," "&amp;DJ438&amp;" "," ")," "&amp;DJ1378&amp;" "," ")," "&amp;DJ446&amp;" "," ")," "&amp;DJ1377&amp;" "," ")," "&amp;DJ441&amp;" "," ")),"")</f>
        <v xml:space="preserve"> • 3 oeufs </v>
      </c>
      <c r="BE26" s="127" t="str">
        <f>IF(15=15,IF(AM26="","",IF(BB26&gt;0,"X",IF(BC26&gt;0,"?",""))),"")</f>
        <v>X</v>
      </c>
      <c r="BF26" s="127" cm="1">
        <f t="array" ref="BF26">IF(15=15,IF(AM26="","",SUMPRODUCT(--ISNUMBER(SEARCH(" "&amp;DJ447:DJ546&amp;" ",BP26)))),"")</f>
        <v>0</v>
      </c>
      <c r="BG26" s="127" cm="1">
        <f t="array" ref="BG26">IF(15=15,IF(AM26="","",SUMPRODUCT(--ISNUMBER(SEARCH(" "&amp;DJ547:DJ646&amp;" ",BP26)))),"")</f>
        <v>0</v>
      </c>
      <c r="BH26" s="127" cm="1">
        <f t="array" ref="BH26">IF(15=15,IF(AM26="","",SUMPRODUCT(--ISNUMBER(SEARCH(" "&amp;DJ647:DJ746&amp;" ",BP26)))),"")</f>
        <v>0</v>
      </c>
      <c r="BI26" s="127" cm="1">
        <f t="array" ref="BI26">IF(15=15,IF(AM26="","",SUMPRODUCT(--ISNUMBER(SEARCH(" "&amp;DJ747:DJ846&amp;" ",BP26)))),"")</f>
        <v>0</v>
      </c>
      <c r="BJ26" s="127" cm="1">
        <f t="array" ref="BJ26">IF(15=15,IF(AM26="","",SUMPRODUCT(--ISNUMBER(SEARCH(" "&amp;DJ847:DJ946&amp;" ",BP26)))),"")</f>
        <v>0</v>
      </c>
      <c r="BK26" s="127" cm="1">
        <f t="array" ref="BK26">IF(15=15,IF(AM26="","",SUMPRODUCT(--ISNUMBER(SEARCH(" "&amp;DJ947:DJ1046&amp;" ",BP26)))),"")</f>
        <v>0</v>
      </c>
      <c r="BL26" s="127" cm="1">
        <f t="array" ref="BL26">IF(15=15,IF(AM26="","",SUMPRODUCT(--ISNUMBER(SEARCH(" "&amp;DJ1047:DJ1146&amp;" ",BP26)))),"")</f>
        <v>0</v>
      </c>
      <c r="BM26" s="127" cm="1">
        <f t="array" ref="BM26">IF(15=15,IF(AM26="","",SUMPRODUCT(--ISNUMBER(SEARCH(" "&amp;DJ1147:DJ1246&amp;" ",BP26)))),"")</f>
        <v>0</v>
      </c>
      <c r="BN26" s="127" cm="1">
        <f t="array" ref="BN26">IF(15=15,IF(AM26="","",SUMPRODUCT(--ISNUMBER(SEARCH(" "&amp;DJ1247:DJ1346&amp;" ",BP26)))),"")</f>
        <v>0</v>
      </c>
      <c r="BO26" s="127" cm="1">
        <f t="array" ref="BO26">IF(15=15,IF(AM26="","",SUMPRODUCT(--ISNUMBER(SEARCH(" "&amp;DJ1347:DJ1374&amp;" ",BP26)))),"")</f>
        <v>0</v>
      </c>
      <c r="BP26" s="127" t="str">
        <f>IF(15=15,IF(AM26="","",SUBSTITUTE(SUBSTITUTE(SUBSTITUTE(SUBSTITUTE(SUBSTITUTE(SUBSTITUTE(SUBSTITUTE(SUBSTITUTE(SUBSTITUTE(AS26," "&amp;DJ1376&amp;" "," ")," "&amp;DJ1375&amp;" "," ")," "&amp;DJ1381&amp;" "," ")," "&amp;DJ1382&amp;" "," ")," "&amp;DJ1378&amp;" "," ")," "&amp;DJ1380&amp;" "," ")," "&amp;DJ1377&amp;" "," ")," "&amp;DJ1379&amp;" "," ")," "&amp;DJ1383&amp;" "," ")),"")</f>
        <v xml:space="preserve"> • 3 oeufs </v>
      </c>
      <c r="BQ26" s="127" cm="1">
        <f t="array" ref="BQ26">IF(15=15,IF(AM26="","",SUMPRODUCT(--ISNUMBER(SEARCH(" "&amp;DJ1384:DJ1394&amp;" ",BP26)))),"")</f>
        <v>0</v>
      </c>
      <c r="BR26" s="127" t="str" cm="1">
        <f t="array" ref="BR26">IF(15=15,IF(AM26="","",IF(SUM(BF26:BO26)+SUMPRODUCT(--ISNUMBER(SEARCH(" "&amp;DJ2432:DJ2433&amp;" ",BP26)))&gt;0,"X",IF(BQ26&gt;0,"?",""))),"")</f>
        <v/>
      </c>
      <c r="BS26" s="127" cm="1">
        <f t="array" ref="BS26">IF(15=15,IF(AM26="","",SUMPRODUCT(--ISNUMBER(SEARCH(" "&amp;DJ1395:DJ1415&amp;" ",AS26)))),"")</f>
        <v>0</v>
      </c>
      <c r="BT26" s="127" t="str">
        <f>IF(15=15,IF(AM26="","",IF((BS26)-(0)&gt;0,"X",IF((0)-(0)&gt;0,"?",""))),"")</f>
        <v/>
      </c>
      <c r="BU26" s="127" cm="1">
        <f t="array" ref="BU26">IF(15=15,IF(AM26="","",SUMPRODUCT(--ISNUMBER(SEARCH(" "&amp;DJ1416:DJ1453&amp;" ",BV26)))),"")</f>
        <v>0</v>
      </c>
      <c r="BV26" s="127" t="str">
        <f>IF(15=15,IF(AM26="","",SUBSTITUTE(SUBSTITUTE(AS26," "&amp;DJ1454&amp;" "," ")," "&amp;DJ1455&amp;" "," ")),"")</f>
        <v xml:space="preserve"> • 3 oeufs </v>
      </c>
      <c r="BW26" s="127" cm="1">
        <f t="array" ref="BW26">IF(15=15,IF(AM26="","",SUMPRODUCT(--ISNUMBER(SEARCH(" "&amp;DJ1456:DJ1466&amp;" ",BV26)))),"")</f>
        <v>0</v>
      </c>
      <c r="BX26" s="127" t="str">
        <f>IF(15=15,IF(AM26="","",IF(BU26&gt;0,"X",IF(BW26&gt;0,"?",""))),"")</f>
        <v/>
      </c>
      <c r="BY26" s="127" cm="1">
        <f t="array" ref="BY26">IF(15=15,IF(AM26="","",SUMPRODUCT(--ISNUMBER(SEARCH(" "&amp;DJ1467:DJ1566&amp;" ",CB26)))),"")</f>
        <v>0</v>
      </c>
      <c r="BZ26" s="127" cm="1">
        <f t="array" ref="BZ26">IF(15=15,IF(AM26="","",SUMPRODUCT(--ISNUMBER(SEARCH(" "&amp;DJ1567:DJ1666&amp;" ",CB26)))),"")</f>
        <v>0</v>
      </c>
      <c r="CA26" s="127" cm="1">
        <f t="array" ref="CA26">IF(15=15,IF(AM26="","",SUMPRODUCT(--ISNUMBER(SEARCH(" "&amp;DJ1667:DJ1750&amp;" ",CB26)))),"")</f>
        <v>0</v>
      </c>
      <c r="CB26" s="127" t="str">
        <f>IF(15=15,IF(AM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3 oeufs </v>
      </c>
      <c r="CC26" s="127" cm="1">
        <f t="array" ref="CC26">IF(15=15,IF(AM26="","",SUMPRODUCT(--ISNUMBER(SEARCH(" "&amp;DJ1801:DJ1880&amp;" ",CD26)))+SUMPRODUCT(--ISNUMBER(SEARCH(" "&amp;DJ2451:DJ2464&amp;" ",CD26)))),"")</f>
        <v>0</v>
      </c>
      <c r="CD26" s="127" t="str">
        <f>IF(15=15,IF(AM26="","",SUBSTITUTE(SUBSTITUTE(SUBSTITUTE(SUBSTITUTE(SUBSTITUTE(SUBSTITUTE(SUBSTITUTE(SUBSTITUTE(SUBSTITUTE(SUBSTITUTE(SUBSTITUTE(SUBSTITUTE(SUBSTITUTE(CB26," "&amp;DJ1887&amp;" "," ")," "&amp;DJ1885&amp;" "," ")," "&amp;DJ2449&amp;" "," ")," "&amp;DJ2450&amp;" "," ")," "&amp;DJ1882&amp;" "," ")," "&amp;DJ1886&amp;" "," ")," "&amp;DJ1888&amp;" "," ")," "&amp;DJ1883&amp;" "," ")," "&amp;DJ1881&amp;" "," ")," "&amp;DJ1378&amp;" "," ")," "&amp;DJ1889&amp;" "," ")," "&amp;DJ1377&amp;" "," ")," "&amp;DJ1884&amp;" "," ")),"")</f>
        <v xml:space="preserve"> • 3 oeufs </v>
      </c>
      <c r="CE26" s="127" t="str" cm="1">
        <f t="array" ref="CE26">IF(15=15,IF(AM26="","",IF(SUM(BY26:CA26)+SUMPRODUCT(--ISNUMBER(SEARCH(" "&amp;DJ2434:DJ2435&amp;" ",CB26)))&gt;0,"X",IF(CC26&gt;0,"?",""))),"")</f>
        <v/>
      </c>
      <c r="CF26" s="127" cm="1">
        <f t="array" ref="CF26">IF(15=15,IF(AM26="","",SUMPRODUCT(--ISNUMBER(SEARCH(" "&amp;DJ1890:DJ1947&amp;" ",CG26)))),"")</f>
        <v>0</v>
      </c>
      <c r="CG26" s="127" t="str">
        <f>IF(15=15,IF(AM26="","",SUBSTITUTE(SUBSTITUTE(SUBSTITUTE(SUBSTITUTE(SUBSTITUTE(SUBSTITUTE(SUBSTITUTE(SUBSTITUTE(SUBSTITUTE(SUBSTITUTE(SUBSTITUTE(SUBSTITUTE(SUBSTITUTE(SUBSTITUTE(SUBSTITUTE(SUBSTITUTE(SUBSTITUTE(SUBSTITUTE(SUBSTITUTE(SUBSTITUTE(SUBSTITUTE(SUBSTITUTE(SUBSTITUTE(AS26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3 oeufs </v>
      </c>
      <c r="CH26" s="127" cm="1">
        <f t="array" ref="CH26">IF(15=15,IF(AM26="","",SUMPRODUCT(--ISNUMBER(SEARCH(" "&amp;DJ1971:DJ1987&amp;" ",CG26)))),"")</f>
        <v>0</v>
      </c>
      <c r="CI26" s="127" t="str">
        <f>IF(15=15,IF(AM26="","",IF(CF26&gt;0,"X",IF(CH26&gt;0,"?",""))),"")</f>
        <v/>
      </c>
      <c r="CJ26" s="127" cm="1">
        <f t="array" ref="CJ26">IF(15=15,IF(AM26="","",SUMPRODUCT(--ISNUMBER(SEARCH(" "&amp;DJ1988:DJ2001&amp;" ",AS26)))),"")</f>
        <v>0</v>
      </c>
      <c r="CK26" s="127" cm="1">
        <f t="array" ref="CK26">IF(15=15,IF(AM26="","",SUMPRODUCT(--ISNUMBER(SEARCH(" "&amp;DJ2002:DJ2016&amp;" ",AS26)))),"")</f>
        <v>0</v>
      </c>
      <c r="CL26" s="127" t="str">
        <f>IF(15=15,IF(AM26="","",IF((CJ26)-(0)&gt;0,"X",IF((CK26)-(0)&gt;0,"?",""))),"")</f>
        <v/>
      </c>
      <c r="CM26" s="127" cm="1">
        <f t="array" ref="CM26">IF(15=15,IF(AM26="","",SUMPRODUCT(--ISNUMBER(SEARCH(" "&amp;DJ2017:DJ2034&amp;" ",AS26)))),"")</f>
        <v>0</v>
      </c>
      <c r="CN26" s="127" cm="1">
        <f t="array" ref="CN26">IF(15=15,IF(AM26="","",SUMPRODUCT(--ISNUMBER(SEARCH(" "&amp;DJ2035:DJ2049&amp;" ",AS26)))),"")</f>
        <v>0</v>
      </c>
      <c r="CO26" s="127" t="str">
        <f>IF(15=15,IF(AM26="","",IF((CM26)-(0)&gt;0,"X",IF((CN26)-(0)&gt;0,"?",""))),"")</f>
        <v/>
      </c>
      <c r="CP26" s="127" cm="1">
        <f t="array" ref="CP26">IF(15=15,IF(AM26="","",SUMPRODUCT(--ISNUMBER(SEARCH(" "&amp;DJ2050:DJ2068&amp;" ",AS26)))),"")</f>
        <v>0</v>
      </c>
      <c r="CQ26" s="127" cm="1">
        <f t="array" ref="CQ26">IF(15=15,IF(AM26="","",SUMPRODUCT(--ISNUMBER(SEARCH(" "&amp;DJ2069:DJ2083&amp;" ",AS26)))),"")</f>
        <v>0</v>
      </c>
      <c r="CR26" s="127" t="str">
        <f>IF(15=15,IF(AM26="","",IF((CP26)-(0)&gt;0,"X",IF((CQ26)-(0)&gt;0,"?",""))),"")</f>
        <v/>
      </c>
      <c r="CS26" s="127" cm="1">
        <f t="array" ref="CS26">IF(15=15,IF(AM26="","",SUMPRODUCT(--ISNUMBER(SEARCH(" "&amp;DJ2084:DJ2104&amp;" ",AS26)))),"")</f>
        <v>0</v>
      </c>
      <c r="CT26" s="127" cm="1">
        <f t="array" ref="CT26">IF(15=15,IF(AM26="","",SUMPRODUCT(--ISNUMBER(SEARCH(" "&amp;DJ2105:DJ2144&amp;" ",SUBSTITUTE(SUBSTITUTE(AS26," "&amp;DJ1378&amp;" "," ")," "&amp;DJ1377&amp;" "," "))))+--ISNUMBER(SEARCH("poiré",AN26))),"")</f>
        <v>0</v>
      </c>
      <c r="CU26" s="127" t="str">
        <f>IF(15=15,IF(AM26="","",IF(OR(CS26&gt;0,ISNUMBER(SEARCH(" vinaigre de vin ",AS26)),ISNUMBER(SEARCH(" vinaigre au vin ",AS26))),"X",IF(CT26&gt;0,"?",""))),"")</f>
        <v/>
      </c>
      <c r="CV26" s="127" cm="1">
        <f t="array" ref="CV26">IF(15=15,IF(AM26="","",SUMPRODUCT(--ISNUMBER(SEARCH(" "&amp;DJ2145:DJ2157&amp;" ",AS26)))),"")</f>
        <v>0</v>
      </c>
      <c r="CW26" s="127" cm="1">
        <f t="array" ref="CW26">IF(15=15,IF(AM26="","",SUMPRODUCT(--ISNUMBER(SEARCH(" "&amp;DJ2158:DJ2163&amp;" ",AS26)))),"")</f>
        <v>0</v>
      </c>
      <c r="CX26" s="127" t="str">
        <f>IF(15=15,IF(AM26="","",IF((CV26)-(0)&gt;0,"X",IF((CW26)-(0)&gt;0,"?",""))),"")</f>
        <v/>
      </c>
      <c r="CY26" s="127" cm="1">
        <f t="array" ref="CY26">IF(15=15,IF(AM26="","",SUMPRODUCT(--ISNUMBER(SEARCH(" "&amp;DJ2164:DJ2263&amp;" ",DB26)))),"")</f>
        <v>0</v>
      </c>
      <c r="CZ26" s="127" cm="1">
        <f t="array" ref="CZ26">IF(15=15,IF(AM26="","",SUMPRODUCT(--ISNUMBER(SEARCH(" "&amp;DJ2264:DJ2363&amp;" ",DB26)))),"")</f>
        <v>0</v>
      </c>
      <c r="DA26" s="127" cm="1">
        <f t="array" ref="DA26">IF(15=15,IF(AM26="","",SUMPRODUCT(--ISNUMBER(SEARCH(" "&amp;DJ2364:DJ2406&amp;" ",DB26)))),"")</f>
        <v>0</v>
      </c>
      <c r="DB26" s="127" t="str">
        <f>IF(15=15,IF(AM26="","",SUBSTITUTE(SUBSTITUTE(SUBSTITUTE(SUBSTITUTE(SUBSTITUTE(SUBSTITUTE(SUBSTITUTE(SUBSTITUTE(SUBSTITUTE(SUBSTITUTE(SUBSTITUTE(SUBSTITUTE(SUBSTITUTE(SUBSTITUTE(SUBSTITUTE(SUBSTITUTE(AS26," "&amp;DJ2412&amp;" "," ")," "&amp;DJ2411&amp;" "," ")," "&amp;DJ2410&amp;" "," ")," "&amp;DJ2417&amp;" "," ")," "&amp;DJ2409&amp;" "," ")," "&amp;DJ2421&amp;" "," ")," "&amp;DJ2408&amp;" "," ")," "&amp;DJ2413&amp;" "," ")," "&amp;DJ2416&amp;" "," ")," "&amp;DJ2407&amp;" "," ")," "&amp;DJ2415&amp;" "," ")," "&amp;DJ2422&amp;" "," ")," "&amp;DJ2419&amp;" "," ")," "&amp;DJ2414&amp;" "," ")," "&amp;DJ2418&amp;" "," ")," "&amp;DJ2420&amp;" "," ")),"")</f>
        <v xml:space="preserve"> • 3 oeufs </v>
      </c>
      <c r="DC26" s="127" cm="1">
        <f t="array" ref="DC26">IF(15=15,IF(AM26="","",SUMPRODUCT(--ISNUMBER(SEARCH(" "&amp;DJ2423:DJ2427&amp;" ",DB26)))),"")</f>
        <v>0</v>
      </c>
      <c r="DD26" s="127" t="str">
        <f>IF(15=15,IF(AM26="","",IF(SUM(CY26:DA26)&gt;0,"X",IF(DC26&gt;0,"?",""))),"")</f>
        <v/>
      </c>
      <c r="DE26" s="152"/>
      <c r="DF26" s="160" t="s">
        <v>685</v>
      </c>
      <c r="DG26" s="160" t="s">
        <v>584</v>
      </c>
      <c r="DH26" s="160" t="s">
        <v>125</v>
      </c>
      <c r="DI26" s="160" t="s">
        <v>686</v>
      </c>
      <c r="DJ26" s="160" t="s">
        <v>178</v>
      </c>
      <c r="DK26" s="160" t="s">
        <v>588</v>
      </c>
      <c r="DL26" s="160" t="s">
        <v>589</v>
      </c>
      <c r="DM26" s="160" t="s">
        <v>590</v>
      </c>
      <c r="DN26" s="161" t="s">
        <v>591</v>
      </c>
      <c r="DP26" s="130">
        <v>1</v>
      </c>
    </row>
    <row r="27" spans="2:120" ht="30" customHeight="1">
      <c r="B27" s="165" t="str">
        <f t="shared" si="0"/>
        <v>• 30 g de farine</v>
      </c>
      <c r="C27" s="165" t="str">
        <f t="shared" si="1"/>
        <v>• 30 g de farine</v>
      </c>
      <c r="D27" s="165" t="str">
        <f>IF(UPPER(TRIM(N11))="X",C27,B27)</f>
        <v>• 30 g de farine</v>
      </c>
      <c r="E27" s="165" cm="1">
        <f t="array" ref="E27">IF(H26&lt;&gt;"",E26,IF(E26="","",IFERROR(MATCH(TRUE(),INDEX(INDEX(K:K,E26+1):K203&lt;&gt;"",0),0)+E26,"")))</f>
        <v>24</v>
      </c>
      <c r="F27" s="165" t="str" cm="1">
        <f t="array" ref="F27">IF(E27="","",IF(H26&lt;&gt;"",H26,INDEX(D:D,E27)))</f>
        <v>• 50 g de poudre d’amandes</v>
      </c>
      <c r="G27" s="165" t="str">
        <f t="shared" si="2"/>
        <v>• 50 g de poudre d’amandes</v>
      </c>
      <c r="H27" s="174" t="str">
        <f t="shared" si="3"/>
        <v/>
      </c>
      <c r="I27" s="184" t="str">
        <f>IF(AND(F27&lt;&gt;"",N10&gt;0,M27&gt;N10),"Mot &gt; limite","")</f>
        <v/>
      </c>
      <c r="J27" s="175">
        <f>IF(K27="","",COUNTIF(K18:K27,"&lt;&gt;"))</f>
        <v>10</v>
      </c>
      <c r="K27" s="111" t="s">
        <v>402</v>
      </c>
      <c r="L27" s="175">
        <f t="shared" si="4"/>
        <v>16</v>
      </c>
      <c r="M27" s="135">
        <f>IF(OR(F27="",N10="",N10&lt;=0),"",IF(LEN(F27)&lt;=N10,LEN(F27),IFERROR(FIND("♦",SUBSTITUTE(LEFT(F27,N10)," ","♦",LEN(LEFT(F27,N10))-LEN(SUBSTITUTE(LEFT(F27,N10)," ","")))),FIND(" ",F27&amp;" ",N10+1)-1)))</f>
        <v>26</v>
      </c>
      <c r="N27" s="176">
        <f t="shared" si="5"/>
        <v>10</v>
      </c>
      <c r="O27" s="177" t="str">
        <f t="shared" si="6"/>
        <v>• 50 g de poudre d’amandes</v>
      </c>
      <c r="P27" s="176">
        <f t="shared" si="7"/>
        <v>6</v>
      </c>
      <c r="Q27" s="176">
        <f t="shared" si="8"/>
        <v>26</v>
      </c>
      <c r="S27" s="178">
        <v>10</v>
      </c>
      <c r="T27" s="179" t="str">
        <f t="shared" si="10"/>
        <v>• 50 g de poudre d’amandes</v>
      </c>
      <c r="U27" s="180" t="str">
        <f t="shared" si="9"/>
        <v>• 50 g de poudre d’amandes *</v>
      </c>
      <c r="V27" s="181" t="str">
        <f>IF(16=16,IF(T27="","",IF(W27="X",""&amp;"Céréales contenant du gluten","")&amp;IF(X27="X",IF(COUNTIF(W27:W27,"X")&gt;0,", ","")&amp;"Crustacés","")&amp;IF(Y27="X",IF(COUNTIF(W27:X27,"X")&gt;0,", ","")&amp;"Œufs","")&amp;IF(Z27="X",IF(COUNTIF(W27:Y27,"X")&gt;0,", ","")&amp;"Poissons","")&amp;IF(AA27="X",IF(COUNTIF(W27:Z27,"X")&gt;0,", ","")&amp;"Arachides","")&amp;IF(AB27="X",IF(COUNTIF(W27:AA27,"X")&gt;0,", ","")&amp;"Soja","")&amp;IF(AC27="X",IF(COUNTIF(W27:AB27,"X")&gt;0,", ","")&amp;"Lait","")&amp;IF(AD27="X",IF(COUNTIF(W27:AC27,"X")&gt;0,", ","")&amp;"Fruits à coque","")&amp;IF(AE27="X",IF(COUNTIF(W27:AD27,"X")&gt;0,", ","")&amp;"Céleri","")&amp;IF(AF27="X",IF(COUNTIF(W27:AE27,"X")&gt;0,", ","")&amp;"Moutarde","")&amp;IF(AG27="X",IF(COUNTIF(W27:AF27,"X")&gt;0,", ","")&amp;"Sésame","")&amp;IF(AH27="X",IF(COUNTIF(W27:AG27,"X")&gt;0,", ","")&amp;"Sulfites","")&amp;IF(AI27="X",IF(COUNTIF(W27:AH27,"X")&gt;0,", ","")&amp;"Lupin","")&amp;IF(AJ27="X",IF(COUNTIF(W27:AI27,"X")&gt;0,", ","")&amp;"Mollusques","")),"")</f>
        <v>Fruits à coque</v>
      </c>
      <c r="W27" s="182" t="str">
        <f>IF(16=16,IF(T27="","",AX27),"")</f>
        <v/>
      </c>
      <c r="X27" s="182" t="str">
        <f>IF(16=16,IF(T27="","",BA27),"")</f>
        <v/>
      </c>
      <c r="Y27" s="182" t="str">
        <f>IF(16=16,IF(T27="","",BE27),"")</f>
        <v/>
      </c>
      <c r="Z27" s="182" t="str">
        <f>IF(16=16,IF(T27="","",IF(ISNUMBER(SEARCH(" colin ",AS27)),"X",BR27)),"")</f>
        <v/>
      </c>
      <c r="AA27" s="182" t="str">
        <f>IF(16=16,IF(T27="","",BT27),"")</f>
        <v/>
      </c>
      <c r="AB27" s="182" t="str">
        <f>IF(16=16,IF(T27="","",BX27),"")</f>
        <v/>
      </c>
      <c r="AC27" s="182" t="str">
        <f>IF(16=16,IF(T27="","",CE27),"")</f>
        <v/>
      </c>
      <c r="AD27" s="182" t="str">
        <f>IF(16=16,IF(T27="","",CI27),"")</f>
        <v>X</v>
      </c>
      <c r="AE27" s="182" t="str">
        <f>IF(16=16,IF(T27="","",CL27),"")</f>
        <v/>
      </c>
      <c r="AF27" s="182" t="str">
        <f>IF(16=16,IF(T27="","",CO27),"")</f>
        <v/>
      </c>
      <c r="AG27" s="182" t="str">
        <f>IF(16=16,IF(T27="","",CR27),"")</f>
        <v/>
      </c>
      <c r="AH27" s="182" t="str">
        <f>IF(16=16,IF(T27="","",CU27),"")</f>
        <v/>
      </c>
      <c r="AI27" s="182" t="str">
        <f>IF(16=16,IF(T27="","",CX27),"")</f>
        <v/>
      </c>
      <c r="AJ27" s="182" t="str">
        <f>IF(16=16,IF(T27="","",DD27),"")</f>
        <v/>
      </c>
      <c r="AK27" s="183" t="str">
        <f>IF(16=16,IF(T27="","",IF(W27="?",""&amp;"Céréales contenant du gluten","")&amp;IF(X27="?",IF(COUNTIF(W27:W27,"~?")&gt;0,", ","")&amp;"Crustacés","")&amp;IF(Y27="?",IF(COUNTIF(W27:X27,"~?")&gt;0,", ","")&amp;"Œufs","")&amp;IF(Z27="?",IF(COUNTIF(W27:Y27,"~?")&gt;0,", ","")&amp;"Poissons","")&amp;IF(AA27="?",IF(COUNTIF(W27:Z27,"~?")&gt;0,", ","")&amp;"Arachides","")&amp;IF(AB27="?",IF(COUNTIF(W27:AA27,"~?")&gt;0,", ","")&amp;"Soja","")&amp;IF(AC27="?",IF(COUNTIF(W27:AB27,"~?")&gt;0,", ","")&amp;"Lait","")&amp;IF(AD27="?",IF(COUNTIF(W27:AC27,"~?")&gt;0,", ","")&amp;"Fruits à coque","")&amp;IF(AE27="?",IF(COUNTIF(W27:AD27,"~?")&gt;0,", ","")&amp;"Céleri","")&amp;IF(AF27="?",IF(COUNTIF(W27:AE27,"~?")&gt;0,", ","")&amp;"Moutarde","")&amp;IF(AG27="?",IF(COUNTIF(W27:AF27,"~?")&gt;0,", ","")&amp;"Sésame","")&amp;IF(AH27="?",IF(COUNTIF(W27:AG27,"~?")&gt;0,", ","")&amp;"Sulfites","")&amp;IF(AI27="?",IF(COUNTIF(W27:AH27,"~?")&gt;0,", ","")&amp;"Lupin","")&amp;IF(AJ27="?",IF(COUNTIF(W27:AI27,"~?")&gt;0,", ","")&amp;"Mollusques","")),"")</f>
        <v/>
      </c>
      <c r="AM27" s="127" t="str">
        <f>IF(16=16,IF(T27="","",T27),"")</f>
        <v>• 50 g de poudre d’amandes</v>
      </c>
      <c r="AN27" s="127" t="str">
        <f>IF(16=16,LOWER(CLEAN(SUBSTITUTE(SUBSTITUTE(SUBSTITUTE(SUBSTITUTE(AM27,CHAR(160)," ")," "," "),CHAR(10)," "),CHAR(13)," "))),"")</f>
        <v>• 50 g de poudre d’amandes</v>
      </c>
      <c r="AO27" s="127" t="str">
        <f>IF(16=16,SUBSTITUTE(SUBSTITUTE(SUBSTITUTE(SUBSTITUTE(SUBSTITUTE(SUBSTITUTE(SUBSTITUTE(SUBSTITUTE(SUBSTITUTE(SUBSTITUTE(SUBSTITUTE(SUBSTITUTE(AN27,"œ","oe"),"æ","ae"),"à","a"),"á","a"),"â","a"),"ä","a"),"ã","a"),"ç","c"),"è","e"),"é","e"),"ê","e"),"ë","e"),"")</f>
        <v>• 50 g de poudre d’amandes</v>
      </c>
      <c r="AP27" s="127" t="str">
        <f>IF(16=16,SUBSTITUTE(SUBSTITUTE(SUBSTITUTE(SUBSTITUTE(SUBSTITUTE(SUBSTITUTE(SUBSTITUTE(SUBSTITUTE(SUBSTITUTE(SUBSTITUTE(SUBSTITUTE(SUBSTITUTE(SUBSTITUTE(SUBSTITUTE(SUBSTITUTE(SUBSTITUTE(AO27,"ì","i"),"í","i"),"î","i"),"ï","i"),"ñ","n"),"ò","o"),"ó","o"),"ô","o"),"ö","o"),"õ","o"),"ù","u"),"ú","u"),"û","u"),"ü","u"),"ý","y"),"ÿ","y"),"")</f>
        <v>• 50 g de poudre d’amandes</v>
      </c>
      <c r="AQ27" s="127" t="str">
        <f>IF(16=16,SUBSTITUTE(SUBSTITUTE(SUBSTITUTE(SUBSTITUTE(SUBSTITUTE(SUBSTITUTE(SUBSTITUTE(SUBSTITUTE(SUBSTITUTE(SUBSTITUTE(SUBSTITUTE(SUBSTITUTE(SUBSTITUTE(SUBSTITUTE(AP27,"’"," "),"`"," "),"–"," "),"—"," "),"-"," "),"'"," "),"/"," "),"_"," "),","," "),"."," "),"("," "),")"," "),";"," "),":"," "),"")</f>
        <v>• 50 g de poudre d amandes</v>
      </c>
      <c r="AR27" s="127" t="str">
        <f>IF(16=16,SUBSTITUTE(SUBSTITUTE(SUBSTITUTE(SUBSTITUTE(SUBSTITUTE(SUBSTITUTE(SUBSTITUTE(SUBSTITUTE(SUBSTITUTE(SUBSTITUTE(SUBSTITUTE(SUBSTITUTE(SUBSTITUTE(SUBSTITUTE(SUBSTITUTE(AQ27,"!"," "),"?"," "),"+"," "),"*"," "),"&amp;"," "),"["," "),"]"," "),"{"," "),"}"," "),"%"," "),"="," "),"\"," "),"|"," "),"&lt;"," "),"&gt;"," "),"")</f>
        <v>• 50 g de poudre d amandes</v>
      </c>
      <c r="AS27" s="127" t="str">
        <f>IF(16=16," "&amp;TRIM(SUBSTITUTE(SUBSTITUTE(SUBSTITUTE(SUBSTITUTE(SUBSTITUTE(SUBSTITUTE(AR27,CHAR(34)," "),"  "," "),"  "," "),"  "," "),"  "," "),"  "," "))&amp;" ","")</f>
        <v xml:space="preserve"> • 50 g de poudre d amandes </v>
      </c>
      <c r="AT27" s="127" cm="1">
        <f t="array" ref="AT27">IF(16=16,IF(AM27="","",SUMPRODUCT(--ISNUMBER(SEARCH(" "&amp;DJ13:DJ112&amp;" ",AV27)))),"")</f>
        <v>0</v>
      </c>
      <c r="AU27" s="127" cm="1">
        <f t="array" ref="AU27">IF(16=16,IF(AM27="","",SUMPRODUCT(--ISNUMBER(SEARCH(" "&amp;DJ113:DJ162&amp;" ",AV27)))),"")</f>
        <v>0</v>
      </c>
      <c r="AV27" s="127" t="str">
        <f>IF(AM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50 g de poudre d amandes </v>
      </c>
      <c r="AW27" s="127" cm="1">
        <f t="array" ref="AW27">IF(AM27="","",SUMPRODUCT(--ISNUMBER(SEARCH(" "&amp;DJ195:DJ216&amp;" ",AV27)))+--ISNUMBER(SEARCH(" "&amp;DJ2465&amp;" ",AV27)))</f>
        <v>0</v>
      </c>
      <c r="AX27" s="127" t="str" cm="1">
        <f t="array" ref="AX27">IF(16=16,IF(AM27="","",IF(SUM(AT27:AU27)+SUMPRODUCT(--ISNUMBER(SEARCH(" "&amp;DJ2429:DJ2431&amp;" ",AV27)))&gt;0,"X",IF(AW27&gt;0,"?",""))),"")</f>
        <v/>
      </c>
      <c r="AY27" s="127" cm="1">
        <f t="array" ref="AY27">IF(16=16,IF(AM27="","",SUMPRODUCT(--ISNUMBER(SEARCH(" "&amp;DJ217:DJ316&amp;" ",AS27)))),"")</f>
        <v>0</v>
      </c>
      <c r="AZ27" s="127" cm="1">
        <f t="array" ref="AZ27">IF(16=16,IF(AM27="","",SUMPRODUCT(--ISNUMBER(SEARCH(" "&amp;DJ317:DJ351&amp;" ",AS27)))),"")</f>
        <v>0</v>
      </c>
      <c r="BA27" s="127" t="str">
        <f>IF(16=16,IF(AM27="","",IF((SUM(AY27:AZ27))-(0)&gt;0,"X",IF((0)-(0)&gt;0,"?",""))),"")</f>
        <v/>
      </c>
      <c r="BB27" s="127" cm="1">
        <f t="array" ref="BB27">IF(16=16,IF(AM27="","",SUMPRODUCT(--ISNUMBER(SEARCH(" "&amp;DJ352:DJ409&amp;" ",AS27)))),"")</f>
        <v>0</v>
      </c>
      <c r="BC27" s="127" cm="1">
        <f t="array" ref="BC27">IF(16=16,IF(AM27="","",SUMPRODUCT(--ISNUMBER(SEARCH(" "&amp;DJ410:DJ437&amp;" ",BD27)))+SUMPRODUCT(--ISNUMBER(SEARCH(" "&amp;DJ2451:DJ2464&amp;" ",BD27)))),"")</f>
        <v>0</v>
      </c>
      <c r="BD27" s="127" t="str">
        <f>IF(16=16,IF(AM27="","",SUBSTITUTE(SUBSTITUTE(SUBSTITUTE(SUBSTITUTE(SUBSTITUTE(SUBSTITUTE(SUBSTITUTE(SUBSTITUTE(SUBSTITUTE(SUBSTITUTE(SUBSTITUTE(SUBSTITUTE(SUBSTITUTE(SUBSTITUTE(AS27," "&amp;DJ2466&amp;" "," ")," "&amp;DJ444&amp;" "," ")," "&amp;DJ442&amp;" "," ")," "&amp;DJ2449&amp;" "," ")," "&amp;DJ2450&amp;" "," ")," "&amp;DJ439&amp;" "," ")," "&amp;DJ443&amp;" "," ")," "&amp;DJ445&amp;" "," ")," "&amp;DJ440&amp;" "," ")," "&amp;DJ438&amp;" "," ")," "&amp;DJ1378&amp;" "," ")," "&amp;DJ446&amp;" "," ")," "&amp;DJ1377&amp;" "," ")," "&amp;DJ441&amp;" "," ")),"")</f>
        <v xml:space="preserve"> • 50 g de poudre d amandes </v>
      </c>
      <c r="BE27" s="127" t="str">
        <f>IF(16=16,IF(AM27="","",IF(BB27&gt;0,"X",IF(BC27&gt;0,"?",""))),"")</f>
        <v/>
      </c>
      <c r="BF27" s="127" cm="1">
        <f t="array" ref="BF27">IF(16=16,IF(AM27="","",SUMPRODUCT(--ISNUMBER(SEARCH(" "&amp;DJ447:DJ546&amp;" ",BP27)))),"")</f>
        <v>0</v>
      </c>
      <c r="BG27" s="127" cm="1">
        <f t="array" ref="BG27">IF(16=16,IF(AM27="","",SUMPRODUCT(--ISNUMBER(SEARCH(" "&amp;DJ547:DJ646&amp;" ",BP27)))),"")</f>
        <v>0</v>
      </c>
      <c r="BH27" s="127" cm="1">
        <f t="array" ref="BH27">IF(16=16,IF(AM27="","",SUMPRODUCT(--ISNUMBER(SEARCH(" "&amp;DJ647:DJ746&amp;" ",BP27)))),"")</f>
        <v>0</v>
      </c>
      <c r="BI27" s="127" cm="1">
        <f t="array" ref="BI27">IF(16=16,IF(AM27="","",SUMPRODUCT(--ISNUMBER(SEARCH(" "&amp;DJ747:DJ846&amp;" ",BP27)))),"")</f>
        <v>0</v>
      </c>
      <c r="BJ27" s="127" cm="1">
        <f t="array" ref="BJ27">IF(16=16,IF(AM27="","",SUMPRODUCT(--ISNUMBER(SEARCH(" "&amp;DJ847:DJ946&amp;" ",BP27)))),"")</f>
        <v>0</v>
      </c>
      <c r="BK27" s="127" cm="1">
        <f t="array" ref="BK27">IF(16=16,IF(AM27="","",SUMPRODUCT(--ISNUMBER(SEARCH(" "&amp;DJ947:DJ1046&amp;" ",BP27)))),"")</f>
        <v>0</v>
      </c>
      <c r="BL27" s="127" cm="1">
        <f t="array" ref="BL27">IF(16=16,IF(AM27="","",SUMPRODUCT(--ISNUMBER(SEARCH(" "&amp;DJ1047:DJ1146&amp;" ",BP27)))),"")</f>
        <v>0</v>
      </c>
      <c r="BM27" s="127" cm="1">
        <f t="array" ref="BM27">IF(16=16,IF(AM27="","",SUMPRODUCT(--ISNUMBER(SEARCH(" "&amp;DJ1147:DJ1246&amp;" ",BP27)))),"")</f>
        <v>0</v>
      </c>
      <c r="BN27" s="127" cm="1">
        <f t="array" ref="BN27">IF(16=16,IF(AM27="","",SUMPRODUCT(--ISNUMBER(SEARCH(" "&amp;DJ1247:DJ1346&amp;" ",BP27)))),"")</f>
        <v>0</v>
      </c>
      <c r="BO27" s="127" cm="1">
        <f t="array" ref="BO27">IF(16=16,IF(AM27="","",SUMPRODUCT(--ISNUMBER(SEARCH(" "&amp;DJ1347:DJ1374&amp;" ",BP27)))),"")</f>
        <v>0</v>
      </c>
      <c r="BP27" s="127" t="str">
        <f>IF(16=16,IF(AM27="","",SUBSTITUTE(SUBSTITUTE(SUBSTITUTE(SUBSTITUTE(SUBSTITUTE(SUBSTITUTE(SUBSTITUTE(SUBSTITUTE(SUBSTITUTE(AS27," "&amp;DJ1376&amp;" "," ")," "&amp;DJ1375&amp;" "," ")," "&amp;DJ1381&amp;" "," ")," "&amp;DJ1382&amp;" "," ")," "&amp;DJ1378&amp;" "," ")," "&amp;DJ1380&amp;" "," ")," "&amp;DJ1377&amp;" "," ")," "&amp;DJ1379&amp;" "," ")," "&amp;DJ1383&amp;" "," ")),"")</f>
        <v xml:space="preserve"> • 50 g de poudre d amandes </v>
      </c>
      <c r="BQ27" s="127" cm="1">
        <f t="array" ref="BQ27">IF(16=16,IF(AM27="","",SUMPRODUCT(--ISNUMBER(SEARCH(" "&amp;DJ1384:DJ1394&amp;" ",BP27)))),"")</f>
        <v>0</v>
      </c>
      <c r="BR27" s="127" t="str" cm="1">
        <f t="array" ref="BR27">IF(16=16,IF(AM27="","",IF(SUM(BF27:BO27)+SUMPRODUCT(--ISNUMBER(SEARCH(" "&amp;DJ2432:DJ2433&amp;" ",BP27)))&gt;0,"X",IF(BQ27&gt;0,"?",""))),"")</f>
        <v/>
      </c>
      <c r="BS27" s="127" cm="1">
        <f t="array" ref="BS27">IF(16=16,IF(AM27="","",SUMPRODUCT(--ISNUMBER(SEARCH(" "&amp;DJ1395:DJ1415&amp;" ",AS27)))),"")</f>
        <v>0</v>
      </c>
      <c r="BT27" s="127" t="str">
        <f>IF(16=16,IF(AM27="","",IF((BS27)-(0)&gt;0,"X",IF((0)-(0)&gt;0,"?",""))),"")</f>
        <v/>
      </c>
      <c r="BU27" s="127" cm="1">
        <f t="array" ref="BU27">IF(16=16,IF(AM27="","",SUMPRODUCT(--ISNUMBER(SEARCH(" "&amp;DJ1416:DJ1453&amp;" ",BV27)))),"")</f>
        <v>0</v>
      </c>
      <c r="BV27" s="127" t="str">
        <f>IF(16=16,IF(AM27="","",SUBSTITUTE(SUBSTITUTE(AS27," "&amp;DJ1454&amp;" "," ")," "&amp;DJ1455&amp;" "," ")),"")</f>
        <v xml:space="preserve"> • 50 g de poudre d amandes </v>
      </c>
      <c r="BW27" s="127" cm="1">
        <f t="array" ref="BW27">IF(16=16,IF(AM27="","",SUMPRODUCT(--ISNUMBER(SEARCH(" "&amp;DJ1456:DJ1466&amp;" ",BV27)))),"")</f>
        <v>0</v>
      </c>
      <c r="BX27" s="127" t="str">
        <f>IF(16=16,IF(AM27="","",IF(BU27&gt;0,"X",IF(BW27&gt;0,"?",""))),"")</f>
        <v/>
      </c>
      <c r="BY27" s="127" cm="1">
        <f t="array" ref="BY27">IF(16=16,IF(AM27="","",SUMPRODUCT(--ISNUMBER(SEARCH(" "&amp;DJ1467:DJ1566&amp;" ",CB27)))),"")</f>
        <v>0</v>
      </c>
      <c r="BZ27" s="127" cm="1">
        <f t="array" ref="BZ27">IF(16=16,IF(AM27="","",SUMPRODUCT(--ISNUMBER(SEARCH(" "&amp;DJ1567:DJ1666&amp;" ",CB27)))),"")</f>
        <v>0</v>
      </c>
      <c r="CA27" s="127" cm="1">
        <f t="array" ref="CA27">IF(16=16,IF(AM27="","",SUMPRODUCT(--ISNUMBER(SEARCH(" "&amp;DJ1667:DJ1750&amp;" ",CB27)))),"")</f>
        <v>0</v>
      </c>
      <c r="CB27" s="127" t="str">
        <f>IF(16=16,IF(AM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50 g de poudre d amandes </v>
      </c>
      <c r="CC27" s="127" cm="1">
        <f t="array" ref="CC27">IF(16=16,IF(AM27="","",SUMPRODUCT(--ISNUMBER(SEARCH(" "&amp;DJ1801:DJ1880&amp;" ",CD27)))+SUMPRODUCT(--ISNUMBER(SEARCH(" "&amp;DJ2451:DJ2464&amp;" ",CD27)))),"")</f>
        <v>0</v>
      </c>
      <c r="CD27" s="127" t="str">
        <f>IF(16=16,IF(AM27="","",SUBSTITUTE(SUBSTITUTE(SUBSTITUTE(SUBSTITUTE(SUBSTITUTE(SUBSTITUTE(SUBSTITUTE(SUBSTITUTE(SUBSTITUTE(SUBSTITUTE(SUBSTITUTE(SUBSTITUTE(SUBSTITUTE(CB27," "&amp;DJ1887&amp;" "," ")," "&amp;DJ1885&amp;" "," ")," "&amp;DJ2449&amp;" "," ")," "&amp;DJ2450&amp;" "," ")," "&amp;DJ1882&amp;" "," ")," "&amp;DJ1886&amp;" "," ")," "&amp;DJ1888&amp;" "," ")," "&amp;DJ1883&amp;" "," ")," "&amp;DJ1881&amp;" "," ")," "&amp;DJ1378&amp;" "," ")," "&amp;DJ1889&amp;" "," ")," "&amp;DJ1377&amp;" "," ")," "&amp;DJ1884&amp;" "," ")),"")</f>
        <v xml:space="preserve"> • 50 g de poudre d amandes </v>
      </c>
      <c r="CE27" s="127" t="str" cm="1">
        <f t="array" ref="CE27">IF(16=16,IF(AM27="","",IF(SUM(BY27:CA27)+SUMPRODUCT(--ISNUMBER(SEARCH(" "&amp;DJ2434:DJ2435&amp;" ",CB27)))&gt;0,"X",IF(CC27&gt;0,"?",""))),"")</f>
        <v/>
      </c>
      <c r="CF27" s="127" cm="1">
        <f t="array" ref="CF27">IF(16=16,IF(AM27="","",SUMPRODUCT(--ISNUMBER(SEARCH(" "&amp;DJ1890:DJ1947&amp;" ",CG27)))),"")</f>
        <v>1</v>
      </c>
      <c r="CG27" s="127" t="str">
        <f>IF(16=16,IF(AM27="","",SUBSTITUTE(SUBSTITUTE(SUBSTITUTE(SUBSTITUTE(SUBSTITUTE(SUBSTITUTE(SUBSTITUTE(SUBSTITUTE(SUBSTITUTE(SUBSTITUTE(SUBSTITUTE(SUBSTITUTE(SUBSTITUTE(SUBSTITUTE(SUBSTITUTE(SUBSTITUTE(SUBSTITUTE(SUBSTITUTE(SUBSTITUTE(SUBSTITUTE(SUBSTITUTE(SUBSTITUTE(SUBSTITUTE(AS27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50 g de poudre d amandes </v>
      </c>
      <c r="CH27" s="127" cm="1">
        <f t="array" ref="CH27">IF(16=16,IF(AM27="","",SUMPRODUCT(--ISNUMBER(SEARCH(" "&amp;DJ1971:DJ1987&amp;" ",CG27)))),"")</f>
        <v>0</v>
      </c>
      <c r="CI27" s="127" t="str">
        <f>IF(16=16,IF(AM27="","",IF(CF27&gt;0,"X",IF(CH27&gt;0,"?",""))),"")</f>
        <v>X</v>
      </c>
      <c r="CJ27" s="127" cm="1">
        <f t="array" ref="CJ27">IF(16=16,IF(AM27="","",SUMPRODUCT(--ISNUMBER(SEARCH(" "&amp;DJ1988:DJ2001&amp;" ",AS27)))),"")</f>
        <v>0</v>
      </c>
      <c r="CK27" s="127" cm="1">
        <f t="array" ref="CK27">IF(16=16,IF(AM27="","",SUMPRODUCT(--ISNUMBER(SEARCH(" "&amp;DJ2002:DJ2016&amp;" ",AS27)))),"")</f>
        <v>0</v>
      </c>
      <c r="CL27" s="127" t="str">
        <f>IF(16=16,IF(AM27="","",IF((CJ27)-(0)&gt;0,"X",IF((CK27)-(0)&gt;0,"?",""))),"")</f>
        <v/>
      </c>
      <c r="CM27" s="127" cm="1">
        <f t="array" ref="CM27">IF(16=16,IF(AM27="","",SUMPRODUCT(--ISNUMBER(SEARCH(" "&amp;DJ2017:DJ2034&amp;" ",AS27)))),"")</f>
        <v>0</v>
      </c>
      <c r="CN27" s="127" cm="1">
        <f t="array" ref="CN27">IF(16=16,IF(AM27="","",SUMPRODUCT(--ISNUMBER(SEARCH(" "&amp;DJ2035:DJ2049&amp;" ",AS27)))),"")</f>
        <v>0</v>
      </c>
      <c r="CO27" s="127" t="str">
        <f>IF(16=16,IF(AM27="","",IF((CM27)-(0)&gt;0,"X",IF((CN27)-(0)&gt;0,"?",""))),"")</f>
        <v/>
      </c>
      <c r="CP27" s="127" cm="1">
        <f t="array" ref="CP27">IF(16=16,IF(AM27="","",SUMPRODUCT(--ISNUMBER(SEARCH(" "&amp;DJ2050:DJ2068&amp;" ",AS27)))),"")</f>
        <v>0</v>
      </c>
      <c r="CQ27" s="127" cm="1">
        <f t="array" ref="CQ27">IF(16=16,IF(AM27="","",SUMPRODUCT(--ISNUMBER(SEARCH(" "&amp;DJ2069:DJ2083&amp;" ",AS27)))),"")</f>
        <v>0</v>
      </c>
      <c r="CR27" s="127" t="str">
        <f>IF(16=16,IF(AM27="","",IF((CP27)-(0)&gt;0,"X",IF((CQ27)-(0)&gt;0,"?",""))),"")</f>
        <v/>
      </c>
      <c r="CS27" s="127" cm="1">
        <f t="array" ref="CS27">IF(16=16,IF(AM27="","",SUMPRODUCT(--ISNUMBER(SEARCH(" "&amp;DJ2084:DJ2104&amp;" ",AS27)))),"")</f>
        <v>0</v>
      </c>
      <c r="CT27" s="127" cm="1">
        <f t="array" ref="CT27">IF(16=16,IF(AM27="","",SUMPRODUCT(--ISNUMBER(SEARCH(" "&amp;DJ2105:DJ2144&amp;" ",SUBSTITUTE(SUBSTITUTE(AS27," "&amp;DJ1378&amp;" "," ")," "&amp;DJ1377&amp;" "," "))))+--ISNUMBER(SEARCH("poiré",AN27))),"")</f>
        <v>0</v>
      </c>
      <c r="CU27" s="127" t="str">
        <f>IF(16=16,IF(AM27="","",IF(OR(CS27&gt;0,ISNUMBER(SEARCH(" vinaigre de vin ",AS27)),ISNUMBER(SEARCH(" vinaigre au vin ",AS27))),"X",IF(CT27&gt;0,"?",""))),"")</f>
        <v/>
      </c>
      <c r="CV27" s="127" cm="1">
        <f t="array" ref="CV27">IF(16=16,IF(AM27="","",SUMPRODUCT(--ISNUMBER(SEARCH(" "&amp;DJ2145:DJ2157&amp;" ",AS27)))),"")</f>
        <v>0</v>
      </c>
      <c r="CW27" s="127" cm="1">
        <f t="array" ref="CW27">IF(16=16,IF(AM27="","",SUMPRODUCT(--ISNUMBER(SEARCH(" "&amp;DJ2158:DJ2163&amp;" ",AS27)))),"")</f>
        <v>0</v>
      </c>
      <c r="CX27" s="127" t="str">
        <f>IF(16=16,IF(AM27="","",IF((CV27)-(0)&gt;0,"X",IF((CW27)-(0)&gt;0,"?",""))),"")</f>
        <v/>
      </c>
      <c r="CY27" s="127" cm="1">
        <f t="array" ref="CY27">IF(16=16,IF(AM27="","",SUMPRODUCT(--ISNUMBER(SEARCH(" "&amp;DJ2164:DJ2263&amp;" ",DB27)))),"")</f>
        <v>0</v>
      </c>
      <c r="CZ27" s="127" cm="1">
        <f t="array" ref="CZ27">IF(16=16,IF(AM27="","",SUMPRODUCT(--ISNUMBER(SEARCH(" "&amp;DJ2264:DJ2363&amp;" ",DB27)))),"")</f>
        <v>0</v>
      </c>
      <c r="DA27" s="127" cm="1">
        <f t="array" ref="DA27">IF(16=16,IF(AM27="","",SUMPRODUCT(--ISNUMBER(SEARCH(" "&amp;DJ2364:DJ2406&amp;" ",DB27)))),"")</f>
        <v>0</v>
      </c>
      <c r="DB27" s="127" t="str">
        <f>IF(16=16,IF(AM27="","",SUBSTITUTE(SUBSTITUTE(SUBSTITUTE(SUBSTITUTE(SUBSTITUTE(SUBSTITUTE(SUBSTITUTE(SUBSTITUTE(SUBSTITUTE(SUBSTITUTE(SUBSTITUTE(SUBSTITUTE(SUBSTITUTE(SUBSTITUTE(SUBSTITUTE(SUBSTITUTE(AS27," "&amp;DJ2412&amp;" "," ")," "&amp;DJ2411&amp;" "," ")," "&amp;DJ2410&amp;" "," ")," "&amp;DJ2417&amp;" "," ")," "&amp;DJ2409&amp;" "," ")," "&amp;DJ2421&amp;" "," ")," "&amp;DJ2408&amp;" "," ")," "&amp;DJ2413&amp;" "," ")," "&amp;DJ2416&amp;" "," ")," "&amp;DJ2407&amp;" "," ")," "&amp;DJ2415&amp;" "," ")," "&amp;DJ2422&amp;" "," ")," "&amp;DJ2419&amp;" "," ")," "&amp;DJ2414&amp;" "," ")," "&amp;DJ2418&amp;" "," ")," "&amp;DJ2420&amp;" "," ")),"")</f>
        <v xml:space="preserve"> • 50 g de poudre d amandes </v>
      </c>
      <c r="DC27" s="127" cm="1">
        <f t="array" ref="DC27">IF(16=16,IF(AM27="","",SUMPRODUCT(--ISNUMBER(SEARCH(" "&amp;DJ2423:DJ2427&amp;" ",DB27)))),"")</f>
        <v>0</v>
      </c>
      <c r="DD27" s="127" t="str">
        <f>IF(16=16,IF(AM27="","",IF(SUM(CY27:DA27)&gt;0,"X",IF(DC27&gt;0,"?",""))),"")</f>
        <v/>
      </c>
      <c r="DE27" s="152"/>
      <c r="DF27" s="160" t="s">
        <v>687</v>
      </c>
      <c r="DG27" s="160" t="s">
        <v>584</v>
      </c>
      <c r="DH27" s="160" t="s">
        <v>125</v>
      </c>
      <c r="DI27" s="160" t="s">
        <v>179</v>
      </c>
      <c r="DJ27" s="160" t="s">
        <v>179</v>
      </c>
      <c r="DK27" s="160" t="s">
        <v>588</v>
      </c>
      <c r="DL27" s="160" t="s">
        <v>589</v>
      </c>
      <c r="DM27" s="160" t="s">
        <v>590</v>
      </c>
      <c r="DN27" s="161" t="s">
        <v>591</v>
      </c>
      <c r="DP27" s="130">
        <v>1</v>
      </c>
    </row>
    <row r="28" spans="2:120" ht="30" customHeight="1">
      <c r="B28" s="165" t="str">
        <f t="shared" si="0"/>
        <v>• 15 cl de crème liquide</v>
      </c>
      <c r="C28" s="165" t="str">
        <f t="shared" si="1"/>
        <v>• 15 cl de crème liquide</v>
      </c>
      <c r="D28" s="165" t="str">
        <f>IF(UPPER(TRIM(N11))="X",C28,B28)</f>
        <v>• 15 cl de crème liquide</v>
      </c>
      <c r="E28" s="165" cm="1">
        <f t="array" ref="E28">IF(H27&lt;&gt;"",E27,IF(E27="","",IFERROR(MATCH(TRUE(),INDEX(INDEX(K:K,E27+1):K203&lt;&gt;"",0),0)+E27,"")))</f>
        <v>25</v>
      </c>
      <c r="F28" s="165" t="str" cm="1">
        <f t="array" ref="F28">IF(E28="","",IF(H27&lt;&gt;"",H27,INDEX(D:D,E28)))</f>
        <v>• 50 g d’amandes effilées</v>
      </c>
      <c r="G28" s="165" t="str">
        <f t="shared" si="2"/>
        <v>• 50 g d’amandes effilées</v>
      </c>
      <c r="H28" s="174" t="str">
        <f t="shared" si="3"/>
        <v/>
      </c>
      <c r="I28" s="184" t="str">
        <f>IF(AND(F28&lt;&gt;"",N10&gt;0,M28&gt;N10),"Mot &gt; limite","")</f>
        <v/>
      </c>
      <c r="J28" s="175">
        <f>IF(K28="","",COUNTIF(K18:K28,"&lt;&gt;"))</f>
        <v>11</v>
      </c>
      <c r="K28" s="111" t="s">
        <v>403</v>
      </c>
      <c r="L28" s="175">
        <f t="shared" si="4"/>
        <v>24</v>
      </c>
      <c r="M28" s="135">
        <f>IF(OR(F28="",N10="",N10&lt;=0),"",IF(LEN(F28)&lt;=N10,LEN(F28),IFERROR(FIND("♦",SUBSTITUTE(LEFT(F28,N10)," ","♦",LEN(LEFT(F28,N10))-LEN(SUBSTITUTE(LEFT(F28,N10)," ","")))),FIND(" ",F28&amp;" ",N10+1)-1)))</f>
        <v>25</v>
      </c>
      <c r="N28" s="176">
        <f t="shared" si="5"/>
        <v>11</v>
      </c>
      <c r="O28" s="177" t="str">
        <f t="shared" si="6"/>
        <v>• 50 g d’amandes effilées</v>
      </c>
      <c r="P28" s="176">
        <f t="shared" si="7"/>
        <v>5</v>
      </c>
      <c r="Q28" s="176">
        <f t="shared" si="8"/>
        <v>25</v>
      </c>
      <c r="S28" s="178">
        <v>11</v>
      </c>
      <c r="T28" s="179" t="str">
        <f t="shared" si="10"/>
        <v>• 50 g d’amandes effilées</v>
      </c>
      <c r="U28" s="180" t="str">
        <f t="shared" si="9"/>
        <v>• 50 g d’amandes effilées *</v>
      </c>
      <c r="V28" s="181" t="str">
        <f>IF(17=17,IF(T28="","",IF(W28="X",""&amp;"Céréales contenant du gluten","")&amp;IF(X28="X",IF(COUNTIF(W28:W28,"X")&gt;0,", ","")&amp;"Crustacés","")&amp;IF(Y28="X",IF(COUNTIF(W28:X28,"X")&gt;0,", ","")&amp;"Œufs","")&amp;IF(Z28="X",IF(COUNTIF(W28:Y28,"X")&gt;0,", ","")&amp;"Poissons","")&amp;IF(AA28="X",IF(COUNTIF(W28:Z28,"X")&gt;0,", ","")&amp;"Arachides","")&amp;IF(AB28="X",IF(COUNTIF(W28:AA28,"X")&gt;0,", ","")&amp;"Soja","")&amp;IF(AC28="X",IF(COUNTIF(W28:AB28,"X")&gt;0,", ","")&amp;"Lait","")&amp;IF(AD28="X",IF(COUNTIF(W28:AC28,"X")&gt;0,", ","")&amp;"Fruits à coque","")&amp;IF(AE28="X",IF(COUNTIF(W28:AD28,"X")&gt;0,", ","")&amp;"Céleri","")&amp;IF(AF28="X",IF(COUNTIF(W28:AE28,"X")&gt;0,", ","")&amp;"Moutarde","")&amp;IF(AG28="X",IF(COUNTIF(W28:AF28,"X")&gt;0,", ","")&amp;"Sésame","")&amp;IF(AH28="X",IF(COUNTIF(W28:AG28,"X")&gt;0,", ","")&amp;"Sulfites","")&amp;IF(AI28="X",IF(COUNTIF(W28:AH28,"X")&gt;0,", ","")&amp;"Lupin","")&amp;IF(AJ28="X",IF(COUNTIF(W28:AI28,"X")&gt;0,", ","")&amp;"Mollusques","")),"")</f>
        <v>Fruits à coque</v>
      </c>
      <c r="W28" s="182" t="str">
        <f>IF(17=17,IF(T28="","",AX28),"")</f>
        <v/>
      </c>
      <c r="X28" s="182" t="str">
        <f>IF(17=17,IF(T28="","",BA28),"")</f>
        <v/>
      </c>
      <c r="Y28" s="182" t="str">
        <f>IF(17=17,IF(T28="","",BE28),"")</f>
        <v/>
      </c>
      <c r="Z28" s="182" t="str">
        <f>IF(17=17,IF(T28="","",IF(ISNUMBER(SEARCH(" colin ",AS28)),"X",BR28)),"")</f>
        <v/>
      </c>
      <c r="AA28" s="182" t="str">
        <f>IF(17=17,IF(T28="","",BT28),"")</f>
        <v/>
      </c>
      <c r="AB28" s="182" t="str">
        <f>IF(17=17,IF(T28="","",BX28),"")</f>
        <v/>
      </c>
      <c r="AC28" s="182" t="str">
        <f>IF(17=17,IF(T28="","",CE28),"")</f>
        <v/>
      </c>
      <c r="AD28" s="182" t="str">
        <f>IF(17=17,IF(T28="","",CI28),"")</f>
        <v>X</v>
      </c>
      <c r="AE28" s="182" t="str">
        <f>IF(17=17,IF(T28="","",CL28),"")</f>
        <v/>
      </c>
      <c r="AF28" s="182" t="str">
        <f>IF(17=17,IF(T28="","",CO28),"")</f>
        <v/>
      </c>
      <c r="AG28" s="182" t="str">
        <f>IF(17=17,IF(T28="","",CR28),"")</f>
        <v/>
      </c>
      <c r="AH28" s="182" t="str">
        <f>IF(17=17,IF(T28="","",CU28),"")</f>
        <v/>
      </c>
      <c r="AI28" s="182" t="str">
        <f>IF(17=17,IF(T28="","",CX28),"")</f>
        <v/>
      </c>
      <c r="AJ28" s="182" t="str">
        <f>IF(17=17,IF(T28="","",DD28),"")</f>
        <v/>
      </c>
      <c r="AK28" s="183" t="str">
        <f>IF(17=17,IF(T28="","",IF(W28="?",""&amp;"Céréales contenant du gluten","")&amp;IF(X28="?",IF(COUNTIF(W28:W28,"~?")&gt;0,", ","")&amp;"Crustacés","")&amp;IF(Y28="?",IF(COUNTIF(W28:X28,"~?")&gt;0,", ","")&amp;"Œufs","")&amp;IF(Z28="?",IF(COUNTIF(W28:Y28,"~?")&gt;0,", ","")&amp;"Poissons","")&amp;IF(AA28="?",IF(COUNTIF(W28:Z28,"~?")&gt;0,", ","")&amp;"Arachides","")&amp;IF(AB28="?",IF(COUNTIF(W28:AA28,"~?")&gt;0,", ","")&amp;"Soja","")&amp;IF(AC28="?",IF(COUNTIF(W28:AB28,"~?")&gt;0,", ","")&amp;"Lait","")&amp;IF(AD28="?",IF(COUNTIF(W28:AC28,"~?")&gt;0,", ","")&amp;"Fruits à coque","")&amp;IF(AE28="?",IF(COUNTIF(W28:AD28,"~?")&gt;0,", ","")&amp;"Céleri","")&amp;IF(AF28="?",IF(COUNTIF(W28:AE28,"~?")&gt;0,", ","")&amp;"Moutarde","")&amp;IF(AG28="?",IF(COUNTIF(W28:AF28,"~?")&gt;0,", ","")&amp;"Sésame","")&amp;IF(AH28="?",IF(COUNTIF(W28:AG28,"~?")&gt;0,", ","")&amp;"Sulfites","")&amp;IF(AI28="?",IF(COUNTIF(W28:AH28,"~?")&gt;0,", ","")&amp;"Lupin","")&amp;IF(AJ28="?",IF(COUNTIF(W28:AI28,"~?")&gt;0,", ","")&amp;"Mollusques","")),"")</f>
        <v/>
      </c>
      <c r="AM28" s="127" t="str">
        <f>IF(17=17,IF(T28="","",T28),"")</f>
        <v>• 50 g d’amandes effilées</v>
      </c>
      <c r="AN28" s="127" t="str">
        <f>IF(17=17,LOWER(CLEAN(SUBSTITUTE(SUBSTITUTE(SUBSTITUTE(SUBSTITUTE(AM28,CHAR(160)," ")," "," "),CHAR(10)," "),CHAR(13)," "))),"")</f>
        <v>• 50 g d’amandes effilées</v>
      </c>
      <c r="AO28" s="127" t="str">
        <f>IF(17=17,SUBSTITUTE(SUBSTITUTE(SUBSTITUTE(SUBSTITUTE(SUBSTITUTE(SUBSTITUTE(SUBSTITUTE(SUBSTITUTE(SUBSTITUTE(SUBSTITUTE(SUBSTITUTE(SUBSTITUTE(AN28,"œ","oe"),"æ","ae"),"à","a"),"á","a"),"â","a"),"ä","a"),"ã","a"),"ç","c"),"è","e"),"é","e"),"ê","e"),"ë","e"),"")</f>
        <v>• 50 g d’amandes effilees</v>
      </c>
      <c r="AP28" s="127" t="str">
        <f>IF(17=17,SUBSTITUTE(SUBSTITUTE(SUBSTITUTE(SUBSTITUTE(SUBSTITUTE(SUBSTITUTE(SUBSTITUTE(SUBSTITUTE(SUBSTITUTE(SUBSTITUTE(SUBSTITUTE(SUBSTITUTE(SUBSTITUTE(SUBSTITUTE(SUBSTITUTE(SUBSTITUTE(AO28,"ì","i"),"í","i"),"î","i"),"ï","i"),"ñ","n"),"ò","o"),"ó","o"),"ô","o"),"ö","o"),"õ","o"),"ù","u"),"ú","u"),"û","u"),"ü","u"),"ý","y"),"ÿ","y"),"")</f>
        <v>• 50 g d’amandes effilees</v>
      </c>
      <c r="AQ28" s="127" t="str">
        <f>IF(17=17,SUBSTITUTE(SUBSTITUTE(SUBSTITUTE(SUBSTITUTE(SUBSTITUTE(SUBSTITUTE(SUBSTITUTE(SUBSTITUTE(SUBSTITUTE(SUBSTITUTE(SUBSTITUTE(SUBSTITUTE(SUBSTITUTE(SUBSTITUTE(AP28,"’"," "),"`"," "),"–"," "),"—"," "),"-"," "),"'"," "),"/"," "),"_"," "),","," "),"."," "),"("," "),")"," "),";"," "),":"," "),"")</f>
        <v>• 50 g d amandes effilees</v>
      </c>
      <c r="AR28" s="127" t="str">
        <f>IF(17=17,SUBSTITUTE(SUBSTITUTE(SUBSTITUTE(SUBSTITUTE(SUBSTITUTE(SUBSTITUTE(SUBSTITUTE(SUBSTITUTE(SUBSTITUTE(SUBSTITUTE(SUBSTITUTE(SUBSTITUTE(SUBSTITUTE(SUBSTITUTE(SUBSTITUTE(AQ28,"!"," "),"?"," "),"+"," "),"*"," "),"&amp;"," "),"["," "),"]"," "),"{"," "),"}"," "),"%"," "),"="," "),"\"," "),"|"," "),"&lt;"," "),"&gt;"," "),"")</f>
        <v>• 50 g d amandes effilees</v>
      </c>
      <c r="AS28" s="127" t="str">
        <f>IF(17=17," "&amp;TRIM(SUBSTITUTE(SUBSTITUTE(SUBSTITUTE(SUBSTITUTE(SUBSTITUTE(SUBSTITUTE(AR28,CHAR(34)," "),"  "," "),"  "," "),"  "," "),"  "," "),"  "," "))&amp;" ","")</f>
        <v xml:space="preserve"> • 50 g d amandes effilees </v>
      </c>
      <c r="AT28" s="127" cm="1">
        <f t="array" ref="AT28">IF(17=17,IF(AM28="","",SUMPRODUCT(--ISNUMBER(SEARCH(" "&amp;DJ13:DJ112&amp;" ",AV28)))),"")</f>
        <v>0</v>
      </c>
      <c r="AU28" s="127" cm="1">
        <f t="array" ref="AU28">IF(17=17,IF(AM28="","",SUMPRODUCT(--ISNUMBER(SEARCH(" "&amp;DJ113:DJ162&amp;" ",AV28)))),"")</f>
        <v>0</v>
      </c>
      <c r="AV28" s="127" t="str">
        <f>IF(AM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50 g d amandes effilees </v>
      </c>
      <c r="AW28" s="127" cm="1">
        <f t="array" ref="AW28">IF(AM28="","",SUMPRODUCT(--ISNUMBER(SEARCH(" "&amp;DJ195:DJ216&amp;" ",AV28)))+--ISNUMBER(SEARCH(" "&amp;DJ2465&amp;" ",AV28)))</f>
        <v>0</v>
      </c>
      <c r="AX28" s="127" t="str" cm="1">
        <f t="array" ref="AX28">IF(17=17,IF(AM28="","",IF(SUM(AT28:AU28)+SUMPRODUCT(--ISNUMBER(SEARCH(" "&amp;DJ2429:DJ2431&amp;" ",AV28)))&gt;0,"X",IF(AW28&gt;0,"?",""))),"")</f>
        <v/>
      </c>
      <c r="AY28" s="127" cm="1">
        <f t="array" ref="AY28">IF(17=17,IF(AM28="","",SUMPRODUCT(--ISNUMBER(SEARCH(" "&amp;DJ217:DJ316&amp;" ",AS28)))),"")</f>
        <v>0</v>
      </c>
      <c r="AZ28" s="127" cm="1">
        <f t="array" ref="AZ28">IF(17=17,IF(AM28="","",SUMPRODUCT(--ISNUMBER(SEARCH(" "&amp;DJ317:DJ351&amp;" ",AS28)))),"")</f>
        <v>0</v>
      </c>
      <c r="BA28" s="127" t="str">
        <f>IF(17=17,IF(AM28="","",IF((SUM(AY28:AZ28))-(0)&gt;0,"X",IF((0)-(0)&gt;0,"?",""))),"")</f>
        <v/>
      </c>
      <c r="BB28" s="127" cm="1">
        <f t="array" ref="BB28">IF(17=17,IF(AM28="","",SUMPRODUCT(--ISNUMBER(SEARCH(" "&amp;DJ352:DJ409&amp;" ",AS28)))),"")</f>
        <v>0</v>
      </c>
      <c r="BC28" s="127" cm="1">
        <f t="array" ref="BC28">IF(17=17,IF(AM28="","",SUMPRODUCT(--ISNUMBER(SEARCH(" "&amp;DJ410:DJ437&amp;" ",BD28)))+SUMPRODUCT(--ISNUMBER(SEARCH(" "&amp;DJ2451:DJ2464&amp;" ",BD28)))),"")</f>
        <v>0</v>
      </c>
      <c r="BD28" s="127" t="str">
        <f>IF(17=17,IF(AM28="","",SUBSTITUTE(SUBSTITUTE(SUBSTITUTE(SUBSTITUTE(SUBSTITUTE(SUBSTITUTE(SUBSTITUTE(SUBSTITUTE(SUBSTITUTE(SUBSTITUTE(SUBSTITUTE(SUBSTITUTE(SUBSTITUTE(SUBSTITUTE(AS28," "&amp;DJ2466&amp;" "," ")," "&amp;DJ444&amp;" "," ")," "&amp;DJ442&amp;" "," ")," "&amp;DJ2449&amp;" "," ")," "&amp;DJ2450&amp;" "," ")," "&amp;DJ439&amp;" "," ")," "&amp;DJ443&amp;" "," ")," "&amp;DJ445&amp;" "," ")," "&amp;DJ440&amp;" "," ")," "&amp;DJ438&amp;" "," ")," "&amp;DJ1378&amp;" "," ")," "&amp;DJ446&amp;" "," ")," "&amp;DJ1377&amp;" "," ")," "&amp;DJ441&amp;" "," ")),"")</f>
        <v xml:space="preserve"> • 50 g d amandes effilees </v>
      </c>
      <c r="BE28" s="127" t="str">
        <f>IF(17=17,IF(AM28="","",IF(BB28&gt;0,"X",IF(BC28&gt;0,"?",""))),"")</f>
        <v/>
      </c>
      <c r="BF28" s="127" cm="1">
        <f t="array" ref="BF28">IF(17=17,IF(AM28="","",SUMPRODUCT(--ISNUMBER(SEARCH(" "&amp;DJ447:DJ546&amp;" ",BP28)))),"")</f>
        <v>0</v>
      </c>
      <c r="BG28" s="127" cm="1">
        <f t="array" ref="BG28">IF(17=17,IF(AM28="","",SUMPRODUCT(--ISNUMBER(SEARCH(" "&amp;DJ547:DJ646&amp;" ",BP28)))),"")</f>
        <v>0</v>
      </c>
      <c r="BH28" s="127" cm="1">
        <f t="array" ref="BH28">IF(17=17,IF(AM28="","",SUMPRODUCT(--ISNUMBER(SEARCH(" "&amp;DJ647:DJ746&amp;" ",BP28)))),"")</f>
        <v>0</v>
      </c>
      <c r="BI28" s="127" cm="1">
        <f t="array" ref="BI28">IF(17=17,IF(AM28="","",SUMPRODUCT(--ISNUMBER(SEARCH(" "&amp;DJ747:DJ846&amp;" ",BP28)))),"")</f>
        <v>0</v>
      </c>
      <c r="BJ28" s="127" cm="1">
        <f t="array" ref="BJ28">IF(17=17,IF(AM28="","",SUMPRODUCT(--ISNUMBER(SEARCH(" "&amp;DJ847:DJ946&amp;" ",BP28)))),"")</f>
        <v>0</v>
      </c>
      <c r="BK28" s="127" cm="1">
        <f t="array" ref="BK28">IF(17=17,IF(AM28="","",SUMPRODUCT(--ISNUMBER(SEARCH(" "&amp;DJ947:DJ1046&amp;" ",BP28)))),"")</f>
        <v>0</v>
      </c>
      <c r="BL28" s="127" cm="1">
        <f t="array" ref="BL28">IF(17=17,IF(AM28="","",SUMPRODUCT(--ISNUMBER(SEARCH(" "&amp;DJ1047:DJ1146&amp;" ",BP28)))),"")</f>
        <v>0</v>
      </c>
      <c r="BM28" s="127" cm="1">
        <f t="array" ref="BM28">IF(17=17,IF(AM28="","",SUMPRODUCT(--ISNUMBER(SEARCH(" "&amp;DJ1147:DJ1246&amp;" ",BP28)))),"")</f>
        <v>0</v>
      </c>
      <c r="BN28" s="127" cm="1">
        <f t="array" ref="BN28">IF(17=17,IF(AM28="","",SUMPRODUCT(--ISNUMBER(SEARCH(" "&amp;DJ1247:DJ1346&amp;" ",BP28)))),"")</f>
        <v>0</v>
      </c>
      <c r="BO28" s="127" cm="1">
        <f t="array" ref="BO28">IF(17=17,IF(AM28="","",SUMPRODUCT(--ISNUMBER(SEARCH(" "&amp;DJ1347:DJ1374&amp;" ",BP28)))),"")</f>
        <v>0</v>
      </c>
      <c r="BP28" s="127" t="str">
        <f>IF(17=17,IF(AM28="","",SUBSTITUTE(SUBSTITUTE(SUBSTITUTE(SUBSTITUTE(SUBSTITUTE(SUBSTITUTE(SUBSTITUTE(SUBSTITUTE(SUBSTITUTE(AS28," "&amp;DJ1376&amp;" "," ")," "&amp;DJ1375&amp;" "," ")," "&amp;DJ1381&amp;" "," ")," "&amp;DJ1382&amp;" "," ")," "&amp;DJ1378&amp;" "," ")," "&amp;DJ1380&amp;" "," ")," "&amp;DJ1377&amp;" "," ")," "&amp;DJ1379&amp;" "," ")," "&amp;DJ1383&amp;" "," ")),"")</f>
        <v xml:space="preserve"> • 50 g d amandes effilees </v>
      </c>
      <c r="BQ28" s="127" cm="1">
        <f t="array" ref="BQ28">IF(17=17,IF(AM28="","",SUMPRODUCT(--ISNUMBER(SEARCH(" "&amp;DJ1384:DJ1394&amp;" ",BP28)))),"")</f>
        <v>0</v>
      </c>
      <c r="BR28" s="127" t="str" cm="1">
        <f t="array" ref="BR28">IF(17=17,IF(AM28="","",IF(SUM(BF28:BO28)+SUMPRODUCT(--ISNUMBER(SEARCH(" "&amp;DJ2432:DJ2433&amp;" ",BP28)))&gt;0,"X",IF(BQ28&gt;0,"?",""))),"")</f>
        <v/>
      </c>
      <c r="BS28" s="127" cm="1">
        <f t="array" ref="BS28">IF(17=17,IF(AM28="","",SUMPRODUCT(--ISNUMBER(SEARCH(" "&amp;DJ1395:DJ1415&amp;" ",AS28)))),"")</f>
        <v>0</v>
      </c>
      <c r="BT28" s="127" t="str">
        <f>IF(17=17,IF(AM28="","",IF((BS28)-(0)&gt;0,"X",IF((0)-(0)&gt;0,"?",""))),"")</f>
        <v/>
      </c>
      <c r="BU28" s="127" cm="1">
        <f t="array" ref="BU28">IF(17=17,IF(AM28="","",SUMPRODUCT(--ISNUMBER(SEARCH(" "&amp;DJ1416:DJ1453&amp;" ",BV28)))),"")</f>
        <v>0</v>
      </c>
      <c r="BV28" s="127" t="str">
        <f>IF(17=17,IF(AM28="","",SUBSTITUTE(SUBSTITUTE(AS28," "&amp;DJ1454&amp;" "," ")," "&amp;DJ1455&amp;" "," ")),"")</f>
        <v xml:space="preserve"> • 50 g d amandes effilees </v>
      </c>
      <c r="BW28" s="127" cm="1">
        <f t="array" ref="BW28">IF(17=17,IF(AM28="","",SUMPRODUCT(--ISNUMBER(SEARCH(" "&amp;DJ1456:DJ1466&amp;" ",BV28)))),"")</f>
        <v>0</v>
      </c>
      <c r="BX28" s="127" t="str">
        <f>IF(17=17,IF(AM28="","",IF(BU28&gt;0,"X",IF(BW28&gt;0,"?",""))),"")</f>
        <v/>
      </c>
      <c r="BY28" s="127" cm="1">
        <f t="array" ref="BY28">IF(17=17,IF(AM28="","",SUMPRODUCT(--ISNUMBER(SEARCH(" "&amp;DJ1467:DJ1566&amp;" ",CB28)))),"")</f>
        <v>0</v>
      </c>
      <c r="BZ28" s="127" cm="1">
        <f t="array" ref="BZ28">IF(17=17,IF(AM28="","",SUMPRODUCT(--ISNUMBER(SEARCH(" "&amp;DJ1567:DJ1666&amp;" ",CB28)))),"")</f>
        <v>0</v>
      </c>
      <c r="CA28" s="127" cm="1">
        <f t="array" ref="CA28">IF(17=17,IF(AM28="","",SUMPRODUCT(--ISNUMBER(SEARCH(" "&amp;DJ1667:DJ1750&amp;" ",CB28)))),"")</f>
        <v>0</v>
      </c>
      <c r="CB28" s="127" t="str">
        <f>IF(17=17,IF(AM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50 g d amandes effilees </v>
      </c>
      <c r="CC28" s="127" cm="1">
        <f t="array" ref="CC28">IF(17=17,IF(AM28="","",SUMPRODUCT(--ISNUMBER(SEARCH(" "&amp;DJ1801:DJ1880&amp;" ",CD28)))+SUMPRODUCT(--ISNUMBER(SEARCH(" "&amp;DJ2451:DJ2464&amp;" ",CD28)))),"")</f>
        <v>0</v>
      </c>
      <c r="CD28" s="127" t="str">
        <f>IF(17=17,IF(AM28="","",SUBSTITUTE(SUBSTITUTE(SUBSTITUTE(SUBSTITUTE(SUBSTITUTE(SUBSTITUTE(SUBSTITUTE(SUBSTITUTE(SUBSTITUTE(SUBSTITUTE(SUBSTITUTE(SUBSTITUTE(SUBSTITUTE(CB28," "&amp;DJ1887&amp;" "," ")," "&amp;DJ1885&amp;" "," ")," "&amp;DJ2449&amp;" "," ")," "&amp;DJ2450&amp;" "," ")," "&amp;DJ1882&amp;" "," ")," "&amp;DJ1886&amp;" "," ")," "&amp;DJ1888&amp;" "," ")," "&amp;DJ1883&amp;" "," ")," "&amp;DJ1881&amp;" "," ")," "&amp;DJ1378&amp;" "," ")," "&amp;DJ1889&amp;" "," ")," "&amp;DJ1377&amp;" "," ")," "&amp;DJ1884&amp;" "," ")),"")</f>
        <v xml:space="preserve"> • 50 g d amandes effilees </v>
      </c>
      <c r="CE28" s="127" t="str" cm="1">
        <f t="array" ref="CE28">IF(17=17,IF(AM28="","",IF(SUM(BY28:CA28)+SUMPRODUCT(--ISNUMBER(SEARCH(" "&amp;DJ2434:DJ2435&amp;" ",CB28)))&gt;0,"X",IF(CC28&gt;0,"?",""))),"")</f>
        <v/>
      </c>
      <c r="CF28" s="127" cm="1">
        <f t="array" ref="CF28">IF(17=17,IF(AM28="","",SUMPRODUCT(--ISNUMBER(SEARCH(" "&amp;DJ1890:DJ1947&amp;" ",CG28)))),"")</f>
        <v>1</v>
      </c>
      <c r="CG28" s="127" t="str">
        <f>IF(17=17,IF(AM28="","",SUBSTITUTE(SUBSTITUTE(SUBSTITUTE(SUBSTITUTE(SUBSTITUTE(SUBSTITUTE(SUBSTITUTE(SUBSTITUTE(SUBSTITUTE(SUBSTITUTE(SUBSTITUTE(SUBSTITUTE(SUBSTITUTE(SUBSTITUTE(SUBSTITUTE(SUBSTITUTE(SUBSTITUTE(SUBSTITUTE(SUBSTITUTE(SUBSTITUTE(SUBSTITUTE(SUBSTITUTE(SUBSTITUTE(AS28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50 g d amandes effilees </v>
      </c>
      <c r="CH28" s="127" cm="1">
        <f t="array" ref="CH28">IF(17=17,IF(AM28="","",SUMPRODUCT(--ISNUMBER(SEARCH(" "&amp;DJ1971:DJ1987&amp;" ",CG28)))),"")</f>
        <v>0</v>
      </c>
      <c r="CI28" s="127" t="str">
        <f>IF(17=17,IF(AM28="","",IF(CF28&gt;0,"X",IF(CH28&gt;0,"?",""))),"")</f>
        <v>X</v>
      </c>
      <c r="CJ28" s="127" cm="1">
        <f t="array" ref="CJ28">IF(17=17,IF(AM28="","",SUMPRODUCT(--ISNUMBER(SEARCH(" "&amp;DJ1988:DJ2001&amp;" ",AS28)))),"")</f>
        <v>0</v>
      </c>
      <c r="CK28" s="127" cm="1">
        <f t="array" ref="CK28">IF(17=17,IF(AM28="","",SUMPRODUCT(--ISNUMBER(SEARCH(" "&amp;DJ2002:DJ2016&amp;" ",AS28)))),"")</f>
        <v>0</v>
      </c>
      <c r="CL28" s="127" t="str">
        <f>IF(17=17,IF(AM28="","",IF((CJ28)-(0)&gt;0,"X",IF((CK28)-(0)&gt;0,"?",""))),"")</f>
        <v/>
      </c>
      <c r="CM28" s="127" cm="1">
        <f t="array" ref="CM28">IF(17=17,IF(AM28="","",SUMPRODUCT(--ISNUMBER(SEARCH(" "&amp;DJ2017:DJ2034&amp;" ",AS28)))),"")</f>
        <v>0</v>
      </c>
      <c r="CN28" s="127" cm="1">
        <f t="array" ref="CN28">IF(17=17,IF(AM28="","",SUMPRODUCT(--ISNUMBER(SEARCH(" "&amp;DJ2035:DJ2049&amp;" ",AS28)))),"")</f>
        <v>0</v>
      </c>
      <c r="CO28" s="127" t="str">
        <f>IF(17=17,IF(AM28="","",IF((CM28)-(0)&gt;0,"X",IF((CN28)-(0)&gt;0,"?",""))),"")</f>
        <v/>
      </c>
      <c r="CP28" s="127" cm="1">
        <f t="array" ref="CP28">IF(17=17,IF(AM28="","",SUMPRODUCT(--ISNUMBER(SEARCH(" "&amp;DJ2050:DJ2068&amp;" ",AS28)))),"")</f>
        <v>0</v>
      </c>
      <c r="CQ28" s="127" cm="1">
        <f t="array" ref="CQ28">IF(17=17,IF(AM28="","",SUMPRODUCT(--ISNUMBER(SEARCH(" "&amp;DJ2069:DJ2083&amp;" ",AS28)))),"")</f>
        <v>0</v>
      </c>
      <c r="CR28" s="127" t="str">
        <f>IF(17=17,IF(AM28="","",IF((CP28)-(0)&gt;0,"X",IF((CQ28)-(0)&gt;0,"?",""))),"")</f>
        <v/>
      </c>
      <c r="CS28" s="127" cm="1">
        <f t="array" ref="CS28">IF(17=17,IF(AM28="","",SUMPRODUCT(--ISNUMBER(SEARCH(" "&amp;DJ2084:DJ2104&amp;" ",AS28)))),"")</f>
        <v>0</v>
      </c>
      <c r="CT28" s="127" cm="1">
        <f t="array" ref="CT28">IF(17=17,IF(AM28="","",SUMPRODUCT(--ISNUMBER(SEARCH(" "&amp;DJ2105:DJ2144&amp;" ",SUBSTITUTE(SUBSTITUTE(AS28," "&amp;DJ1378&amp;" "," ")," "&amp;DJ1377&amp;" "," "))))+--ISNUMBER(SEARCH("poiré",AN28))),"")</f>
        <v>0</v>
      </c>
      <c r="CU28" s="127" t="str">
        <f>IF(17=17,IF(AM28="","",IF(OR(CS28&gt;0,ISNUMBER(SEARCH(" vinaigre de vin ",AS28)),ISNUMBER(SEARCH(" vinaigre au vin ",AS28))),"X",IF(CT28&gt;0,"?",""))),"")</f>
        <v/>
      </c>
      <c r="CV28" s="127" cm="1">
        <f t="array" ref="CV28">IF(17=17,IF(AM28="","",SUMPRODUCT(--ISNUMBER(SEARCH(" "&amp;DJ2145:DJ2157&amp;" ",AS28)))),"")</f>
        <v>0</v>
      </c>
      <c r="CW28" s="127" cm="1">
        <f t="array" ref="CW28">IF(17=17,IF(AM28="","",SUMPRODUCT(--ISNUMBER(SEARCH(" "&amp;DJ2158:DJ2163&amp;" ",AS28)))),"")</f>
        <v>0</v>
      </c>
      <c r="CX28" s="127" t="str">
        <f>IF(17=17,IF(AM28="","",IF((CV28)-(0)&gt;0,"X",IF((CW28)-(0)&gt;0,"?",""))),"")</f>
        <v/>
      </c>
      <c r="CY28" s="127" cm="1">
        <f t="array" ref="CY28">IF(17=17,IF(AM28="","",SUMPRODUCT(--ISNUMBER(SEARCH(" "&amp;DJ2164:DJ2263&amp;" ",DB28)))),"")</f>
        <v>0</v>
      </c>
      <c r="CZ28" s="127" cm="1">
        <f t="array" ref="CZ28">IF(17=17,IF(AM28="","",SUMPRODUCT(--ISNUMBER(SEARCH(" "&amp;DJ2264:DJ2363&amp;" ",DB28)))),"")</f>
        <v>0</v>
      </c>
      <c r="DA28" s="127" cm="1">
        <f t="array" ref="DA28">IF(17=17,IF(AM28="","",SUMPRODUCT(--ISNUMBER(SEARCH(" "&amp;DJ2364:DJ2406&amp;" ",DB28)))),"")</f>
        <v>0</v>
      </c>
      <c r="DB28" s="127" t="str">
        <f>IF(17=17,IF(AM28="","",SUBSTITUTE(SUBSTITUTE(SUBSTITUTE(SUBSTITUTE(SUBSTITUTE(SUBSTITUTE(SUBSTITUTE(SUBSTITUTE(SUBSTITUTE(SUBSTITUTE(SUBSTITUTE(SUBSTITUTE(SUBSTITUTE(SUBSTITUTE(SUBSTITUTE(SUBSTITUTE(AS28," "&amp;DJ2412&amp;" "," ")," "&amp;DJ2411&amp;" "," ")," "&amp;DJ2410&amp;" "," ")," "&amp;DJ2417&amp;" "," ")," "&amp;DJ2409&amp;" "," ")," "&amp;DJ2421&amp;" "," ")," "&amp;DJ2408&amp;" "," ")," "&amp;DJ2413&amp;" "," ")," "&amp;DJ2416&amp;" "," ")," "&amp;DJ2407&amp;" "," ")," "&amp;DJ2415&amp;" "," ")," "&amp;DJ2422&amp;" "," ")," "&amp;DJ2419&amp;" "," ")," "&amp;DJ2414&amp;" "," ")," "&amp;DJ2418&amp;" "," ")," "&amp;DJ2420&amp;" "," ")),"")</f>
        <v xml:space="preserve"> • 50 g d amandes effilees </v>
      </c>
      <c r="DC28" s="127" cm="1">
        <f t="array" ref="DC28">IF(17=17,IF(AM28="","",SUMPRODUCT(--ISNUMBER(SEARCH(" "&amp;DJ2423:DJ2427&amp;" ",DB28)))),"")</f>
        <v>0</v>
      </c>
      <c r="DD28" s="127" t="str">
        <f>IF(17=17,IF(AM28="","",IF(SUM(CY28:DA28)&gt;0,"X",IF(DC28&gt;0,"?",""))),"")</f>
        <v/>
      </c>
      <c r="DE28" s="152"/>
      <c r="DF28" s="160" t="s">
        <v>688</v>
      </c>
      <c r="DG28" s="160" t="s">
        <v>584</v>
      </c>
      <c r="DH28" s="160" t="s">
        <v>125</v>
      </c>
      <c r="DI28" s="160" t="s">
        <v>689</v>
      </c>
      <c r="DJ28" s="160" t="s">
        <v>689</v>
      </c>
      <c r="DK28" s="160" t="s">
        <v>666</v>
      </c>
      <c r="DL28" s="160" t="s">
        <v>667</v>
      </c>
      <c r="DM28" s="160" t="s">
        <v>590</v>
      </c>
      <c r="DN28" s="161" t="s">
        <v>668</v>
      </c>
      <c r="DP28" s="130">
        <v>1</v>
      </c>
    </row>
    <row r="29" spans="2:120" ht="30" customHeight="1">
      <c r="B29" s="165" t="str">
        <f t="shared" si="0"/>
        <v>• 1 sachet de sucre vanillé</v>
      </c>
      <c r="C29" s="165" t="str">
        <f t="shared" si="1"/>
        <v>• 1 sachet de sucre vanillé</v>
      </c>
      <c r="D29" s="165" t="str">
        <f>IF(UPPER(TRIM(N11))="X",C29,B29)</f>
        <v>• 1 sachet de sucre vanillé</v>
      </c>
      <c r="E29" s="165" cm="1">
        <f t="array" ref="E29">IF(H28&lt;&gt;"",E28,IF(E28="","",IFERROR(MATCH(TRUE(),INDEX(INDEX(K:K,E28+1):K203&lt;&gt;"",0),0)+E28,"")))</f>
        <v>26</v>
      </c>
      <c r="F29" s="165" t="str" cm="1">
        <f t="array" ref="F29">IF(E29="","",IF(H28&lt;&gt;"",H28,INDEX(D:D,E29)))</f>
        <v>• 50 g de sucre en poudre</v>
      </c>
      <c r="G29" s="165" t="str">
        <f t="shared" si="2"/>
        <v>• 50 g de sucre en poudre</v>
      </c>
      <c r="H29" s="174" t="str">
        <f t="shared" si="3"/>
        <v/>
      </c>
      <c r="I29" s="184" t="str">
        <f>IF(AND(F29&lt;&gt;"",N10&gt;0,M29&gt;N10),"Mot &gt; limite","")</f>
        <v/>
      </c>
      <c r="J29" s="175">
        <f>IF(K29="","",COUNTIF(K18:K29,"&lt;&gt;"))</f>
        <v>12</v>
      </c>
      <c r="K29" s="111" t="s">
        <v>404</v>
      </c>
      <c r="L29" s="175">
        <f t="shared" si="4"/>
        <v>27</v>
      </c>
      <c r="M29" s="135">
        <f>IF(OR(F29="",N10="",N10&lt;=0),"",IF(LEN(F29)&lt;=N10,LEN(F29),IFERROR(FIND("♦",SUBSTITUTE(LEFT(F29,N10)," ","♦",LEN(LEFT(F29,N10))-LEN(SUBSTITUTE(LEFT(F29,N10)," ","")))),FIND(" ",F29&amp;" ",N10+1)-1)))</f>
        <v>25</v>
      </c>
      <c r="N29" s="176">
        <f t="shared" si="5"/>
        <v>12</v>
      </c>
      <c r="O29" s="177" t="str">
        <f t="shared" si="6"/>
        <v>• 50 g de sucre en poudre</v>
      </c>
      <c r="P29" s="176">
        <f t="shared" si="7"/>
        <v>7</v>
      </c>
      <c r="Q29" s="176">
        <f t="shared" si="8"/>
        <v>25</v>
      </c>
      <c r="S29" s="178">
        <v>12</v>
      </c>
      <c r="T29" s="179" t="str">
        <f t="shared" si="10"/>
        <v>• 50 g de sucre en poudre</v>
      </c>
      <c r="U29" s="180" t="str">
        <f t="shared" si="9"/>
        <v>• 50 g de sucre en poudre</v>
      </c>
      <c r="V29" s="181" t="str">
        <f>IF(18=18,IF(T29="","",IF(W29="X",""&amp;"Céréales contenant du gluten","")&amp;IF(X29="X",IF(COUNTIF(W29:W29,"X")&gt;0,", ","")&amp;"Crustacés","")&amp;IF(Y29="X",IF(COUNTIF(W29:X29,"X")&gt;0,", ","")&amp;"Œufs","")&amp;IF(Z29="X",IF(COUNTIF(W29:Y29,"X")&gt;0,", ","")&amp;"Poissons","")&amp;IF(AA29="X",IF(COUNTIF(W29:Z29,"X")&gt;0,", ","")&amp;"Arachides","")&amp;IF(AB29="X",IF(COUNTIF(W29:AA29,"X")&gt;0,", ","")&amp;"Soja","")&amp;IF(AC29="X",IF(COUNTIF(W29:AB29,"X")&gt;0,", ","")&amp;"Lait","")&amp;IF(AD29="X",IF(COUNTIF(W29:AC29,"X")&gt;0,", ","")&amp;"Fruits à coque","")&amp;IF(AE29="X",IF(COUNTIF(W29:AD29,"X")&gt;0,", ","")&amp;"Céleri","")&amp;IF(AF29="X",IF(COUNTIF(W29:AE29,"X")&gt;0,", ","")&amp;"Moutarde","")&amp;IF(AG29="X",IF(COUNTIF(W29:AF29,"X")&gt;0,", ","")&amp;"Sésame","")&amp;IF(AH29="X",IF(COUNTIF(W29:AG29,"X")&gt;0,", ","")&amp;"Sulfites","")&amp;IF(AI29="X",IF(COUNTIF(W29:AH29,"X")&gt;0,", ","")&amp;"Lupin","")&amp;IF(AJ29="X",IF(COUNTIF(W29:AI29,"X")&gt;0,", ","")&amp;"Mollusques","")),"")</f>
        <v/>
      </c>
      <c r="W29" s="182" t="str">
        <f>IF(18=18,IF(T29="","",AX29),"")</f>
        <v/>
      </c>
      <c r="X29" s="182" t="str">
        <f>IF(18=18,IF(T29="","",BA29),"")</f>
        <v/>
      </c>
      <c r="Y29" s="182" t="str">
        <f>IF(18=18,IF(T29="","",BE29),"")</f>
        <v/>
      </c>
      <c r="Z29" s="182" t="str">
        <f>IF(18=18,IF(T29="","",IF(ISNUMBER(SEARCH(" colin ",AS29)),"X",BR29)),"")</f>
        <v/>
      </c>
      <c r="AA29" s="182" t="str">
        <f>IF(18=18,IF(T29="","",BT29),"")</f>
        <v/>
      </c>
      <c r="AB29" s="182" t="str">
        <f>IF(18=18,IF(T29="","",BX29),"")</f>
        <v/>
      </c>
      <c r="AC29" s="182" t="str">
        <f>IF(18=18,IF(T29="","",CE29),"")</f>
        <v/>
      </c>
      <c r="AD29" s="182" t="str">
        <f>IF(18=18,IF(T29="","",CI29),"")</f>
        <v/>
      </c>
      <c r="AE29" s="182" t="str">
        <f>IF(18=18,IF(T29="","",CL29),"")</f>
        <v/>
      </c>
      <c r="AF29" s="182" t="str">
        <f>IF(18=18,IF(T29="","",CO29),"")</f>
        <v/>
      </c>
      <c r="AG29" s="182" t="str">
        <f>IF(18=18,IF(T29="","",CR29),"")</f>
        <v/>
      </c>
      <c r="AH29" s="182" t="str">
        <f>IF(18=18,IF(T29="","",CU29),"")</f>
        <v/>
      </c>
      <c r="AI29" s="182" t="str">
        <f>IF(18=18,IF(T29="","",CX29),"")</f>
        <v/>
      </c>
      <c r="AJ29" s="182" t="str">
        <f>IF(18=18,IF(T29="","",DD29),"")</f>
        <v/>
      </c>
      <c r="AK29" s="183" t="str">
        <f>IF(18=18,IF(T29="","",IF(W29="?",""&amp;"Céréales contenant du gluten","")&amp;IF(X29="?",IF(COUNTIF(W29:W29,"~?")&gt;0,", ","")&amp;"Crustacés","")&amp;IF(Y29="?",IF(COUNTIF(W29:X29,"~?")&gt;0,", ","")&amp;"Œufs","")&amp;IF(Z29="?",IF(COUNTIF(W29:Y29,"~?")&gt;0,", ","")&amp;"Poissons","")&amp;IF(AA29="?",IF(COUNTIF(W29:Z29,"~?")&gt;0,", ","")&amp;"Arachides","")&amp;IF(AB29="?",IF(COUNTIF(W29:AA29,"~?")&gt;0,", ","")&amp;"Soja","")&amp;IF(AC29="?",IF(COUNTIF(W29:AB29,"~?")&gt;0,", ","")&amp;"Lait","")&amp;IF(AD29="?",IF(COUNTIF(W29:AC29,"~?")&gt;0,", ","")&amp;"Fruits à coque","")&amp;IF(AE29="?",IF(COUNTIF(W29:AD29,"~?")&gt;0,", ","")&amp;"Céleri","")&amp;IF(AF29="?",IF(COUNTIF(W29:AE29,"~?")&gt;0,", ","")&amp;"Moutarde","")&amp;IF(AG29="?",IF(COUNTIF(W29:AF29,"~?")&gt;0,", ","")&amp;"Sésame","")&amp;IF(AH29="?",IF(COUNTIF(W29:AG29,"~?")&gt;0,", ","")&amp;"Sulfites","")&amp;IF(AI29="?",IF(COUNTIF(W29:AH29,"~?")&gt;0,", ","")&amp;"Lupin","")&amp;IF(AJ29="?",IF(COUNTIF(W29:AI29,"~?")&gt;0,", ","")&amp;"Mollusques","")),"")</f>
        <v/>
      </c>
      <c r="AM29" s="127" t="str">
        <f>IF(18=18,IF(T29="","",T29),"")</f>
        <v>• 50 g de sucre en poudre</v>
      </c>
      <c r="AN29" s="127" t="str">
        <f>IF(18=18,LOWER(CLEAN(SUBSTITUTE(SUBSTITUTE(SUBSTITUTE(SUBSTITUTE(AM29,CHAR(160)," ")," "," "),CHAR(10)," "),CHAR(13)," "))),"")</f>
        <v>• 50 g de sucre en poudre</v>
      </c>
      <c r="AO29" s="127" t="str">
        <f>IF(18=18,SUBSTITUTE(SUBSTITUTE(SUBSTITUTE(SUBSTITUTE(SUBSTITUTE(SUBSTITUTE(SUBSTITUTE(SUBSTITUTE(SUBSTITUTE(SUBSTITUTE(SUBSTITUTE(SUBSTITUTE(AN29,"œ","oe"),"æ","ae"),"à","a"),"á","a"),"â","a"),"ä","a"),"ã","a"),"ç","c"),"è","e"),"é","e"),"ê","e"),"ë","e"),"")</f>
        <v>• 50 g de sucre en poudre</v>
      </c>
      <c r="AP29" s="127" t="str">
        <f>IF(18=18,SUBSTITUTE(SUBSTITUTE(SUBSTITUTE(SUBSTITUTE(SUBSTITUTE(SUBSTITUTE(SUBSTITUTE(SUBSTITUTE(SUBSTITUTE(SUBSTITUTE(SUBSTITUTE(SUBSTITUTE(SUBSTITUTE(SUBSTITUTE(SUBSTITUTE(SUBSTITUTE(AO29,"ì","i"),"í","i"),"î","i"),"ï","i"),"ñ","n"),"ò","o"),"ó","o"),"ô","o"),"ö","o"),"õ","o"),"ù","u"),"ú","u"),"û","u"),"ü","u"),"ý","y"),"ÿ","y"),"")</f>
        <v>• 50 g de sucre en poudre</v>
      </c>
      <c r="AQ29" s="127" t="str">
        <f>IF(18=18,SUBSTITUTE(SUBSTITUTE(SUBSTITUTE(SUBSTITUTE(SUBSTITUTE(SUBSTITUTE(SUBSTITUTE(SUBSTITUTE(SUBSTITUTE(SUBSTITUTE(SUBSTITUTE(SUBSTITUTE(SUBSTITUTE(SUBSTITUTE(AP29,"’"," "),"`"," "),"–"," "),"—"," "),"-"," "),"'"," "),"/"," "),"_"," "),","," "),"."," "),"("," "),")"," "),";"," "),":"," "),"")</f>
        <v>• 50 g de sucre en poudre</v>
      </c>
      <c r="AR29" s="127" t="str">
        <f>IF(18=18,SUBSTITUTE(SUBSTITUTE(SUBSTITUTE(SUBSTITUTE(SUBSTITUTE(SUBSTITUTE(SUBSTITUTE(SUBSTITUTE(SUBSTITUTE(SUBSTITUTE(SUBSTITUTE(SUBSTITUTE(SUBSTITUTE(SUBSTITUTE(SUBSTITUTE(AQ29,"!"," "),"?"," "),"+"," "),"*"," "),"&amp;"," "),"["," "),"]"," "),"{"," "),"}"," "),"%"," "),"="," "),"\"," "),"|"," "),"&lt;"," "),"&gt;"," "),"")</f>
        <v>• 50 g de sucre en poudre</v>
      </c>
      <c r="AS29" s="127" t="str">
        <f>IF(18=18," "&amp;TRIM(SUBSTITUTE(SUBSTITUTE(SUBSTITUTE(SUBSTITUTE(SUBSTITUTE(SUBSTITUTE(AR29,CHAR(34)," "),"  "," "),"  "," "),"  "," "),"  "," "),"  "," "))&amp;" ","")</f>
        <v xml:space="preserve"> • 50 g de sucre en poudre </v>
      </c>
      <c r="AT29" s="127" cm="1">
        <f t="array" ref="AT29">IF(18=18,IF(AM29="","",SUMPRODUCT(--ISNUMBER(SEARCH(" "&amp;DJ13:DJ112&amp;" ",AV29)))),"")</f>
        <v>0</v>
      </c>
      <c r="AU29" s="127" cm="1">
        <f t="array" ref="AU29">IF(18=18,IF(AM29="","",SUMPRODUCT(--ISNUMBER(SEARCH(" "&amp;DJ113:DJ162&amp;" ",AV29)))),"")</f>
        <v>0</v>
      </c>
      <c r="AV29" s="127" t="str">
        <f>IF(AM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50 g de sucre en poudre </v>
      </c>
      <c r="AW29" s="127" cm="1">
        <f t="array" ref="AW29">IF(AM29="","",SUMPRODUCT(--ISNUMBER(SEARCH(" "&amp;DJ195:DJ216&amp;" ",AV29)))+--ISNUMBER(SEARCH(" "&amp;DJ2465&amp;" ",AV29)))</f>
        <v>0</v>
      </c>
      <c r="AX29" s="127" t="str" cm="1">
        <f t="array" ref="AX29">IF(18=18,IF(AM29="","",IF(SUM(AT29:AU29)+SUMPRODUCT(--ISNUMBER(SEARCH(" "&amp;DJ2429:DJ2431&amp;" ",AV29)))&gt;0,"X",IF(AW29&gt;0,"?",""))),"")</f>
        <v/>
      </c>
      <c r="AY29" s="127" cm="1">
        <f t="array" ref="AY29">IF(18=18,IF(AM29="","",SUMPRODUCT(--ISNUMBER(SEARCH(" "&amp;DJ217:DJ316&amp;" ",AS29)))),"")</f>
        <v>0</v>
      </c>
      <c r="AZ29" s="127" cm="1">
        <f t="array" ref="AZ29">IF(18=18,IF(AM29="","",SUMPRODUCT(--ISNUMBER(SEARCH(" "&amp;DJ317:DJ351&amp;" ",AS29)))),"")</f>
        <v>0</v>
      </c>
      <c r="BA29" s="127" t="str">
        <f>IF(18=18,IF(AM29="","",IF((SUM(AY29:AZ29))-(0)&gt;0,"X",IF((0)-(0)&gt;0,"?",""))),"")</f>
        <v/>
      </c>
      <c r="BB29" s="127" cm="1">
        <f t="array" ref="BB29">IF(18=18,IF(AM29="","",SUMPRODUCT(--ISNUMBER(SEARCH(" "&amp;DJ352:DJ409&amp;" ",AS29)))),"")</f>
        <v>0</v>
      </c>
      <c r="BC29" s="127" cm="1">
        <f t="array" ref="BC29">IF(18=18,IF(AM29="","",SUMPRODUCT(--ISNUMBER(SEARCH(" "&amp;DJ410:DJ437&amp;" ",BD29)))+SUMPRODUCT(--ISNUMBER(SEARCH(" "&amp;DJ2451:DJ2464&amp;" ",BD29)))),"")</f>
        <v>0</v>
      </c>
      <c r="BD29" s="127" t="str">
        <f>IF(18=18,IF(AM29="","",SUBSTITUTE(SUBSTITUTE(SUBSTITUTE(SUBSTITUTE(SUBSTITUTE(SUBSTITUTE(SUBSTITUTE(SUBSTITUTE(SUBSTITUTE(SUBSTITUTE(SUBSTITUTE(SUBSTITUTE(SUBSTITUTE(SUBSTITUTE(AS29," "&amp;DJ2466&amp;" "," ")," "&amp;DJ444&amp;" "," ")," "&amp;DJ442&amp;" "," ")," "&amp;DJ2449&amp;" "," ")," "&amp;DJ2450&amp;" "," ")," "&amp;DJ439&amp;" "," ")," "&amp;DJ443&amp;" "," ")," "&amp;DJ445&amp;" "," ")," "&amp;DJ440&amp;" "," ")," "&amp;DJ438&amp;" "," ")," "&amp;DJ1378&amp;" "," ")," "&amp;DJ446&amp;" "," ")," "&amp;DJ1377&amp;" "," ")," "&amp;DJ441&amp;" "," ")),"")</f>
        <v xml:space="preserve"> • 50 g de sucre en poudre </v>
      </c>
      <c r="BE29" s="127" t="str">
        <f>IF(18=18,IF(AM29="","",IF(BB29&gt;0,"X",IF(BC29&gt;0,"?",""))),"")</f>
        <v/>
      </c>
      <c r="BF29" s="127" cm="1">
        <f t="array" ref="BF29">IF(18=18,IF(AM29="","",SUMPRODUCT(--ISNUMBER(SEARCH(" "&amp;DJ447:DJ546&amp;" ",BP29)))),"")</f>
        <v>0</v>
      </c>
      <c r="BG29" s="127" cm="1">
        <f t="array" ref="BG29">IF(18=18,IF(AM29="","",SUMPRODUCT(--ISNUMBER(SEARCH(" "&amp;DJ547:DJ646&amp;" ",BP29)))),"")</f>
        <v>0</v>
      </c>
      <c r="BH29" s="127" cm="1">
        <f t="array" ref="BH29">IF(18=18,IF(AM29="","",SUMPRODUCT(--ISNUMBER(SEARCH(" "&amp;DJ647:DJ746&amp;" ",BP29)))),"")</f>
        <v>0</v>
      </c>
      <c r="BI29" s="127" cm="1">
        <f t="array" ref="BI29">IF(18=18,IF(AM29="","",SUMPRODUCT(--ISNUMBER(SEARCH(" "&amp;DJ747:DJ846&amp;" ",BP29)))),"")</f>
        <v>0</v>
      </c>
      <c r="BJ29" s="127" cm="1">
        <f t="array" ref="BJ29">IF(18=18,IF(AM29="","",SUMPRODUCT(--ISNUMBER(SEARCH(" "&amp;DJ847:DJ946&amp;" ",BP29)))),"")</f>
        <v>0</v>
      </c>
      <c r="BK29" s="127" cm="1">
        <f t="array" ref="BK29">IF(18=18,IF(AM29="","",SUMPRODUCT(--ISNUMBER(SEARCH(" "&amp;DJ947:DJ1046&amp;" ",BP29)))),"")</f>
        <v>0</v>
      </c>
      <c r="BL29" s="127" cm="1">
        <f t="array" ref="BL29">IF(18=18,IF(AM29="","",SUMPRODUCT(--ISNUMBER(SEARCH(" "&amp;DJ1047:DJ1146&amp;" ",BP29)))),"")</f>
        <v>0</v>
      </c>
      <c r="BM29" s="127" cm="1">
        <f t="array" ref="BM29">IF(18=18,IF(AM29="","",SUMPRODUCT(--ISNUMBER(SEARCH(" "&amp;DJ1147:DJ1246&amp;" ",BP29)))),"")</f>
        <v>0</v>
      </c>
      <c r="BN29" s="127" cm="1">
        <f t="array" ref="BN29">IF(18=18,IF(AM29="","",SUMPRODUCT(--ISNUMBER(SEARCH(" "&amp;DJ1247:DJ1346&amp;" ",BP29)))),"")</f>
        <v>0</v>
      </c>
      <c r="BO29" s="127" cm="1">
        <f t="array" ref="BO29">IF(18=18,IF(AM29="","",SUMPRODUCT(--ISNUMBER(SEARCH(" "&amp;DJ1347:DJ1374&amp;" ",BP29)))),"")</f>
        <v>0</v>
      </c>
      <c r="BP29" s="127" t="str">
        <f>IF(18=18,IF(AM29="","",SUBSTITUTE(SUBSTITUTE(SUBSTITUTE(SUBSTITUTE(SUBSTITUTE(SUBSTITUTE(SUBSTITUTE(SUBSTITUTE(SUBSTITUTE(AS29," "&amp;DJ1376&amp;" "," ")," "&amp;DJ1375&amp;" "," ")," "&amp;DJ1381&amp;" "," ")," "&amp;DJ1382&amp;" "," ")," "&amp;DJ1378&amp;" "," ")," "&amp;DJ1380&amp;" "," ")," "&amp;DJ1377&amp;" "," ")," "&amp;DJ1379&amp;" "," ")," "&amp;DJ1383&amp;" "," ")),"")</f>
        <v xml:space="preserve"> • 50 g de sucre en poudre </v>
      </c>
      <c r="BQ29" s="127" cm="1">
        <f t="array" ref="BQ29">IF(18=18,IF(AM29="","",SUMPRODUCT(--ISNUMBER(SEARCH(" "&amp;DJ1384:DJ1394&amp;" ",BP29)))),"")</f>
        <v>0</v>
      </c>
      <c r="BR29" s="127" t="str" cm="1">
        <f t="array" ref="BR29">IF(18=18,IF(AM29="","",IF(SUM(BF29:BO29)+SUMPRODUCT(--ISNUMBER(SEARCH(" "&amp;DJ2432:DJ2433&amp;" ",BP29)))&gt;0,"X",IF(BQ29&gt;0,"?",""))),"")</f>
        <v/>
      </c>
      <c r="BS29" s="127" cm="1">
        <f t="array" ref="BS29">IF(18=18,IF(AM29="","",SUMPRODUCT(--ISNUMBER(SEARCH(" "&amp;DJ1395:DJ1415&amp;" ",AS29)))),"")</f>
        <v>0</v>
      </c>
      <c r="BT29" s="127" t="str">
        <f>IF(18=18,IF(AM29="","",IF((BS29)-(0)&gt;0,"X",IF((0)-(0)&gt;0,"?",""))),"")</f>
        <v/>
      </c>
      <c r="BU29" s="127" cm="1">
        <f t="array" ref="BU29">IF(18=18,IF(AM29="","",SUMPRODUCT(--ISNUMBER(SEARCH(" "&amp;DJ1416:DJ1453&amp;" ",BV29)))),"")</f>
        <v>0</v>
      </c>
      <c r="BV29" s="127" t="str">
        <f>IF(18=18,IF(AM29="","",SUBSTITUTE(SUBSTITUTE(AS29," "&amp;DJ1454&amp;" "," ")," "&amp;DJ1455&amp;" "," ")),"")</f>
        <v xml:space="preserve"> • 50 g de sucre en poudre </v>
      </c>
      <c r="BW29" s="127" cm="1">
        <f t="array" ref="BW29">IF(18=18,IF(AM29="","",SUMPRODUCT(--ISNUMBER(SEARCH(" "&amp;DJ1456:DJ1466&amp;" ",BV29)))),"")</f>
        <v>0</v>
      </c>
      <c r="BX29" s="127" t="str">
        <f>IF(18=18,IF(AM29="","",IF(BU29&gt;0,"X",IF(BW29&gt;0,"?",""))),"")</f>
        <v/>
      </c>
      <c r="BY29" s="127" cm="1">
        <f t="array" ref="BY29">IF(18=18,IF(AM29="","",SUMPRODUCT(--ISNUMBER(SEARCH(" "&amp;DJ1467:DJ1566&amp;" ",CB29)))),"")</f>
        <v>0</v>
      </c>
      <c r="BZ29" s="127" cm="1">
        <f t="array" ref="BZ29">IF(18=18,IF(AM29="","",SUMPRODUCT(--ISNUMBER(SEARCH(" "&amp;DJ1567:DJ1666&amp;" ",CB29)))),"")</f>
        <v>0</v>
      </c>
      <c r="CA29" s="127" cm="1">
        <f t="array" ref="CA29">IF(18=18,IF(AM29="","",SUMPRODUCT(--ISNUMBER(SEARCH(" "&amp;DJ1667:DJ1750&amp;" ",CB29)))),"")</f>
        <v>0</v>
      </c>
      <c r="CB29" s="127" t="str">
        <f>IF(18=18,IF(AM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50 g de sucre en poudre </v>
      </c>
      <c r="CC29" s="127" cm="1">
        <f t="array" ref="CC29">IF(18=18,IF(AM29="","",SUMPRODUCT(--ISNUMBER(SEARCH(" "&amp;DJ1801:DJ1880&amp;" ",CD29)))+SUMPRODUCT(--ISNUMBER(SEARCH(" "&amp;DJ2451:DJ2464&amp;" ",CD29)))),"")</f>
        <v>0</v>
      </c>
      <c r="CD29" s="127" t="str">
        <f>IF(18=18,IF(AM29="","",SUBSTITUTE(SUBSTITUTE(SUBSTITUTE(SUBSTITUTE(SUBSTITUTE(SUBSTITUTE(SUBSTITUTE(SUBSTITUTE(SUBSTITUTE(SUBSTITUTE(SUBSTITUTE(SUBSTITUTE(SUBSTITUTE(CB29," "&amp;DJ1887&amp;" "," ")," "&amp;DJ1885&amp;" "," ")," "&amp;DJ2449&amp;" "," ")," "&amp;DJ2450&amp;" "," ")," "&amp;DJ1882&amp;" "," ")," "&amp;DJ1886&amp;" "," ")," "&amp;DJ1888&amp;" "," ")," "&amp;DJ1883&amp;" "," ")," "&amp;DJ1881&amp;" "," ")," "&amp;DJ1378&amp;" "," ")," "&amp;DJ1889&amp;" "," ")," "&amp;DJ1377&amp;" "," ")," "&amp;DJ1884&amp;" "," ")),"")</f>
        <v xml:space="preserve"> • 50 g de sucre en poudre </v>
      </c>
      <c r="CE29" s="127" t="str" cm="1">
        <f t="array" ref="CE29">IF(18=18,IF(AM29="","",IF(SUM(BY29:CA29)+SUMPRODUCT(--ISNUMBER(SEARCH(" "&amp;DJ2434:DJ2435&amp;" ",CB29)))&gt;0,"X",IF(CC29&gt;0,"?",""))),"")</f>
        <v/>
      </c>
      <c r="CF29" s="127" cm="1">
        <f t="array" ref="CF29">IF(18=18,IF(AM29="","",SUMPRODUCT(--ISNUMBER(SEARCH(" "&amp;DJ1890:DJ1947&amp;" ",CG29)))),"")</f>
        <v>0</v>
      </c>
      <c r="CG29" s="127" t="str">
        <f>IF(18=18,IF(AM29="","",SUBSTITUTE(SUBSTITUTE(SUBSTITUTE(SUBSTITUTE(SUBSTITUTE(SUBSTITUTE(SUBSTITUTE(SUBSTITUTE(SUBSTITUTE(SUBSTITUTE(SUBSTITUTE(SUBSTITUTE(SUBSTITUTE(SUBSTITUTE(SUBSTITUTE(SUBSTITUTE(SUBSTITUTE(SUBSTITUTE(SUBSTITUTE(SUBSTITUTE(SUBSTITUTE(SUBSTITUTE(SUBSTITUTE(AS29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50 g de sucre en poudre </v>
      </c>
      <c r="CH29" s="127" cm="1">
        <f t="array" ref="CH29">IF(18=18,IF(AM29="","",SUMPRODUCT(--ISNUMBER(SEARCH(" "&amp;DJ1971:DJ1987&amp;" ",CG29)))),"")</f>
        <v>0</v>
      </c>
      <c r="CI29" s="127" t="str">
        <f>IF(18=18,IF(AM29="","",IF(CF29&gt;0,"X",IF(CH29&gt;0,"?",""))),"")</f>
        <v/>
      </c>
      <c r="CJ29" s="127" cm="1">
        <f t="array" ref="CJ29">IF(18=18,IF(AM29="","",SUMPRODUCT(--ISNUMBER(SEARCH(" "&amp;DJ1988:DJ2001&amp;" ",AS29)))),"")</f>
        <v>0</v>
      </c>
      <c r="CK29" s="127" cm="1">
        <f t="array" ref="CK29">IF(18=18,IF(AM29="","",SUMPRODUCT(--ISNUMBER(SEARCH(" "&amp;DJ2002:DJ2016&amp;" ",AS29)))),"")</f>
        <v>0</v>
      </c>
      <c r="CL29" s="127" t="str">
        <f>IF(18=18,IF(AM29="","",IF((CJ29)-(0)&gt;0,"X",IF((CK29)-(0)&gt;0,"?",""))),"")</f>
        <v/>
      </c>
      <c r="CM29" s="127" cm="1">
        <f t="array" ref="CM29">IF(18=18,IF(AM29="","",SUMPRODUCT(--ISNUMBER(SEARCH(" "&amp;DJ2017:DJ2034&amp;" ",AS29)))),"")</f>
        <v>0</v>
      </c>
      <c r="CN29" s="127" cm="1">
        <f t="array" ref="CN29">IF(18=18,IF(AM29="","",SUMPRODUCT(--ISNUMBER(SEARCH(" "&amp;DJ2035:DJ2049&amp;" ",AS29)))),"")</f>
        <v>0</v>
      </c>
      <c r="CO29" s="127" t="str">
        <f>IF(18=18,IF(AM29="","",IF((CM29)-(0)&gt;0,"X",IF((CN29)-(0)&gt;0,"?",""))),"")</f>
        <v/>
      </c>
      <c r="CP29" s="127" cm="1">
        <f t="array" ref="CP29">IF(18=18,IF(AM29="","",SUMPRODUCT(--ISNUMBER(SEARCH(" "&amp;DJ2050:DJ2068&amp;" ",AS29)))),"")</f>
        <v>0</v>
      </c>
      <c r="CQ29" s="127" cm="1">
        <f t="array" ref="CQ29">IF(18=18,IF(AM29="","",SUMPRODUCT(--ISNUMBER(SEARCH(" "&amp;DJ2069:DJ2083&amp;" ",AS29)))),"")</f>
        <v>0</v>
      </c>
      <c r="CR29" s="127" t="str">
        <f>IF(18=18,IF(AM29="","",IF((CP29)-(0)&gt;0,"X",IF((CQ29)-(0)&gt;0,"?",""))),"")</f>
        <v/>
      </c>
      <c r="CS29" s="127" cm="1">
        <f t="array" ref="CS29">IF(18=18,IF(AM29="","",SUMPRODUCT(--ISNUMBER(SEARCH(" "&amp;DJ2084:DJ2104&amp;" ",AS29)))),"")</f>
        <v>0</v>
      </c>
      <c r="CT29" s="127" cm="1">
        <f t="array" ref="CT29">IF(18=18,IF(AM29="","",SUMPRODUCT(--ISNUMBER(SEARCH(" "&amp;DJ2105:DJ2144&amp;" ",SUBSTITUTE(SUBSTITUTE(AS29," "&amp;DJ1378&amp;" "," ")," "&amp;DJ1377&amp;" "," "))))+--ISNUMBER(SEARCH("poiré",AN29))),"")</f>
        <v>0</v>
      </c>
      <c r="CU29" s="127" t="str">
        <f>IF(18=18,IF(AM29="","",IF(OR(CS29&gt;0,ISNUMBER(SEARCH(" vinaigre de vin ",AS29)),ISNUMBER(SEARCH(" vinaigre au vin ",AS29))),"X",IF(CT29&gt;0,"?",""))),"")</f>
        <v/>
      </c>
      <c r="CV29" s="127" cm="1">
        <f t="array" ref="CV29">IF(18=18,IF(AM29="","",SUMPRODUCT(--ISNUMBER(SEARCH(" "&amp;DJ2145:DJ2157&amp;" ",AS29)))),"")</f>
        <v>0</v>
      </c>
      <c r="CW29" s="127" cm="1">
        <f t="array" ref="CW29">IF(18=18,IF(AM29="","",SUMPRODUCT(--ISNUMBER(SEARCH(" "&amp;DJ2158:DJ2163&amp;" ",AS29)))),"")</f>
        <v>0</v>
      </c>
      <c r="CX29" s="127" t="str">
        <f>IF(18=18,IF(AM29="","",IF((CV29)-(0)&gt;0,"X",IF((CW29)-(0)&gt;0,"?",""))),"")</f>
        <v/>
      </c>
      <c r="CY29" s="127" cm="1">
        <f t="array" ref="CY29">IF(18=18,IF(AM29="","",SUMPRODUCT(--ISNUMBER(SEARCH(" "&amp;DJ2164:DJ2263&amp;" ",DB29)))),"")</f>
        <v>0</v>
      </c>
      <c r="CZ29" s="127" cm="1">
        <f t="array" ref="CZ29">IF(18=18,IF(AM29="","",SUMPRODUCT(--ISNUMBER(SEARCH(" "&amp;DJ2264:DJ2363&amp;" ",DB29)))),"")</f>
        <v>0</v>
      </c>
      <c r="DA29" s="127" cm="1">
        <f t="array" ref="DA29">IF(18=18,IF(AM29="","",SUMPRODUCT(--ISNUMBER(SEARCH(" "&amp;DJ2364:DJ2406&amp;" ",DB29)))),"")</f>
        <v>0</v>
      </c>
      <c r="DB29" s="127" t="str">
        <f>IF(18=18,IF(AM29="","",SUBSTITUTE(SUBSTITUTE(SUBSTITUTE(SUBSTITUTE(SUBSTITUTE(SUBSTITUTE(SUBSTITUTE(SUBSTITUTE(SUBSTITUTE(SUBSTITUTE(SUBSTITUTE(SUBSTITUTE(SUBSTITUTE(SUBSTITUTE(SUBSTITUTE(SUBSTITUTE(AS29," "&amp;DJ2412&amp;" "," ")," "&amp;DJ2411&amp;" "," ")," "&amp;DJ2410&amp;" "," ")," "&amp;DJ2417&amp;" "," ")," "&amp;DJ2409&amp;" "," ")," "&amp;DJ2421&amp;" "," ")," "&amp;DJ2408&amp;" "," ")," "&amp;DJ2413&amp;" "," ")," "&amp;DJ2416&amp;" "," ")," "&amp;DJ2407&amp;" "," ")," "&amp;DJ2415&amp;" "," ")," "&amp;DJ2422&amp;" "," ")," "&amp;DJ2419&amp;" "," ")," "&amp;DJ2414&amp;" "," ")," "&amp;DJ2418&amp;" "," ")," "&amp;DJ2420&amp;" "," ")),"")</f>
        <v xml:space="preserve"> • 50 g de sucre en poudre </v>
      </c>
      <c r="DC29" s="127" cm="1">
        <f t="array" ref="DC29">IF(18=18,IF(AM29="","",SUMPRODUCT(--ISNUMBER(SEARCH(" "&amp;DJ2423:DJ2427&amp;" ",DB29)))),"")</f>
        <v>0</v>
      </c>
      <c r="DD29" s="127" t="str">
        <f>IF(18=18,IF(AM29="","",IF(SUM(CY29:DA29)&gt;0,"X",IF(DC29&gt;0,"?",""))),"")</f>
        <v/>
      </c>
      <c r="DE29" s="152"/>
      <c r="DF29" s="160" t="s">
        <v>690</v>
      </c>
      <c r="DG29" s="160" t="s">
        <v>584</v>
      </c>
      <c r="DH29" s="160" t="s">
        <v>125</v>
      </c>
      <c r="DI29" s="160" t="s">
        <v>691</v>
      </c>
      <c r="DJ29" s="160" t="s">
        <v>691</v>
      </c>
      <c r="DK29" s="160" t="s">
        <v>666</v>
      </c>
      <c r="DL29" s="160" t="s">
        <v>667</v>
      </c>
      <c r="DM29" s="160" t="s">
        <v>590</v>
      </c>
      <c r="DN29" s="161" t="s">
        <v>668</v>
      </c>
      <c r="DP29" s="130">
        <v>1</v>
      </c>
    </row>
    <row r="30" spans="2:120" ht="30" customHeight="1">
      <c r="B30" s="165" t="str">
        <f t="shared" si="0"/>
        <v>• 15 g de beurre</v>
      </c>
      <c r="C30" s="165" t="str">
        <f t="shared" si="1"/>
        <v>• 15 g de beurre</v>
      </c>
      <c r="D30" s="165" t="str">
        <f>IF(UPPER(TRIM(N11))="X",C30,B30)</f>
        <v>• 15 g de beurre</v>
      </c>
      <c r="E30" s="165" cm="1">
        <f t="array" ref="E30">IF(H29&lt;&gt;"",E29,IF(E29="","",IFERROR(MATCH(TRUE(),INDEX(INDEX(K:K,E29+1):K203&lt;&gt;"",0),0)+E29,"")))</f>
        <v>27</v>
      </c>
      <c r="F30" s="165" t="str" cm="1">
        <f t="array" ref="F30">IF(E30="","",IF(H29&lt;&gt;"",H29,INDEX(D:D,E30)))</f>
        <v>• 30 g de farine</v>
      </c>
      <c r="G30" s="165" t="str">
        <f t="shared" si="2"/>
        <v>• 30 g de farine</v>
      </c>
      <c r="H30" s="174" t="str">
        <f t="shared" si="3"/>
        <v/>
      </c>
      <c r="I30" s="184" t="str">
        <f>IF(AND(F30&lt;&gt;"",N10&gt;0,M30&gt;N10),"Mot &gt; limite","")</f>
        <v/>
      </c>
      <c r="J30" s="175">
        <f>IF(K30="","",COUNTIF(K18:K30,"&lt;&gt;"))</f>
        <v>13</v>
      </c>
      <c r="K30" s="111" t="s">
        <v>405</v>
      </c>
      <c r="L30" s="175">
        <f t="shared" si="4"/>
        <v>16</v>
      </c>
      <c r="M30" s="135">
        <f>IF(OR(F30="",N10="",N10&lt;=0),"",IF(LEN(F30)&lt;=N10,LEN(F30),IFERROR(FIND("♦",SUBSTITUTE(LEFT(F30,N10)," ","♦",LEN(LEFT(F30,N10))-LEN(SUBSTITUTE(LEFT(F30,N10)," ","")))),FIND(" ",F30&amp;" ",N10+1)-1)))</f>
        <v>16</v>
      </c>
      <c r="N30" s="176">
        <f t="shared" si="5"/>
        <v>13</v>
      </c>
      <c r="O30" s="177" t="str">
        <f t="shared" si="6"/>
        <v>• 30 g de farine</v>
      </c>
      <c r="P30" s="176">
        <f t="shared" si="7"/>
        <v>5</v>
      </c>
      <c r="Q30" s="176">
        <f t="shared" si="8"/>
        <v>16</v>
      </c>
      <c r="S30" s="178">
        <v>13</v>
      </c>
      <c r="T30" s="179" t="str">
        <f t="shared" si="10"/>
        <v>• 30 g de farine</v>
      </c>
      <c r="U30" s="180" t="str">
        <f t="shared" si="9"/>
        <v>• 30 g de farine ?</v>
      </c>
      <c r="V30" s="181" t="str">
        <f>IF(19=19,IF(T30="","",IF(W30="X",""&amp;"Céréales contenant du gluten","")&amp;IF(X30="X",IF(COUNTIF(W30:W30,"X")&gt;0,", ","")&amp;"Crustacés","")&amp;IF(Y30="X",IF(COUNTIF(W30:X30,"X")&gt;0,", ","")&amp;"Œufs","")&amp;IF(Z30="X",IF(COUNTIF(W30:Y30,"X")&gt;0,", ","")&amp;"Poissons","")&amp;IF(AA30="X",IF(COUNTIF(W30:Z30,"X")&gt;0,", ","")&amp;"Arachides","")&amp;IF(AB30="X",IF(COUNTIF(W30:AA30,"X")&gt;0,", ","")&amp;"Soja","")&amp;IF(AC30="X",IF(COUNTIF(W30:AB30,"X")&gt;0,", ","")&amp;"Lait","")&amp;IF(AD30="X",IF(COUNTIF(W30:AC30,"X")&gt;0,", ","")&amp;"Fruits à coque","")&amp;IF(AE30="X",IF(COUNTIF(W30:AD30,"X")&gt;0,", ","")&amp;"Céleri","")&amp;IF(AF30="X",IF(COUNTIF(W30:AE30,"X")&gt;0,", ","")&amp;"Moutarde","")&amp;IF(AG30="X",IF(COUNTIF(W30:AF30,"X")&gt;0,", ","")&amp;"Sésame","")&amp;IF(AH30="X",IF(COUNTIF(W30:AG30,"X")&gt;0,", ","")&amp;"Sulfites","")&amp;IF(AI30="X",IF(COUNTIF(W30:AH30,"X")&gt;0,", ","")&amp;"Lupin","")&amp;IF(AJ30="X",IF(COUNTIF(W30:AI30,"X")&gt;0,", ","")&amp;"Mollusques","")),"")</f>
        <v/>
      </c>
      <c r="W30" s="182" t="str">
        <f>IF(19=19,IF(T30="","",AX30),"")</f>
        <v>?</v>
      </c>
      <c r="X30" s="182" t="str">
        <f>IF(19=19,IF(T30="","",BA30),"")</f>
        <v/>
      </c>
      <c r="Y30" s="182" t="str">
        <f>IF(19=19,IF(T30="","",BE30),"")</f>
        <v/>
      </c>
      <c r="Z30" s="182" t="str">
        <f>IF(19=19,IF(T30="","",IF(ISNUMBER(SEARCH(" colin ",AS30)),"X",BR30)),"")</f>
        <v/>
      </c>
      <c r="AA30" s="182" t="str">
        <f>IF(19=19,IF(T30="","",BT30),"")</f>
        <v/>
      </c>
      <c r="AB30" s="182" t="str">
        <f>IF(19=19,IF(T30="","",BX30),"")</f>
        <v/>
      </c>
      <c r="AC30" s="182" t="str">
        <f>IF(19=19,IF(T30="","",CE30),"")</f>
        <v/>
      </c>
      <c r="AD30" s="182" t="str">
        <f>IF(19=19,IF(T30="","",CI30),"")</f>
        <v/>
      </c>
      <c r="AE30" s="182" t="str">
        <f>IF(19=19,IF(T30="","",CL30),"")</f>
        <v/>
      </c>
      <c r="AF30" s="182" t="str">
        <f>IF(19=19,IF(T30="","",CO30),"")</f>
        <v/>
      </c>
      <c r="AG30" s="182" t="str">
        <f>IF(19=19,IF(T30="","",CR30),"")</f>
        <v/>
      </c>
      <c r="AH30" s="182" t="str">
        <f>IF(19=19,IF(T30="","",CU30),"")</f>
        <v/>
      </c>
      <c r="AI30" s="182" t="str">
        <f>IF(19=19,IF(T30="","",CX30),"")</f>
        <v/>
      </c>
      <c r="AJ30" s="182" t="str">
        <f>IF(19=19,IF(T30="","",DD30),"")</f>
        <v/>
      </c>
      <c r="AK30" s="183" t="str">
        <f>IF(19=19,IF(T30="","",IF(W30="?",""&amp;"Céréales contenant du gluten","")&amp;IF(X30="?",IF(COUNTIF(W30:W30,"~?")&gt;0,", ","")&amp;"Crustacés","")&amp;IF(Y30="?",IF(COUNTIF(W30:X30,"~?")&gt;0,", ","")&amp;"Œufs","")&amp;IF(Z30="?",IF(COUNTIF(W30:Y30,"~?")&gt;0,", ","")&amp;"Poissons","")&amp;IF(AA30="?",IF(COUNTIF(W30:Z30,"~?")&gt;0,", ","")&amp;"Arachides","")&amp;IF(AB30="?",IF(COUNTIF(W30:AA30,"~?")&gt;0,", ","")&amp;"Soja","")&amp;IF(AC30="?",IF(COUNTIF(W30:AB30,"~?")&gt;0,", ","")&amp;"Lait","")&amp;IF(AD30="?",IF(COUNTIF(W30:AC30,"~?")&gt;0,", ","")&amp;"Fruits à coque","")&amp;IF(AE30="?",IF(COUNTIF(W30:AD30,"~?")&gt;0,", ","")&amp;"Céleri","")&amp;IF(AF30="?",IF(COUNTIF(W30:AE30,"~?")&gt;0,", ","")&amp;"Moutarde","")&amp;IF(AG30="?",IF(COUNTIF(W30:AF30,"~?")&gt;0,", ","")&amp;"Sésame","")&amp;IF(AH30="?",IF(COUNTIF(W30:AG30,"~?")&gt;0,", ","")&amp;"Sulfites","")&amp;IF(AI30="?",IF(COUNTIF(W30:AH30,"~?")&gt;0,", ","")&amp;"Lupin","")&amp;IF(AJ30="?",IF(COUNTIF(W30:AI30,"~?")&gt;0,", ","")&amp;"Mollusques","")),"")</f>
        <v>Céréales contenant du gluten</v>
      </c>
      <c r="AM30" s="127" t="str">
        <f>IF(19=19,IF(T30="","",T30),"")</f>
        <v>• 30 g de farine</v>
      </c>
      <c r="AN30" s="127" t="str">
        <f>IF(19=19,LOWER(CLEAN(SUBSTITUTE(SUBSTITUTE(SUBSTITUTE(SUBSTITUTE(AM30,CHAR(160)," ")," "," "),CHAR(10)," "),CHAR(13)," "))),"")</f>
        <v>• 30 g de farine</v>
      </c>
      <c r="AO30" s="127" t="str">
        <f>IF(19=19,SUBSTITUTE(SUBSTITUTE(SUBSTITUTE(SUBSTITUTE(SUBSTITUTE(SUBSTITUTE(SUBSTITUTE(SUBSTITUTE(SUBSTITUTE(SUBSTITUTE(SUBSTITUTE(SUBSTITUTE(AN30,"œ","oe"),"æ","ae"),"à","a"),"á","a"),"â","a"),"ä","a"),"ã","a"),"ç","c"),"è","e"),"é","e"),"ê","e"),"ë","e"),"")</f>
        <v>• 30 g de farine</v>
      </c>
      <c r="AP30" s="127" t="str">
        <f>IF(19=19,SUBSTITUTE(SUBSTITUTE(SUBSTITUTE(SUBSTITUTE(SUBSTITUTE(SUBSTITUTE(SUBSTITUTE(SUBSTITUTE(SUBSTITUTE(SUBSTITUTE(SUBSTITUTE(SUBSTITUTE(SUBSTITUTE(SUBSTITUTE(SUBSTITUTE(SUBSTITUTE(AO30,"ì","i"),"í","i"),"î","i"),"ï","i"),"ñ","n"),"ò","o"),"ó","o"),"ô","o"),"ö","o"),"õ","o"),"ù","u"),"ú","u"),"û","u"),"ü","u"),"ý","y"),"ÿ","y"),"")</f>
        <v>• 30 g de farine</v>
      </c>
      <c r="AQ30" s="127" t="str">
        <f>IF(19=19,SUBSTITUTE(SUBSTITUTE(SUBSTITUTE(SUBSTITUTE(SUBSTITUTE(SUBSTITUTE(SUBSTITUTE(SUBSTITUTE(SUBSTITUTE(SUBSTITUTE(SUBSTITUTE(SUBSTITUTE(SUBSTITUTE(SUBSTITUTE(AP30,"’"," "),"`"," "),"–"," "),"—"," "),"-"," "),"'"," "),"/"," "),"_"," "),","," "),"."," "),"("," "),")"," "),";"," "),":"," "),"")</f>
        <v>• 30 g de farine</v>
      </c>
      <c r="AR30" s="127" t="str">
        <f>IF(19=19,SUBSTITUTE(SUBSTITUTE(SUBSTITUTE(SUBSTITUTE(SUBSTITUTE(SUBSTITUTE(SUBSTITUTE(SUBSTITUTE(SUBSTITUTE(SUBSTITUTE(SUBSTITUTE(SUBSTITUTE(SUBSTITUTE(SUBSTITUTE(SUBSTITUTE(AQ30,"!"," "),"?"," "),"+"," "),"*"," "),"&amp;"," "),"["," "),"]"," "),"{"," "),"}"," "),"%"," "),"="," "),"\"," "),"|"," "),"&lt;"," "),"&gt;"," "),"")</f>
        <v>• 30 g de farine</v>
      </c>
      <c r="AS30" s="127" t="str">
        <f>IF(19=19," "&amp;TRIM(SUBSTITUTE(SUBSTITUTE(SUBSTITUTE(SUBSTITUTE(SUBSTITUTE(SUBSTITUTE(AR30,CHAR(34)," "),"  "," "),"  "," "),"  "," "),"  "," "),"  "," "))&amp;" ","")</f>
        <v xml:space="preserve"> • 30 g de farine </v>
      </c>
      <c r="AT30" s="127" cm="1">
        <f t="array" ref="AT30">IF(19=19,IF(AM30="","",SUMPRODUCT(--ISNUMBER(SEARCH(" "&amp;DJ13:DJ112&amp;" ",AV30)))),"")</f>
        <v>0</v>
      </c>
      <c r="AU30" s="127" cm="1">
        <f t="array" ref="AU30">IF(19=19,IF(AM30="","",SUMPRODUCT(--ISNUMBER(SEARCH(" "&amp;DJ113:DJ162&amp;" ",AV30)))),"")</f>
        <v>0</v>
      </c>
      <c r="AV30" s="127" t="str">
        <f>IF(AM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30 g de farine </v>
      </c>
      <c r="AW30" s="127" cm="1">
        <f t="array" ref="AW30">IF(AM30="","",SUMPRODUCT(--ISNUMBER(SEARCH(" "&amp;DJ195:DJ216&amp;" ",AV30)))+--ISNUMBER(SEARCH(" "&amp;DJ2465&amp;" ",AV30)))</f>
        <v>1</v>
      </c>
      <c r="AX30" s="127" t="str" cm="1">
        <f t="array" ref="AX30">IF(19=19,IF(AM30="","",IF(SUM(AT30:AU30)+SUMPRODUCT(--ISNUMBER(SEARCH(" "&amp;DJ2429:DJ2431&amp;" ",AV30)))&gt;0,"X",IF(AW30&gt;0,"?",""))),"")</f>
        <v>?</v>
      </c>
      <c r="AY30" s="127" cm="1">
        <f t="array" ref="AY30">IF(19=19,IF(AM30="","",SUMPRODUCT(--ISNUMBER(SEARCH(" "&amp;DJ217:DJ316&amp;" ",AS30)))),"")</f>
        <v>0</v>
      </c>
      <c r="AZ30" s="127" cm="1">
        <f t="array" ref="AZ30">IF(19=19,IF(AM30="","",SUMPRODUCT(--ISNUMBER(SEARCH(" "&amp;DJ317:DJ351&amp;" ",AS30)))),"")</f>
        <v>0</v>
      </c>
      <c r="BA30" s="127" t="str">
        <f>IF(19=19,IF(AM30="","",IF((SUM(AY30:AZ30))-(0)&gt;0,"X",IF((0)-(0)&gt;0,"?",""))),"")</f>
        <v/>
      </c>
      <c r="BB30" s="127" cm="1">
        <f t="array" ref="BB30">IF(19=19,IF(AM30="","",SUMPRODUCT(--ISNUMBER(SEARCH(" "&amp;DJ352:DJ409&amp;" ",AS30)))),"")</f>
        <v>0</v>
      </c>
      <c r="BC30" s="127" cm="1">
        <f t="array" ref="BC30">IF(19=19,IF(AM30="","",SUMPRODUCT(--ISNUMBER(SEARCH(" "&amp;DJ410:DJ437&amp;" ",BD30)))+SUMPRODUCT(--ISNUMBER(SEARCH(" "&amp;DJ2451:DJ2464&amp;" ",BD30)))),"")</f>
        <v>0</v>
      </c>
      <c r="BD30" s="127" t="str">
        <f>IF(19=19,IF(AM30="","",SUBSTITUTE(SUBSTITUTE(SUBSTITUTE(SUBSTITUTE(SUBSTITUTE(SUBSTITUTE(SUBSTITUTE(SUBSTITUTE(SUBSTITUTE(SUBSTITUTE(SUBSTITUTE(SUBSTITUTE(SUBSTITUTE(SUBSTITUTE(AS30," "&amp;DJ2466&amp;" "," ")," "&amp;DJ444&amp;" "," ")," "&amp;DJ442&amp;" "," ")," "&amp;DJ2449&amp;" "," ")," "&amp;DJ2450&amp;" "," ")," "&amp;DJ439&amp;" "," ")," "&amp;DJ443&amp;" "," ")," "&amp;DJ445&amp;" "," ")," "&amp;DJ440&amp;" "," ")," "&amp;DJ438&amp;" "," ")," "&amp;DJ1378&amp;" "," ")," "&amp;DJ446&amp;" "," ")," "&amp;DJ1377&amp;" "," ")," "&amp;DJ441&amp;" "," ")),"")</f>
        <v xml:space="preserve"> • 30 g de farine </v>
      </c>
      <c r="BE30" s="127" t="str">
        <f>IF(19=19,IF(AM30="","",IF(BB30&gt;0,"X",IF(BC30&gt;0,"?",""))),"")</f>
        <v/>
      </c>
      <c r="BF30" s="127" cm="1">
        <f t="array" ref="BF30">IF(19=19,IF(AM30="","",SUMPRODUCT(--ISNUMBER(SEARCH(" "&amp;DJ447:DJ546&amp;" ",BP30)))),"")</f>
        <v>0</v>
      </c>
      <c r="BG30" s="127" cm="1">
        <f t="array" ref="BG30">IF(19=19,IF(AM30="","",SUMPRODUCT(--ISNUMBER(SEARCH(" "&amp;DJ547:DJ646&amp;" ",BP30)))),"")</f>
        <v>0</v>
      </c>
      <c r="BH30" s="127" cm="1">
        <f t="array" ref="BH30">IF(19=19,IF(AM30="","",SUMPRODUCT(--ISNUMBER(SEARCH(" "&amp;DJ647:DJ746&amp;" ",BP30)))),"")</f>
        <v>0</v>
      </c>
      <c r="BI30" s="127" cm="1">
        <f t="array" ref="BI30">IF(19=19,IF(AM30="","",SUMPRODUCT(--ISNUMBER(SEARCH(" "&amp;DJ747:DJ846&amp;" ",BP30)))),"")</f>
        <v>0</v>
      </c>
      <c r="BJ30" s="127" cm="1">
        <f t="array" ref="BJ30">IF(19=19,IF(AM30="","",SUMPRODUCT(--ISNUMBER(SEARCH(" "&amp;DJ847:DJ946&amp;" ",BP30)))),"")</f>
        <v>0</v>
      </c>
      <c r="BK30" s="127" cm="1">
        <f t="array" ref="BK30">IF(19=19,IF(AM30="","",SUMPRODUCT(--ISNUMBER(SEARCH(" "&amp;DJ947:DJ1046&amp;" ",BP30)))),"")</f>
        <v>0</v>
      </c>
      <c r="BL30" s="127" cm="1">
        <f t="array" ref="BL30">IF(19=19,IF(AM30="","",SUMPRODUCT(--ISNUMBER(SEARCH(" "&amp;DJ1047:DJ1146&amp;" ",BP30)))),"")</f>
        <v>0</v>
      </c>
      <c r="BM30" s="127" cm="1">
        <f t="array" ref="BM30">IF(19=19,IF(AM30="","",SUMPRODUCT(--ISNUMBER(SEARCH(" "&amp;DJ1147:DJ1246&amp;" ",BP30)))),"")</f>
        <v>0</v>
      </c>
      <c r="BN30" s="127" cm="1">
        <f t="array" ref="BN30">IF(19=19,IF(AM30="","",SUMPRODUCT(--ISNUMBER(SEARCH(" "&amp;DJ1247:DJ1346&amp;" ",BP30)))),"")</f>
        <v>0</v>
      </c>
      <c r="BO30" s="127" cm="1">
        <f t="array" ref="BO30">IF(19=19,IF(AM30="","",SUMPRODUCT(--ISNUMBER(SEARCH(" "&amp;DJ1347:DJ1374&amp;" ",BP30)))),"")</f>
        <v>0</v>
      </c>
      <c r="BP30" s="127" t="str">
        <f>IF(19=19,IF(AM30="","",SUBSTITUTE(SUBSTITUTE(SUBSTITUTE(SUBSTITUTE(SUBSTITUTE(SUBSTITUTE(SUBSTITUTE(SUBSTITUTE(SUBSTITUTE(AS30," "&amp;DJ1376&amp;" "," ")," "&amp;DJ1375&amp;" "," ")," "&amp;DJ1381&amp;" "," ")," "&amp;DJ1382&amp;" "," ")," "&amp;DJ1378&amp;" "," ")," "&amp;DJ1380&amp;" "," ")," "&amp;DJ1377&amp;" "," ")," "&amp;DJ1379&amp;" "," ")," "&amp;DJ1383&amp;" "," ")),"")</f>
        <v xml:space="preserve"> • 30 g de farine </v>
      </c>
      <c r="BQ30" s="127" cm="1">
        <f t="array" ref="BQ30">IF(19=19,IF(AM30="","",SUMPRODUCT(--ISNUMBER(SEARCH(" "&amp;DJ1384:DJ1394&amp;" ",BP30)))),"")</f>
        <v>0</v>
      </c>
      <c r="BR30" s="127" t="str" cm="1">
        <f t="array" ref="BR30">IF(19=19,IF(AM30="","",IF(SUM(BF30:BO30)+SUMPRODUCT(--ISNUMBER(SEARCH(" "&amp;DJ2432:DJ2433&amp;" ",BP30)))&gt;0,"X",IF(BQ30&gt;0,"?",""))),"")</f>
        <v/>
      </c>
      <c r="BS30" s="127" cm="1">
        <f t="array" ref="BS30">IF(19=19,IF(AM30="","",SUMPRODUCT(--ISNUMBER(SEARCH(" "&amp;DJ1395:DJ1415&amp;" ",AS30)))),"")</f>
        <v>0</v>
      </c>
      <c r="BT30" s="127" t="str">
        <f>IF(19=19,IF(AM30="","",IF((BS30)-(0)&gt;0,"X",IF((0)-(0)&gt;0,"?",""))),"")</f>
        <v/>
      </c>
      <c r="BU30" s="127" cm="1">
        <f t="array" ref="BU30">IF(19=19,IF(AM30="","",SUMPRODUCT(--ISNUMBER(SEARCH(" "&amp;DJ1416:DJ1453&amp;" ",BV30)))),"")</f>
        <v>0</v>
      </c>
      <c r="BV30" s="127" t="str">
        <f>IF(19=19,IF(AM30="","",SUBSTITUTE(SUBSTITUTE(AS30," "&amp;DJ1454&amp;" "," ")," "&amp;DJ1455&amp;" "," ")),"")</f>
        <v xml:space="preserve"> • 30 g de farine </v>
      </c>
      <c r="BW30" s="127" cm="1">
        <f t="array" ref="BW30">IF(19=19,IF(AM30="","",SUMPRODUCT(--ISNUMBER(SEARCH(" "&amp;DJ1456:DJ1466&amp;" ",BV30)))),"")</f>
        <v>0</v>
      </c>
      <c r="BX30" s="127" t="str">
        <f>IF(19=19,IF(AM30="","",IF(BU30&gt;0,"X",IF(BW30&gt;0,"?",""))),"")</f>
        <v/>
      </c>
      <c r="BY30" s="127" cm="1">
        <f t="array" ref="BY30">IF(19=19,IF(AM30="","",SUMPRODUCT(--ISNUMBER(SEARCH(" "&amp;DJ1467:DJ1566&amp;" ",CB30)))),"")</f>
        <v>0</v>
      </c>
      <c r="BZ30" s="127" cm="1">
        <f t="array" ref="BZ30">IF(19=19,IF(AM30="","",SUMPRODUCT(--ISNUMBER(SEARCH(" "&amp;DJ1567:DJ1666&amp;" ",CB30)))),"")</f>
        <v>0</v>
      </c>
      <c r="CA30" s="127" cm="1">
        <f t="array" ref="CA30">IF(19=19,IF(AM30="","",SUMPRODUCT(--ISNUMBER(SEARCH(" "&amp;DJ1667:DJ1750&amp;" ",CB30)))),"")</f>
        <v>0</v>
      </c>
      <c r="CB30" s="127" t="str">
        <f>IF(19=19,IF(AM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30 g de farine </v>
      </c>
      <c r="CC30" s="127" cm="1">
        <f t="array" ref="CC30">IF(19=19,IF(AM30="","",SUMPRODUCT(--ISNUMBER(SEARCH(" "&amp;DJ1801:DJ1880&amp;" ",CD30)))+SUMPRODUCT(--ISNUMBER(SEARCH(" "&amp;DJ2451:DJ2464&amp;" ",CD30)))),"")</f>
        <v>0</v>
      </c>
      <c r="CD30" s="127" t="str">
        <f>IF(19=19,IF(AM30="","",SUBSTITUTE(SUBSTITUTE(SUBSTITUTE(SUBSTITUTE(SUBSTITUTE(SUBSTITUTE(SUBSTITUTE(SUBSTITUTE(SUBSTITUTE(SUBSTITUTE(SUBSTITUTE(SUBSTITUTE(SUBSTITUTE(CB30," "&amp;DJ1887&amp;" "," ")," "&amp;DJ1885&amp;" "," ")," "&amp;DJ2449&amp;" "," ")," "&amp;DJ2450&amp;" "," ")," "&amp;DJ1882&amp;" "," ")," "&amp;DJ1886&amp;" "," ")," "&amp;DJ1888&amp;" "," ")," "&amp;DJ1883&amp;" "," ")," "&amp;DJ1881&amp;" "," ")," "&amp;DJ1378&amp;" "," ")," "&amp;DJ1889&amp;" "," ")," "&amp;DJ1377&amp;" "," ")," "&amp;DJ1884&amp;" "," ")),"")</f>
        <v xml:space="preserve"> • 30 g de farine </v>
      </c>
      <c r="CE30" s="127" t="str" cm="1">
        <f t="array" ref="CE30">IF(19=19,IF(AM30="","",IF(SUM(BY30:CA30)+SUMPRODUCT(--ISNUMBER(SEARCH(" "&amp;DJ2434:DJ2435&amp;" ",CB30)))&gt;0,"X",IF(CC30&gt;0,"?",""))),"")</f>
        <v/>
      </c>
      <c r="CF30" s="127" cm="1">
        <f t="array" ref="CF30">IF(19=19,IF(AM30="","",SUMPRODUCT(--ISNUMBER(SEARCH(" "&amp;DJ1890:DJ1947&amp;" ",CG30)))),"")</f>
        <v>0</v>
      </c>
      <c r="CG30" s="127" t="str">
        <f>IF(19=19,IF(AM30="","",SUBSTITUTE(SUBSTITUTE(SUBSTITUTE(SUBSTITUTE(SUBSTITUTE(SUBSTITUTE(SUBSTITUTE(SUBSTITUTE(SUBSTITUTE(SUBSTITUTE(SUBSTITUTE(SUBSTITUTE(SUBSTITUTE(SUBSTITUTE(SUBSTITUTE(SUBSTITUTE(SUBSTITUTE(SUBSTITUTE(SUBSTITUTE(SUBSTITUTE(SUBSTITUTE(SUBSTITUTE(SUBSTITUTE(AS30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30 g de farine </v>
      </c>
      <c r="CH30" s="127" cm="1">
        <f t="array" ref="CH30">IF(19=19,IF(AM30="","",SUMPRODUCT(--ISNUMBER(SEARCH(" "&amp;DJ1971:DJ1987&amp;" ",CG30)))),"")</f>
        <v>0</v>
      </c>
      <c r="CI30" s="127" t="str">
        <f>IF(19=19,IF(AM30="","",IF(CF30&gt;0,"X",IF(CH30&gt;0,"?",""))),"")</f>
        <v/>
      </c>
      <c r="CJ30" s="127" cm="1">
        <f t="array" ref="CJ30">IF(19=19,IF(AM30="","",SUMPRODUCT(--ISNUMBER(SEARCH(" "&amp;DJ1988:DJ2001&amp;" ",AS30)))),"")</f>
        <v>0</v>
      </c>
      <c r="CK30" s="127" cm="1">
        <f t="array" ref="CK30">IF(19=19,IF(AM30="","",SUMPRODUCT(--ISNUMBER(SEARCH(" "&amp;DJ2002:DJ2016&amp;" ",AS30)))),"")</f>
        <v>0</v>
      </c>
      <c r="CL30" s="127" t="str">
        <f>IF(19=19,IF(AM30="","",IF((CJ30)-(0)&gt;0,"X",IF((CK30)-(0)&gt;0,"?",""))),"")</f>
        <v/>
      </c>
      <c r="CM30" s="127" cm="1">
        <f t="array" ref="CM30">IF(19=19,IF(AM30="","",SUMPRODUCT(--ISNUMBER(SEARCH(" "&amp;DJ2017:DJ2034&amp;" ",AS30)))),"")</f>
        <v>0</v>
      </c>
      <c r="CN30" s="127" cm="1">
        <f t="array" ref="CN30">IF(19=19,IF(AM30="","",SUMPRODUCT(--ISNUMBER(SEARCH(" "&amp;DJ2035:DJ2049&amp;" ",AS30)))),"")</f>
        <v>0</v>
      </c>
      <c r="CO30" s="127" t="str">
        <f>IF(19=19,IF(AM30="","",IF((CM30)-(0)&gt;0,"X",IF((CN30)-(0)&gt;0,"?",""))),"")</f>
        <v/>
      </c>
      <c r="CP30" s="127" cm="1">
        <f t="array" ref="CP30">IF(19=19,IF(AM30="","",SUMPRODUCT(--ISNUMBER(SEARCH(" "&amp;DJ2050:DJ2068&amp;" ",AS30)))),"")</f>
        <v>0</v>
      </c>
      <c r="CQ30" s="127" cm="1">
        <f t="array" ref="CQ30">IF(19=19,IF(AM30="","",SUMPRODUCT(--ISNUMBER(SEARCH(" "&amp;DJ2069:DJ2083&amp;" ",AS30)))),"")</f>
        <v>0</v>
      </c>
      <c r="CR30" s="127" t="str">
        <f>IF(19=19,IF(AM30="","",IF((CP30)-(0)&gt;0,"X",IF((CQ30)-(0)&gt;0,"?",""))),"")</f>
        <v/>
      </c>
      <c r="CS30" s="127" cm="1">
        <f t="array" ref="CS30">IF(19=19,IF(AM30="","",SUMPRODUCT(--ISNUMBER(SEARCH(" "&amp;DJ2084:DJ2104&amp;" ",AS30)))),"")</f>
        <v>0</v>
      </c>
      <c r="CT30" s="127" cm="1">
        <f t="array" ref="CT30">IF(19=19,IF(AM30="","",SUMPRODUCT(--ISNUMBER(SEARCH(" "&amp;DJ2105:DJ2144&amp;" ",SUBSTITUTE(SUBSTITUTE(AS30," "&amp;DJ1378&amp;" "," ")," "&amp;DJ1377&amp;" "," "))))+--ISNUMBER(SEARCH("poiré",AN30))),"")</f>
        <v>0</v>
      </c>
      <c r="CU30" s="127" t="str">
        <f>IF(19=19,IF(AM30="","",IF(OR(CS30&gt;0,ISNUMBER(SEARCH(" vinaigre de vin ",AS30)),ISNUMBER(SEARCH(" vinaigre au vin ",AS30))),"X",IF(CT30&gt;0,"?",""))),"")</f>
        <v/>
      </c>
      <c r="CV30" s="127" cm="1">
        <f t="array" ref="CV30">IF(19=19,IF(AM30="","",SUMPRODUCT(--ISNUMBER(SEARCH(" "&amp;DJ2145:DJ2157&amp;" ",AS30)))),"")</f>
        <v>0</v>
      </c>
      <c r="CW30" s="127" cm="1">
        <f t="array" ref="CW30">IF(19=19,IF(AM30="","",SUMPRODUCT(--ISNUMBER(SEARCH(" "&amp;DJ2158:DJ2163&amp;" ",AS30)))),"")</f>
        <v>0</v>
      </c>
      <c r="CX30" s="127" t="str">
        <f>IF(19=19,IF(AM30="","",IF((CV30)-(0)&gt;0,"X",IF((CW30)-(0)&gt;0,"?",""))),"")</f>
        <v/>
      </c>
      <c r="CY30" s="127" cm="1">
        <f t="array" ref="CY30">IF(19=19,IF(AM30="","",SUMPRODUCT(--ISNUMBER(SEARCH(" "&amp;DJ2164:DJ2263&amp;" ",DB30)))),"")</f>
        <v>0</v>
      </c>
      <c r="CZ30" s="127" cm="1">
        <f t="array" ref="CZ30">IF(19=19,IF(AM30="","",SUMPRODUCT(--ISNUMBER(SEARCH(" "&amp;DJ2264:DJ2363&amp;" ",DB30)))),"")</f>
        <v>0</v>
      </c>
      <c r="DA30" s="127" cm="1">
        <f t="array" ref="DA30">IF(19=19,IF(AM30="","",SUMPRODUCT(--ISNUMBER(SEARCH(" "&amp;DJ2364:DJ2406&amp;" ",DB30)))),"")</f>
        <v>0</v>
      </c>
      <c r="DB30" s="127" t="str">
        <f>IF(19=19,IF(AM30="","",SUBSTITUTE(SUBSTITUTE(SUBSTITUTE(SUBSTITUTE(SUBSTITUTE(SUBSTITUTE(SUBSTITUTE(SUBSTITUTE(SUBSTITUTE(SUBSTITUTE(SUBSTITUTE(SUBSTITUTE(SUBSTITUTE(SUBSTITUTE(SUBSTITUTE(SUBSTITUTE(AS30," "&amp;DJ2412&amp;" "," ")," "&amp;DJ2411&amp;" "," ")," "&amp;DJ2410&amp;" "," ")," "&amp;DJ2417&amp;" "," ")," "&amp;DJ2409&amp;" "," ")," "&amp;DJ2421&amp;" "," ")," "&amp;DJ2408&amp;" "," ")," "&amp;DJ2413&amp;" "," ")," "&amp;DJ2416&amp;" "," ")," "&amp;DJ2407&amp;" "," ")," "&amp;DJ2415&amp;" "," ")," "&amp;DJ2422&amp;" "," ")," "&amp;DJ2419&amp;" "," ")," "&amp;DJ2414&amp;" "," ")," "&amp;DJ2418&amp;" "," ")," "&amp;DJ2420&amp;" "," ")),"")</f>
        <v xml:space="preserve"> • 30 g de farine </v>
      </c>
      <c r="DC30" s="127" cm="1">
        <f t="array" ref="DC30">IF(19=19,IF(AM30="","",SUMPRODUCT(--ISNUMBER(SEARCH(" "&amp;DJ2423:DJ2427&amp;" ",DB30)))),"")</f>
        <v>0</v>
      </c>
      <c r="DD30" s="127" t="str">
        <f>IF(19=19,IF(AM30="","",IF(SUM(CY30:DA30)&gt;0,"X",IF(DC30&gt;0,"?",""))),"")</f>
        <v/>
      </c>
      <c r="DE30" s="152"/>
      <c r="DF30" s="160" t="s">
        <v>692</v>
      </c>
      <c r="DG30" s="160" t="s">
        <v>584</v>
      </c>
      <c r="DH30" s="160" t="s">
        <v>125</v>
      </c>
      <c r="DI30" s="160" t="s">
        <v>693</v>
      </c>
      <c r="DJ30" s="160" t="s">
        <v>693</v>
      </c>
      <c r="DK30" s="160" t="s">
        <v>588</v>
      </c>
      <c r="DL30" s="160" t="s">
        <v>589</v>
      </c>
      <c r="DM30" s="160" t="s">
        <v>590</v>
      </c>
      <c r="DN30" s="161" t="s">
        <v>591</v>
      </c>
      <c r="DP30" s="130">
        <v>1</v>
      </c>
    </row>
    <row r="31" spans="2:120" ht="30" customHeight="1">
      <c r="B31" s="165" t="str">
        <f t="shared" si="0"/>
        <v>• 10 g de sucre glace</v>
      </c>
      <c r="C31" s="165" t="str">
        <f t="shared" si="1"/>
        <v>• 10 g de sucre glace</v>
      </c>
      <c r="D31" s="165" t="str">
        <f>IF(UPPER(TRIM(N11))="X",C31,B31)</f>
        <v>• 10 g de sucre glace</v>
      </c>
      <c r="E31" s="165" cm="1">
        <f t="array" ref="E31">IF(H30&lt;&gt;"",E30,IF(E30="","",IFERROR(MATCH(TRUE(),INDEX(INDEX(K:K,E30+1):K203&lt;&gt;"",0),0)+E30,"")))</f>
        <v>28</v>
      </c>
      <c r="F31" s="165" t="str" cm="1">
        <f t="array" ref="F31">IF(E31="","",IF(H30&lt;&gt;"",H30,INDEX(D:D,E31)))</f>
        <v>• 15 cl de crème liquide</v>
      </c>
      <c r="G31" s="165" t="str">
        <f t="shared" si="2"/>
        <v>• 15 cl de crème liquide</v>
      </c>
      <c r="H31" s="174" t="str">
        <f t="shared" si="3"/>
        <v/>
      </c>
      <c r="I31" s="184" t="str">
        <f>IF(AND(F31&lt;&gt;"",N10&gt;0,M31&gt;N10),"Mot &gt; limite","")</f>
        <v/>
      </c>
      <c r="J31" s="175">
        <f>IF(K31="","",COUNTIF(K18:K31,"&lt;&gt;"))</f>
        <v>14</v>
      </c>
      <c r="K31" s="111" t="s">
        <v>406</v>
      </c>
      <c r="L31" s="175">
        <f t="shared" si="4"/>
        <v>21</v>
      </c>
      <c r="M31" s="135">
        <f>IF(OR(F31="",N10="",N10&lt;=0),"",IF(LEN(F31)&lt;=N10,LEN(F31),IFERROR(FIND("♦",SUBSTITUTE(LEFT(F31,N10)," ","♦",LEN(LEFT(F31,N10))-LEN(SUBSTITUTE(LEFT(F31,N10)," ","")))),FIND(" ",F31&amp;" ",N10+1)-1)))</f>
        <v>24</v>
      </c>
      <c r="N31" s="176">
        <f t="shared" si="5"/>
        <v>14</v>
      </c>
      <c r="O31" s="177" t="str">
        <f t="shared" si="6"/>
        <v>• 15 cl de crème liquide</v>
      </c>
      <c r="P31" s="176">
        <f t="shared" si="7"/>
        <v>6</v>
      </c>
      <c r="Q31" s="176">
        <f t="shared" si="8"/>
        <v>24</v>
      </c>
      <c r="S31" s="178">
        <v>14</v>
      </c>
      <c r="T31" s="179" t="str">
        <f t="shared" si="10"/>
        <v>• 15 cl de crème liquide</v>
      </c>
      <c r="U31" s="180" t="str">
        <f t="shared" si="9"/>
        <v>• 15 cl de crème liquide *</v>
      </c>
      <c r="V31" s="181" t="str">
        <f>IF(20=20,IF(T31="","",IF(W31="X",""&amp;"Céréales contenant du gluten","")&amp;IF(X31="X",IF(COUNTIF(W31:W31,"X")&gt;0,", ","")&amp;"Crustacés","")&amp;IF(Y31="X",IF(COUNTIF(W31:X31,"X")&gt;0,", ","")&amp;"Œufs","")&amp;IF(Z31="X",IF(COUNTIF(W31:Y31,"X")&gt;0,", ","")&amp;"Poissons","")&amp;IF(AA31="X",IF(COUNTIF(W31:Z31,"X")&gt;0,", ","")&amp;"Arachides","")&amp;IF(AB31="X",IF(COUNTIF(W31:AA31,"X")&gt;0,", ","")&amp;"Soja","")&amp;IF(AC31="X",IF(COUNTIF(W31:AB31,"X")&gt;0,", ","")&amp;"Lait","")&amp;IF(AD31="X",IF(COUNTIF(W31:AC31,"X")&gt;0,", ","")&amp;"Fruits à coque","")&amp;IF(AE31="X",IF(COUNTIF(W31:AD31,"X")&gt;0,", ","")&amp;"Céleri","")&amp;IF(AF31="X",IF(COUNTIF(W31:AE31,"X")&gt;0,", ","")&amp;"Moutarde","")&amp;IF(AG31="X",IF(COUNTIF(W31:AF31,"X")&gt;0,", ","")&amp;"Sésame","")&amp;IF(AH31="X",IF(COUNTIF(W31:AG31,"X")&gt;0,", ","")&amp;"Sulfites","")&amp;IF(AI31="X",IF(COUNTIF(W31:AH31,"X")&gt;0,", ","")&amp;"Lupin","")&amp;IF(AJ31="X",IF(COUNTIF(W31:AI31,"X")&gt;0,", ","")&amp;"Mollusques","")),"")</f>
        <v>Lait</v>
      </c>
      <c r="W31" s="182" t="str">
        <f>IF(20=20,IF(T31="","",AX31),"")</f>
        <v/>
      </c>
      <c r="X31" s="182" t="str">
        <f>IF(20=20,IF(T31="","",BA31),"")</f>
        <v/>
      </c>
      <c r="Y31" s="182" t="str">
        <f>IF(20=20,IF(T31="","",BE31),"")</f>
        <v/>
      </c>
      <c r="Z31" s="182" t="str">
        <f>IF(20=20,IF(T31="","",IF(ISNUMBER(SEARCH(" colin ",AS31)),"X",BR31)),"")</f>
        <v/>
      </c>
      <c r="AA31" s="182" t="str">
        <f>IF(20=20,IF(T31="","",BT31),"")</f>
        <v/>
      </c>
      <c r="AB31" s="182" t="str">
        <f>IF(20=20,IF(T31="","",BX31),"")</f>
        <v/>
      </c>
      <c r="AC31" s="182" t="str">
        <f>IF(20=20,IF(T31="","",CE31),"")</f>
        <v>X</v>
      </c>
      <c r="AD31" s="182" t="str">
        <f>IF(20=20,IF(T31="","",CI31),"")</f>
        <v/>
      </c>
      <c r="AE31" s="182" t="str">
        <f>IF(20=20,IF(T31="","",CL31),"")</f>
        <v/>
      </c>
      <c r="AF31" s="182" t="str">
        <f>IF(20=20,IF(T31="","",CO31),"")</f>
        <v/>
      </c>
      <c r="AG31" s="182" t="str">
        <f>IF(20=20,IF(T31="","",CR31),"")</f>
        <v/>
      </c>
      <c r="AH31" s="182" t="str">
        <f>IF(20=20,IF(T31="","",CU31),"")</f>
        <v/>
      </c>
      <c r="AI31" s="182" t="str">
        <f>IF(20=20,IF(T31="","",CX31),"")</f>
        <v/>
      </c>
      <c r="AJ31" s="182" t="str">
        <f>IF(20=20,IF(T31="","",DD31),"")</f>
        <v/>
      </c>
      <c r="AK31" s="183" t="str">
        <f>IF(20=20,IF(T31="","",IF(W31="?",""&amp;"Céréales contenant du gluten","")&amp;IF(X31="?",IF(COUNTIF(W31:W31,"~?")&gt;0,", ","")&amp;"Crustacés","")&amp;IF(Y31="?",IF(COUNTIF(W31:X31,"~?")&gt;0,", ","")&amp;"Œufs","")&amp;IF(Z31="?",IF(COUNTIF(W31:Y31,"~?")&gt;0,", ","")&amp;"Poissons","")&amp;IF(AA31="?",IF(COUNTIF(W31:Z31,"~?")&gt;0,", ","")&amp;"Arachides","")&amp;IF(AB31="?",IF(COUNTIF(W31:AA31,"~?")&gt;0,", ","")&amp;"Soja","")&amp;IF(AC31="?",IF(COUNTIF(W31:AB31,"~?")&gt;0,", ","")&amp;"Lait","")&amp;IF(AD31="?",IF(COUNTIF(W31:AC31,"~?")&gt;0,", ","")&amp;"Fruits à coque","")&amp;IF(AE31="?",IF(COUNTIF(W31:AD31,"~?")&gt;0,", ","")&amp;"Céleri","")&amp;IF(AF31="?",IF(COUNTIF(W31:AE31,"~?")&gt;0,", ","")&amp;"Moutarde","")&amp;IF(AG31="?",IF(COUNTIF(W31:AF31,"~?")&gt;0,", ","")&amp;"Sésame","")&amp;IF(AH31="?",IF(COUNTIF(W31:AG31,"~?")&gt;0,", ","")&amp;"Sulfites","")&amp;IF(AI31="?",IF(COUNTIF(W31:AH31,"~?")&gt;0,", ","")&amp;"Lupin","")&amp;IF(AJ31="?",IF(COUNTIF(W31:AI31,"~?")&gt;0,", ","")&amp;"Mollusques","")),"")</f>
        <v/>
      </c>
      <c r="AM31" s="127" t="str">
        <f>IF(20=20,IF(T31="","",T31),"")</f>
        <v>• 15 cl de crème liquide</v>
      </c>
      <c r="AN31" s="127" t="str">
        <f>IF(20=20,LOWER(CLEAN(SUBSTITUTE(SUBSTITUTE(SUBSTITUTE(SUBSTITUTE(AM31,CHAR(160)," ")," "," "),CHAR(10)," "),CHAR(13)," "))),"")</f>
        <v>• 15 cl de crème liquide</v>
      </c>
      <c r="AO31" s="127" t="str">
        <f>IF(20=20,SUBSTITUTE(SUBSTITUTE(SUBSTITUTE(SUBSTITUTE(SUBSTITUTE(SUBSTITUTE(SUBSTITUTE(SUBSTITUTE(SUBSTITUTE(SUBSTITUTE(SUBSTITUTE(SUBSTITUTE(AN31,"œ","oe"),"æ","ae"),"à","a"),"á","a"),"â","a"),"ä","a"),"ã","a"),"ç","c"),"è","e"),"é","e"),"ê","e"),"ë","e"),"")</f>
        <v>• 15 cl de creme liquide</v>
      </c>
      <c r="AP31" s="127" t="str">
        <f>IF(20=20,SUBSTITUTE(SUBSTITUTE(SUBSTITUTE(SUBSTITUTE(SUBSTITUTE(SUBSTITUTE(SUBSTITUTE(SUBSTITUTE(SUBSTITUTE(SUBSTITUTE(SUBSTITUTE(SUBSTITUTE(SUBSTITUTE(SUBSTITUTE(SUBSTITUTE(SUBSTITUTE(AO31,"ì","i"),"í","i"),"î","i"),"ï","i"),"ñ","n"),"ò","o"),"ó","o"),"ô","o"),"ö","o"),"õ","o"),"ù","u"),"ú","u"),"û","u"),"ü","u"),"ý","y"),"ÿ","y"),"")</f>
        <v>• 15 cl de creme liquide</v>
      </c>
      <c r="AQ31" s="127" t="str">
        <f>IF(20=20,SUBSTITUTE(SUBSTITUTE(SUBSTITUTE(SUBSTITUTE(SUBSTITUTE(SUBSTITUTE(SUBSTITUTE(SUBSTITUTE(SUBSTITUTE(SUBSTITUTE(SUBSTITUTE(SUBSTITUTE(SUBSTITUTE(SUBSTITUTE(AP31,"’"," "),"`"," "),"–"," "),"—"," "),"-"," "),"'"," "),"/"," "),"_"," "),","," "),"."," "),"("," "),")"," "),";"," "),":"," "),"")</f>
        <v>• 15 cl de creme liquide</v>
      </c>
      <c r="AR31" s="127" t="str">
        <f>IF(20=20,SUBSTITUTE(SUBSTITUTE(SUBSTITUTE(SUBSTITUTE(SUBSTITUTE(SUBSTITUTE(SUBSTITUTE(SUBSTITUTE(SUBSTITUTE(SUBSTITUTE(SUBSTITUTE(SUBSTITUTE(SUBSTITUTE(SUBSTITUTE(SUBSTITUTE(AQ31,"!"," "),"?"," "),"+"," "),"*"," "),"&amp;"," "),"["," "),"]"," "),"{"," "),"}"," "),"%"," "),"="," "),"\"," "),"|"," "),"&lt;"," "),"&gt;"," "),"")</f>
        <v>• 15 cl de creme liquide</v>
      </c>
      <c r="AS31" s="127" t="str">
        <f>IF(20=20," "&amp;TRIM(SUBSTITUTE(SUBSTITUTE(SUBSTITUTE(SUBSTITUTE(SUBSTITUTE(SUBSTITUTE(AR31,CHAR(34)," "),"  "," "),"  "," "),"  "," "),"  "," "),"  "," "))&amp;" ","")</f>
        <v xml:space="preserve"> • 15 cl de creme liquide </v>
      </c>
      <c r="AT31" s="127" cm="1">
        <f t="array" ref="AT31">IF(20=20,IF(AM31="","",SUMPRODUCT(--ISNUMBER(SEARCH(" "&amp;DJ13:DJ112&amp;" ",AV31)))),"")</f>
        <v>0</v>
      </c>
      <c r="AU31" s="127" cm="1">
        <f t="array" ref="AU31">IF(20=20,IF(AM31="","",SUMPRODUCT(--ISNUMBER(SEARCH(" "&amp;DJ113:DJ162&amp;" ",AV31)))),"")</f>
        <v>0</v>
      </c>
      <c r="AV31" s="127" t="str">
        <f>IF(AM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15 cl de creme liquide </v>
      </c>
      <c r="AW31" s="127" cm="1">
        <f t="array" ref="AW31">IF(AM31="","",SUMPRODUCT(--ISNUMBER(SEARCH(" "&amp;DJ195:DJ216&amp;" ",AV31)))+--ISNUMBER(SEARCH(" "&amp;DJ2465&amp;" ",AV31)))</f>
        <v>0</v>
      </c>
      <c r="AX31" s="127" t="str" cm="1">
        <f t="array" ref="AX31">IF(20=20,IF(AM31="","",IF(SUM(AT31:AU31)+SUMPRODUCT(--ISNUMBER(SEARCH(" "&amp;DJ2429:DJ2431&amp;" ",AV31)))&gt;0,"X",IF(AW31&gt;0,"?",""))),"")</f>
        <v/>
      </c>
      <c r="AY31" s="127" cm="1">
        <f t="array" ref="AY31">IF(20=20,IF(AM31="","",SUMPRODUCT(--ISNUMBER(SEARCH(" "&amp;DJ217:DJ316&amp;" ",AS31)))),"")</f>
        <v>0</v>
      </c>
      <c r="AZ31" s="127" cm="1">
        <f t="array" ref="AZ31">IF(20=20,IF(AM31="","",SUMPRODUCT(--ISNUMBER(SEARCH(" "&amp;DJ317:DJ351&amp;" ",AS31)))),"")</f>
        <v>0</v>
      </c>
      <c r="BA31" s="127" t="str">
        <f>IF(20=20,IF(AM31="","",IF((SUM(AY31:AZ31))-(0)&gt;0,"X",IF((0)-(0)&gt;0,"?",""))),"")</f>
        <v/>
      </c>
      <c r="BB31" s="127" cm="1">
        <f t="array" ref="BB31">IF(20=20,IF(AM31="","",SUMPRODUCT(--ISNUMBER(SEARCH(" "&amp;DJ352:DJ409&amp;" ",AS31)))),"")</f>
        <v>0</v>
      </c>
      <c r="BC31" s="127" cm="1">
        <f t="array" ref="BC31">IF(20=20,IF(AM31="","",SUMPRODUCT(--ISNUMBER(SEARCH(" "&amp;DJ410:DJ437&amp;" ",BD31)))+SUMPRODUCT(--ISNUMBER(SEARCH(" "&amp;DJ2451:DJ2464&amp;" ",BD31)))),"")</f>
        <v>0</v>
      </c>
      <c r="BD31" s="127" t="str">
        <f>IF(20=20,IF(AM31="","",SUBSTITUTE(SUBSTITUTE(SUBSTITUTE(SUBSTITUTE(SUBSTITUTE(SUBSTITUTE(SUBSTITUTE(SUBSTITUTE(SUBSTITUTE(SUBSTITUTE(SUBSTITUTE(SUBSTITUTE(SUBSTITUTE(SUBSTITUTE(AS31," "&amp;DJ2466&amp;" "," ")," "&amp;DJ444&amp;" "," ")," "&amp;DJ442&amp;" "," ")," "&amp;DJ2449&amp;" "," ")," "&amp;DJ2450&amp;" "," ")," "&amp;DJ439&amp;" "," ")," "&amp;DJ443&amp;" "," ")," "&amp;DJ445&amp;" "," ")," "&amp;DJ440&amp;" "," ")," "&amp;DJ438&amp;" "," ")," "&amp;DJ1378&amp;" "," ")," "&amp;DJ446&amp;" "," ")," "&amp;DJ1377&amp;" "," ")," "&amp;DJ441&amp;" "," ")),"")</f>
        <v xml:space="preserve"> • 15 cl de creme liquide </v>
      </c>
      <c r="BE31" s="127" t="str">
        <f>IF(20=20,IF(AM31="","",IF(BB31&gt;0,"X",IF(BC31&gt;0,"?",""))),"")</f>
        <v/>
      </c>
      <c r="BF31" s="127" cm="1">
        <f t="array" ref="BF31">IF(20=20,IF(AM31="","",SUMPRODUCT(--ISNUMBER(SEARCH(" "&amp;DJ447:DJ546&amp;" ",BP31)))),"")</f>
        <v>0</v>
      </c>
      <c r="BG31" s="127" cm="1">
        <f t="array" ref="BG31">IF(20=20,IF(AM31="","",SUMPRODUCT(--ISNUMBER(SEARCH(" "&amp;DJ547:DJ646&amp;" ",BP31)))),"")</f>
        <v>0</v>
      </c>
      <c r="BH31" s="127" cm="1">
        <f t="array" ref="BH31">IF(20=20,IF(AM31="","",SUMPRODUCT(--ISNUMBER(SEARCH(" "&amp;DJ647:DJ746&amp;" ",BP31)))),"")</f>
        <v>0</v>
      </c>
      <c r="BI31" s="127" cm="1">
        <f t="array" ref="BI31">IF(20=20,IF(AM31="","",SUMPRODUCT(--ISNUMBER(SEARCH(" "&amp;DJ747:DJ846&amp;" ",BP31)))),"")</f>
        <v>0</v>
      </c>
      <c r="BJ31" s="127" cm="1">
        <f t="array" ref="BJ31">IF(20=20,IF(AM31="","",SUMPRODUCT(--ISNUMBER(SEARCH(" "&amp;DJ847:DJ946&amp;" ",BP31)))),"")</f>
        <v>0</v>
      </c>
      <c r="BK31" s="127" cm="1">
        <f t="array" ref="BK31">IF(20=20,IF(AM31="","",SUMPRODUCT(--ISNUMBER(SEARCH(" "&amp;DJ947:DJ1046&amp;" ",BP31)))),"")</f>
        <v>0</v>
      </c>
      <c r="BL31" s="127" cm="1">
        <f t="array" ref="BL31">IF(20=20,IF(AM31="","",SUMPRODUCT(--ISNUMBER(SEARCH(" "&amp;DJ1047:DJ1146&amp;" ",BP31)))),"")</f>
        <v>0</v>
      </c>
      <c r="BM31" s="127" cm="1">
        <f t="array" ref="BM31">IF(20=20,IF(AM31="","",SUMPRODUCT(--ISNUMBER(SEARCH(" "&amp;DJ1147:DJ1246&amp;" ",BP31)))),"")</f>
        <v>0</v>
      </c>
      <c r="BN31" s="127" cm="1">
        <f t="array" ref="BN31">IF(20=20,IF(AM31="","",SUMPRODUCT(--ISNUMBER(SEARCH(" "&amp;DJ1247:DJ1346&amp;" ",BP31)))),"")</f>
        <v>0</v>
      </c>
      <c r="BO31" s="127" cm="1">
        <f t="array" ref="BO31">IF(20=20,IF(AM31="","",SUMPRODUCT(--ISNUMBER(SEARCH(" "&amp;DJ1347:DJ1374&amp;" ",BP31)))),"")</f>
        <v>0</v>
      </c>
      <c r="BP31" s="127" t="str">
        <f>IF(20=20,IF(AM31="","",SUBSTITUTE(SUBSTITUTE(SUBSTITUTE(SUBSTITUTE(SUBSTITUTE(SUBSTITUTE(SUBSTITUTE(SUBSTITUTE(SUBSTITUTE(AS31," "&amp;DJ1376&amp;" "," ")," "&amp;DJ1375&amp;" "," ")," "&amp;DJ1381&amp;" "," ")," "&amp;DJ1382&amp;" "," ")," "&amp;DJ1378&amp;" "," ")," "&amp;DJ1380&amp;" "," ")," "&amp;DJ1377&amp;" "," ")," "&amp;DJ1379&amp;" "," ")," "&amp;DJ1383&amp;" "," ")),"")</f>
        <v xml:space="preserve"> • 15 cl de creme liquide </v>
      </c>
      <c r="BQ31" s="127" cm="1">
        <f t="array" ref="BQ31">IF(20=20,IF(AM31="","",SUMPRODUCT(--ISNUMBER(SEARCH(" "&amp;DJ1384:DJ1394&amp;" ",BP31)))),"")</f>
        <v>0</v>
      </c>
      <c r="BR31" s="127" t="str" cm="1">
        <f t="array" ref="BR31">IF(20=20,IF(AM31="","",IF(SUM(BF31:BO31)+SUMPRODUCT(--ISNUMBER(SEARCH(" "&amp;DJ2432:DJ2433&amp;" ",BP31)))&gt;0,"X",IF(BQ31&gt;0,"?",""))),"")</f>
        <v/>
      </c>
      <c r="BS31" s="127" cm="1">
        <f t="array" ref="BS31">IF(20=20,IF(AM31="","",SUMPRODUCT(--ISNUMBER(SEARCH(" "&amp;DJ1395:DJ1415&amp;" ",AS31)))),"")</f>
        <v>0</v>
      </c>
      <c r="BT31" s="127" t="str">
        <f>IF(20=20,IF(AM31="","",IF((BS31)-(0)&gt;0,"X",IF((0)-(0)&gt;0,"?",""))),"")</f>
        <v/>
      </c>
      <c r="BU31" s="127" cm="1">
        <f t="array" ref="BU31">IF(20=20,IF(AM31="","",SUMPRODUCT(--ISNUMBER(SEARCH(" "&amp;DJ1416:DJ1453&amp;" ",BV31)))),"")</f>
        <v>0</v>
      </c>
      <c r="BV31" s="127" t="str">
        <f>IF(20=20,IF(AM31="","",SUBSTITUTE(SUBSTITUTE(AS31," "&amp;DJ1454&amp;" "," ")," "&amp;DJ1455&amp;" "," ")),"")</f>
        <v xml:space="preserve"> • 15 cl de creme liquide </v>
      </c>
      <c r="BW31" s="127" cm="1">
        <f t="array" ref="BW31">IF(20=20,IF(AM31="","",SUMPRODUCT(--ISNUMBER(SEARCH(" "&amp;DJ1456:DJ1466&amp;" ",BV31)))),"")</f>
        <v>0</v>
      </c>
      <c r="BX31" s="127" t="str">
        <f>IF(20=20,IF(AM31="","",IF(BU31&gt;0,"X",IF(BW31&gt;0,"?",""))),"")</f>
        <v/>
      </c>
      <c r="BY31" s="127" cm="1">
        <f t="array" ref="BY31">IF(20=20,IF(AM31="","",SUMPRODUCT(--ISNUMBER(SEARCH(" "&amp;DJ1467:DJ1566&amp;" ",CB31)))),"")</f>
        <v>2</v>
      </c>
      <c r="BZ31" s="127" cm="1">
        <f t="array" ref="BZ31">IF(20=20,IF(AM31="","",SUMPRODUCT(--ISNUMBER(SEARCH(" "&amp;DJ1567:DJ1666&amp;" ",CB31)))),"")</f>
        <v>0</v>
      </c>
      <c r="CA31" s="127" cm="1">
        <f t="array" ref="CA31">IF(20=20,IF(AM31="","",SUMPRODUCT(--ISNUMBER(SEARCH(" "&amp;DJ1667:DJ1750&amp;" ",CB31)))),"")</f>
        <v>0</v>
      </c>
      <c r="CB31" s="127" t="str">
        <f>IF(20=20,IF(AM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15 cl de creme liquide </v>
      </c>
      <c r="CC31" s="127" cm="1">
        <f t="array" ref="CC31">IF(20=20,IF(AM31="","",SUMPRODUCT(--ISNUMBER(SEARCH(" "&amp;DJ1801:DJ1880&amp;" ",CD31)))+SUMPRODUCT(--ISNUMBER(SEARCH(" "&amp;DJ2451:DJ2464&amp;" ",CD31)))),"")</f>
        <v>0</v>
      </c>
      <c r="CD31" s="127" t="str">
        <f>IF(20=20,IF(AM31="","",SUBSTITUTE(SUBSTITUTE(SUBSTITUTE(SUBSTITUTE(SUBSTITUTE(SUBSTITUTE(SUBSTITUTE(SUBSTITUTE(SUBSTITUTE(SUBSTITUTE(SUBSTITUTE(SUBSTITUTE(SUBSTITUTE(CB31," "&amp;DJ1887&amp;" "," ")," "&amp;DJ1885&amp;" "," ")," "&amp;DJ2449&amp;" "," ")," "&amp;DJ2450&amp;" "," ")," "&amp;DJ1882&amp;" "," ")," "&amp;DJ1886&amp;" "," ")," "&amp;DJ1888&amp;" "," ")," "&amp;DJ1883&amp;" "," ")," "&amp;DJ1881&amp;" "," ")," "&amp;DJ1378&amp;" "," ")," "&amp;DJ1889&amp;" "," ")," "&amp;DJ1377&amp;" "," ")," "&amp;DJ1884&amp;" "," ")),"")</f>
        <v xml:space="preserve"> • 15 cl de creme liquide </v>
      </c>
      <c r="CE31" s="127" t="str" cm="1">
        <f t="array" ref="CE31">IF(20=20,IF(AM31="","",IF(SUM(BY31:CA31)+SUMPRODUCT(--ISNUMBER(SEARCH(" "&amp;DJ2434:DJ2435&amp;" ",CB31)))&gt;0,"X",IF(CC31&gt;0,"?",""))),"")</f>
        <v>X</v>
      </c>
      <c r="CF31" s="127" cm="1">
        <f t="array" ref="CF31">IF(20=20,IF(AM31="","",SUMPRODUCT(--ISNUMBER(SEARCH(" "&amp;DJ1890:DJ1947&amp;" ",CG31)))),"")</f>
        <v>0</v>
      </c>
      <c r="CG31" s="127" t="str">
        <f>IF(20=20,IF(AM31="","",SUBSTITUTE(SUBSTITUTE(SUBSTITUTE(SUBSTITUTE(SUBSTITUTE(SUBSTITUTE(SUBSTITUTE(SUBSTITUTE(SUBSTITUTE(SUBSTITUTE(SUBSTITUTE(SUBSTITUTE(SUBSTITUTE(SUBSTITUTE(SUBSTITUTE(SUBSTITUTE(SUBSTITUTE(SUBSTITUTE(SUBSTITUTE(SUBSTITUTE(SUBSTITUTE(SUBSTITUTE(SUBSTITUTE(AS31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15 cl de creme liquide </v>
      </c>
      <c r="CH31" s="127" cm="1">
        <f t="array" ref="CH31">IF(20=20,IF(AM31="","",SUMPRODUCT(--ISNUMBER(SEARCH(" "&amp;DJ1971:DJ1987&amp;" ",CG31)))),"")</f>
        <v>0</v>
      </c>
      <c r="CI31" s="127" t="str">
        <f>IF(20=20,IF(AM31="","",IF(CF31&gt;0,"X",IF(CH31&gt;0,"?",""))),"")</f>
        <v/>
      </c>
      <c r="CJ31" s="127" cm="1">
        <f t="array" ref="CJ31">IF(20=20,IF(AM31="","",SUMPRODUCT(--ISNUMBER(SEARCH(" "&amp;DJ1988:DJ2001&amp;" ",AS31)))),"")</f>
        <v>0</v>
      </c>
      <c r="CK31" s="127" cm="1">
        <f t="array" ref="CK31">IF(20=20,IF(AM31="","",SUMPRODUCT(--ISNUMBER(SEARCH(" "&amp;DJ2002:DJ2016&amp;" ",AS31)))),"")</f>
        <v>0</v>
      </c>
      <c r="CL31" s="127" t="str">
        <f>IF(20=20,IF(AM31="","",IF((CJ31)-(0)&gt;0,"X",IF((CK31)-(0)&gt;0,"?",""))),"")</f>
        <v/>
      </c>
      <c r="CM31" s="127" cm="1">
        <f t="array" ref="CM31">IF(20=20,IF(AM31="","",SUMPRODUCT(--ISNUMBER(SEARCH(" "&amp;DJ2017:DJ2034&amp;" ",AS31)))),"")</f>
        <v>0</v>
      </c>
      <c r="CN31" s="127" cm="1">
        <f t="array" ref="CN31">IF(20=20,IF(AM31="","",SUMPRODUCT(--ISNUMBER(SEARCH(" "&amp;DJ2035:DJ2049&amp;" ",AS31)))),"")</f>
        <v>0</v>
      </c>
      <c r="CO31" s="127" t="str">
        <f>IF(20=20,IF(AM31="","",IF((CM31)-(0)&gt;0,"X",IF((CN31)-(0)&gt;0,"?",""))),"")</f>
        <v/>
      </c>
      <c r="CP31" s="127" cm="1">
        <f t="array" ref="CP31">IF(20=20,IF(AM31="","",SUMPRODUCT(--ISNUMBER(SEARCH(" "&amp;DJ2050:DJ2068&amp;" ",AS31)))),"")</f>
        <v>0</v>
      </c>
      <c r="CQ31" s="127" cm="1">
        <f t="array" ref="CQ31">IF(20=20,IF(AM31="","",SUMPRODUCT(--ISNUMBER(SEARCH(" "&amp;DJ2069:DJ2083&amp;" ",AS31)))),"")</f>
        <v>0</v>
      </c>
      <c r="CR31" s="127" t="str">
        <f>IF(20=20,IF(AM31="","",IF((CP31)-(0)&gt;0,"X",IF((CQ31)-(0)&gt;0,"?",""))),"")</f>
        <v/>
      </c>
      <c r="CS31" s="127" cm="1">
        <f t="array" ref="CS31">IF(20=20,IF(AM31="","",SUMPRODUCT(--ISNUMBER(SEARCH(" "&amp;DJ2084:DJ2104&amp;" ",AS31)))),"")</f>
        <v>0</v>
      </c>
      <c r="CT31" s="127" cm="1">
        <f t="array" ref="CT31">IF(20=20,IF(AM31="","",SUMPRODUCT(--ISNUMBER(SEARCH(" "&amp;DJ2105:DJ2144&amp;" ",SUBSTITUTE(SUBSTITUTE(AS31," "&amp;DJ1378&amp;" "," ")," "&amp;DJ1377&amp;" "," "))))+--ISNUMBER(SEARCH("poiré",AN31))),"")</f>
        <v>0</v>
      </c>
      <c r="CU31" s="127" t="str">
        <f>IF(20=20,IF(AM31="","",IF(OR(CS31&gt;0,ISNUMBER(SEARCH(" vinaigre de vin ",AS31)),ISNUMBER(SEARCH(" vinaigre au vin ",AS31))),"X",IF(CT31&gt;0,"?",""))),"")</f>
        <v/>
      </c>
      <c r="CV31" s="127" cm="1">
        <f t="array" ref="CV31">IF(20=20,IF(AM31="","",SUMPRODUCT(--ISNUMBER(SEARCH(" "&amp;DJ2145:DJ2157&amp;" ",AS31)))),"")</f>
        <v>0</v>
      </c>
      <c r="CW31" s="127" cm="1">
        <f t="array" ref="CW31">IF(20=20,IF(AM31="","",SUMPRODUCT(--ISNUMBER(SEARCH(" "&amp;DJ2158:DJ2163&amp;" ",AS31)))),"")</f>
        <v>0</v>
      </c>
      <c r="CX31" s="127" t="str">
        <f>IF(20=20,IF(AM31="","",IF((CV31)-(0)&gt;0,"X",IF((CW31)-(0)&gt;0,"?",""))),"")</f>
        <v/>
      </c>
      <c r="CY31" s="127" cm="1">
        <f t="array" ref="CY31">IF(20=20,IF(AM31="","",SUMPRODUCT(--ISNUMBER(SEARCH(" "&amp;DJ2164:DJ2263&amp;" ",DB31)))),"")</f>
        <v>0</v>
      </c>
      <c r="CZ31" s="127" cm="1">
        <f t="array" ref="CZ31">IF(20=20,IF(AM31="","",SUMPRODUCT(--ISNUMBER(SEARCH(" "&amp;DJ2264:DJ2363&amp;" ",DB31)))),"")</f>
        <v>0</v>
      </c>
      <c r="DA31" s="127" cm="1">
        <f t="array" ref="DA31">IF(20=20,IF(AM31="","",SUMPRODUCT(--ISNUMBER(SEARCH(" "&amp;DJ2364:DJ2406&amp;" ",DB31)))),"")</f>
        <v>0</v>
      </c>
      <c r="DB31" s="127" t="str">
        <f>IF(20=20,IF(AM31="","",SUBSTITUTE(SUBSTITUTE(SUBSTITUTE(SUBSTITUTE(SUBSTITUTE(SUBSTITUTE(SUBSTITUTE(SUBSTITUTE(SUBSTITUTE(SUBSTITUTE(SUBSTITUTE(SUBSTITUTE(SUBSTITUTE(SUBSTITUTE(SUBSTITUTE(SUBSTITUTE(AS31," "&amp;DJ2412&amp;" "," ")," "&amp;DJ2411&amp;" "," ")," "&amp;DJ2410&amp;" "," ")," "&amp;DJ2417&amp;" "," ")," "&amp;DJ2409&amp;" "," ")," "&amp;DJ2421&amp;" "," ")," "&amp;DJ2408&amp;" "," ")," "&amp;DJ2413&amp;" "," ")," "&amp;DJ2416&amp;" "," ")," "&amp;DJ2407&amp;" "," ")," "&amp;DJ2415&amp;" "," ")," "&amp;DJ2422&amp;" "," ")," "&amp;DJ2419&amp;" "," ")," "&amp;DJ2414&amp;" "," ")," "&amp;DJ2418&amp;" "," ")," "&amp;DJ2420&amp;" "," ")),"")</f>
        <v xml:space="preserve"> • 15 cl de creme liquide </v>
      </c>
      <c r="DC31" s="127" cm="1">
        <f t="array" ref="DC31">IF(20=20,IF(AM31="","",SUMPRODUCT(--ISNUMBER(SEARCH(" "&amp;DJ2423:DJ2427&amp;" ",DB31)))),"")</f>
        <v>0</v>
      </c>
      <c r="DD31" s="127" t="str">
        <f>IF(20=20,IF(AM31="","",IF(SUM(CY31:DA31)&gt;0,"X",IF(DC31&gt;0,"?",""))),"")</f>
        <v/>
      </c>
      <c r="DE31" s="152"/>
      <c r="DF31" s="160" t="s">
        <v>694</v>
      </c>
      <c r="DG31" s="160" t="s">
        <v>584</v>
      </c>
      <c r="DH31" s="160" t="s">
        <v>125</v>
      </c>
      <c r="DI31" s="160" t="s">
        <v>695</v>
      </c>
      <c r="DJ31" s="160" t="s">
        <v>695</v>
      </c>
      <c r="DK31" s="160" t="s">
        <v>588</v>
      </c>
      <c r="DL31" s="160" t="s">
        <v>589</v>
      </c>
      <c r="DM31" s="160" t="s">
        <v>590</v>
      </c>
      <c r="DN31" s="161" t="s">
        <v>591</v>
      </c>
      <c r="DP31" s="130">
        <v>1</v>
      </c>
    </row>
    <row r="32" spans="2:120" ht="30" customHeight="1">
      <c r="B32" s="165" t="str">
        <f t="shared" si="0"/>
        <v>Préparation :</v>
      </c>
      <c r="C32" s="165" t="str">
        <f t="shared" si="1"/>
        <v>Préparation</v>
      </c>
      <c r="D32" s="165" t="str">
        <f>IF(UPPER(TRIM(N11))="X",C32,B32)</f>
        <v>Préparation :</v>
      </c>
      <c r="E32" s="165" cm="1">
        <f t="array" ref="E32">IF(H31&lt;&gt;"",E31,IF(E31="","",IFERROR(MATCH(TRUE(),INDEX(INDEX(K:K,E31+1):K203&lt;&gt;"",0),0)+E31,"")))</f>
        <v>29</v>
      </c>
      <c r="F32" s="165" t="str" cm="1">
        <f t="array" ref="F32">IF(E32="","",IF(H31&lt;&gt;"",H31,INDEX(D:D,E32)))</f>
        <v>• 1 sachet de sucre vanillé</v>
      </c>
      <c r="G32" s="165" t="str">
        <f t="shared" si="2"/>
        <v>• 1 sachet de sucre vanillé</v>
      </c>
      <c r="H32" s="174" t="str">
        <f t="shared" si="3"/>
        <v/>
      </c>
      <c r="I32" s="184" t="str">
        <f>IF(AND(F32&lt;&gt;"",N10&gt;0,M32&gt;N10),"Mot &gt; limite","")</f>
        <v/>
      </c>
      <c r="J32" s="175">
        <f>IF(K32="","",COUNTIF(K18:K32,"&lt;&gt;"))</f>
        <v>15</v>
      </c>
      <c r="K32" s="111" t="s">
        <v>407</v>
      </c>
      <c r="L32" s="175">
        <f t="shared" si="4"/>
        <v>13</v>
      </c>
      <c r="M32" s="135">
        <f>IF(OR(F32="",N10="",N10&lt;=0),"",IF(LEN(F32)&lt;=N10,LEN(F32),IFERROR(FIND("♦",SUBSTITUTE(LEFT(F32,N10)," ","♦",LEN(LEFT(F32,N10))-LEN(SUBSTITUTE(LEFT(F32,N10)," ","")))),FIND(" ",F32&amp;" ",N10+1)-1)))</f>
        <v>27</v>
      </c>
      <c r="N32" s="176">
        <f t="shared" si="5"/>
        <v>15</v>
      </c>
      <c r="O32" s="177" t="str">
        <f t="shared" si="6"/>
        <v>• 1 sachet de sucre vanillé</v>
      </c>
      <c r="P32" s="176">
        <f t="shared" si="7"/>
        <v>6</v>
      </c>
      <c r="Q32" s="176">
        <f t="shared" si="8"/>
        <v>27</v>
      </c>
      <c r="S32" s="178">
        <v>15</v>
      </c>
      <c r="T32" s="179" t="str">
        <f t="shared" si="10"/>
        <v>• 1 sachet de sucre vanillé</v>
      </c>
      <c r="U32" s="180" t="str">
        <f t="shared" si="9"/>
        <v>• 1 sachet de sucre vanillé</v>
      </c>
      <c r="V32" s="181" t="str">
        <f>IF(21=21,IF(T32="","",IF(W32="X",""&amp;"Céréales contenant du gluten","")&amp;IF(X32="X",IF(COUNTIF(W32:W32,"X")&gt;0,", ","")&amp;"Crustacés","")&amp;IF(Y32="X",IF(COUNTIF(W32:X32,"X")&gt;0,", ","")&amp;"Œufs","")&amp;IF(Z32="X",IF(COUNTIF(W32:Y32,"X")&gt;0,", ","")&amp;"Poissons","")&amp;IF(AA32="X",IF(COUNTIF(W32:Z32,"X")&gt;0,", ","")&amp;"Arachides","")&amp;IF(AB32="X",IF(COUNTIF(W32:AA32,"X")&gt;0,", ","")&amp;"Soja","")&amp;IF(AC32="X",IF(COUNTIF(W32:AB32,"X")&gt;0,", ","")&amp;"Lait","")&amp;IF(AD32="X",IF(COUNTIF(W32:AC32,"X")&gt;0,", ","")&amp;"Fruits à coque","")&amp;IF(AE32="X",IF(COUNTIF(W32:AD32,"X")&gt;0,", ","")&amp;"Céleri","")&amp;IF(AF32="X",IF(COUNTIF(W32:AE32,"X")&gt;0,", ","")&amp;"Moutarde","")&amp;IF(AG32="X",IF(COUNTIF(W32:AF32,"X")&gt;0,", ","")&amp;"Sésame","")&amp;IF(AH32="X",IF(COUNTIF(W32:AG32,"X")&gt;0,", ","")&amp;"Sulfites","")&amp;IF(AI32="X",IF(COUNTIF(W32:AH32,"X")&gt;0,", ","")&amp;"Lupin","")&amp;IF(AJ32="X",IF(COUNTIF(W32:AI32,"X")&gt;0,", ","")&amp;"Mollusques","")),"")</f>
        <v/>
      </c>
      <c r="W32" s="182" t="str">
        <f>IF(21=21,IF(T32="","",AX32),"")</f>
        <v/>
      </c>
      <c r="X32" s="182" t="str">
        <f>IF(21=21,IF(T32="","",BA32),"")</f>
        <v/>
      </c>
      <c r="Y32" s="182" t="str">
        <f>IF(21=21,IF(T32="","",BE32),"")</f>
        <v/>
      </c>
      <c r="Z32" s="182" t="str">
        <f>IF(21=21,IF(T32="","",IF(ISNUMBER(SEARCH(" colin ",AS32)),"X",BR32)),"")</f>
        <v/>
      </c>
      <c r="AA32" s="182" t="str">
        <f>IF(21=21,IF(T32="","",BT32),"")</f>
        <v/>
      </c>
      <c r="AB32" s="182" t="str">
        <f>IF(21=21,IF(T32="","",BX32),"")</f>
        <v/>
      </c>
      <c r="AC32" s="182" t="str">
        <f>IF(21=21,IF(T32="","",CE32),"")</f>
        <v/>
      </c>
      <c r="AD32" s="182" t="str">
        <f>IF(21=21,IF(T32="","",CI32),"")</f>
        <v/>
      </c>
      <c r="AE32" s="182" t="str">
        <f>IF(21=21,IF(T32="","",CL32),"")</f>
        <v/>
      </c>
      <c r="AF32" s="182" t="str">
        <f>IF(21=21,IF(T32="","",CO32),"")</f>
        <v/>
      </c>
      <c r="AG32" s="182" t="str">
        <f>IF(21=21,IF(T32="","",CR32),"")</f>
        <v/>
      </c>
      <c r="AH32" s="182" t="str">
        <f>IF(21=21,IF(T32="","",CU32),"")</f>
        <v/>
      </c>
      <c r="AI32" s="182" t="str">
        <f>IF(21=21,IF(T32="","",CX32),"")</f>
        <v/>
      </c>
      <c r="AJ32" s="182" t="str">
        <f>IF(21=21,IF(T32="","",DD32),"")</f>
        <v/>
      </c>
      <c r="AK32" s="183" t="str">
        <f>IF(21=21,IF(T32="","",IF(W32="?",""&amp;"Céréales contenant du gluten","")&amp;IF(X32="?",IF(COUNTIF(W32:W32,"~?")&gt;0,", ","")&amp;"Crustacés","")&amp;IF(Y32="?",IF(COUNTIF(W32:X32,"~?")&gt;0,", ","")&amp;"Œufs","")&amp;IF(Z32="?",IF(COUNTIF(W32:Y32,"~?")&gt;0,", ","")&amp;"Poissons","")&amp;IF(AA32="?",IF(COUNTIF(W32:Z32,"~?")&gt;0,", ","")&amp;"Arachides","")&amp;IF(AB32="?",IF(COUNTIF(W32:AA32,"~?")&gt;0,", ","")&amp;"Soja","")&amp;IF(AC32="?",IF(COUNTIF(W32:AB32,"~?")&gt;0,", ","")&amp;"Lait","")&amp;IF(AD32="?",IF(COUNTIF(W32:AC32,"~?")&gt;0,", ","")&amp;"Fruits à coque","")&amp;IF(AE32="?",IF(COUNTIF(W32:AD32,"~?")&gt;0,", ","")&amp;"Céleri","")&amp;IF(AF32="?",IF(COUNTIF(W32:AE32,"~?")&gt;0,", ","")&amp;"Moutarde","")&amp;IF(AG32="?",IF(COUNTIF(W32:AF32,"~?")&gt;0,", ","")&amp;"Sésame","")&amp;IF(AH32="?",IF(COUNTIF(W32:AG32,"~?")&gt;0,", ","")&amp;"Sulfites","")&amp;IF(AI32="?",IF(COUNTIF(W32:AH32,"~?")&gt;0,", ","")&amp;"Lupin","")&amp;IF(AJ32="?",IF(COUNTIF(W32:AI32,"~?")&gt;0,", ","")&amp;"Mollusques","")),"")</f>
        <v/>
      </c>
      <c r="AM32" s="127" t="str">
        <f>IF(21=21,IF(T32="","",T32),"")</f>
        <v>• 1 sachet de sucre vanillé</v>
      </c>
      <c r="AN32" s="127" t="str">
        <f>IF(21=21,LOWER(CLEAN(SUBSTITUTE(SUBSTITUTE(SUBSTITUTE(SUBSTITUTE(AM32,CHAR(160)," ")," "," "),CHAR(10)," "),CHAR(13)," "))),"")</f>
        <v>• 1 sachet de sucre vanillé</v>
      </c>
      <c r="AO32" s="127" t="str">
        <f>IF(21=21,SUBSTITUTE(SUBSTITUTE(SUBSTITUTE(SUBSTITUTE(SUBSTITUTE(SUBSTITUTE(SUBSTITUTE(SUBSTITUTE(SUBSTITUTE(SUBSTITUTE(SUBSTITUTE(SUBSTITUTE(AN32,"œ","oe"),"æ","ae"),"à","a"),"á","a"),"â","a"),"ä","a"),"ã","a"),"ç","c"),"è","e"),"é","e"),"ê","e"),"ë","e"),"")</f>
        <v>• 1 sachet de sucre vanille</v>
      </c>
      <c r="AP32" s="127" t="str">
        <f>IF(21=21,SUBSTITUTE(SUBSTITUTE(SUBSTITUTE(SUBSTITUTE(SUBSTITUTE(SUBSTITUTE(SUBSTITUTE(SUBSTITUTE(SUBSTITUTE(SUBSTITUTE(SUBSTITUTE(SUBSTITUTE(SUBSTITUTE(SUBSTITUTE(SUBSTITUTE(SUBSTITUTE(AO32,"ì","i"),"í","i"),"î","i"),"ï","i"),"ñ","n"),"ò","o"),"ó","o"),"ô","o"),"ö","o"),"õ","o"),"ù","u"),"ú","u"),"û","u"),"ü","u"),"ý","y"),"ÿ","y"),"")</f>
        <v>• 1 sachet de sucre vanille</v>
      </c>
      <c r="AQ32" s="127" t="str">
        <f>IF(21=21,SUBSTITUTE(SUBSTITUTE(SUBSTITUTE(SUBSTITUTE(SUBSTITUTE(SUBSTITUTE(SUBSTITUTE(SUBSTITUTE(SUBSTITUTE(SUBSTITUTE(SUBSTITUTE(SUBSTITUTE(SUBSTITUTE(SUBSTITUTE(AP32,"’"," "),"`"," "),"–"," "),"—"," "),"-"," "),"'"," "),"/"," "),"_"," "),","," "),"."," "),"("," "),")"," "),";"," "),":"," "),"")</f>
        <v>• 1 sachet de sucre vanille</v>
      </c>
      <c r="AR32" s="127" t="str">
        <f>IF(21=21,SUBSTITUTE(SUBSTITUTE(SUBSTITUTE(SUBSTITUTE(SUBSTITUTE(SUBSTITUTE(SUBSTITUTE(SUBSTITUTE(SUBSTITUTE(SUBSTITUTE(SUBSTITUTE(SUBSTITUTE(SUBSTITUTE(SUBSTITUTE(SUBSTITUTE(AQ32,"!"," "),"?"," "),"+"," "),"*"," "),"&amp;"," "),"["," "),"]"," "),"{"," "),"}"," "),"%"," "),"="," "),"\"," "),"|"," "),"&lt;"," "),"&gt;"," "),"")</f>
        <v>• 1 sachet de sucre vanille</v>
      </c>
      <c r="AS32" s="127" t="str">
        <f>IF(21=21," "&amp;TRIM(SUBSTITUTE(SUBSTITUTE(SUBSTITUTE(SUBSTITUTE(SUBSTITUTE(SUBSTITUTE(AR32,CHAR(34)," "),"  "," "),"  "," "),"  "," "),"  "," "),"  "," "))&amp;" ","")</f>
        <v xml:space="preserve"> • 1 sachet de sucre vanille </v>
      </c>
      <c r="AT32" s="127" cm="1">
        <f t="array" ref="AT32">IF(21=21,IF(AM32="","",SUMPRODUCT(--ISNUMBER(SEARCH(" "&amp;DJ13:DJ112&amp;" ",AV32)))),"")</f>
        <v>0</v>
      </c>
      <c r="AU32" s="127" cm="1">
        <f t="array" ref="AU32">IF(21=21,IF(AM32="","",SUMPRODUCT(--ISNUMBER(SEARCH(" "&amp;DJ113:DJ162&amp;" ",AV32)))),"")</f>
        <v>0</v>
      </c>
      <c r="AV32" s="127" t="str">
        <f>IF(AM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 sachet de sucre vanille </v>
      </c>
      <c r="AW32" s="127" cm="1">
        <f t="array" ref="AW32">IF(AM32="","",SUMPRODUCT(--ISNUMBER(SEARCH(" "&amp;DJ195:DJ216&amp;" ",AV32)))+--ISNUMBER(SEARCH(" "&amp;DJ2465&amp;" ",AV32)))</f>
        <v>0</v>
      </c>
      <c r="AX32" s="127" t="str" cm="1">
        <f t="array" ref="AX32">IF(21=21,IF(AM32="","",IF(SUM(AT32:AU32)+SUMPRODUCT(--ISNUMBER(SEARCH(" "&amp;DJ2429:DJ2431&amp;" ",AV32)))&gt;0,"X",IF(AW32&gt;0,"?",""))),"")</f>
        <v/>
      </c>
      <c r="AY32" s="127" cm="1">
        <f t="array" ref="AY32">IF(21=21,IF(AM32="","",SUMPRODUCT(--ISNUMBER(SEARCH(" "&amp;DJ217:DJ316&amp;" ",AS32)))),"")</f>
        <v>0</v>
      </c>
      <c r="AZ32" s="127" cm="1">
        <f t="array" ref="AZ32">IF(21=21,IF(AM32="","",SUMPRODUCT(--ISNUMBER(SEARCH(" "&amp;DJ317:DJ351&amp;" ",AS32)))),"")</f>
        <v>0</v>
      </c>
      <c r="BA32" s="127" t="str">
        <f>IF(21=21,IF(AM32="","",IF((SUM(AY32:AZ32))-(0)&gt;0,"X",IF((0)-(0)&gt;0,"?",""))),"")</f>
        <v/>
      </c>
      <c r="BB32" s="127" cm="1">
        <f t="array" ref="BB32">IF(21=21,IF(AM32="","",SUMPRODUCT(--ISNUMBER(SEARCH(" "&amp;DJ352:DJ409&amp;" ",AS32)))),"")</f>
        <v>0</v>
      </c>
      <c r="BC32" s="127" cm="1">
        <f t="array" ref="BC32">IF(21=21,IF(AM32="","",SUMPRODUCT(--ISNUMBER(SEARCH(" "&amp;DJ410:DJ437&amp;" ",BD32)))+SUMPRODUCT(--ISNUMBER(SEARCH(" "&amp;DJ2451:DJ2464&amp;" ",BD32)))),"")</f>
        <v>0</v>
      </c>
      <c r="BD32" s="127" t="str">
        <f>IF(21=21,IF(AM32="","",SUBSTITUTE(SUBSTITUTE(SUBSTITUTE(SUBSTITUTE(SUBSTITUTE(SUBSTITUTE(SUBSTITUTE(SUBSTITUTE(SUBSTITUTE(SUBSTITUTE(SUBSTITUTE(SUBSTITUTE(SUBSTITUTE(SUBSTITUTE(AS32," "&amp;DJ2466&amp;" "," ")," "&amp;DJ444&amp;" "," ")," "&amp;DJ442&amp;" "," ")," "&amp;DJ2449&amp;" "," ")," "&amp;DJ2450&amp;" "," ")," "&amp;DJ439&amp;" "," ")," "&amp;DJ443&amp;" "," ")," "&amp;DJ445&amp;" "," ")," "&amp;DJ440&amp;" "," ")," "&amp;DJ438&amp;" "," ")," "&amp;DJ1378&amp;" "," ")," "&amp;DJ446&amp;" "," ")," "&amp;DJ1377&amp;" "," ")," "&amp;DJ441&amp;" "," ")),"")</f>
        <v xml:space="preserve"> • 1 sachet de sucre vanille </v>
      </c>
      <c r="BE32" s="127" t="str">
        <f>IF(21=21,IF(AM32="","",IF(BB32&gt;0,"X",IF(BC32&gt;0,"?",""))),"")</f>
        <v/>
      </c>
      <c r="BF32" s="127" cm="1">
        <f t="array" ref="BF32">IF(21=21,IF(AM32="","",SUMPRODUCT(--ISNUMBER(SEARCH(" "&amp;DJ447:DJ546&amp;" ",BP32)))),"")</f>
        <v>0</v>
      </c>
      <c r="BG32" s="127" cm="1">
        <f t="array" ref="BG32">IF(21=21,IF(AM32="","",SUMPRODUCT(--ISNUMBER(SEARCH(" "&amp;DJ547:DJ646&amp;" ",BP32)))),"")</f>
        <v>0</v>
      </c>
      <c r="BH32" s="127" cm="1">
        <f t="array" ref="BH32">IF(21=21,IF(AM32="","",SUMPRODUCT(--ISNUMBER(SEARCH(" "&amp;DJ647:DJ746&amp;" ",BP32)))),"")</f>
        <v>0</v>
      </c>
      <c r="BI32" s="127" cm="1">
        <f t="array" ref="BI32">IF(21=21,IF(AM32="","",SUMPRODUCT(--ISNUMBER(SEARCH(" "&amp;DJ747:DJ846&amp;" ",BP32)))),"")</f>
        <v>0</v>
      </c>
      <c r="BJ32" s="127" cm="1">
        <f t="array" ref="BJ32">IF(21=21,IF(AM32="","",SUMPRODUCT(--ISNUMBER(SEARCH(" "&amp;DJ847:DJ946&amp;" ",BP32)))),"")</f>
        <v>0</v>
      </c>
      <c r="BK32" s="127" cm="1">
        <f t="array" ref="BK32">IF(21=21,IF(AM32="","",SUMPRODUCT(--ISNUMBER(SEARCH(" "&amp;DJ947:DJ1046&amp;" ",BP32)))),"")</f>
        <v>0</v>
      </c>
      <c r="BL32" s="127" cm="1">
        <f t="array" ref="BL32">IF(21=21,IF(AM32="","",SUMPRODUCT(--ISNUMBER(SEARCH(" "&amp;DJ1047:DJ1146&amp;" ",BP32)))),"")</f>
        <v>0</v>
      </c>
      <c r="BM32" s="127" cm="1">
        <f t="array" ref="BM32">IF(21=21,IF(AM32="","",SUMPRODUCT(--ISNUMBER(SEARCH(" "&amp;DJ1147:DJ1246&amp;" ",BP32)))),"")</f>
        <v>0</v>
      </c>
      <c r="BN32" s="127" cm="1">
        <f t="array" ref="BN32">IF(21=21,IF(AM32="","",SUMPRODUCT(--ISNUMBER(SEARCH(" "&amp;DJ1247:DJ1346&amp;" ",BP32)))),"")</f>
        <v>0</v>
      </c>
      <c r="BO32" s="127" cm="1">
        <f t="array" ref="BO32">IF(21=21,IF(AM32="","",SUMPRODUCT(--ISNUMBER(SEARCH(" "&amp;DJ1347:DJ1374&amp;" ",BP32)))),"")</f>
        <v>0</v>
      </c>
      <c r="BP32" s="127" t="str">
        <f>IF(21=21,IF(AM32="","",SUBSTITUTE(SUBSTITUTE(SUBSTITUTE(SUBSTITUTE(SUBSTITUTE(SUBSTITUTE(SUBSTITUTE(SUBSTITUTE(SUBSTITUTE(AS32," "&amp;DJ1376&amp;" "," ")," "&amp;DJ1375&amp;" "," ")," "&amp;DJ1381&amp;" "," ")," "&amp;DJ1382&amp;" "," ")," "&amp;DJ1378&amp;" "," ")," "&amp;DJ1380&amp;" "," ")," "&amp;DJ1377&amp;" "," ")," "&amp;DJ1379&amp;" "," ")," "&amp;DJ1383&amp;" "," ")),"")</f>
        <v xml:space="preserve"> • 1 sachet de sucre vanille </v>
      </c>
      <c r="BQ32" s="127" cm="1">
        <f t="array" ref="BQ32">IF(21=21,IF(AM32="","",SUMPRODUCT(--ISNUMBER(SEARCH(" "&amp;DJ1384:DJ1394&amp;" ",BP32)))),"")</f>
        <v>0</v>
      </c>
      <c r="BR32" s="127" t="str" cm="1">
        <f t="array" ref="BR32">IF(21=21,IF(AM32="","",IF(SUM(BF32:BO32)+SUMPRODUCT(--ISNUMBER(SEARCH(" "&amp;DJ2432:DJ2433&amp;" ",BP32)))&gt;0,"X",IF(BQ32&gt;0,"?",""))),"")</f>
        <v/>
      </c>
      <c r="BS32" s="127" cm="1">
        <f t="array" ref="BS32">IF(21=21,IF(AM32="","",SUMPRODUCT(--ISNUMBER(SEARCH(" "&amp;DJ1395:DJ1415&amp;" ",AS32)))),"")</f>
        <v>0</v>
      </c>
      <c r="BT32" s="127" t="str">
        <f>IF(21=21,IF(AM32="","",IF((BS32)-(0)&gt;0,"X",IF((0)-(0)&gt;0,"?",""))),"")</f>
        <v/>
      </c>
      <c r="BU32" s="127" cm="1">
        <f t="array" ref="BU32">IF(21=21,IF(AM32="","",SUMPRODUCT(--ISNUMBER(SEARCH(" "&amp;DJ1416:DJ1453&amp;" ",BV32)))),"")</f>
        <v>0</v>
      </c>
      <c r="BV32" s="127" t="str">
        <f>IF(21=21,IF(AM32="","",SUBSTITUTE(SUBSTITUTE(AS32," "&amp;DJ1454&amp;" "," ")," "&amp;DJ1455&amp;" "," ")),"")</f>
        <v xml:space="preserve"> • 1 sachet de sucre vanille </v>
      </c>
      <c r="BW32" s="127" cm="1">
        <f t="array" ref="BW32">IF(21=21,IF(AM32="","",SUMPRODUCT(--ISNUMBER(SEARCH(" "&amp;DJ1456:DJ1466&amp;" ",BV32)))),"")</f>
        <v>0</v>
      </c>
      <c r="BX32" s="127" t="str">
        <f>IF(21=21,IF(AM32="","",IF(BU32&gt;0,"X",IF(BW32&gt;0,"?",""))),"")</f>
        <v/>
      </c>
      <c r="BY32" s="127" cm="1">
        <f t="array" ref="BY32">IF(21=21,IF(AM32="","",SUMPRODUCT(--ISNUMBER(SEARCH(" "&amp;DJ1467:DJ1566&amp;" ",CB32)))),"")</f>
        <v>0</v>
      </c>
      <c r="BZ32" s="127" cm="1">
        <f t="array" ref="BZ32">IF(21=21,IF(AM32="","",SUMPRODUCT(--ISNUMBER(SEARCH(" "&amp;DJ1567:DJ1666&amp;" ",CB32)))),"")</f>
        <v>0</v>
      </c>
      <c r="CA32" s="127" cm="1">
        <f t="array" ref="CA32">IF(21=21,IF(AM32="","",SUMPRODUCT(--ISNUMBER(SEARCH(" "&amp;DJ1667:DJ1750&amp;" ",CB32)))),"")</f>
        <v>0</v>
      </c>
      <c r="CB32" s="127" t="str">
        <f>IF(21=21,IF(AM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 sachet de sucre vanille </v>
      </c>
      <c r="CC32" s="127" cm="1">
        <f t="array" ref="CC32">IF(21=21,IF(AM32="","",SUMPRODUCT(--ISNUMBER(SEARCH(" "&amp;DJ1801:DJ1880&amp;" ",CD32)))+SUMPRODUCT(--ISNUMBER(SEARCH(" "&amp;DJ2451:DJ2464&amp;" ",CD32)))),"")</f>
        <v>0</v>
      </c>
      <c r="CD32" s="127" t="str">
        <f>IF(21=21,IF(AM32="","",SUBSTITUTE(SUBSTITUTE(SUBSTITUTE(SUBSTITUTE(SUBSTITUTE(SUBSTITUTE(SUBSTITUTE(SUBSTITUTE(SUBSTITUTE(SUBSTITUTE(SUBSTITUTE(SUBSTITUTE(SUBSTITUTE(CB32," "&amp;DJ1887&amp;" "," ")," "&amp;DJ1885&amp;" "," ")," "&amp;DJ2449&amp;" "," ")," "&amp;DJ2450&amp;" "," ")," "&amp;DJ1882&amp;" "," ")," "&amp;DJ1886&amp;" "," ")," "&amp;DJ1888&amp;" "," ")," "&amp;DJ1883&amp;" "," ")," "&amp;DJ1881&amp;" "," ")," "&amp;DJ1378&amp;" "," ")," "&amp;DJ1889&amp;" "," ")," "&amp;DJ1377&amp;" "," ")," "&amp;DJ1884&amp;" "," ")),"")</f>
        <v xml:space="preserve"> • 1 sachet de sucre vanille </v>
      </c>
      <c r="CE32" s="127" t="str" cm="1">
        <f t="array" ref="CE32">IF(21=21,IF(AM32="","",IF(SUM(BY32:CA32)+SUMPRODUCT(--ISNUMBER(SEARCH(" "&amp;DJ2434:DJ2435&amp;" ",CB32)))&gt;0,"X",IF(CC32&gt;0,"?",""))),"")</f>
        <v/>
      </c>
      <c r="CF32" s="127" cm="1">
        <f t="array" ref="CF32">IF(21=21,IF(AM32="","",SUMPRODUCT(--ISNUMBER(SEARCH(" "&amp;DJ1890:DJ1947&amp;" ",CG32)))),"")</f>
        <v>0</v>
      </c>
      <c r="CG32" s="127" t="str">
        <f>IF(21=21,IF(AM32="","",SUBSTITUTE(SUBSTITUTE(SUBSTITUTE(SUBSTITUTE(SUBSTITUTE(SUBSTITUTE(SUBSTITUTE(SUBSTITUTE(SUBSTITUTE(SUBSTITUTE(SUBSTITUTE(SUBSTITUTE(SUBSTITUTE(SUBSTITUTE(SUBSTITUTE(SUBSTITUTE(SUBSTITUTE(SUBSTITUTE(SUBSTITUTE(SUBSTITUTE(SUBSTITUTE(SUBSTITUTE(SUBSTITUTE(AS32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 sachet de sucre vanille </v>
      </c>
      <c r="CH32" s="127" cm="1">
        <f t="array" ref="CH32">IF(21=21,IF(AM32="","",SUMPRODUCT(--ISNUMBER(SEARCH(" "&amp;DJ1971:DJ1987&amp;" ",CG32)))),"")</f>
        <v>0</v>
      </c>
      <c r="CI32" s="127" t="str">
        <f>IF(21=21,IF(AM32="","",IF(CF32&gt;0,"X",IF(CH32&gt;0,"?",""))),"")</f>
        <v/>
      </c>
      <c r="CJ32" s="127" cm="1">
        <f t="array" ref="CJ32">IF(21=21,IF(AM32="","",SUMPRODUCT(--ISNUMBER(SEARCH(" "&amp;DJ1988:DJ2001&amp;" ",AS32)))),"")</f>
        <v>0</v>
      </c>
      <c r="CK32" s="127" cm="1">
        <f t="array" ref="CK32">IF(21=21,IF(AM32="","",SUMPRODUCT(--ISNUMBER(SEARCH(" "&amp;DJ2002:DJ2016&amp;" ",AS32)))),"")</f>
        <v>0</v>
      </c>
      <c r="CL32" s="127" t="str">
        <f>IF(21=21,IF(AM32="","",IF((CJ32)-(0)&gt;0,"X",IF((CK32)-(0)&gt;0,"?",""))),"")</f>
        <v/>
      </c>
      <c r="CM32" s="127" cm="1">
        <f t="array" ref="CM32">IF(21=21,IF(AM32="","",SUMPRODUCT(--ISNUMBER(SEARCH(" "&amp;DJ2017:DJ2034&amp;" ",AS32)))),"")</f>
        <v>0</v>
      </c>
      <c r="CN32" s="127" cm="1">
        <f t="array" ref="CN32">IF(21=21,IF(AM32="","",SUMPRODUCT(--ISNUMBER(SEARCH(" "&amp;DJ2035:DJ2049&amp;" ",AS32)))),"")</f>
        <v>0</v>
      </c>
      <c r="CO32" s="127" t="str">
        <f>IF(21=21,IF(AM32="","",IF((CM32)-(0)&gt;0,"X",IF((CN32)-(0)&gt;0,"?",""))),"")</f>
        <v/>
      </c>
      <c r="CP32" s="127" cm="1">
        <f t="array" ref="CP32">IF(21=21,IF(AM32="","",SUMPRODUCT(--ISNUMBER(SEARCH(" "&amp;DJ2050:DJ2068&amp;" ",AS32)))),"")</f>
        <v>0</v>
      </c>
      <c r="CQ32" s="127" cm="1">
        <f t="array" ref="CQ32">IF(21=21,IF(AM32="","",SUMPRODUCT(--ISNUMBER(SEARCH(" "&amp;DJ2069:DJ2083&amp;" ",AS32)))),"")</f>
        <v>0</v>
      </c>
      <c r="CR32" s="127" t="str">
        <f>IF(21=21,IF(AM32="","",IF((CP32)-(0)&gt;0,"X",IF((CQ32)-(0)&gt;0,"?",""))),"")</f>
        <v/>
      </c>
      <c r="CS32" s="127" cm="1">
        <f t="array" ref="CS32">IF(21=21,IF(AM32="","",SUMPRODUCT(--ISNUMBER(SEARCH(" "&amp;DJ2084:DJ2104&amp;" ",AS32)))),"")</f>
        <v>0</v>
      </c>
      <c r="CT32" s="127" cm="1">
        <f t="array" ref="CT32">IF(21=21,IF(AM32="","",SUMPRODUCT(--ISNUMBER(SEARCH(" "&amp;DJ2105:DJ2144&amp;" ",SUBSTITUTE(SUBSTITUTE(AS32," "&amp;DJ1378&amp;" "," ")," "&amp;DJ1377&amp;" "," "))))+--ISNUMBER(SEARCH("poiré",AN32))),"")</f>
        <v>0</v>
      </c>
      <c r="CU32" s="127" t="str">
        <f>IF(21=21,IF(AM32="","",IF(OR(CS32&gt;0,ISNUMBER(SEARCH(" vinaigre de vin ",AS32)),ISNUMBER(SEARCH(" vinaigre au vin ",AS32))),"X",IF(CT32&gt;0,"?",""))),"")</f>
        <v/>
      </c>
      <c r="CV32" s="127" cm="1">
        <f t="array" ref="CV32">IF(21=21,IF(AM32="","",SUMPRODUCT(--ISNUMBER(SEARCH(" "&amp;DJ2145:DJ2157&amp;" ",AS32)))),"")</f>
        <v>0</v>
      </c>
      <c r="CW32" s="127" cm="1">
        <f t="array" ref="CW32">IF(21=21,IF(AM32="","",SUMPRODUCT(--ISNUMBER(SEARCH(" "&amp;DJ2158:DJ2163&amp;" ",AS32)))),"")</f>
        <v>0</v>
      </c>
      <c r="CX32" s="127" t="str">
        <f>IF(21=21,IF(AM32="","",IF((CV32)-(0)&gt;0,"X",IF((CW32)-(0)&gt;0,"?",""))),"")</f>
        <v/>
      </c>
      <c r="CY32" s="127" cm="1">
        <f t="array" ref="CY32">IF(21=21,IF(AM32="","",SUMPRODUCT(--ISNUMBER(SEARCH(" "&amp;DJ2164:DJ2263&amp;" ",DB32)))),"")</f>
        <v>0</v>
      </c>
      <c r="CZ32" s="127" cm="1">
        <f t="array" ref="CZ32">IF(21=21,IF(AM32="","",SUMPRODUCT(--ISNUMBER(SEARCH(" "&amp;DJ2264:DJ2363&amp;" ",DB32)))),"")</f>
        <v>0</v>
      </c>
      <c r="DA32" s="127" cm="1">
        <f t="array" ref="DA32">IF(21=21,IF(AM32="","",SUMPRODUCT(--ISNUMBER(SEARCH(" "&amp;DJ2364:DJ2406&amp;" ",DB32)))),"")</f>
        <v>0</v>
      </c>
      <c r="DB32" s="127" t="str">
        <f>IF(21=21,IF(AM32="","",SUBSTITUTE(SUBSTITUTE(SUBSTITUTE(SUBSTITUTE(SUBSTITUTE(SUBSTITUTE(SUBSTITUTE(SUBSTITUTE(SUBSTITUTE(SUBSTITUTE(SUBSTITUTE(SUBSTITUTE(SUBSTITUTE(SUBSTITUTE(SUBSTITUTE(SUBSTITUTE(AS32," "&amp;DJ2412&amp;" "," ")," "&amp;DJ2411&amp;" "," ")," "&amp;DJ2410&amp;" "," ")," "&amp;DJ2417&amp;" "," ")," "&amp;DJ2409&amp;" "," ")," "&amp;DJ2421&amp;" "," ")," "&amp;DJ2408&amp;" "," ")," "&amp;DJ2413&amp;" "," ")," "&amp;DJ2416&amp;" "," ")," "&amp;DJ2407&amp;" "," ")," "&amp;DJ2415&amp;" "," ")," "&amp;DJ2422&amp;" "," ")," "&amp;DJ2419&amp;" "," ")," "&amp;DJ2414&amp;" "," ")," "&amp;DJ2418&amp;" "," ")," "&amp;DJ2420&amp;" "," ")),"")</f>
        <v xml:space="preserve"> • 1 sachet de sucre vanille </v>
      </c>
      <c r="DC32" s="127" cm="1">
        <f t="array" ref="DC32">IF(21=21,IF(AM32="","",SUMPRODUCT(--ISNUMBER(SEARCH(" "&amp;DJ2423:DJ2427&amp;" ",DB32)))),"")</f>
        <v>0</v>
      </c>
      <c r="DD32" s="127" t="str">
        <f>IF(21=21,IF(AM32="","",IF(SUM(CY32:DA32)&gt;0,"X",IF(DC32&gt;0,"?",""))),"")</f>
        <v/>
      </c>
      <c r="DE32" s="152"/>
      <c r="DF32" s="160" t="s">
        <v>696</v>
      </c>
      <c r="DG32" s="160" t="s">
        <v>584</v>
      </c>
      <c r="DH32" s="160" t="s">
        <v>125</v>
      </c>
      <c r="DI32" s="160" t="s">
        <v>697</v>
      </c>
      <c r="DJ32" s="160" t="s">
        <v>697</v>
      </c>
      <c r="DK32" s="160" t="s">
        <v>588</v>
      </c>
      <c r="DL32" s="160" t="s">
        <v>589</v>
      </c>
      <c r="DM32" s="160" t="s">
        <v>590</v>
      </c>
      <c r="DN32" s="161" t="s">
        <v>591</v>
      </c>
      <c r="DP32" s="130">
        <v>1</v>
      </c>
    </row>
    <row r="33" spans="2:120" ht="30" customHeight="1">
      <c r="B33" s="165" t="str">
        <f t="shared" si="0"/>
        <v>1. Préchauffez le four à 180°C (th. 6).</v>
      </c>
      <c r="C33" s="165" t="str">
        <f t="shared" si="1"/>
        <v>1 Préchauffez le four à 180°C th 6</v>
      </c>
      <c r="D33" s="165" t="str">
        <f>IF(UPPER(TRIM(N11))="X",C33,B33)</f>
        <v>1. Préchauffez le four à 180°C (th. 6).</v>
      </c>
      <c r="E33" s="165" cm="1">
        <f t="array" ref="E33">IF(H32&lt;&gt;"",E32,IF(E32="","",IFERROR(MATCH(TRUE(),INDEX(INDEX(K:K,E32+1):K203&lt;&gt;"",0),0)+E32,"")))</f>
        <v>30</v>
      </c>
      <c r="F33" s="165" t="str" cm="1">
        <f t="array" ref="F33">IF(E33="","",IF(H32&lt;&gt;"",H32,INDEX(D:D,E33)))</f>
        <v>• 15 g de beurre</v>
      </c>
      <c r="G33" s="165" t="str">
        <f t="shared" si="2"/>
        <v>• 15 g de beurre</v>
      </c>
      <c r="H33" s="174" t="str">
        <f t="shared" si="3"/>
        <v/>
      </c>
      <c r="I33" s="184" t="str">
        <f>IF(AND(F33&lt;&gt;"",N10&gt;0,M33&gt;N10),"Mot &gt; limite","")</f>
        <v/>
      </c>
      <c r="J33" s="175">
        <f>IF(K33="","",COUNTIF(K18:K33,"&lt;&gt;"))</f>
        <v>16</v>
      </c>
      <c r="K33" s="111" t="s">
        <v>408</v>
      </c>
      <c r="L33" s="175">
        <f t="shared" si="4"/>
        <v>39</v>
      </c>
      <c r="M33" s="135">
        <f>IF(OR(F33="",N10="",N10&lt;=0),"",IF(LEN(F33)&lt;=N10,LEN(F33),IFERROR(FIND("♦",SUBSTITUTE(LEFT(F33,N10)," ","♦",LEN(LEFT(F33,N10))-LEN(SUBSTITUTE(LEFT(F33,N10)," ","")))),FIND(" ",F33&amp;" ",N10+1)-1)))</f>
        <v>16</v>
      </c>
      <c r="N33" s="176">
        <f t="shared" si="5"/>
        <v>16</v>
      </c>
      <c r="O33" s="177" t="str">
        <f t="shared" si="6"/>
        <v>• 15 g de beurre</v>
      </c>
      <c r="P33" s="176">
        <f t="shared" si="7"/>
        <v>5</v>
      </c>
      <c r="Q33" s="176">
        <f t="shared" si="8"/>
        <v>16</v>
      </c>
      <c r="S33" s="178">
        <v>16</v>
      </c>
      <c r="T33" s="179" t="str">
        <f t="shared" si="10"/>
        <v>• 15 g de beurre</v>
      </c>
      <c r="U33" s="180" t="str">
        <f t="shared" si="9"/>
        <v>• 15 g de beurre *</v>
      </c>
      <c r="V33" s="181" t="str">
        <f>IF(22=22,IF(T33="","",IF(W33="X",""&amp;"Céréales contenant du gluten","")&amp;IF(X33="X",IF(COUNTIF(W33:W33,"X")&gt;0,", ","")&amp;"Crustacés","")&amp;IF(Y33="X",IF(COUNTIF(W33:X33,"X")&gt;0,", ","")&amp;"Œufs","")&amp;IF(Z33="X",IF(COUNTIF(W33:Y33,"X")&gt;0,", ","")&amp;"Poissons","")&amp;IF(AA33="X",IF(COUNTIF(W33:Z33,"X")&gt;0,", ","")&amp;"Arachides","")&amp;IF(AB33="X",IF(COUNTIF(W33:AA33,"X")&gt;0,", ","")&amp;"Soja","")&amp;IF(AC33="X",IF(COUNTIF(W33:AB33,"X")&gt;0,", ","")&amp;"Lait","")&amp;IF(AD33="X",IF(COUNTIF(W33:AC33,"X")&gt;0,", ","")&amp;"Fruits à coque","")&amp;IF(AE33="X",IF(COUNTIF(W33:AD33,"X")&gt;0,", ","")&amp;"Céleri","")&amp;IF(AF33="X",IF(COUNTIF(W33:AE33,"X")&gt;0,", ","")&amp;"Moutarde","")&amp;IF(AG33="X",IF(COUNTIF(W33:AF33,"X")&gt;0,", ","")&amp;"Sésame","")&amp;IF(AH33="X",IF(COUNTIF(W33:AG33,"X")&gt;0,", ","")&amp;"Sulfites","")&amp;IF(AI33="X",IF(COUNTIF(W33:AH33,"X")&gt;0,", ","")&amp;"Lupin","")&amp;IF(AJ33="X",IF(COUNTIF(W33:AI33,"X")&gt;0,", ","")&amp;"Mollusques","")),"")</f>
        <v>Lait</v>
      </c>
      <c r="W33" s="182" t="str">
        <f>IF(22=22,IF(T33="","",AX33),"")</f>
        <v/>
      </c>
      <c r="X33" s="182" t="str">
        <f>IF(22=22,IF(T33="","",BA33),"")</f>
        <v/>
      </c>
      <c r="Y33" s="182" t="str">
        <f>IF(22=22,IF(T33="","",BE33),"")</f>
        <v/>
      </c>
      <c r="Z33" s="182" t="str">
        <f>IF(22=22,IF(T33="","",IF(ISNUMBER(SEARCH(" colin ",AS33)),"X",BR33)),"")</f>
        <v/>
      </c>
      <c r="AA33" s="182" t="str">
        <f>IF(22=22,IF(T33="","",BT33),"")</f>
        <v/>
      </c>
      <c r="AB33" s="182" t="str">
        <f>IF(22=22,IF(T33="","",BX33),"")</f>
        <v/>
      </c>
      <c r="AC33" s="182" t="str">
        <f>IF(22=22,IF(T33="","",CE33),"")</f>
        <v>X</v>
      </c>
      <c r="AD33" s="182" t="str">
        <f>IF(22=22,IF(T33="","",CI33),"")</f>
        <v/>
      </c>
      <c r="AE33" s="182" t="str">
        <f>IF(22=22,IF(T33="","",CL33),"")</f>
        <v/>
      </c>
      <c r="AF33" s="182" t="str">
        <f>IF(22=22,IF(T33="","",CO33),"")</f>
        <v/>
      </c>
      <c r="AG33" s="182" t="str">
        <f>IF(22=22,IF(T33="","",CR33),"")</f>
        <v/>
      </c>
      <c r="AH33" s="182" t="str">
        <f>IF(22=22,IF(T33="","",CU33),"")</f>
        <v/>
      </c>
      <c r="AI33" s="182" t="str">
        <f>IF(22=22,IF(T33="","",CX33),"")</f>
        <v/>
      </c>
      <c r="AJ33" s="182" t="str">
        <f>IF(22=22,IF(T33="","",DD33),"")</f>
        <v/>
      </c>
      <c r="AK33" s="183" t="str">
        <f>IF(22=22,IF(T33="","",IF(W33="?",""&amp;"Céréales contenant du gluten","")&amp;IF(X33="?",IF(COUNTIF(W33:W33,"~?")&gt;0,", ","")&amp;"Crustacés","")&amp;IF(Y33="?",IF(COUNTIF(W33:X33,"~?")&gt;0,", ","")&amp;"Œufs","")&amp;IF(Z33="?",IF(COUNTIF(W33:Y33,"~?")&gt;0,", ","")&amp;"Poissons","")&amp;IF(AA33="?",IF(COUNTIF(W33:Z33,"~?")&gt;0,", ","")&amp;"Arachides","")&amp;IF(AB33="?",IF(COUNTIF(W33:AA33,"~?")&gt;0,", ","")&amp;"Soja","")&amp;IF(AC33="?",IF(COUNTIF(W33:AB33,"~?")&gt;0,", ","")&amp;"Lait","")&amp;IF(AD33="?",IF(COUNTIF(W33:AC33,"~?")&gt;0,", ","")&amp;"Fruits à coque","")&amp;IF(AE33="?",IF(COUNTIF(W33:AD33,"~?")&gt;0,", ","")&amp;"Céleri","")&amp;IF(AF33="?",IF(COUNTIF(W33:AE33,"~?")&gt;0,", ","")&amp;"Moutarde","")&amp;IF(AG33="?",IF(COUNTIF(W33:AF33,"~?")&gt;0,", ","")&amp;"Sésame","")&amp;IF(AH33="?",IF(COUNTIF(W33:AG33,"~?")&gt;0,", ","")&amp;"Sulfites","")&amp;IF(AI33="?",IF(COUNTIF(W33:AH33,"~?")&gt;0,", ","")&amp;"Lupin","")&amp;IF(AJ33="?",IF(COUNTIF(W33:AI33,"~?")&gt;0,", ","")&amp;"Mollusques","")),"")</f>
        <v/>
      </c>
      <c r="AM33" s="127" t="str">
        <f>IF(22=22,IF(T33="","",T33),"")</f>
        <v>• 15 g de beurre</v>
      </c>
      <c r="AN33" s="127" t="str">
        <f>IF(22=22,LOWER(CLEAN(SUBSTITUTE(SUBSTITUTE(SUBSTITUTE(SUBSTITUTE(AM33,CHAR(160)," ")," "," "),CHAR(10)," "),CHAR(13)," "))),"")</f>
        <v>• 15 g de beurre</v>
      </c>
      <c r="AO33" s="127" t="str">
        <f>IF(22=22,SUBSTITUTE(SUBSTITUTE(SUBSTITUTE(SUBSTITUTE(SUBSTITUTE(SUBSTITUTE(SUBSTITUTE(SUBSTITUTE(SUBSTITUTE(SUBSTITUTE(SUBSTITUTE(SUBSTITUTE(AN33,"œ","oe"),"æ","ae"),"à","a"),"á","a"),"â","a"),"ä","a"),"ã","a"),"ç","c"),"è","e"),"é","e"),"ê","e"),"ë","e"),"")</f>
        <v>• 15 g de beurre</v>
      </c>
      <c r="AP33" s="127" t="str">
        <f>IF(22=22,SUBSTITUTE(SUBSTITUTE(SUBSTITUTE(SUBSTITUTE(SUBSTITUTE(SUBSTITUTE(SUBSTITUTE(SUBSTITUTE(SUBSTITUTE(SUBSTITUTE(SUBSTITUTE(SUBSTITUTE(SUBSTITUTE(SUBSTITUTE(SUBSTITUTE(SUBSTITUTE(AO33,"ì","i"),"í","i"),"î","i"),"ï","i"),"ñ","n"),"ò","o"),"ó","o"),"ô","o"),"ö","o"),"õ","o"),"ù","u"),"ú","u"),"û","u"),"ü","u"),"ý","y"),"ÿ","y"),"")</f>
        <v>• 15 g de beurre</v>
      </c>
      <c r="AQ33" s="127" t="str">
        <f>IF(22=22,SUBSTITUTE(SUBSTITUTE(SUBSTITUTE(SUBSTITUTE(SUBSTITUTE(SUBSTITUTE(SUBSTITUTE(SUBSTITUTE(SUBSTITUTE(SUBSTITUTE(SUBSTITUTE(SUBSTITUTE(SUBSTITUTE(SUBSTITUTE(AP33,"’"," "),"`"," "),"–"," "),"—"," "),"-"," "),"'"," "),"/"," "),"_"," "),","," "),"."," "),"("," "),")"," "),";"," "),":"," "),"")</f>
        <v>• 15 g de beurre</v>
      </c>
      <c r="AR33" s="127" t="str">
        <f>IF(22=22,SUBSTITUTE(SUBSTITUTE(SUBSTITUTE(SUBSTITUTE(SUBSTITUTE(SUBSTITUTE(SUBSTITUTE(SUBSTITUTE(SUBSTITUTE(SUBSTITUTE(SUBSTITUTE(SUBSTITUTE(SUBSTITUTE(SUBSTITUTE(SUBSTITUTE(AQ33,"!"," "),"?"," "),"+"," "),"*"," "),"&amp;"," "),"["," "),"]"," "),"{"," "),"}"," "),"%"," "),"="," "),"\"," "),"|"," "),"&lt;"," "),"&gt;"," "),"")</f>
        <v>• 15 g de beurre</v>
      </c>
      <c r="AS33" s="127" t="str">
        <f>IF(22=22," "&amp;TRIM(SUBSTITUTE(SUBSTITUTE(SUBSTITUTE(SUBSTITUTE(SUBSTITUTE(SUBSTITUTE(AR33,CHAR(34)," "),"  "," "),"  "," "),"  "," "),"  "," "),"  "," "))&amp;" ","")</f>
        <v xml:space="preserve"> • 15 g de beurre </v>
      </c>
      <c r="AT33" s="127" cm="1">
        <f t="array" ref="AT33">IF(22=22,IF(AM33="","",SUMPRODUCT(--ISNUMBER(SEARCH(" "&amp;DJ13:DJ112&amp;" ",AV33)))),"")</f>
        <v>0</v>
      </c>
      <c r="AU33" s="127" cm="1">
        <f t="array" ref="AU33">IF(22=22,IF(AM33="","",SUMPRODUCT(--ISNUMBER(SEARCH(" "&amp;DJ113:DJ162&amp;" ",AV33)))),"")</f>
        <v>0</v>
      </c>
      <c r="AV33" s="127" t="str">
        <f>IF(AM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15 g de beurre </v>
      </c>
      <c r="AW33" s="127" cm="1">
        <f t="array" ref="AW33">IF(AM33="","",SUMPRODUCT(--ISNUMBER(SEARCH(" "&amp;DJ195:DJ216&amp;" ",AV33)))+--ISNUMBER(SEARCH(" "&amp;DJ2465&amp;" ",AV33)))</f>
        <v>0</v>
      </c>
      <c r="AX33" s="127" t="str" cm="1">
        <f t="array" ref="AX33">IF(22=22,IF(AM33="","",IF(SUM(AT33:AU33)+SUMPRODUCT(--ISNUMBER(SEARCH(" "&amp;DJ2429:DJ2431&amp;" ",AV33)))&gt;0,"X",IF(AW33&gt;0,"?",""))),"")</f>
        <v/>
      </c>
      <c r="AY33" s="127" cm="1">
        <f t="array" ref="AY33">IF(22=22,IF(AM33="","",SUMPRODUCT(--ISNUMBER(SEARCH(" "&amp;DJ217:DJ316&amp;" ",AS33)))),"")</f>
        <v>0</v>
      </c>
      <c r="AZ33" s="127" cm="1">
        <f t="array" ref="AZ33">IF(22=22,IF(AM33="","",SUMPRODUCT(--ISNUMBER(SEARCH(" "&amp;DJ317:DJ351&amp;" ",AS33)))),"")</f>
        <v>0</v>
      </c>
      <c r="BA33" s="127" t="str">
        <f>IF(22=22,IF(AM33="","",IF((SUM(AY33:AZ33))-(0)&gt;0,"X",IF((0)-(0)&gt;0,"?",""))),"")</f>
        <v/>
      </c>
      <c r="BB33" s="127" cm="1">
        <f t="array" ref="BB33">IF(22=22,IF(AM33="","",SUMPRODUCT(--ISNUMBER(SEARCH(" "&amp;DJ352:DJ409&amp;" ",AS33)))),"")</f>
        <v>0</v>
      </c>
      <c r="BC33" s="127" cm="1">
        <f t="array" ref="BC33">IF(22=22,IF(AM33="","",SUMPRODUCT(--ISNUMBER(SEARCH(" "&amp;DJ410:DJ437&amp;" ",BD33)))+SUMPRODUCT(--ISNUMBER(SEARCH(" "&amp;DJ2451:DJ2464&amp;" ",BD33)))),"")</f>
        <v>0</v>
      </c>
      <c r="BD33" s="127" t="str">
        <f>IF(22=22,IF(AM33="","",SUBSTITUTE(SUBSTITUTE(SUBSTITUTE(SUBSTITUTE(SUBSTITUTE(SUBSTITUTE(SUBSTITUTE(SUBSTITUTE(SUBSTITUTE(SUBSTITUTE(SUBSTITUTE(SUBSTITUTE(SUBSTITUTE(SUBSTITUTE(AS33," "&amp;DJ2466&amp;" "," ")," "&amp;DJ444&amp;" "," ")," "&amp;DJ442&amp;" "," ")," "&amp;DJ2449&amp;" "," ")," "&amp;DJ2450&amp;" "," ")," "&amp;DJ439&amp;" "," ")," "&amp;DJ443&amp;" "," ")," "&amp;DJ445&amp;" "," ")," "&amp;DJ440&amp;" "," ")," "&amp;DJ438&amp;" "," ")," "&amp;DJ1378&amp;" "," ")," "&amp;DJ446&amp;" "," ")," "&amp;DJ1377&amp;" "," ")," "&amp;DJ441&amp;" "," ")),"")</f>
        <v xml:space="preserve"> • 15 g de beurre </v>
      </c>
      <c r="BE33" s="127" t="str">
        <f>IF(22=22,IF(AM33="","",IF(BB33&gt;0,"X",IF(BC33&gt;0,"?",""))),"")</f>
        <v/>
      </c>
      <c r="BF33" s="127" cm="1">
        <f t="array" ref="BF33">IF(22=22,IF(AM33="","",SUMPRODUCT(--ISNUMBER(SEARCH(" "&amp;DJ447:DJ546&amp;" ",BP33)))),"")</f>
        <v>0</v>
      </c>
      <c r="BG33" s="127" cm="1">
        <f t="array" ref="BG33">IF(22=22,IF(AM33="","",SUMPRODUCT(--ISNUMBER(SEARCH(" "&amp;DJ547:DJ646&amp;" ",BP33)))),"")</f>
        <v>0</v>
      </c>
      <c r="BH33" s="127" cm="1">
        <f t="array" ref="BH33">IF(22=22,IF(AM33="","",SUMPRODUCT(--ISNUMBER(SEARCH(" "&amp;DJ647:DJ746&amp;" ",BP33)))),"")</f>
        <v>0</v>
      </c>
      <c r="BI33" s="127" cm="1">
        <f t="array" ref="BI33">IF(22=22,IF(AM33="","",SUMPRODUCT(--ISNUMBER(SEARCH(" "&amp;DJ747:DJ846&amp;" ",BP33)))),"")</f>
        <v>0</v>
      </c>
      <c r="BJ33" s="127" cm="1">
        <f t="array" ref="BJ33">IF(22=22,IF(AM33="","",SUMPRODUCT(--ISNUMBER(SEARCH(" "&amp;DJ847:DJ946&amp;" ",BP33)))),"")</f>
        <v>0</v>
      </c>
      <c r="BK33" s="127" cm="1">
        <f t="array" ref="BK33">IF(22=22,IF(AM33="","",SUMPRODUCT(--ISNUMBER(SEARCH(" "&amp;DJ947:DJ1046&amp;" ",BP33)))),"")</f>
        <v>0</v>
      </c>
      <c r="BL33" s="127" cm="1">
        <f t="array" ref="BL33">IF(22=22,IF(AM33="","",SUMPRODUCT(--ISNUMBER(SEARCH(" "&amp;DJ1047:DJ1146&amp;" ",BP33)))),"")</f>
        <v>0</v>
      </c>
      <c r="BM33" s="127" cm="1">
        <f t="array" ref="BM33">IF(22=22,IF(AM33="","",SUMPRODUCT(--ISNUMBER(SEARCH(" "&amp;DJ1147:DJ1246&amp;" ",BP33)))),"")</f>
        <v>0</v>
      </c>
      <c r="BN33" s="127" cm="1">
        <f t="array" ref="BN33">IF(22=22,IF(AM33="","",SUMPRODUCT(--ISNUMBER(SEARCH(" "&amp;DJ1247:DJ1346&amp;" ",BP33)))),"")</f>
        <v>0</v>
      </c>
      <c r="BO33" s="127" cm="1">
        <f t="array" ref="BO33">IF(22=22,IF(AM33="","",SUMPRODUCT(--ISNUMBER(SEARCH(" "&amp;DJ1347:DJ1374&amp;" ",BP33)))),"")</f>
        <v>0</v>
      </c>
      <c r="BP33" s="127" t="str">
        <f>IF(22=22,IF(AM33="","",SUBSTITUTE(SUBSTITUTE(SUBSTITUTE(SUBSTITUTE(SUBSTITUTE(SUBSTITUTE(SUBSTITUTE(SUBSTITUTE(SUBSTITUTE(AS33," "&amp;DJ1376&amp;" "," ")," "&amp;DJ1375&amp;" "," ")," "&amp;DJ1381&amp;" "," ")," "&amp;DJ1382&amp;" "," ")," "&amp;DJ1378&amp;" "," ")," "&amp;DJ1380&amp;" "," ")," "&amp;DJ1377&amp;" "," ")," "&amp;DJ1379&amp;" "," ")," "&amp;DJ1383&amp;" "," ")),"")</f>
        <v xml:space="preserve"> • 15 g de beurre </v>
      </c>
      <c r="BQ33" s="127" cm="1">
        <f t="array" ref="BQ33">IF(22=22,IF(AM33="","",SUMPRODUCT(--ISNUMBER(SEARCH(" "&amp;DJ1384:DJ1394&amp;" ",BP33)))),"")</f>
        <v>0</v>
      </c>
      <c r="BR33" s="127" t="str" cm="1">
        <f t="array" ref="BR33">IF(22=22,IF(AM33="","",IF(SUM(BF33:BO33)+SUMPRODUCT(--ISNUMBER(SEARCH(" "&amp;DJ2432:DJ2433&amp;" ",BP33)))&gt;0,"X",IF(BQ33&gt;0,"?",""))),"")</f>
        <v/>
      </c>
      <c r="BS33" s="127" cm="1">
        <f t="array" ref="BS33">IF(22=22,IF(AM33="","",SUMPRODUCT(--ISNUMBER(SEARCH(" "&amp;DJ1395:DJ1415&amp;" ",AS33)))),"")</f>
        <v>0</v>
      </c>
      <c r="BT33" s="127" t="str">
        <f>IF(22=22,IF(AM33="","",IF((BS33)-(0)&gt;0,"X",IF((0)-(0)&gt;0,"?",""))),"")</f>
        <v/>
      </c>
      <c r="BU33" s="127" cm="1">
        <f t="array" ref="BU33">IF(22=22,IF(AM33="","",SUMPRODUCT(--ISNUMBER(SEARCH(" "&amp;DJ1416:DJ1453&amp;" ",BV33)))),"")</f>
        <v>0</v>
      </c>
      <c r="BV33" s="127" t="str">
        <f>IF(22=22,IF(AM33="","",SUBSTITUTE(SUBSTITUTE(AS33," "&amp;DJ1454&amp;" "," ")," "&amp;DJ1455&amp;" "," ")),"")</f>
        <v xml:space="preserve"> • 15 g de beurre </v>
      </c>
      <c r="BW33" s="127" cm="1">
        <f t="array" ref="BW33">IF(22=22,IF(AM33="","",SUMPRODUCT(--ISNUMBER(SEARCH(" "&amp;DJ1456:DJ1466&amp;" ",BV33)))),"")</f>
        <v>0</v>
      </c>
      <c r="BX33" s="127" t="str">
        <f>IF(22=22,IF(AM33="","",IF(BU33&gt;0,"X",IF(BW33&gt;0,"?",""))),"")</f>
        <v/>
      </c>
      <c r="BY33" s="127" cm="1">
        <f t="array" ref="BY33">IF(22=22,IF(AM33="","",SUMPRODUCT(--ISNUMBER(SEARCH(" "&amp;DJ1467:DJ1566&amp;" ",CB33)))),"")</f>
        <v>1</v>
      </c>
      <c r="BZ33" s="127" cm="1">
        <f t="array" ref="BZ33">IF(22=22,IF(AM33="","",SUMPRODUCT(--ISNUMBER(SEARCH(" "&amp;DJ1567:DJ1666&amp;" ",CB33)))),"")</f>
        <v>0</v>
      </c>
      <c r="CA33" s="127" cm="1">
        <f t="array" ref="CA33">IF(22=22,IF(AM33="","",SUMPRODUCT(--ISNUMBER(SEARCH(" "&amp;DJ1667:DJ1750&amp;" ",CB33)))),"")</f>
        <v>0</v>
      </c>
      <c r="CB33" s="127" t="str">
        <f>IF(22=22,IF(AM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15 g de beurre </v>
      </c>
      <c r="CC33" s="127" cm="1">
        <f t="array" ref="CC33">IF(22=22,IF(AM33="","",SUMPRODUCT(--ISNUMBER(SEARCH(" "&amp;DJ1801:DJ1880&amp;" ",CD33)))+SUMPRODUCT(--ISNUMBER(SEARCH(" "&amp;DJ2451:DJ2464&amp;" ",CD33)))),"")</f>
        <v>0</v>
      </c>
      <c r="CD33" s="127" t="str">
        <f>IF(22=22,IF(AM33="","",SUBSTITUTE(SUBSTITUTE(SUBSTITUTE(SUBSTITUTE(SUBSTITUTE(SUBSTITUTE(SUBSTITUTE(SUBSTITUTE(SUBSTITUTE(SUBSTITUTE(SUBSTITUTE(SUBSTITUTE(SUBSTITUTE(CB33," "&amp;DJ1887&amp;" "," ")," "&amp;DJ1885&amp;" "," ")," "&amp;DJ2449&amp;" "," ")," "&amp;DJ2450&amp;" "," ")," "&amp;DJ1882&amp;" "," ")," "&amp;DJ1886&amp;" "," ")," "&amp;DJ1888&amp;" "," ")," "&amp;DJ1883&amp;" "," ")," "&amp;DJ1881&amp;" "," ")," "&amp;DJ1378&amp;" "," ")," "&amp;DJ1889&amp;" "," ")," "&amp;DJ1377&amp;" "," ")," "&amp;DJ1884&amp;" "," ")),"")</f>
        <v xml:space="preserve"> • 15 g de beurre </v>
      </c>
      <c r="CE33" s="127" t="str" cm="1">
        <f t="array" ref="CE33">IF(22=22,IF(AM33="","",IF(SUM(BY33:CA33)+SUMPRODUCT(--ISNUMBER(SEARCH(" "&amp;DJ2434:DJ2435&amp;" ",CB33)))&gt;0,"X",IF(CC33&gt;0,"?",""))),"")</f>
        <v>X</v>
      </c>
      <c r="CF33" s="127" cm="1">
        <f t="array" ref="CF33">IF(22=22,IF(AM33="","",SUMPRODUCT(--ISNUMBER(SEARCH(" "&amp;DJ1890:DJ1947&amp;" ",CG33)))),"")</f>
        <v>0</v>
      </c>
      <c r="CG33" s="127" t="str">
        <f>IF(22=22,IF(AM33="","",SUBSTITUTE(SUBSTITUTE(SUBSTITUTE(SUBSTITUTE(SUBSTITUTE(SUBSTITUTE(SUBSTITUTE(SUBSTITUTE(SUBSTITUTE(SUBSTITUTE(SUBSTITUTE(SUBSTITUTE(SUBSTITUTE(SUBSTITUTE(SUBSTITUTE(SUBSTITUTE(SUBSTITUTE(SUBSTITUTE(SUBSTITUTE(SUBSTITUTE(SUBSTITUTE(SUBSTITUTE(SUBSTITUTE(AS33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15 g de beurre </v>
      </c>
      <c r="CH33" s="127" cm="1">
        <f t="array" ref="CH33">IF(22=22,IF(AM33="","",SUMPRODUCT(--ISNUMBER(SEARCH(" "&amp;DJ1971:DJ1987&amp;" ",CG33)))),"")</f>
        <v>0</v>
      </c>
      <c r="CI33" s="127" t="str">
        <f>IF(22=22,IF(AM33="","",IF(CF33&gt;0,"X",IF(CH33&gt;0,"?",""))),"")</f>
        <v/>
      </c>
      <c r="CJ33" s="127" cm="1">
        <f t="array" ref="CJ33">IF(22=22,IF(AM33="","",SUMPRODUCT(--ISNUMBER(SEARCH(" "&amp;DJ1988:DJ2001&amp;" ",AS33)))),"")</f>
        <v>0</v>
      </c>
      <c r="CK33" s="127" cm="1">
        <f t="array" ref="CK33">IF(22=22,IF(AM33="","",SUMPRODUCT(--ISNUMBER(SEARCH(" "&amp;DJ2002:DJ2016&amp;" ",AS33)))),"")</f>
        <v>0</v>
      </c>
      <c r="CL33" s="127" t="str">
        <f>IF(22=22,IF(AM33="","",IF((CJ33)-(0)&gt;0,"X",IF((CK33)-(0)&gt;0,"?",""))),"")</f>
        <v/>
      </c>
      <c r="CM33" s="127" cm="1">
        <f t="array" ref="CM33">IF(22=22,IF(AM33="","",SUMPRODUCT(--ISNUMBER(SEARCH(" "&amp;DJ2017:DJ2034&amp;" ",AS33)))),"")</f>
        <v>0</v>
      </c>
      <c r="CN33" s="127" cm="1">
        <f t="array" ref="CN33">IF(22=22,IF(AM33="","",SUMPRODUCT(--ISNUMBER(SEARCH(" "&amp;DJ2035:DJ2049&amp;" ",AS33)))),"")</f>
        <v>0</v>
      </c>
      <c r="CO33" s="127" t="str">
        <f>IF(22=22,IF(AM33="","",IF((CM33)-(0)&gt;0,"X",IF((CN33)-(0)&gt;0,"?",""))),"")</f>
        <v/>
      </c>
      <c r="CP33" s="127" cm="1">
        <f t="array" ref="CP33">IF(22=22,IF(AM33="","",SUMPRODUCT(--ISNUMBER(SEARCH(" "&amp;DJ2050:DJ2068&amp;" ",AS33)))),"")</f>
        <v>0</v>
      </c>
      <c r="CQ33" s="127" cm="1">
        <f t="array" ref="CQ33">IF(22=22,IF(AM33="","",SUMPRODUCT(--ISNUMBER(SEARCH(" "&amp;DJ2069:DJ2083&amp;" ",AS33)))),"")</f>
        <v>0</v>
      </c>
      <c r="CR33" s="127" t="str">
        <f>IF(22=22,IF(AM33="","",IF((CP33)-(0)&gt;0,"X",IF((CQ33)-(0)&gt;0,"?",""))),"")</f>
        <v/>
      </c>
      <c r="CS33" s="127" cm="1">
        <f t="array" ref="CS33">IF(22=22,IF(AM33="","",SUMPRODUCT(--ISNUMBER(SEARCH(" "&amp;DJ2084:DJ2104&amp;" ",AS33)))),"")</f>
        <v>0</v>
      </c>
      <c r="CT33" s="127" cm="1">
        <f t="array" ref="CT33">IF(22=22,IF(AM33="","",SUMPRODUCT(--ISNUMBER(SEARCH(" "&amp;DJ2105:DJ2144&amp;" ",SUBSTITUTE(SUBSTITUTE(AS33," "&amp;DJ1378&amp;" "," ")," "&amp;DJ1377&amp;" "," "))))+--ISNUMBER(SEARCH("poiré",AN33))),"")</f>
        <v>0</v>
      </c>
      <c r="CU33" s="127" t="str">
        <f>IF(22=22,IF(AM33="","",IF(OR(CS33&gt;0,ISNUMBER(SEARCH(" vinaigre de vin ",AS33)),ISNUMBER(SEARCH(" vinaigre au vin ",AS33))),"X",IF(CT33&gt;0,"?",""))),"")</f>
        <v/>
      </c>
      <c r="CV33" s="127" cm="1">
        <f t="array" ref="CV33">IF(22=22,IF(AM33="","",SUMPRODUCT(--ISNUMBER(SEARCH(" "&amp;DJ2145:DJ2157&amp;" ",AS33)))),"")</f>
        <v>0</v>
      </c>
      <c r="CW33" s="127" cm="1">
        <f t="array" ref="CW33">IF(22=22,IF(AM33="","",SUMPRODUCT(--ISNUMBER(SEARCH(" "&amp;DJ2158:DJ2163&amp;" ",AS33)))),"")</f>
        <v>0</v>
      </c>
      <c r="CX33" s="127" t="str">
        <f>IF(22=22,IF(AM33="","",IF((CV33)-(0)&gt;0,"X",IF((CW33)-(0)&gt;0,"?",""))),"")</f>
        <v/>
      </c>
      <c r="CY33" s="127" cm="1">
        <f t="array" ref="CY33">IF(22=22,IF(AM33="","",SUMPRODUCT(--ISNUMBER(SEARCH(" "&amp;DJ2164:DJ2263&amp;" ",DB33)))),"")</f>
        <v>0</v>
      </c>
      <c r="CZ33" s="127" cm="1">
        <f t="array" ref="CZ33">IF(22=22,IF(AM33="","",SUMPRODUCT(--ISNUMBER(SEARCH(" "&amp;DJ2264:DJ2363&amp;" ",DB33)))),"")</f>
        <v>0</v>
      </c>
      <c r="DA33" s="127" cm="1">
        <f t="array" ref="DA33">IF(22=22,IF(AM33="","",SUMPRODUCT(--ISNUMBER(SEARCH(" "&amp;DJ2364:DJ2406&amp;" ",DB33)))),"")</f>
        <v>0</v>
      </c>
      <c r="DB33" s="127" t="str">
        <f>IF(22=22,IF(AM33="","",SUBSTITUTE(SUBSTITUTE(SUBSTITUTE(SUBSTITUTE(SUBSTITUTE(SUBSTITUTE(SUBSTITUTE(SUBSTITUTE(SUBSTITUTE(SUBSTITUTE(SUBSTITUTE(SUBSTITUTE(SUBSTITUTE(SUBSTITUTE(SUBSTITUTE(SUBSTITUTE(AS33," "&amp;DJ2412&amp;" "," ")," "&amp;DJ2411&amp;" "," ")," "&amp;DJ2410&amp;" "," ")," "&amp;DJ2417&amp;" "," ")," "&amp;DJ2409&amp;" "," ")," "&amp;DJ2421&amp;" "," ")," "&amp;DJ2408&amp;" "," ")," "&amp;DJ2413&amp;" "," ")," "&amp;DJ2416&amp;" "," ")," "&amp;DJ2407&amp;" "," ")," "&amp;DJ2415&amp;" "," ")," "&amp;DJ2422&amp;" "," ")," "&amp;DJ2419&amp;" "," ")," "&amp;DJ2414&amp;" "," ")," "&amp;DJ2418&amp;" "," ")," "&amp;DJ2420&amp;" "," ")),"")</f>
        <v xml:space="preserve"> • 15 g de beurre </v>
      </c>
      <c r="DC33" s="127" cm="1">
        <f t="array" ref="DC33">IF(22=22,IF(AM33="","",SUMPRODUCT(--ISNUMBER(SEARCH(" "&amp;DJ2423:DJ2427&amp;" ",DB33)))),"")</f>
        <v>0</v>
      </c>
      <c r="DD33" s="127" t="str">
        <f>IF(22=22,IF(AM33="","",IF(SUM(CY33:DA33)&gt;0,"X",IF(DC33&gt;0,"?",""))),"")</f>
        <v/>
      </c>
      <c r="DE33" s="152"/>
      <c r="DF33" s="160" t="s">
        <v>698</v>
      </c>
      <c r="DG33" s="160" t="s">
        <v>584</v>
      </c>
      <c r="DH33" s="160" t="s">
        <v>125</v>
      </c>
      <c r="DI33" s="160" t="s">
        <v>458</v>
      </c>
      <c r="DJ33" s="160" t="s">
        <v>458</v>
      </c>
      <c r="DK33" s="160" t="s">
        <v>588</v>
      </c>
      <c r="DL33" s="160" t="s">
        <v>589</v>
      </c>
      <c r="DM33" s="160" t="s">
        <v>590</v>
      </c>
      <c r="DN33" s="161" t="s">
        <v>591</v>
      </c>
      <c r="DP33" s="130">
        <v>1</v>
      </c>
    </row>
    <row r="34" spans="2:120" ht="30" customHeight="1">
      <c r="B34" s="165" t="str">
        <f t="shared" si="0"/>
        <v>2. Étalez la pâte sablée dans un moule beurré, piquez le fond avec une fourchette et placez au réfrigérateur pendant la préparation.</v>
      </c>
      <c r="C34" s="165" t="str">
        <f t="shared" si="1"/>
        <v>2 Étalez la pâte sablée dans un moule beurré piquez le fond avec une fourchette et placez au réfrigérateur pendant la préparation</v>
      </c>
      <c r="D34" s="165" t="str">
        <f>IF(UPPER(TRIM(N11))="X",C34,B34)</f>
        <v>2. Étalez la pâte sablée dans un moule beurré, piquez le fond avec une fourchette et placez au réfrigérateur pendant la préparation.</v>
      </c>
      <c r="E34" s="165" cm="1">
        <f t="array" ref="E34">IF(H33&lt;&gt;"",E33,IF(E33="","",IFERROR(MATCH(TRUE(),INDEX(INDEX(K:K,E33+1):K203&lt;&gt;"",0),0)+E33,"")))</f>
        <v>31</v>
      </c>
      <c r="F34" s="165" t="str" cm="1">
        <f t="array" ref="F34">IF(E34="","",IF(H33&lt;&gt;"",H33,INDEX(D:D,E34)))</f>
        <v>• 10 g de sucre glace</v>
      </c>
      <c r="G34" s="165" t="str">
        <f t="shared" si="2"/>
        <v>• 10 g de sucre glace</v>
      </c>
      <c r="H34" s="174" t="str">
        <f t="shared" si="3"/>
        <v/>
      </c>
      <c r="I34" s="184" t="str">
        <f>IF(AND(F34&lt;&gt;"",N10&gt;0,M34&gt;N10),"Mot &gt; limite","")</f>
        <v/>
      </c>
      <c r="J34" s="175">
        <f>IF(K34="","",COUNTIF(K18:K34,"&lt;&gt;"))</f>
        <v>17</v>
      </c>
      <c r="K34" s="111" t="s">
        <v>409</v>
      </c>
      <c r="L34" s="175">
        <f t="shared" si="4"/>
        <v>132</v>
      </c>
      <c r="M34" s="135">
        <f>IF(OR(F34="",N10="",N10&lt;=0),"",IF(LEN(F34)&lt;=N10,LEN(F34),IFERROR(FIND("♦",SUBSTITUTE(LEFT(F34,N10)," ","♦",LEN(LEFT(F34,N10))-LEN(SUBSTITUTE(LEFT(F34,N10)," ","")))),FIND(" ",F34&amp;" ",N10+1)-1)))</f>
        <v>21</v>
      </c>
      <c r="N34" s="176">
        <f t="shared" si="5"/>
        <v>17</v>
      </c>
      <c r="O34" s="177" t="str">
        <f t="shared" si="6"/>
        <v>• 10 g de sucre glace</v>
      </c>
      <c r="P34" s="176">
        <f t="shared" si="7"/>
        <v>6</v>
      </c>
      <c r="Q34" s="176">
        <f t="shared" si="8"/>
        <v>21</v>
      </c>
      <c r="S34" s="178">
        <v>17</v>
      </c>
      <c r="T34" s="179" t="str">
        <f t="shared" si="10"/>
        <v>• 10 g de sucre glace</v>
      </c>
      <c r="U34" s="180" t="str">
        <f t="shared" si="9"/>
        <v>• 10 g de sucre glace</v>
      </c>
      <c r="V34" s="181" t="str">
        <f>IF(23=23,IF(T34="","",IF(W34="X",""&amp;"Céréales contenant du gluten","")&amp;IF(X34="X",IF(COUNTIF(W34:W34,"X")&gt;0,", ","")&amp;"Crustacés","")&amp;IF(Y34="X",IF(COUNTIF(W34:X34,"X")&gt;0,", ","")&amp;"Œufs","")&amp;IF(Z34="X",IF(COUNTIF(W34:Y34,"X")&gt;0,", ","")&amp;"Poissons","")&amp;IF(AA34="X",IF(COUNTIF(W34:Z34,"X")&gt;0,", ","")&amp;"Arachides","")&amp;IF(AB34="X",IF(COUNTIF(W34:AA34,"X")&gt;0,", ","")&amp;"Soja","")&amp;IF(AC34="X",IF(COUNTIF(W34:AB34,"X")&gt;0,", ","")&amp;"Lait","")&amp;IF(AD34="X",IF(COUNTIF(W34:AC34,"X")&gt;0,", ","")&amp;"Fruits à coque","")&amp;IF(AE34="X",IF(COUNTIF(W34:AD34,"X")&gt;0,", ","")&amp;"Céleri","")&amp;IF(AF34="X",IF(COUNTIF(W34:AE34,"X")&gt;0,", ","")&amp;"Moutarde","")&amp;IF(AG34="X",IF(COUNTIF(W34:AF34,"X")&gt;0,", ","")&amp;"Sésame","")&amp;IF(AH34="X",IF(COUNTIF(W34:AG34,"X")&gt;0,", ","")&amp;"Sulfites","")&amp;IF(AI34="X",IF(COUNTIF(W34:AH34,"X")&gt;0,", ","")&amp;"Lupin","")&amp;IF(AJ34="X",IF(COUNTIF(W34:AI34,"X")&gt;0,", ","")&amp;"Mollusques","")),"")</f>
        <v/>
      </c>
      <c r="W34" s="182" t="str">
        <f>IF(23=23,IF(T34="","",AX34),"")</f>
        <v/>
      </c>
      <c r="X34" s="182" t="str">
        <f>IF(23=23,IF(T34="","",BA34),"")</f>
        <v/>
      </c>
      <c r="Y34" s="182" t="str">
        <f>IF(23=23,IF(T34="","",BE34),"")</f>
        <v/>
      </c>
      <c r="Z34" s="182" t="str">
        <f>IF(23=23,IF(T34="","",IF(ISNUMBER(SEARCH(" colin ",AS34)),"X",BR34)),"")</f>
        <v/>
      </c>
      <c r="AA34" s="182" t="str">
        <f>IF(23=23,IF(T34="","",BT34),"")</f>
        <v/>
      </c>
      <c r="AB34" s="182" t="str">
        <f>IF(23=23,IF(T34="","",BX34),"")</f>
        <v/>
      </c>
      <c r="AC34" s="182" t="str">
        <f>IF(23=23,IF(T34="","",CE34),"")</f>
        <v/>
      </c>
      <c r="AD34" s="182" t="str">
        <f>IF(23=23,IF(T34="","",CI34),"")</f>
        <v/>
      </c>
      <c r="AE34" s="182" t="str">
        <f>IF(23=23,IF(T34="","",CL34),"")</f>
        <v/>
      </c>
      <c r="AF34" s="182" t="str">
        <f>IF(23=23,IF(T34="","",CO34),"")</f>
        <v/>
      </c>
      <c r="AG34" s="182" t="str">
        <f>IF(23=23,IF(T34="","",CR34),"")</f>
        <v/>
      </c>
      <c r="AH34" s="182" t="str">
        <f>IF(23=23,IF(T34="","",CU34),"")</f>
        <v/>
      </c>
      <c r="AI34" s="182" t="str">
        <f>IF(23=23,IF(T34="","",CX34),"")</f>
        <v/>
      </c>
      <c r="AJ34" s="182" t="str">
        <f>IF(23=23,IF(T34="","",DD34),"")</f>
        <v/>
      </c>
      <c r="AK34" s="183" t="str">
        <f>IF(23=23,IF(T34="","",IF(W34="?",""&amp;"Céréales contenant du gluten","")&amp;IF(X34="?",IF(COUNTIF(W34:W34,"~?")&gt;0,", ","")&amp;"Crustacés","")&amp;IF(Y34="?",IF(COUNTIF(W34:X34,"~?")&gt;0,", ","")&amp;"Œufs","")&amp;IF(Z34="?",IF(COUNTIF(W34:Y34,"~?")&gt;0,", ","")&amp;"Poissons","")&amp;IF(AA34="?",IF(COUNTIF(W34:Z34,"~?")&gt;0,", ","")&amp;"Arachides","")&amp;IF(AB34="?",IF(COUNTIF(W34:AA34,"~?")&gt;0,", ","")&amp;"Soja","")&amp;IF(AC34="?",IF(COUNTIF(W34:AB34,"~?")&gt;0,", ","")&amp;"Lait","")&amp;IF(AD34="?",IF(COUNTIF(W34:AC34,"~?")&gt;0,", ","")&amp;"Fruits à coque","")&amp;IF(AE34="?",IF(COUNTIF(W34:AD34,"~?")&gt;0,", ","")&amp;"Céleri","")&amp;IF(AF34="?",IF(COUNTIF(W34:AE34,"~?")&gt;0,", ","")&amp;"Moutarde","")&amp;IF(AG34="?",IF(COUNTIF(W34:AF34,"~?")&gt;0,", ","")&amp;"Sésame","")&amp;IF(AH34="?",IF(COUNTIF(W34:AG34,"~?")&gt;0,", ","")&amp;"Sulfites","")&amp;IF(AI34="?",IF(COUNTIF(W34:AH34,"~?")&gt;0,", ","")&amp;"Lupin","")&amp;IF(AJ34="?",IF(COUNTIF(W34:AI34,"~?")&gt;0,", ","")&amp;"Mollusques","")),"")</f>
        <v/>
      </c>
      <c r="AM34" s="127" t="str">
        <f>IF(23=23,IF(T34="","",T34),"")</f>
        <v>• 10 g de sucre glace</v>
      </c>
      <c r="AN34" s="127" t="str">
        <f>IF(23=23,LOWER(CLEAN(SUBSTITUTE(SUBSTITUTE(SUBSTITUTE(SUBSTITUTE(AM34,CHAR(160)," ")," "," "),CHAR(10)," "),CHAR(13)," "))),"")</f>
        <v>• 10 g de sucre glace</v>
      </c>
      <c r="AO34" s="127" t="str">
        <f>IF(23=23,SUBSTITUTE(SUBSTITUTE(SUBSTITUTE(SUBSTITUTE(SUBSTITUTE(SUBSTITUTE(SUBSTITUTE(SUBSTITUTE(SUBSTITUTE(SUBSTITUTE(SUBSTITUTE(SUBSTITUTE(AN34,"œ","oe"),"æ","ae"),"à","a"),"á","a"),"â","a"),"ä","a"),"ã","a"),"ç","c"),"è","e"),"é","e"),"ê","e"),"ë","e"),"")</f>
        <v>• 10 g de sucre glace</v>
      </c>
      <c r="AP34" s="127" t="str">
        <f>IF(23=23,SUBSTITUTE(SUBSTITUTE(SUBSTITUTE(SUBSTITUTE(SUBSTITUTE(SUBSTITUTE(SUBSTITUTE(SUBSTITUTE(SUBSTITUTE(SUBSTITUTE(SUBSTITUTE(SUBSTITUTE(SUBSTITUTE(SUBSTITUTE(SUBSTITUTE(SUBSTITUTE(AO34,"ì","i"),"í","i"),"î","i"),"ï","i"),"ñ","n"),"ò","o"),"ó","o"),"ô","o"),"ö","o"),"õ","o"),"ù","u"),"ú","u"),"û","u"),"ü","u"),"ý","y"),"ÿ","y"),"")</f>
        <v>• 10 g de sucre glace</v>
      </c>
      <c r="AQ34" s="127" t="str">
        <f>IF(23=23,SUBSTITUTE(SUBSTITUTE(SUBSTITUTE(SUBSTITUTE(SUBSTITUTE(SUBSTITUTE(SUBSTITUTE(SUBSTITUTE(SUBSTITUTE(SUBSTITUTE(SUBSTITUTE(SUBSTITUTE(SUBSTITUTE(SUBSTITUTE(AP34,"’"," "),"`"," "),"–"," "),"—"," "),"-"," "),"'"," "),"/"," "),"_"," "),","," "),"."," "),"("," "),")"," "),";"," "),":"," "),"")</f>
        <v>• 10 g de sucre glace</v>
      </c>
      <c r="AR34" s="127" t="str">
        <f>IF(23=23,SUBSTITUTE(SUBSTITUTE(SUBSTITUTE(SUBSTITUTE(SUBSTITUTE(SUBSTITUTE(SUBSTITUTE(SUBSTITUTE(SUBSTITUTE(SUBSTITUTE(SUBSTITUTE(SUBSTITUTE(SUBSTITUTE(SUBSTITUTE(SUBSTITUTE(AQ34,"!"," "),"?"," "),"+"," "),"*"," "),"&amp;"," "),"["," "),"]"," "),"{"," "),"}"," "),"%"," "),"="," "),"\"," "),"|"," "),"&lt;"," "),"&gt;"," "),"")</f>
        <v>• 10 g de sucre glace</v>
      </c>
      <c r="AS34" s="127" t="str">
        <f>IF(23=23," "&amp;TRIM(SUBSTITUTE(SUBSTITUTE(SUBSTITUTE(SUBSTITUTE(SUBSTITUTE(SUBSTITUTE(AR34,CHAR(34)," "),"  "," "),"  "," "),"  "," "),"  "," "),"  "," "))&amp;" ","")</f>
        <v xml:space="preserve"> • 10 g de sucre glace </v>
      </c>
      <c r="AT34" s="127" cm="1">
        <f t="array" ref="AT34">IF(23=23,IF(AM34="","",SUMPRODUCT(--ISNUMBER(SEARCH(" "&amp;DJ13:DJ112&amp;" ",AV34)))),"")</f>
        <v>0</v>
      </c>
      <c r="AU34" s="127" cm="1">
        <f t="array" ref="AU34">IF(23=23,IF(AM34="","",SUMPRODUCT(--ISNUMBER(SEARCH(" "&amp;DJ113:DJ162&amp;" ",AV34)))),"")</f>
        <v>0</v>
      </c>
      <c r="AV34" s="127" t="str">
        <f>IF(AM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10 g de sucre glace </v>
      </c>
      <c r="AW34" s="127" cm="1">
        <f t="array" ref="AW34">IF(AM34="","",SUMPRODUCT(--ISNUMBER(SEARCH(" "&amp;DJ195:DJ216&amp;" ",AV34)))+--ISNUMBER(SEARCH(" "&amp;DJ2465&amp;" ",AV34)))</f>
        <v>0</v>
      </c>
      <c r="AX34" s="127" t="str" cm="1">
        <f t="array" ref="AX34">IF(23=23,IF(AM34="","",IF(SUM(AT34:AU34)+SUMPRODUCT(--ISNUMBER(SEARCH(" "&amp;DJ2429:DJ2431&amp;" ",AV34)))&gt;0,"X",IF(AW34&gt;0,"?",""))),"")</f>
        <v/>
      </c>
      <c r="AY34" s="127" cm="1">
        <f t="array" ref="AY34">IF(23=23,IF(AM34="","",SUMPRODUCT(--ISNUMBER(SEARCH(" "&amp;DJ217:DJ316&amp;" ",AS34)))),"")</f>
        <v>0</v>
      </c>
      <c r="AZ34" s="127" cm="1">
        <f t="array" ref="AZ34">IF(23=23,IF(AM34="","",SUMPRODUCT(--ISNUMBER(SEARCH(" "&amp;DJ317:DJ351&amp;" ",AS34)))),"")</f>
        <v>0</v>
      </c>
      <c r="BA34" s="127" t="str">
        <f>IF(23=23,IF(AM34="","",IF((SUM(AY34:AZ34))-(0)&gt;0,"X",IF((0)-(0)&gt;0,"?",""))),"")</f>
        <v/>
      </c>
      <c r="BB34" s="127" cm="1">
        <f t="array" ref="BB34">IF(23=23,IF(AM34="","",SUMPRODUCT(--ISNUMBER(SEARCH(" "&amp;DJ352:DJ409&amp;" ",AS34)))),"")</f>
        <v>0</v>
      </c>
      <c r="BC34" s="127" cm="1">
        <f t="array" ref="BC34">IF(23=23,IF(AM34="","",SUMPRODUCT(--ISNUMBER(SEARCH(" "&amp;DJ410:DJ437&amp;" ",BD34)))+SUMPRODUCT(--ISNUMBER(SEARCH(" "&amp;DJ2451:DJ2464&amp;" ",BD34)))),"")</f>
        <v>0</v>
      </c>
      <c r="BD34" s="127" t="str">
        <f>IF(23=23,IF(AM34="","",SUBSTITUTE(SUBSTITUTE(SUBSTITUTE(SUBSTITUTE(SUBSTITUTE(SUBSTITUTE(SUBSTITUTE(SUBSTITUTE(SUBSTITUTE(SUBSTITUTE(SUBSTITUTE(SUBSTITUTE(SUBSTITUTE(SUBSTITUTE(AS34," "&amp;DJ2466&amp;" "," ")," "&amp;DJ444&amp;" "," ")," "&amp;DJ442&amp;" "," ")," "&amp;DJ2449&amp;" "," ")," "&amp;DJ2450&amp;" "," ")," "&amp;DJ439&amp;" "," ")," "&amp;DJ443&amp;" "," ")," "&amp;DJ445&amp;" "," ")," "&amp;DJ440&amp;" "," ")," "&amp;DJ438&amp;" "," ")," "&amp;DJ1378&amp;" "," ")," "&amp;DJ446&amp;" "," ")," "&amp;DJ1377&amp;" "," ")," "&amp;DJ441&amp;" "," ")),"")</f>
        <v xml:space="preserve"> • 10 g de </v>
      </c>
      <c r="BE34" s="127" t="str">
        <f>IF(23=23,IF(AM34="","",IF(BB34&gt;0,"X",IF(BC34&gt;0,"?",""))),"")</f>
        <v/>
      </c>
      <c r="BF34" s="127" cm="1">
        <f t="array" ref="BF34">IF(23=23,IF(AM34="","",SUMPRODUCT(--ISNUMBER(SEARCH(" "&amp;DJ447:DJ546&amp;" ",BP34)))),"")</f>
        <v>0</v>
      </c>
      <c r="BG34" s="127" cm="1">
        <f t="array" ref="BG34">IF(23=23,IF(AM34="","",SUMPRODUCT(--ISNUMBER(SEARCH(" "&amp;DJ547:DJ646&amp;" ",BP34)))),"")</f>
        <v>0</v>
      </c>
      <c r="BH34" s="127" cm="1">
        <f t="array" ref="BH34">IF(23=23,IF(AM34="","",SUMPRODUCT(--ISNUMBER(SEARCH(" "&amp;DJ647:DJ746&amp;" ",BP34)))),"")</f>
        <v>0</v>
      </c>
      <c r="BI34" s="127" cm="1">
        <f t="array" ref="BI34">IF(23=23,IF(AM34="","",SUMPRODUCT(--ISNUMBER(SEARCH(" "&amp;DJ747:DJ846&amp;" ",BP34)))),"")</f>
        <v>0</v>
      </c>
      <c r="BJ34" s="127" cm="1">
        <f t="array" ref="BJ34">IF(23=23,IF(AM34="","",SUMPRODUCT(--ISNUMBER(SEARCH(" "&amp;DJ847:DJ946&amp;" ",BP34)))),"")</f>
        <v>0</v>
      </c>
      <c r="BK34" s="127" cm="1">
        <f t="array" ref="BK34">IF(23=23,IF(AM34="","",SUMPRODUCT(--ISNUMBER(SEARCH(" "&amp;DJ947:DJ1046&amp;" ",BP34)))),"")</f>
        <v>0</v>
      </c>
      <c r="BL34" s="127" cm="1">
        <f t="array" ref="BL34">IF(23=23,IF(AM34="","",SUMPRODUCT(--ISNUMBER(SEARCH(" "&amp;DJ1047:DJ1146&amp;" ",BP34)))),"")</f>
        <v>0</v>
      </c>
      <c r="BM34" s="127" cm="1">
        <f t="array" ref="BM34">IF(23=23,IF(AM34="","",SUMPRODUCT(--ISNUMBER(SEARCH(" "&amp;DJ1147:DJ1246&amp;" ",BP34)))),"")</f>
        <v>0</v>
      </c>
      <c r="BN34" s="127" cm="1">
        <f t="array" ref="BN34">IF(23=23,IF(AM34="","",SUMPRODUCT(--ISNUMBER(SEARCH(" "&amp;DJ1247:DJ1346&amp;" ",BP34)))),"")</f>
        <v>0</v>
      </c>
      <c r="BO34" s="127" cm="1">
        <f t="array" ref="BO34">IF(23=23,IF(AM34="","",SUMPRODUCT(--ISNUMBER(SEARCH(" "&amp;DJ1347:DJ1374&amp;" ",BP34)))),"")</f>
        <v>0</v>
      </c>
      <c r="BP34" s="127" t="str">
        <f>IF(23=23,IF(AM34="","",SUBSTITUTE(SUBSTITUTE(SUBSTITUTE(SUBSTITUTE(SUBSTITUTE(SUBSTITUTE(SUBSTITUTE(SUBSTITUTE(SUBSTITUTE(AS34," "&amp;DJ1376&amp;" "," ")," "&amp;DJ1375&amp;" "," ")," "&amp;DJ1381&amp;" "," ")," "&amp;DJ1382&amp;" "," ")," "&amp;DJ1378&amp;" "," ")," "&amp;DJ1380&amp;" "," ")," "&amp;DJ1377&amp;" "," ")," "&amp;DJ1379&amp;" "," ")," "&amp;DJ1383&amp;" "," ")),"")</f>
        <v xml:space="preserve"> • 10 g de sucre glace </v>
      </c>
      <c r="BQ34" s="127" cm="1">
        <f t="array" ref="BQ34">IF(23=23,IF(AM34="","",SUMPRODUCT(--ISNUMBER(SEARCH(" "&amp;DJ1384:DJ1394&amp;" ",BP34)))),"")</f>
        <v>0</v>
      </c>
      <c r="BR34" s="127" t="str" cm="1">
        <f t="array" ref="BR34">IF(23=23,IF(AM34="","",IF(SUM(BF34:BO34)+SUMPRODUCT(--ISNUMBER(SEARCH(" "&amp;DJ2432:DJ2433&amp;" ",BP34)))&gt;0,"X",IF(BQ34&gt;0,"?",""))),"")</f>
        <v/>
      </c>
      <c r="BS34" s="127" cm="1">
        <f t="array" ref="BS34">IF(23=23,IF(AM34="","",SUMPRODUCT(--ISNUMBER(SEARCH(" "&amp;DJ1395:DJ1415&amp;" ",AS34)))),"")</f>
        <v>0</v>
      </c>
      <c r="BT34" s="127" t="str">
        <f>IF(23=23,IF(AM34="","",IF((BS34)-(0)&gt;0,"X",IF((0)-(0)&gt;0,"?",""))),"")</f>
        <v/>
      </c>
      <c r="BU34" s="127" cm="1">
        <f t="array" ref="BU34">IF(23=23,IF(AM34="","",SUMPRODUCT(--ISNUMBER(SEARCH(" "&amp;DJ1416:DJ1453&amp;" ",BV34)))),"")</f>
        <v>0</v>
      </c>
      <c r="BV34" s="127" t="str">
        <f>IF(23=23,IF(AM34="","",SUBSTITUTE(SUBSTITUTE(AS34," "&amp;DJ1454&amp;" "," ")," "&amp;DJ1455&amp;" "," ")),"")</f>
        <v xml:space="preserve"> • 10 g de sucre glace </v>
      </c>
      <c r="BW34" s="127" cm="1">
        <f t="array" ref="BW34">IF(23=23,IF(AM34="","",SUMPRODUCT(--ISNUMBER(SEARCH(" "&amp;DJ1456:DJ1466&amp;" ",BV34)))),"")</f>
        <v>0</v>
      </c>
      <c r="BX34" s="127" t="str">
        <f>IF(23=23,IF(AM34="","",IF(BU34&gt;0,"X",IF(BW34&gt;0,"?",""))),"")</f>
        <v/>
      </c>
      <c r="BY34" s="127" cm="1">
        <f t="array" ref="BY34">IF(23=23,IF(AM34="","",SUMPRODUCT(--ISNUMBER(SEARCH(" "&amp;DJ1467:DJ1566&amp;" ",CB34)))),"")</f>
        <v>0</v>
      </c>
      <c r="BZ34" s="127" cm="1">
        <f t="array" ref="BZ34">IF(23=23,IF(AM34="","",SUMPRODUCT(--ISNUMBER(SEARCH(" "&amp;DJ1567:DJ1666&amp;" ",CB34)))),"")</f>
        <v>0</v>
      </c>
      <c r="CA34" s="127" cm="1">
        <f t="array" ref="CA34">IF(23=23,IF(AM34="","",SUMPRODUCT(--ISNUMBER(SEARCH(" "&amp;DJ1667:DJ1750&amp;" ",CB34)))),"")</f>
        <v>0</v>
      </c>
      <c r="CB34" s="127" t="str">
        <f>IF(23=23,IF(AM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10 g de </v>
      </c>
      <c r="CC34" s="127" cm="1">
        <f t="array" ref="CC34">IF(23=23,IF(AM34="","",SUMPRODUCT(--ISNUMBER(SEARCH(" "&amp;DJ1801:DJ1880&amp;" ",CD34)))+SUMPRODUCT(--ISNUMBER(SEARCH(" "&amp;DJ2451:DJ2464&amp;" ",CD34)))),"")</f>
        <v>0</v>
      </c>
      <c r="CD34" s="127" t="str">
        <f>IF(23=23,IF(AM34="","",SUBSTITUTE(SUBSTITUTE(SUBSTITUTE(SUBSTITUTE(SUBSTITUTE(SUBSTITUTE(SUBSTITUTE(SUBSTITUTE(SUBSTITUTE(SUBSTITUTE(SUBSTITUTE(SUBSTITUTE(SUBSTITUTE(CB34," "&amp;DJ1887&amp;" "," ")," "&amp;DJ1885&amp;" "," ")," "&amp;DJ2449&amp;" "," ")," "&amp;DJ2450&amp;" "," ")," "&amp;DJ1882&amp;" "," ")," "&amp;DJ1886&amp;" "," ")," "&amp;DJ1888&amp;" "," ")," "&amp;DJ1883&amp;" "," ")," "&amp;DJ1881&amp;" "," ")," "&amp;DJ1378&amp;" "," ")," "&amp;DJ1889&amp;" "," ")," "&amp;DJ1377&amp;" "," ")," "&amp;DJ1884&amp;" "," ")),"")</f>
        <v xml:space="preserve"> • 10 g de </v>
      </c>
      <c r="CE34" s="127" t="str" cm="1">
        <f t="array" ref="CE34">IF(23=23,IF(AM34="","",IF(SUM(BY34:CA34)+SUMPRODUCT(--ISNUMBER(SEARCH(" "&amp;DJ2434:DJ2435&amp;" ",CB34)))&gt;0,"X",IF(CC34&gt;0,"?",""))),"")</f>
        <v/>
      </c>
      <c r="CF34" s="127" cm="1">
        <f t="array" ref="CF34">IF(23=23,IF(AM34="","",SUMPRODUCT(--ISNUMBER(SEARCH(" "&amp;DJ1890:DJ1947&amp;" ",CG34)))),"")</f>
        <v>0</v>
      </c>
      <c r="CG34" s="127" t="str">
        <f>IF(23=23,IF(AM34="","",SUBSTITUTE(SUBSTITUTE(SUBSTITUTE(SUBSTITUTE(SUBSTITUTE(SUBSTITUTE(SUBSTITUTE(SUBSTITUTE(SUBSTITUTE(SUBSTITUTE(SUBSTITUTE(SUBSTITUTE(SUBSTITUTE(SUBSTITUTE(SUBSTITUTE(SUBSTITUTE(SUBSTITUTE(SUBSTITUTE(SUBSTITUTE(SUBSTITUTE(SUBSTITUTE(SUBSTITUTE(SUBSTITUTE(AS34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10 g de sucre glace </v>
      </c>
      <c r="CH34" s="127" cm="1">
        <f t="array" ref="CH34">IF(23=23,IF(AM34="","",SUMPRODUCT(--ISNUMBER(SEARCH(" "&amp;DJ1971:DJ1987&amp;" ",CG34)))),"")</f>
        <v>0</v>
      </c>
      <c r="CI34" s="127" t="str">
        <f>IF(23=23,IF(AM34="","",IF(CF34&gt;0,"X",IF(CH34&gt;0,"?",""))),"")</f>
        <v/>
      </c>
      <c r="CJ34" s="127" cm="1">
        <f t="array" ref="CJ34">IF(23=23,IF(AM34="","",SUMPRODUCT(--ISNUMBER(SEARCH(" "&amp;DJ1988:DJ2001&amp;" ",AS34)))),"")</f>
        <v>0</v>
      </c>
      <c r="CK34" s="127" cm="1">
        <f t="array" ref="CK34">IF(23=23,IF(AM34="","",SUMPRODUCT(--ISNUMBER(SEARCH(" "&amp;DJ2002:DJ2016&amp;" ",AS34)))),"")</f>
        <v>0</v>
      </c>
      <c r="CL34" s="127" t="str">
        <f>IF(23=23,IF(AM34="","",IF((CJ34)-(0)&gt;0,"X",IF((CK34)-(0)&gt;0,"?",""))),"")</f>
        <v/>
      </c>
      <c r="CM34" s="127" cm="1">
        <f t="array" ref="CM34">IF(23=23,IF(AM34="","",SUMPRODUCT(--ISNUMBER(SEARCH(" "&amp;DJ2017:DJ2034&amp;" ",AS34)))),"")</f>
        <v>0</v>
      </c>
      <c r="CN34" s="127" cm="1">
        <f t="array" ref="CN34">IF(23=23,IF(AM34="","",SUMPRODUCT(--ISNUMBER(SEARCH(" "&amp;DJ2035:DJ2049&amp;" ",AS34)))),"")</f>
        <v>0</v>
      </c>
      <c r="CO34" s="127" t="str">
        <f>IF(23=23,IF(AM34="","",IF((CM34)-(0)&gt;0,"X",IF((CN34)-(0)&gt;0,"?",""))),"")</f>
        <v/>
      </c>
      <c r="CP34" s="127" cm="1">
        <f t="array" ref="CP34">IF(23=23,IF(AM34="","",SUMPRODUCT(--ISNUMBER(SEARCH(" "&amp;DJ2050:DJ2068&amp;" ",AS34)))),"")</f>
        <v>0</v>
      </c>
      <c r="CQ34" s="127" cm="1">
        <f t="array" ref="CQ34">IF(23=23,IF(AM34="","",SUMPRODUCT(--ISNUMBER(SEARCH(" "&amp;DJ2069:DJ2083&amp;" ",AS34)))),"")</f>
        <v>0</v>
      </c>
      <c r="CR34" s="127" t="str">
        <f>IF(23=23,IF(AM34="","",IF((CP34)-(0)&gt;0,"X",IF((CQ34)-(0)&gt;0,"?",""))),"")</f>
        <v/>
      </c>
      <c r="CS34" s="127" cm="1">
        <f t="array" ref="CS34">IF(23=23,IF(AM34="","",SUMPRODUCT(--ISNUMBER(SEARCH(" "&amp;DJ2084:DJ2104&amp;" ",AS34)))),"")</f>
        <v>0</v>
      </c>
      <c r="CT34" s="127" cm="1">
        <f t="array" ref="CT34">IF(23=23,IF(AM34="","",SUMPRODUCT(--ISNUMBER(SEARCH(" "&amp;DJ2105:DJ2144&amp;" ",SUBSTITUTE(SUBSTITUTE(AS34," "&amp;DJ1378&amp;" "," ")," "&amp;DJ1377&amp;" "," "))))+--ISNUMBER(SEARCH("poiré",AN34))),"")</f>
        <v>0</v>
      </c>
      <c r="CU34" s="127" t="str">
        <f>IF(23=23,IF(AM34="","",IF(OR(CS34&gt;0,ISNUMBER(SEARCH(" vinaigre de vin ",AS34)),ISNUMBER(SEARCH(" vinaigre au vin ",AS34))),"X",IF(CT34&gt;0,"?",""))),"")</f>
        <v/>
      </c>
      <c r="CV34" s="127" cm="1">
        <f t="array" ref="CV34">IF(23=23,IF(AM34="","",SUMPRODUCT(--ISNUMBER(SEARCH(" "&amp;DJ2145:DJ2157&amp;" ",AS34)))),"")</f>
        <v>0</v>
      </c>
      <c r="CW34" s="127" cm="1">
        <f t="array" ref="CW34">IF(23=23,IF(AM34="","",SUMPRODUCT(--ISNUMBER(SEARCH(" "&amp;DJ2158:DJ2163&amp;" ",AS34)))),"")</f>
        <v>0</v>
      </c>
      <c r="CX34" s="127" t="str">
        <f>IF(23=23,IF(AM34="","",IF((CV34)-(0)&gt;0,"X",IF((CW34)-(0)&gt;0,"?",""))),"")</f>
        <v/>
      </c>
      <c r="CY34" s="127" cm="1">
        <f t="array" ref="CY34">IF(23=23,IF(AM34="","",SUMPRODUCT(--ISNUMBER(SEARCH(" "&amp;DJ2164:DJ2263&amp;" ",DB34)))),"")</f>
        <v>0</v>
      </c>
      <c r="CZ34" s="127" cm="1">
        <f t="array" ref="CZ34">IF(23=23,IF(AM34="","",SUMPRODUCT(--ISNUMBER(SEARCH(" "&amp;DJ2264:DJ2363&amp;" ",DB34)))),"")</f>
        <v>0</v>
      </c>
      <c r="DA34" s="127" cm="1">
        <f t="array" ref="DA34">IF(23=23,IF(AM34="","",SUMPRODUCT(--ISNUMBER(SEARCH(" "&amp;DJ2364:DJ2406&amp;" ",DB34)))),"")</f>
        <v>0</v>
      </c>
      <c r="DB34" s="127" t="str">
        <f>IF(23=23,IF(AM34="","",SUBSTITUTE(SUBSTITUTE(SUBSTITUTE(SUBSTITUTE(SUBSTITUTE(SUBSTITUTE(SUBSTITUTE(SUBSTITUTE(SUBSTITUTE(SUBSTITUTE(SUBSTITUTE(SUBSTITUTE(SUBSTITUTE(SUBSTITUTE(SUBSTITUTE(SUBSTITUTE(AS34," "&amp;DJ2412&amp;" "," ")," "&amp;DJ2411&amp;" "," ")," "&amp;DJ2410&amp;" "," ")," "&amp;DJ2417&amp;" "," ")," "&amp;DJ2409&amp;" "," ")," "&amp;DJ2421&amp;" "," ")," "&amp;DJ2408&amp;" "," ")," "&amp;DJ2413&amp;" "," ")," "&amp;DJ2416&amp;" "," ")," "&amp;DJ2407&amp;" "," ")," "&amp;DJ2415&amp;" "," ")," "&amp;DJ2422&amp;" "," ")," "&amp;DJ2419&amp;" "," ")," "&amp;DJ2414&amp;" "," ")," "&amp;DJ2418&amp;" "," ")," "&amp;DJ2420&amp;" "," ")),"")</f>
        <v xml:space="preserve"> • 10 g de sucre glace </v>
      </c>
      <c r="DC34" s="127" cm="1">
        <f t="array" ref="DC34">IF(23=23,IF(AM34="","",SUMPRODUCT(--ISNUMBER(SEARCH(" "&amp;DJ2423:DJ2427&amp;" ",DB34)))),"")</f>
        <v>0</v>
      </c>
      <c r="DD34" s="127" t="str">
        <f>IF(23=23,IF(AM34="","",IF(SUM(CY34:DA34)&gt;0,"X",IF(DC34&gt;0,"?",""))),"")</f>
        <v/>
      </c>
      <c r="DE34" s="152"/>
      <c r="DF34" s="160" t="s">
        <v>699</v>
      </c>
      <c r="DG34" s="160" t="s">
        <v>584</v>
      </c>
      <c r="DH34" s="160" t="s">
        <v>125</v>
      </c>
      <c r="DI34" s="160" t="s">
        <v>700</v>
      </c>
      <c r="DJ34" s="160" t="s">
        <v>700</v>
      </c>
      <c r="DK34" s="160" t="s">
        <v>588</v>
      </c>
      <c r="DL34" s="160" t="s">
        <v>589</v>
      </c>
      <c r="DM34" s="160" t="s">
        <v>590</v>
      </c>
      <c r="DN34" s="161" t="s">
        <v>591</v>
      </c>
      <c r="DP34" s="130">
        <v>1</v>
      </c>
    </row>
    <row r="35" spans="2:120" ht="30" customHeight="1">
      <c r="B35" s="165" t="str">
        <f t="shared" si="0"/>
        <v>3. Épluchez, épépinez et coupez les pommes en tranches épaisses. Disposez-les joliment sur le fond de tarte.</v>
      </c>
      <c r="C35" s="165" t="str">
        <f t="shared" si="1"/>
        <v>3 Épluchez épépinez et coupez les pommes en tranches épaisses Disposez les joliment sur le fond de tarte</v>
      </c>
      <c r="D35" s="165" t="str">
        <f>IF(UPPER(TRIM(N11))="X",C35,B35)</f>
        <v>3. Épluchez, épépinez et coupez les pommes en tranches épaisses. Disposez-les joliment sur le fond de tarte.</v>
      </c>
      <c r="E35" s="165" cm="1">
        <f t="array" ref="E35">IF(H34&lt;&gt;"",E34,IF(E34="","",IFERROR(MATCH(TRUE(),INDEX(INDEX(K:K,E34+1):K203&lt;&gt;"",0),0)+E34,"")))</f>
        <v>32</v>
      </c>
      <c r="F35" s="165" t="str" cm="1">
        <f t="array" ref="F35">IF(E35="","",IF(H34&lt;&gt;"",H34,INDEX(D:D,E35)))</f>
        <v>Préparation :</v>
      </c>
      <c r="G35" s="165" t="str">
        <f t="shared" si="2"/>
        <v>Préparation :</v>
      </c>
      <c r="H35" s="174" t="str">
        <f t="shared" si="3"/>
        <v/>
      </c>
      <c r="I35" s="184" t="str">
        <f>IF(AND(F35&lt;&gt;"",N10&gt;0,M35&gt;N10),"Mot &gt; limite","")</f>
        <v/>
      </c>
      <c r="J35" s="175">
        <f>IF(K35="","",COUNTIF(K18:K35,"&lt;&gt;"))</f>
        <v>18</v>
      </c>
      <c r="K35" s="111" t="s">
        <v>410</v>
      </c>
      <c r="L35" s="175">
        <f t="shared" si="4"/>
        <v>108</v>
      </c>
      <c r="M35" s="135">
        <f>IF(OR(F35="",N10="",N10&lt;=0),"",IF(LEN(F35)&lt;=N10,LEN(F35),IFERROR(FIND("♦",SUBSTITUTE(LEFT(F35,N10)," ","♦",LEN(LEFT(F35,N10))-LEN(SUBSTITUTE(LEFT(F35,N10)," ","")))),FIND(" ",F35&amp;" ",N10+1)-1)))</f>
        <v>13</v>
      </c>
      <c r="N35" s="176">
        <f t="shared" si="5"/>
        <v>18</v>
      </c>
      <c r="O35" s="177" t="str">
        <f t="shared" si="6"/>
        <v>Préparation :</v>
      </c>
      <c r="P35" s="176">
        <f t="shared" si="7"/>
        <v>2</v>
      </c>
      <c r="Q35" s="176">
        <f t="shared" si="8"/>
        <v>13</v>
      </c>
      <c r="S35" s="178">
        <v>18</v>
      </c>
      <c r="T35" s="179" t="str">
        <f t="shared" si="10"/>
        <v>Préparation :</v>
      </c>
      <c r="U35" s="180" t="str">
        <f t="shared" si="9"/>
        <v>Préparation :</v>
      </c>
      <c r="V35" s="181" t="str">
        <f>IF(24=24,IF(T35="","",IF(W35="X",""&amp;"Céréales contenant du gluten","")&amp;IF(X35="X",IF(COUNTIF(W35:W35,"X")&gt;0,", ","")&amp;"Crustacés","")&amp;IF(Y35="X",IF(COUNTIF(W35:X35,"X")&gt;0,", ","")&amp;"Œufs","")&amp;IF(Z35="X",IF(COUNTIF(W35:Y35,"X")&gt;0,", ","")&amp;"Poissons","")&amp;IF(AA35="X",IF(COUNTIF(W35:Z35,"X")&gt;0,", ","")&amp;"Arachides","")&amp;IF(AB35="X",IF(COUNTIF(W35:AA35,"X")&gt;0,", ","")&amp;"Soja","")&amp;IF(AC35="X",IF(COUNTIF(W35:AB35,"X")&gt;0,", ","")&amp;"Lait","")&amp;IF(AD35="X",IF(COUNTIF(W35:AC35,"X")&gt;0,", ","")&amp;"Fruits à coque","")&amp;IF(AE35="X",IF(COUNTIF(W35:AD35,"X")&gt;0,", ","")&amp;"Céleri","")&amp;IF(AF35="X",IF(COUNTIF(W35:AE35,"X")&gt;0,", ","")&amp;"Moutarde","")&amp;IF(AG35="X",IF(COUNTIF(W35:AF35,"X")&gt;0,", ","")&amp;"Sésame","")&amp;IF(AH35="X",IF(COUNTIF(W35:AG35,"X")&gt;0,", ","")&amp;"Sulfites","")&amp;IF(AI35="X",IF(COUNTIF(W35:AH35,"X")&gt;0,", ","")&amp;"Lupin","")&amp;IF(AJ35="X",IF(COUNTIF(W35:AI35,"X")&gt;0,", ","")&amp;"Mollusques","")),"")</f>
        <v/>
      </c>
      <c r="W35" s="182" t="str">
        <f>IF(24=24,IF(T35="","",AX35),"")</f>
        <v/>
      </c>
      <c r="X35" s="182" t="str">
        <f>IF(24=24,IF(T35="","",BA35),"")</f>
        <v/>
      </c>
      <c r="Y35" s="182" t="str">
        <f>IF(24=24,IF(T35="","",BE35),"")</f>
        <v/>
      </c>
      <c r="Z35" s="182" t="str">
        <f>IF(24=24,IF(T35="","",IF(ISNUMBER(SEARCH(" colin ",AS35)),"X",BR35)),"")</f>
        <v/>
      </c>
      <c r="AA35" s="182" t="str">
        <f>IF(24=24,IF(T35="","",BT35),"")</f>
        <v/>
      </c>
      <c r="AB35" s="182" t="str">
        <f>IF(24=24,IF(T35="","",BX35),"")</f>
        <v/>
      </c>
      <c r="AC35" s="182" t="str">
        <f>IF(24=24,IF(T35="","",CE35),"")</f>
        <v/>
      </c>
      <c r="AD35" s="182" t="str">
        <f>IF(24=24,IF(T35="","",CI35),"")</f>
        <v/>
      </c>
      <c r="AE35" s="182" t="str">
        <f>IF(24=24,IF(T35="","",CL35),"")</f>
        <v/>
      </c>
      <c r="AF35" s="182" t="str">
        <f>IF(24=24,IF(T35="","",CO35),"")</f>
        <v/>
      </c>
      <c r="AG35" s="182" t="str">
        <f>IF(24=24,IF(T35="","",CR35),"")</f>
        <v/>
      </c>
      <c r="AH35" s="182" t="str">
        <f>IF(24=24,IF(T35="","",CU35),"")</f>
        <v/>
      </c>
      <c r="AI35" s="182" t="str">
        <f>IF(24=24,IF(T35="","",CX35),"")</f>
        <v/>
      </c>
      <c r="AJ35" s="182" t="str">
        <f>IF(24=24,IF(T35="","",DD35),"")</f>
        <v/>
      </c>
      <c r="AK35" s="183" t="str">
        <f>IF(24=24,IF(T35="","",IF(W35="?",""&amp;"Céréales contenant du gluten","")&amp;IF(X35="?",IF(COUNTIF(W35:W35,"~?")&gt;0,", ","")&amp;"Crustacés","")&amp;IF(Y35="?",IF(COUNTIF(W35:X35,"~?")&gt;0,", ","")&amp;"Œufs","")&amp;IF(Z35="?",IF(COUNTIF(W35:Y35,"~?")&gt;0,", ","")&amp;"Poissons","")&amp;IF(AA35="?",IF(COUNTIF(W35:Z35,"~?")&gt;0,", ","")&amp;"Arachides","")&amp;IF(AB35="?",IF(COUNTIF(W35:AA35,"~?")&gt;0,", ","")&amp;"Soja","")&amp;IF(AC35="?",IF(COUNTIF(W35:AB35,"~?")&gt;0,", ","")&amp;"Lait","")&amp;IF(AD35="?",IF(COUNTIF(W35:AC35,"~?")&gt;0,", ","")&amp;"Fruits à coque","")&amp;IF(AE35="?",IF(COUNTIF(W35:AD35,"~?")&gt;0,", ","")&amp;"Céleri","")&amp;IF(AF35="?",IF(COUNTIF(W35:AE35,"~?")&gt;0,", ","")&amp;"Moutarde","")&amp;IF(AG35="?",IF(COUNTIF(W35:AF35,"~?")&gt;0,", ","")&amp;"Sésame","")&amp;IF(AH35="?",IF(COUNTIF(W35:AG35,"~?")&gt;0,", ","")&amp;"Sulfites","")&amp;IF(AI35="?",IF(COUNTIF(W35:AH35,"~?")&gt;0,", ","")&amp;"Lupin","")&amp;IF(AJ35="?",IF(COUNTIF(W35:AI35,"~?")&gt;0,", ","")&amp;"Mollusques","")),"")</f>
        <v/>
      </c>
      <c r="AM35" s="127" t="str">
        <f>IF(24=24,IF(T35="","",T35),"")</f>
        <v>Préparation :</v>
      </c>
      <c r="AN35" s="127" t="str">
        <f>IF(24=24,LOWER(CLEAN(SUBSTITUTE(SUBSTITUTE(SUBSTITUTE(SUBSTITUTE(AM35,CHAR(160)," ")," "," "),CHAR(10)," "),CHAR(13)," "))),"")</f>
        <v>préparation :</v>
      </c>
      <c r="AO35" s="127" t="str">
        <f>IF(24=24,SUBSTITUTE(SUBSTITUTE(SUBSTITUTE(SUBSTITUTE(SUBSTITUTE(SUBSTITUTE(SUBSTITUTE(SUBSTITUTE(SUBSTITUTE(SUBSTITUTE(SUBSTITUTE(SUBSTITUTE(AN35,"œ","oe"),"æ","ae"),"à","a"),"á","a"),"â","a"),"ä","a"),"ã","a"),"ç","c"),"è","e"),"é","e"),"ê","e"),"ë","e"),"")</f>
        <v>preparation :</v>
      </c>
      <c r="AP35" s="127" t="str">
        <f>IF(24=24,SUBSTITUTE(SUBSTITUTE(SUBSTITUTE(SUBSTITUTE(SUBSTITUTE(SUBSTITUTE(SUBSTITUTE(SUBSTITUTE(SUBSTITUTE(SUBSTITUTE(SUBSTITUTE(SUBSTITUTE(SUBSTITUTE(SUBSTITUTE(SUBSTITUTE(SUBSTITUTE(AO35,"ì","i"),"í","i"),"î","i"),"ï","i"),"ñ","n"),"ò","o"),"ó","o"),"ô","o"),"ö","o"),"õ","o"),"ù","u"),"ú","u"),"û","u"),"ü","u"),"ý","y"),"ÿ","y"),"")</f>
        <v>preparation :</v>
      </c>
      <c r="AQ35" s="127" t="str">
        <f>IF(24=24,SUBSTITUTE(SUBSTITUTE(SUBSTITUTE(SUBSTITUTE(SUBSTITUTE(SUBSTITUTE(SUBSTITUTE(SUBSTITUTE(SUBSTITUTE(SUBSTITUTE(SUBSTITUTE(SUBSTITUTE(SUBSTITUTE(SUBSTITUTE(AP35,"’"," "),"`"," "),"–"," "),"—"," "),"-"," "),"'"," "),"/"," "),"_"," "),","," "),"."," "),"("," "),")"," "),";"," "),":"," "),"")</f>
        <v xml:space="preserve">preparation  </v>
      </c>
      <c r="AR35" s="127" t="str">
        <f>IF(24=24,SUBSTITUTE(SUBSTITUTE(SUBSTITUTE(SUBSTITUTE(SUBSTITUTE(SUBSTITUTE(SUBSTITUTE(SUBSTITUTE(SUBSTITUTE(SUBSTITUTE(SUBSTITUTE(SUBSTITUTE(SUBSTITUTE(SUBSTITUTE(SUBSTITUTE(AQ35,"!"," "),"?"," "),"+"," "),"*"," "),"&amp;"," "),"["," "),"]"," "),"{"," "),"}"," "),"%"," "),"="," "),"\"," "),"|"," "),"&lt;"," "),"&gt;"," "),"")</f>
        <v xml:space="preserve">preparation  </v>
      </c>
      <c r="AS35" s="127" t="str">
        <f>IF(24=24," "&amp;TRIM(SUBSTITUTE(SUBSTITUTE(SUBSTITUTE(SUBSTITUTE(SUBSTITUTE(SUBSTITUTE(AR35,CHAR(34)," "),"  "," "),"  "," "),"  "," "),"  "," "),"  "," "))&amp;" ","")</f>
        <v xml:space="preserve"> preparation </v>
      </c>
      <c r="AT35" s="127" cm="1">
        <f t="array" ref="AT35">IF(24=24,IF(AM35="","",SUMPRODUCT(--ISNUMBER(SEARCH(" "&amp;DJ13:DJ112&amp;" ",AV35)))),"")</f>
        <v>0</v>
      </c>
      <c r="AU35" s="127" cm="1">
        <f t="array" ref="AU35">IF(24=24,IF(AM35="","",SUMPRODUCT(--ISNUMBER(SEARCH(" "&amp;DJ113:DJ162&amp;" ",AV35)))),"")</f>
        <v>0</v>
      </c>
      <c r="AV35" s="127" t="str">
        <f>IF(AM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preparation </v>
      </c>
      <c r="AW35" s="127" cm="1">
        <f t="array" ref="AW35">IF(AM35="","",SUMPRODUCT(--ISNUMBER(SEARCH(" "&amp;DJ195:DJ216&amp;" ",AV35)))+--ISNUMBER(SEARCH(" "&amp;DJ2465&amp;" ",AV35)))</f>
        <v>0</v>
      </c>
      <c r="AX35" s="127" t="str" cm="1">
        <f t="array" ref="AX35">IF(24=24,IF(AM35="","",IF(SUM(AT35:AU35)+SUMPRODUCT(--ISNUMBER(SEARCH(" "&amp;DJ2429:DJ2431&amp;" ",AV35)))&gt;0,"X",IF(AW35&gt;0,"?",""))),"")</f>
        <v/>
      </c>
      <c r="AY35" s="127" cm="1">
        <f t="array" ref="AY35">IF(24=24,IF(AM35="","",SUMPRODUCT(--ISNUMBER(SEARCH(" "&amp;DJ217:DJ316&amp;" ",AS35)))),"")</f>
        <v>0</v>
      </c>
      <c r="AZ35" s="127" cm="1">
        <f t="array" ref="AZ35">IF(24=24,IF(AM35="","",SUMPRODUCT(--ISNUMBER(SEARCH(" "&amp;DJ317:DJ351&amp;" ",AS35)))),"")</f>
        <v>0</v>
      </c>
      <c r="BA35" s="127" t="str">
        <f>IF(24=24,IF(AM35="","",IF((SUM(AY35:AZ35))-(0)&gt;0,"X",IF((0)-(0)&gt;0,"?",""))),"")</f>
        <v/>
      </c>
      <c r="BB35" s="127" cm="1">
        <f t="array" ref="BB35">IF(24=24,IF(AM35="","",SUMPRODUCT(--ISNUMBER(SEARCH(" "&amp;DJ352:DJ409&amp;" ",AS35)))),"")</f>
        <v>0</v>
      </c>
      <c r="BC35" s="127" cm="1">
        <f t="array" ref="BC35">IF(24=24,IF(AM35="","",SUMPRODUCT(--ISNUMBER(SEARCH(" "&amp;DJ410:DJ437&amp;" ",BD35)))+SUMPRODUCT(--ISNUMBER(SEARCH(" "&amp;DJ2451:DJ2464&amp;" ",BD35)))),"")</f>
        <v>0</v>
      </c>
      <c r="BD35" s="127" t="str">
        <f>IF(24=24,IF(AM35="","",SUBSTITUTE(SUBSTITUTE(SUBSTITUTE(SUBSTITUTE(SUBSTITUTE(SUBSTITUTE(SUBSTITUTE(SUBSTITUTE(SUBSTITUTE(SUBSTITUTE(SUBSTITUTE(SUBSTITUTE(SUBSTITUTE(SUBSTITUTE(AS35," "&amp;DJ2466&amp;" "," ")," "&amp;DJ444&amp;" "," ")," "&amp;DJ442&amp;" "," ")," "&amp;DJ2449&amp;" "," ")," "&amp;DJ2450&amp;" "," ")," "&amp;DJ439&amp;" "," ")," "&amp;DJ443&amp;" "," ")," "&amp;DJ445&amp;" "," ")," "&amp;DJ440&amp;" "," ")," "&amp;DJ438&amp;" "," ")," "&amp;DJ1378&amp;" "," ")," "&amp;DJ446&amp;" "," ")," "&amp;DJ1377&amp;" "," ")," "&amp;DJ441&amp;" "," ")),"")</f>
        <v xml:space="preserve"> preparation </v>
      </c>
      <c r="BE35" s="127" t="str">
        <f>IF(24=24,IF(AM35="","",IF(BB35&gt;0,"X",IF(BC35&gt;0,"?",""))),"")</f>
        <v/>
      </c>
      <c r="BF35" s="127" cm="1">
        <f t="array" ref="BF35">IF(24=24,IF(AM35="","",SUMPRODUCT(--ISNUMBER(SEARCH(" "&amp;DJ447:DJ546&amp;" ",BP35)))),"")</f>
        <v>0</v>
      </c>
      <c r="BG35" s="127" cm="1">
        <f t="array" ref="BG35">IF(24=24,IF(AM35="","",SUMPRODUCT(--ISNUMBER(SEARCH(" "&amp;DJ547:DJ646&amp;" ",BP35)))),"")</f>
        <v>0</v>
      </c>
      <c r="BH35" s="127" cm="1">
        <f t="array" ref="BH35">IF(24=24,IF(AM35="","",SUMPRODUCT(--ISNUMBER(SEARCH(" "&amp;DJ647:DJ746&amp;" ",BP35)))),"")</f>
        <v>0</v>
      </c>
      <c r="BI35" s="127" cm="1">
        <f t="array" ref="BI35">IF(24=24,IF(AM35="","",SUMPRODUCT(--ISNUMBER(SEARCH(" "&amp;DJ747:DJ846&amp;" ",BP35)))),"")</f>
        <v>0</v>
      </c>
      <c r="BJ35" s="127" cm="1">
        <f t="array" ref="BJ35">IF(24=24,IF(AM35="","",SUMPRODUCT(--ISNUMBER(SEARCH(" "&amp;DJ847:DJ946&amp;" ",BP35)))),"")</f>
        <v>0</v>
      </c>
      <c r="BK35" s="127" cm="1">
        <f t="array" ref="BK35">IF(24=24,IF(AM35="","",SUMPRODUCT(--ISNUMBER(SEARCH(" "&amp;DJ947:DJ1046&amp;" ",BP35)))),"")</f>
        <v>0</v>
      </c>
      <c r="BL35" s="127" cm="1">
        <f t="array" ref="BL35">IF(24=24,IF(AM35="","",SUMPRODUCT(--ISNUMBER(SEARCH(" "&amp;DJ1047:DJ1146&amp;" ",BP35)))),"")</f>
        <v>0</v>
      </c>
      <c r="BM35" s="127" cm="1">
        <f t="array" ref="BM35">IF(24=24,IF(AM35="","",SUMPRODUCT(--ISNUMBER(SEARCH(" "&amp;DJ1147:DJ1246&amp;" ",BP35)))),"")</f>
        <v>0</v>
      </c>
      <c r="BN35" s="127" cm="1">
        <f t="array" ref="BN35">IF(24=24,IF(AM35="","",SUMPRODUCT(--ISNUMBER(SEARCH(" "&amp;DJ1247:DJ1346&amp;" ",BP35)))),"")</f>
        <v>0</v>
      </c>
      <c r="BO35" s="127" cm="1">
        <f t="array" ref="BO35">IF(24=24,IF(AM35="","",SUMPRODUCT(--ISNUMBER(SEARCH(" "&amp;DJ1347:DJ1374&amp;" ",BP35)))),"")</f>
        <v>0</v>
      </c>
      <c r="BP35" s="127" t="str">
        <f>IF(24=24,IF(AM35="","",SUBSTITUTE(SUBSTITUTE(SUBSTITUTE(SUBSTITUTE(SUBSTITUTE(SUBSTITUTE(SUBSTITUTE(SUBSTITUTE(SUBSTITUTE(AS35," "&amp;DJ1376&amp;" "," ")," "&amp;DJ1375&amp;" "," ")," "&amp;DJ1381&amp;" "," ")," "&amp;DJ1382&amp;" "," ")," "&amp;DJ1378&amp;" "," ")," "&amp;DJ1380&amp;" "," ")," "&amp;DJ1377&amp;" "," ")," "&amp;DJ1379&amp;" "," ")," "&amp;DJ1383&amp;" "," ")),"")</f>
        <v xml:space="preserve"> preparation </v>
      </c>
      <c r="BQ35" s="127" cm="1">
        <f t="array" ref="BQ35">IF(24=24,IF(AM35="","",SUMPRODUCT(--ISNUMBER(SEARCH(" "&amp;DJ1384:DJ1394&amp;" ",BP35)))),"")</f>
        <v>0</v>
      </c>
      <c r="BR35" s="127" t="str" cm="1">
        <f t="array" ref="BR35">IF(24=24,IF(AM35="","",IF(SUM(BF35:BO35)+SUMPRODUCT(--ISNUMBER(SEARCH(" "&amp;DJ2432:DJ2433&amp;" ",BP35)))&gt;0,"X",IF(BQ35&gt;0,"?",""))),"")</f>
        <v/>
      </c>
      <c r="BS35" s="127" cm="1">
        <f t="array" ref="BS35">IF(24=24,IF(AM35="","",SUMPRODUCT(--ISNUMBER(SEARCH(" "&amp;DJ1395:DJ1415&amp;" ",AS35)))),"")</f>
        <v>0</v>
      </c>
      <c r="BT35" s="127" t="str">
        <f>IF(24=24,IF(AM35="","",IF((BS35)-(0)&gt;0,"X",IF((0)-(0)&gt;0,"?",""))),"")</f>
        <v/>
      </c>
      <c r="BU35" s="127" cm="1">
        <f t="array" ref="BU35">IF(24=24,IF(AM35="","",SUMPRODUCT(--ISNUMBER(SEARCH(" "&amp;DJ1416:DJ1453&amp;" ",BV35)))),"")</f>
        <v>0</v>
      </c>
      <c r="BV35" s="127" t="str">
        <f>IF(24=24,IF(AM35="","",SUBSTITUTE(SUBSTITUTE(AS35," "&amp;DJ1454&amp;" "," ")," "&amp;DJ1455&amp;" "," ")),"")</f>
        <v xml:space="preserve"> preparation </v>
      </c>
      <c r="BW35" s="127" cm="1">
        <f t="array" ref="BW35">IF(24=24,IF(AM35="","",SUMPRODUCT(--ISNUMBER(SEARCH(" "&amp;DJ1456:DJ1466&amp;" ",BV35)))),"")</f>
        <v>0</v>
      </c>
      <c r="BX35" s="127" t="str">
        <f>IF(24=24,IF(AM35="","",IF(BU35&gt;0,"X",IF(BW35&gt;0,"?",""))),"")</f>
        <v/>
      </c>
      <c r="BY35" s="127" cm="1">
        <f t="array" ref="BY35">IF(24=24,IF(AM35="","",SUMPRODUCT(--ISNUMBER(SEARCH(" "&amp;DJ1467:DJ1566&amp;" ",CB35)))),"")</f>
        <v>0</v>
      </c>
      <c r="BZ35" s="127" cm="1">
        <f t="array" ref="BZ35">IF(24=24,IF(AM35="","",SUMPRODUCT(--ISNUMBER(SEARCH(" "&amp;DJ1567:DJ1666&amp;" ",CB35)))),"")</f>
        <v>0</v>
      </c>
      <c r="CA35" s="127" cm="1">
        <f t="array" ref="CA35">IF(24=24,IF(AM35="","",SUMPRODUCT(--ISNUMBER(SEARCH(" "&amp;DJ1667:DJ1750&amp;" ",CB35)))),"")</f>
        <v>0</v>
      </c>
      <c r="CB35" s="127" t="str">
        <f>IF(24=24,IF(AM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preparation </v>
      </c>
      <c r="CC35" s="127" cm="1">
        <f t="array" ref="CC35">IF(24=24,IF(AM35="","",SUMPRODUCT(--ISNUMBER(SEARCH(" "&amp;DJ1801:DJ1880&amp;" ",CD35)))+SUMPRODUCT(--ISNUMBER(SEARCH(" "&amp;DJ2451:DJ2464&amp;" ",CD35)))),"")</f>
        <v>0</v>
      </c>
      <c r="CD35" s="127" t="str">
        <f>IF(24=24,IF(AM35="","",SUBSTITUTE(SUBSTITUTE(SUBSTITUTE(SUBSTITUTE(SUBSTITUTE(SUBSTITUTE(SUBSTITUTE(SUBSTITUTE(SUBSTITUTE(SUBSTITUTE(SUBSTITUTE(SUBSTITUTE(SUBSTITUTE(CB35," "&amp;DJ1887&amp;" "," ")," "&amp;DJ1885&amp;" "," ")," "&amp;DJ2449&amp;" "," ")," "&amp;DJ2450&amp;" "," ")," "&amp;DJ1882&amp;" "," ")," "&amp;DJ1886&amp;" "," ")," "&amp;DJ1888&amp;" "," ")," "&amp;DJ1883&amp;" "," ")," "&amp;DJ1881&amp;" "," ")," "&amp;DJ1378&amp;" "," ")," "&amp;DJ1889&amp;" "," ")," "&amp;DJ1377&amp;" "," ")," "&amp;DJ1884&amp;" "," ")),"")</f>
        <v xml:space="preserve"> preparation </v>
      </c>
      <c r="CE35" s="127" t="str" cm="1">
        <f t="array" ref="CE35">IF(24=24,IF(AM35="","",IF(SUM(BY35:CA35)+SUMPRODUCT(--ISNUMBER(SEARCH(" "&amp;DJ2434:DJ2435&amp;" ",CB35)))&gt;0,"X",IF(CC35&gt;0,"?",""))),"")</f>
        <v/>
      </c>
      <c r="CF35" s="127" cm="1">
        <f t="array" ref="CF35">IF(24=24,IF(AM35="","",SUMPRODUCT(--ISNUMBER(SEARCH(" "&amp;DJ1890:DJ1947&amp;" ",CG35)))),"")</f>
        <v>0</v>
      </c>
      <c r="CG35" s="127" t="str">
        <f>IF(24=24,IF(AM35="","",SUBSTITUTE(SUBSTITUTE(SUBSTITUTE(SUBSTITUTE(SUBSTITUTE(SUBSTITUTE(SUBSTITUTE(SUBSTITUTE(SUBSTITUTE(SUBSTITUTE(SUBSTITUTE(SUBSTITUTE(SUBSTITUTE(SUBSTITUTE(SUBSTITUTE(SUBSTITUTE(SUBSTITUTE(SUBSTITUTE(SUBSTITUTE(SUBSTITUTE(SUBSTITUTE(SUBSTITUTE(SUBSTITUTE(AS35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preparation </v>
      </c>
      <c r="CH35" s="127" cm="1">
        <f t="array" ref="CH35">IF(24=24,IF(AM35="","",SUMPRODUCT(--ISNUMBER(SEARCH(" "&amp;DJ1971:DJ1987&amp;" ",CG35)))),"")</f>
        <v>0</v>
      </c>
      <c r="CI35" s="127" t="str">
        <f>IF(24=24,IF(AM35="","",IF(CF35&gt;0,"X",IF(CH35&gt;0,"?",""))),"")</f>
        <v/>
      </c>
      <c r="CJ35" s="127" cm="1">
        <f t="array" ref="CJ35">IF(24=24,IF(AM35="","",SUMPRODUCT(--ISNUMBER(SEARCH(" "&amp;DJ1988:DJ2001&amp;" ",AS35)))),"")</f>
        <v>0</v>
      </c>
      <c r="CK35" s="127" cm="1">
        <f t="array" ref="CK35">IF(24=24,IF(AM35="","",SUMPRODUCT(--ISNUMBER(SEARCH(" "&amp;DJ2002:DJ2016&amp;" ",AS35)))),"")</f>
        <v>0</v>
      </c>
      <c r="CL35" s="127" t="str">
        <f>IF(24=24,IF(AM35="","",IF((CJ35)-(0)&gt;0,"X",IF((CK35)-(0)&gt;0,"?",""))),"")</f>
        <v/>
      </c>
      <c r="CM35" s="127" cm="1">
        <f t="array" ref="CM35">IF(24=24,IF(AM35="","",SUMPRODUCT(--ISNUMBER(SEARCH(" "&amp;DJ2017:DJ2034&amp;" ",AS35)))),"")</f>
        <v>0</v>
      </c>
      <c r="CN35" s="127" cm="1">
        <f t="array" ref="CN35">IF(24=24,IF(AM35="","",SUMPRODUCT(--ISNUMBER(SEARCH(" "&amp;DJ2035:DJ2049&amp;" ",AS35)))),"")</f>
        <v>0</v>
      </c>
      <c r="CO35" s="127" t="str">
        <f>IF(24=24,IF(AM35="","",IF((CM35)-(0)&gt;0,"X",IF((CN35)-(0)&gt;0,"?",""))),"")</f>
        <v/>
      </c>
      <c r="CP35" s="127" cm="1">
        <f t="array" ref="CP35">IF(24=24,IF(AM35="","",SUMPRODUCT(--ISNUMBER(SEARCH(" "&amp;DJ2050:DJ2068&amp;" ",AS35)))),"")</f>
        <v>0</v>
      </c>
      <c r="CQ35" s="127" cm="1">
        <f t="array" ref="CQ35">IF(24=24,IF(AM35="","",SUMPRODUCT(--ISNUMBER(SEARCH(" "&amp;DJ2069:DJ2083&amp;" ",AS35)))),"")</f>
        <v>0</v>
      </c>
      <c r="CR35" s="127" t="str">
        <f>IF(24=24,IF(AM35="","",IF((CP35)-(0)&gt;0,"X",IF((CQ35)-(0)&gt;0,"?",""))),"")</f>
        <v/>
      </c>
      <c r="CS35" s="127" cm="1">
        <f t="array" ref="CS35">IF(24=24,IF(AM35="","",SUMPRODUCT(--ISNUMBER(SEARCH(" "&amp;DJ2084:DJ2104&amp;" ",AS35)))),"")</f>
        <v>0</v>
      </c>
      <c r="CT35" s="127" cm="1">
        <f t="array" ref="CT35">IF(24=24,IF(AM35="","",SUMPRODUCT(--ISNUMBER(SEARCH(" "&amp;DJ2105:DJ2144&amp;" ",SUBSTITUTE(SUBSTITUTE(AS35," "&amp;DJ1378&amp;" "," ")," "&amp;DJ1377&amp;" "," "))))+--ISNUMBER(SEARCH("poiré",AN35))),"")</f>
        <v>0</v>
      </c>
      <c r="CU35" s="127" t="str">
        <f>IF(24=24,IF(AM35="","",IF(OR(CS35&gt;0,ISNUMBER(SEARCH(" vinaigre de vin ",AS35)),ISNUMBER(SEARCH(" vinaigre au vin ",AS35))),"X",IF(CT35&gt;0,"?",""))),"")</f>
        <v/>
      </c>
      <c r="CV35" s="127" cm="1">
        <f t="array" ref="CV35">IF(24=24,IF(AM35="","",SUMPRODUCT(--ISNUMBER(SEARCH(" "&amp;DJ2145:DJ2157&amp;" ",AS35)))),"")</f>
        <v>0</v>
      </c>
      <c r="CW35" s="127" cm="1">
        <f t="array" ref="CW35">IF(24=24,IF(AM35="","",SUMPRODUCT(--ISNUMBER(SEARCH(" "&amp;DJ2158:DJ2163&amp;" ",AS35)))),"")</f>
        <v>0</v>
      </c>
      <c r="CX35" s="127" t="str">
        <f>IF(24=24,IF(AM35="","",IF((CV35)-(0)&gt;0,"X",IF((CW35)-(0)&gt;0,"?",""))),"")</f>
        <v/>
      </c>
      <c r="CY35" s="127" cm="1">
        <f t="array" ref="CY35">IF(24=24,IF(AM35="","",SUMPRODUCT(--ISNUMBER(SEARCH(" "&amp;DJ2164:DJ2263&amp;" ",DB35)))),"")</f>
        <v>0</v>
      </c>
      <c r="CZ35" s="127" cm="1">
        <f t="array" ref="CZ35">IF(24=24,IF(AM35="","",SUMPRODUCT(--ISNUMBER(SEARCH(" "&amp;DJ2264:DJ2363&amp;" ",DB35)))),"")</f>
        <v>0</v>
      </c>
      <c r="DA35" s="127" cm="1">
        <f t="array" ref="DA35">IF(24=24,IF(AM35="","",SUMPRODUCT(--ISNUMBER(SEARCH(" "&amp;DJ2364:DJ2406&amp;" ",DB35)))),"")</f>
        <v>0</v>
      </c>
      <c r="DB35" s="127" t="str">
        <f>IF(24=24,IF(AM35="","",SUBSTITUTE(SUBSTITUTE(SUBSTITUTE(SUBSTITUTE(SUBSTITUTE(SUBSTITUTE(SUBSTITUTE(SUBSTITUTE(SUBSTITUTE(SUBSTITUTE(SUBSTITUTE(SUBSTITUTE(SUBSTITUTE(SUBSTITUTE(SUBSTITUTE(SUBSTITUTE(AS35," "&amp;DJ2412&amp;" "," ")," "&amp;DJ2411&amp;" "," ")," "&amp;DJ2410&amp;" "," ")," "&amp;DJ2417&amp;" "," ")," "&amp;DJ2409&amp;" "," ")," "&amp;DJ2421&amp;" "," ")," "&amp;DJ2408&amp;" "," ")," "&amp;DJ2413&amp;" "," ")," "&amp;DJ2416&amp;" "," ")," "&amp;DJ2407&amp;" "," ")," "&amp;DJ2415&amp;" "," ")," "&amp;DJ2422&amp;" "," ")," "&amp;DJ2419&amp;" "," ")," "&amp;DJ2414&amp;" "," ")," "&amp;DJ2418&amp;" "," ")," "&amp;DJ2420&amp;" "," ")),"")</f>
        <v xml:space="preserve"> preparation </v>
      </c>
      <c r="DC35" s="127" cm="1">
        <f t="array" ref="DC35">IF(24=24,IF(AM35="","",SUMPRODUCT(--ISNUMBER(SEARCH(" "&amp;DJ2423:DJ2427&amp;" ",DB35)))),"")</f>
        <v>0</v>
      </c>
      <c r="DD35" s="127" t="str">
        <f>IF(24=24,IF(AM35="","",IF(SUM(CY35:DA35)&gt;0,"X",IF(DC35&gt;0,"?",""))),"")</f>
        <v/>
      </c>
      <c r="DE35" s="152"/>
      <c r="DF35" s="160" t="s">
        <v>701</v>
      </c>
      <c r="DG35" s="160" t="s">
        <v>584</v>
      </c>
      <c r="DH35" s="160" t="s">
        <v>125</v>
      </c>
      <c r="DI35" s="160" t="s">
        <v>702</v>
      </c>
      <c r="DJ35" s="160" t="s">
        <v>702</v>
      </c>
      <c r="DK35" s="160" t="s">
        <v>588</v>
      </c>
      <c r="DL35" s="160" t="s">
        <v>589</v>
      </c>
      <c r="DM35" s="160" t="s">
        <v>590</v>
      </c>
      <c r="DN35" s="161" t="s">
        <v>591</v>
      </c>
      <c r="DP35" s="130">
        <v>1</v>
      </c>
    </row>
    <row r="36" spans="2:120" ht="30" customHeight="1">
      <c r="B36" s="165" t="str">
        <f t="shared" si="0"/>
        <v>4. Dans un saladier, fouettez les œufs avec le sucre et le sucre vanillé jusqu’à ce que le mélange blanchisse.</v>
      </c>
      <c r="C36" s="165" t="str">
        <f t="shared" si="1"/>
        <v>4 Dans un saladier fouettez les œufs avec le sucre et le sucre vanillé jusqu’à ce que le mélange blanchisse</v>
      </c>
      <c r="D36" s="165" t="str">
        <f>IF(UPPER(TRIM(N11))="X",C36,B36)</f>
        <v>4. Dans un saladier, fouettez les œufs avec le sucre et le sucre vanillé jusqu’à ce que le mélange blanchisse.</v>
      </c>
      <c r="E36" s="165" cm="1">
        <f t="array" ref="E36">IF(H35&lt;&gt;"",E35,IF(E35="","",IFERROR(MATCH(TRUE(),INDEX(INDEX(K:K,E35+1):K203&lt;&gt;"",0),0)+E35,"")))</f>
        <v>33</v>
      </c>
      <c r="F36" s="165" t="str" cm="1">
        <f t="array" ref="F36">IF(E36="","",IF(H35&lt;&gt;"",H35,INDEX(D:D,E36)))</f>
        <v>1. Préchauffez le four à 180°C (th. 6).</v>
      </c>
      <c r="G36" s="165" t="str">
        <f t="shared" si="2"/>
        <v>1. Préchauffez le four à 180°C (th. 6).</v>
      </c>
      <c r="H36" s="174" t="str">
        <f t="shared" si="3"/>
        <v/>
      </c>
      <c r="I36" s="184" t="str">
        <f>IF(AND(F36&lt;&gt;"",N10&gt;0,M36&gt;N10),"Mot &gt; limite","")</f>
        <v/>
      </c>
      <c r="J36" s="175">
        <f>IF(K36="","",COUNTIF(K18:K36,"&lt;&gt;"))</f>
        <v>19</v>
      </c>
      <c r="K36" s="111" t="s">
        <v>411</v>
      </c>
      <c r="L36" s="175">
        <f t="shared" si="4"/>
        <v>110</v>
      </c>
      <c r="M36" s="135">
        <f>IF(OR(F36="",N10="",N10&lt;=0),"",IF(LEN(F36)&lt;=N10,LEN(F36),IFERROR(FIND("♦",SUBSTITUTE(LEFT(F36,N10)," ","♦",LEN(LEFT(F36,N10))-LEN(SUBSTITUTE(LEFT(F36,N10)," ","")))),FIND(" ",F36&amp;" ",N10+1)-1)))</f>
        <v>39</v>
      </c>
      <c r="N36" s="176">
        <f t="shared" si="5"/>
        <v>19</v>
      </c>
      <c r="O36" s="177" t="str">
        <f t="shared" si="6"/>
        <v>1. Préchauffez le four à 180°C (th. 6).</v>
      </c>
      <c r="P36" s="176">
        <f t="shared" si="7"/>
        <v>8</v>
      </c>
      <c r="Q36" s="176">
        <f t="shared" si="8"/>
        <v>39</v>
      </c>
      <c r="S36" s="178">
        <v>19</v>
      </c>
      <c r="T36" s="179" t="str">
        <f t="shared" si="10"/>
        <v>1. Préchauffez le four à 180°C (th. 6).</v>
      </c>
      <c r="U36" s="180" t="str">
        <f t="shared" si="9"/>
        <v>1. Préchauffez le four à 180°C (th. 6).</v>
      </c>
      <c r="V36" s="181" t="str">
        <f>IF(25=25,IF(T36="","",IF(W36="X",""&amp;"Céréales contenant du gluten","")&amp;IF(X36="X",IF(COUNTIF(W36:W36,"X")&gt;0,", ","")&amp;"Crustacés","")&amp;IF(Y36="X",IF(COUNTIF(W36:X36,"X")&gt;0,", ","")&amp;"Œufs","")&amp;IF(Z36="X",IF(COUNTIF(W36:Y36,"X")&gt;0,", ","")&amp;"Poissons","")&amp;IF(AA36="X",IF(COUNTIF(W36:Z36,"X")&gt;0,", ","")&amp;"Arachides","")&amp;IF(AB36="X",IF(COUNTIF(W36:AA36,"X")&gt;0,", ","")&amp;"Soja","")&amp;IF(AC36="X",IF(COUNTIF(W36:AB36,"X")&gt;0,", ","")&amp;"Lait","")&amp;IF(AD36="X",IF(COUNTIF(W36:AC36,"X")&gt;0,", ","")&amp;"Fruits à coque","")&amp;IF(AE36="X",IF(COUNTIF(W36:AD36,"X")&gt;0,", ","")&amp;"Céleri","")&amp;IF(AF36="X",IF(COUNTIF(W36:AE36,"X")&gt;0,", ","")&amp;"Moutarde","")&amp;IF(AG36="X",IF(COUNTIF(W36:AF36,"X")&gt;0,", ","")&amp;"Sésame","")&amp;IF(AH36="X",IF(COUNTIF(W36:AG36,"X")&gt;0,", ","")&amp;"Sulfites","")&amp;IF(AI36="X",IF(COUNTIF(W36:AH36,"X")&gt;0,", ","")&amp;"Lupin","")&amp;IF(AJ36="X",IF(COUNTIF(W36:AI36,"X")&gt;0,", ","")&amp;"Mollusques","")),"")</f>
        <v/>
      </c>
      <c r="W36" s="182" t="str">
        <f>IF(25=25,IF(T36="","",AX36),"")</f>
        <v/>
      </c>
      <c r="X36" s="182" t="str">
        <f>IF(25=25,IF(T36="","",BA36),"")</f>
        <v/>
      </c>
      <c r="Y36" s="182" t="str">
        <f>IF(25=25,IF(T36="","",BE36),"")</f>
        <v/>
      </c>
      <c r="Z36" s="182" t="str">
        <f>IF(25=25,IF(T36="","",IF(ISNUMBER(SEARCH(" colin ",AS36)),"X",BR36)),"")</f>
        <v/>
      </c>
      <c r="AA36" s="182" t="str">
        <f>IF(25=25,IF(T36="","",BT36),"")</f>
        <v/>
      </c>
      <c r="AB36" s="182" t="str">
        <f>IF(25=25,IF(T36="","",BX36),"")</f>
        <v/>
      </c>
      <c r="AC36" s="182" t="str">
        <f>IF(25=25,IF(T36="","",CE36),"")</f>
        <v/>
      </c>
      <c r="AD36" s="182" t="str">
        <f>IF(25=25,IF(T36="","",CI36),"")</f>
        <v/>
      </c>
      <c r="AE36" s="182" t="str">
        <f>IF(25=25,IF(T36="","",CL36),"")</f>
        <v/>
      </c>
      <c r="AF36" s="182" t="str">
        <f>IF(25=25,IF(T36="","",CO36),"")</f>
        <v/>
      </c>
      <c r="AG36" s="182" t="str">
        <f>IF(25=25,IF(T36="","",CR36),"")</f>
        <v/>
      </c>
      <c r="AH36" s="182" t="str">
        <f>IF(25=25,IF(T36="","",CU36),"")</f>
        <v/>
      </c>
      <c r="AI36" s="182" t="str">
        <f>IF(25=25,IF(T36="","",CX36),"")</f>
        <v/>
      </c>
      <c r="AJ36" s="182" t="str">
        <f>IF(25=25,IF(T36="","",DD36),"")</f>
        <v/>
      </c>
      <c r="AK36" s="183" t="str">
        <f>IF(25=25,IF(T36="","",IF(W36="?",""&amp;"Céréales contenant du gluten","")&amp;IF(X36="?",IF(COUNTIF(W36:W36,"~?")&gt;0,", ","")&amp;"Crustacés","")&amp;IF(Y36="?",IF(COUNTIF(W36:X36,"~?")&gt;0,", ","")&amp;"Œufs","")&amp;IF(Z36="?",IF(COUNTIF(W36:Y36,"~?")&gt;0,", ","")&amp;"Poissons","")&amp;IF(AA36="?",IF(COUNTIF(W36:Z36,"~?")&gt;0,", ","")&amp;"Arachides","")&amp;IF(AB36="?",IF(COUNTIF(W36:AA36,"~?")&gt;0,", ","")&amp;"Soja","")&amp;IF(AC36="?",IF(COUNTIF(W36:AB36,"~?")&gt;0,", ","")&amp;"Lait","")&amp;IF(AD36="?",IF(COUNTIF(W36:AC36,"~?")&gt;0,", ","")&amp;"Fruits à coque","")&amp;IF(AE36="?",IF(COUNTIF(W36:AD36,"~?")&gt;0,", ","")&amp;"Céleri","")&amp;IF(AF36="?",IF(COUNTIF(W36:AE36,"~?")&gt;0,", ","")&amp;"Moutarde","")&amp;IF(AG36="?",IF(COUNTIF(W36:AF36,"~?")&gt;0,", ","")&amp;"Sésame","")&amp;IF(AH36="?",IF(COUNTIF(W36:AG36,"~?")&gt;0,", ","")&amp;"Sulfites","")&amp;IF(AI36="?",IF(COUNTIF(W36:AH36,"~?")&gt;0,", ","")&amp;"Lupin","")&amp;IF(AJ36="?",IF(COUNTIF(W36:AI36,"~?")&gt;0,", ","")&amp;"Mollusques","")),"")</f>
        <v/>
      </c>
      <c r="AM36" s="127" t="str">
        <f>IF(25=25,IF(T36="","",T36),"")</f>
        <v>1. Préchauffez le four à 180°C (th. 6).</v>
      </c>
      <c r="AN36" s="127" t="str">
        <f>IF(25=25,LOWER(CLEAN(SUBSTITUTE(SUBSTITUTE(SUBSTITUTE(SUBSTITUTE(AM36,CHAR(160)," ")," "," "),CHAR(10)," "),CHAR(13)," "))),"")</f>
        <v>1. préchauffez le four à 180°c (th. 6).</v>
      </c>
      <c r="AO36" s="127" t="str">
        <f>IF(25=25,SUBSTITUTE(SUBSTITUTE(SUBSTITUTE(SUBSTITUTE(SUBSTITUTE(SUBSTITUTE(SUBSTITUTE(SUBSTITUTE(SUBSTITUTE(SUBSTITUTE(SUBSTITUTE(SUBSTITUTE(AN36,"œ","oe"),"æ","ae"),"à","a"),"á","a"),"â","a"),"ä","a"),"ã","a"),"ç","c"),"è","e"),"é","e"),"ê","e"),"ë","e"),"")</f>
        <v>1. prechauffez le four a 180°c (th. 6).</v>
      </c>
      <c r="AP36" s="127" t="str">
        <f>IF(25=25,SUBSTITUTE(SUBSTITUTE(SUBSTITUTE(SUBSTITUTE(SUBSTITUTE(SUBSTITUTE(SUBSTITUTE(SUBSTITUTE(SUBSTITUTE(SUBSTITUTE(SUBSTITUTE(SUBSTITUTE(SUBSTITUTE(SUBSTITUTE(SUBSTITUTE(SUBSTITUTE(AO36,"ì","i"),"í","i"),"î","i"),"ï","i"),"ñ","n"),"ò","o"),"ó","o"),"ô","o"),"ö","o"),"õ","o"),"ù","u"),"ú","u"),"û","u"),"ü","u"),"ý","y"),"ÿ","y"),"")</f>
        <v>1. prechauffez le four a 180°c (th. 6).</v>
      </c>
      <c r="AQ36" s="127" t="str">
        <f>IF(25=25,SUBSTITUTE(SUBSTITUTE(SUBSTITUTE(SUBSTITUTE(SUBSTITUTE(SUBSTITUTE(SUBSTITUTE(SUBSTITUTE(SUBSTITUTE(SUBSTITUTE(SUBSTITUTE(SUBSTITUTE(SUBSTITUTE(SUBSTITUTE(AP36,"’"," "),"`"," "),"–"," "),"—"," "),"-"," "),"'"," "),"/"," "),"_"," "),","," "),"."," "),"("," "),")"," "),";"," "),":"," "),"")</f>
        <v xml:space="preserve">1  prechauffez le four a 180°c  th  6  </v>
      </c>
      <c r="AR36" s="127" t="str">
        <f>IF(25=25,SUBSTITUTE(SUBSTITUTE(SUBSTITUTE(SUBSTITUTE(SUBSTITUTE(SUBSTITUTE(SUBSTITUTE(SUBSTITUTE(SUBSTITUTE(SUBSTITUTE(SUBSTITUTE(SUBSTITUTE(SUBSTITUTE(SUBSTITUTE(SUBSTITUTE(AQ36,"!"," "),"?"," "),"+"," "),"*"," "),"&amp;"," "),"["," "),"]"," "),"{"," "),"}"," "),"%"," "),"="," "),"\"," "),"|"," "),"&lt;"," "),"&gt;"," "),"")</f>
        <v xml:space="preserve">1  prechauffez le four a 180°c  th  6  </v>
      </c>
      <c r="AS36" s="127" t="str">
        <f>IF(25=25," "&amp;TRIM(SUBSTITUTE(SUBSTITUTE(SUBSTITUTE(SUBSTITUTE(SUBSTITUTE(SUBSTITUTE(AR36,CHAR(34)," "),"  "," "),"  "," "),"  "," "),"  "," "),"  "," "))&amp;" ","")</f>
        <v xml:space="preserve"> 1 prechauffez le four a 180°c th 6 </v>
      </c>
      <c r="AT36" s="127" cm="1">
        <f t="array" ref="AT36">IF(25=25,IF(AM36="","",SUMPRODUCT(--ISNUMBER(SEARCH(" "&amp;DJ13:DJ112&amp;" ",AV36)))),"")</f>
        <v>0</v>
      </c>
      <c r="AU36" s="127" cm="1">
        <f t="array" ref="AU36">IF(25=25,IF(AM36="","",SUMPRODUCT(--ISNUMBER(SEARCH(" "&amp;DJ113:DJ162&amp;" ",AV36)))),"")</f>
        <v>0</v>
      </c>
      <c r="AV36" s="127" t="str">
        <f>IF(AM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1 prechauffez le four a 180°c th 6 </v>
      </c>
      <c r="AW36" s="127" cm="1">
        <f t="array" ref="AW36">IF(AM36="","",SUMPRODUCT(--ISNUMBER(SEARCH(" "&amp;DJ195:DJ216&amp;" ",AV36)))+--ISNUMBER(SEARCH(" "&amp;DJ2465&amp;" ",AV36)))</f>
        <v>0</v>
      </c>
      <c r="AX36" s="127" t="str" cm="1">
        <f t="array" ref="AX36">IF(25=25,IF(AM36="","",IF(SUM(AT36:AU36)+SUMPRODUCT(--ISNUMBER(SEARCH(" "&amp;DJ2429:DJ2431&amp;" ",AV36)))&gt;0,"X",IF(AW36&gt;0,"?",""))),"")</f>
        <v/>
      </c>
      <c r="AY36" s="127" cm="1">
        <f t="array" ref="AY36">IF(25=25,IF(AM36="","",SUMPRODUCT(--ISNUMBER(SEARCH(" "&amp;DJ217:DJ316&amp;" ",AS36)))),"")</f>
        <v>0</v>
      </c>
      <c r="AZ36" s="127" cm="1">
        <f t="array" ref="AZ36">IF(25=25,IF(AM36="","",SUMPRODUCT(--ISNUMBER(SEARCH(" "&amp;DJ317:DJ351&amp;" ",AS36)))),"")</f>
        <v>0</v>
      </c>
      <c r="BA36" s="127" t="str">
        <f>IF(25=25,IF(AM36="","",IF((SUM(AY36:AZ36))-(0)&gt;0,"X",IF((0)-(0)&gt;0,"?",""))),"")</f>
        <v/>
      </c>
      <c r="BB36" s="127" cm="1">
        <f t="array" ref="BB36">IF(25=25,IF(AM36="","",SUMPRODUCT(--ISNUMBER(SEARCH(" "&amp;DJ352:DJ409&amp;" ",AS36)))),"")</f>
        <v>0</v>
      </c>
      <c r="BC36" s="127" cm="1">
        <f t="array" ref="BC36">IF(25=25,IF(AM36="","",SUMPRODUCT(--ISNUMBER(SEARCH(" "&amp;DJ410:DJ437&amp;" ",BD36)))+SUMPRODUCT(--ISNUMBER(SEARCH(" "&amp;DJ2451:DJ2464&amp;" ",BD36)))),"")</f>
        <v>0</v>
      </c>
      <c r="BD36" s="127" t="str">
        <f>IF(25=25,IF(AM36="","",SUBSTITUTE(SUBSTITUTE(SUBSTITUTE(SUBSTITUTE(SUBSTITUTE(SUBSTITUTE(SUBSTITUTE(SUBSTITUTE(SUBSTITUTE(SUBSTITUTE(SUBSTITUTE(SUBSTITUTE(SUBSTITUTE(SUBSTITUTE(AS36," "&amp;DJ2466&amp;" "," ")," "&amp;DJ444&amp;" "," ")," "&amp;DJ442&amp;" "," ")," "&amp;DJ2449&amp;" "," ")," "&amp;DJ2450&amp;" "," ")," "&amp;DJ439&amp;" "," ")," "&amp;DJ443&amp;" "," ")," "&amp;DJ445&amp;" "," ")," "&amp;DJ440&amp;" "," ")," "&amp;DJ438&amp;" "," ")," "&amp;DJ1378&amp;" "," ")," "&amp;DJ446&amp;" "," ")," "&amp;DJ1377&amp;" "," ")," "&amp;DJ441&amp;" "," ")),"")</f>
        <v xml:space="preserve"> 1 prechauffez le four a 180°c th 6 </v>
      </c>
      <c r="BE36" s="127" t="str">
        <f>IF(25=25,IF(AM36="","",IF(BB36&gt;0,"X",IF(BC36&gt;0,"?",""))),"")</f>
        <v/>
      </c>
      <c r="BF36" s="127" cm="1">
        <f t="array" ref="BF36">IF(25=25,IF(AM36="","",SUMPRODUCT(--ISNUMBER(SEARCH(" "&amp;DJ447:DJ546&amp;" ",BP36)))),"")</f>
        <v>0</v>
      </c>
      <c r="BG36" s="127" cm="1">
        <f t="array" ref="BG36">IF(25=25,IF(AM36="","",SUMPRODUCT(--ISNUMBER(SEARCH(" "&amp;DJ547:DJ646&amp;" ",BP36)))),"")</f>
        <v>0</v>
      </c>
      <c r="BH36" s="127" cm="1">
        <f t="array" ref="BH36">IF(25=25,IF(AM36="","",SUMPRODUCT(--ISNUMBER(SEARCH(" "&amp;DJ647:DJ746&amp;" ",BP36)))),"")</f>
        <v>0</v>
      </c>
      <c r="BI36" s="127" cm="1">
        <f t="array" ref="BI36">IF(25=25,IF(AM36="","",SUMPRODUCT(--ISNUMBER(SEARCH(" "&amp;DJ747:DJ846&amp;" ",BP36)))),"")</f>
        <v>0</v>
      </c>
      <c r="BJ36" s="127" cm="1">
        <f t="array" ref="BJ36">IF(25=25,IF(AM36="","",SUMPRODUCT(--ISNUMBER(SEARCH(" "&amp;DJ847:DJ946&amp;" ",BP36)))),"")</f>
        <v>0</v>
      </c>
      <c r="BK36" s="127" cm="1">
        <f t="array" ref="BK36">IF(25=25,IF(AM36="","",SUMPRODUCT(--ISNUMBER(SEARCH(" "&amp;DJ947:DJ1046&amp;" ",BP36)))),"")</f>
        <v>0</v>
      </c>
      <c r="BL36" s="127" cm="1">
        <f t="array" ref="BL36">IF(25=25,IF(AM36="","",SUMPRODUCT(--ISNUMBER(SEARCH(" "&amp;DJ1047:DJ1146&amp;" ",BP36)))),"")</f>
        <v>0</v>
      </c>
      <c r="BM36" s="127" cm="1">
        <f t="array" ref="BM36">IF(25=25,IF(AM36="","",SUMPRODUCT(--ISNUMBER(SEARCH(" "&amp;DJ1147:DJ1246&amp;" ",BP36)))),"")</f>
        <v>0</v>
      </c>
      <c r="BN36" s="127" cm="1">
        <f t="array" ref="BN36">IF(25=25,IF(AM36="","",SUMPRODUCT(--ISNUMBER(SEARCH(" "&amp;DJ1247:DJ1346&amp;" ",BP36)))),"")</f>
        <v>0</v>
      </c>
      <c r="BO36" s="127" cm="1">
        <f t="array" ref="BO36">IF(25=25,IF(AM36="","",SUMPRODUCT(--ISNUMBER(SEARCH(" "&amp;DJ1347:DJ1374&amp;" ",BP36)))),"")</f>
        <v>0</v>
      </c>
      <c r="BP36" s="127" t="str">
        <f>IF(25=25,IF(AM36="","",SUBSTITUTE(SUBSTITUTE(SUBSTITUTE(SUBSTITUTE(SUBSTITUTE(SUBSTITUTE(SUBSTITUTE(SUBSTITUTE(SUBSTITUTE(AS36," "&amp;DJ1376&amp;" "," ")," "&amp;DJ1375&amp;" "," ")," "&amp;DJ1381&amp;" "," ")," "&amp;DJ1382&amp;" "," ")," "&amp;DJ1378&amp;" "," ")," "&amp;DJ1380&amp;" "," ")," "&amp;DJ1377&amp;" "," ")," "&amp;DJ1379&amp;" "," ")," "&amp;DJ1383&amp;" "," ")),"")</f>
        <v xml:space="preserve"> 1 prechauffez le four a 180°c th 6 </v>
      </c>
      <c r="BQ36" s="127" cm="1">
        <f t="array" ref="BQ36">IF(25=25,IF(AM36="","",SUMPRODUCT(--ISNUMBER(SEARCH(" "&amp;DJ1384:DJ1394&amp;" ",BP36)))),"")</f>
        <v>0</v>
      </c>
      <c r="BR36" s="127" t="str" cm="1">
        <f t="array" ref="BR36">IF(25=25,IF(AM36="","",IF(SUM(BF36:BO36)+SUMPRODUCT(--ISNUMBER(SEARCH(" "&amp;DJ2432:DJ2433&amp;" ",BP36)))&gt;0,"X",IF(BQ36&gt;0,"?",""))),"")</f>
        <v/>
      </c>
      <c r="BS36" s="127" cm="1">
        <f t="array" ref="BS36">IF(25=25,IF(AM36="","",SUMPRODUCT(--ISNUMBER(SEARCH(" "&amp;DJ1395:DJ1415&amp;" ",AS36)))),"")</f>
        <v>0</v>
      </c>
      <c r="BT36" s="127" t="str">
        <f>IF(25=25,IF(AM36="","",IF((BS36)-(0)&gt;0,"X",IF((0)-(0)&gt;0,"?",""))),"")</f>
        <v/>
      </c>
      <c r="BU36" s="127" cm="1">
        <f t="array" ref="BU36">IF(25=25,IF(AM36="","",SUMPRODUCT(--ISNUMBER(SEARCH(" "&amp;DJ1416:DJ1453&amp;" ",BV36)))),"")</f>
        <v>0</v>
      </c>
      <c r="BV36" s="127" t="str">
        <f>IF(25=25,IF(AM36="","",SUBSTITUTE(SUBSTITUTE(AS36," "&amp;DJ1454&amp;" "," ")," "&amp;DJ1455&amp;" "," ")),"")</f>
        <v xml:space="preserve"> 1 prechauffez le four a 180°c th 6 </v>
      </c>
      <c r="BW36" s="127" cm="1">
        <f t="array" ref="BW36">IF(25=25,IF(AM36="","",SUMPRODUCT(--ISNUMBER(SEARCH(" "&amp;DJ1456:DJ1466&amp;" ",BV36)))),"")</f>
        <v>0</v>
      </c>
      <c r="BX36" s="127" t="str">
        <f>IF(25=25,IF(AM36="","",IF(BU36&gt;0,"X",IF(BW36&gt;0,"?",""))),"")</f>
        <v/>
      </c>
      <c r="BY36" s="127" cm="1">
        <f t="array" ref="BY36">IF(25=25,IF(AM36="","",SUMPRODUCT(--ISNUMBER(SEARCH(" "&amp;DJ1467:DJ1566&amp;" ",CB36)))),"")</f>
        <v>0</v>
      </c>
      <c r="BZ36" s="127" cm="1">
        <f t="array" ref="BZ36">IF(25=25,IF(AM36="","",SUMPRODUCT(--ISNUMBER(SEARCH(" "&amp;DJ1567:DJ1666&amp;" ",CB36)))),"")</f>
        <v>0</v>
      </c>
      <c r="CA36" s="127" cm="1">
        <f t="array" ref="CA36">IF(25=25,IF(AM36="","",SUMPRODUCT(--ISNUMBER(SEARCH(" "&amp;DJ1667:DJ1750&amp;" ",CB36)))),"")</f>
        <v>0</v>
      </c>
      <c r="CB36" s="127" t="str">
        <f>IF(25=25,IF(AM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1 prechauffez le four a 180°c th 6 </v>
      </c>
      <c r="CC36" s="127" cm="1">
        <f t="array" ref="CC36">IF(25=25,IF(AM36="","",SUMPRODUCT(--ISNUMBER(SEARCH(" "&amp;DJ1801:DJ1880&amp;" ",CD36)))+SUMPRODUCT(--ISNUMBER(SEARCH(" "&amp;DJ2451:DJ2464&amp;" ",CD36)))),"")</f>
        <v>0</v>
      </c>
      <c r="CD36" s="127" t="str">
        <f>IF(25=25,IF(AM36="","",SUBSTITUTE(SUBSTITUTE(SUBSTITUTE(SUBSTITUTE(SUBSTITUTE(SUBSTITUTE(SUBSTITUTE(SUBSTITUTE(SUBSTITUTE(SUBSTITUTE(SUBSTITUTE(SUBSTITUTE(SUBSTITUTE(CB36," "&amp;DJ1887&amp;" "," ")," "&amp;DJ1885&amp;" "," ")," "&amp;DJ2449&amp;" "," ")," "&amp;DJ2450&amp;" "," ")," "&amp;DJ1882&amp;" "," ")," "&amp;DJ1886&amp;" "," ")," "&amp;DJ1888&amp;" "," ")," "&amp;DJ1883&amp;" "," ")," "&amp;DJ1881&amp;" "," ")," "&amp;DJ1378&amp;" "," ")," "&amp;DJ1889&amp;" "," ")," "&amp;DJ1377&amp;" "," ")," "&amp;DJ1884&amp;" "," ")),"")</f>
        <v xml:space="preserve"> 1 prechauffez le four a 180°c th 6 </v>
      </c>
      <c r="CE36" s="127" t="str" cm="1">
        <f t="array" ref="CE36">IF(25=25,IF(AM36="","",IF(SUM(BY36:CA36)+SUMPRODUCT(--ISNUMBER(SEARCH(" "&amp;DJ2434:DJ2435&amp;" ",CB36)))&gt;0,"X",IF(CC36&gt;0,"?",""))),"")</f>
        <v/>
      </c>
      <c r="CF36" s="127" cm="1">
        <f t="array" ref="CF36">IF(25=25,IF(AM36="","",SUMPRODUCT(--ISNUMBER(SEARCH(" "&amp;DJ1890:DJ1947&amp;" ",CG36)))),"")</f>
        <v>0</v>
      </c>
      <c r="CG36" s="127" t="str">
        <f>IF(25=25,IF(AM36="","",SUBSTITUTE(SUBSTITUTE(SUBSTITUTE(SUBSTITUTE(SUBSTITUTE(SUBSTITUTE(SUBSTITUTE(SUBSTITUTE(SUBSTITUTE(SUBSTITUTE(SUBSTITUTE(SUBSTITUTE(SUBSTITUTE(SUBSTITUTE(SUBSTITUTE(SUBSTITUTE(SUBSTITUTE(SUBSTITUTE(SUBSTITUTE(SUBSTITUTE(SUBSTITUTE(SUBSTITUTE(SUBSTITUTE(AS36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1 prechauffez le four a 180°c th 6 </v>
      </c>
      <c r="CH36" s="127" cm="1">
        <f t="array" ref="CH36">IF(25=25,IF(AM36="","",SUMPRODUCT(--ISNUMBER(SEARCH(" "&amp;DJ1971:DJ1987&amp;" ",CG36)))),"")</f>
        <v>0</v>
      </c>
      <c r="CI36" s="127" t="str">
        <f>IF(25=25,IF(AM36="","",IF(CF36&gt;0,"X",IF(CH36&gt;0,"?",""))),"")</f>
        <v/>
      </c>
      <c r="CJ36" s="127" cm="1">
        <f t="array" ref="CJ36">IF(25=25,IF(AM36="","",SUMPRODUCT(--ISNUMBER(SEARCH(" "&amp;DJ1988:DJ2001&amp;" ",AS36)))),"")</f>
        <v>0</v>
      </c>
      <c r="CK36" s="127" cm="1">
        <f t="array" ref="CK36">IF(25=25,IF(AM36="","",SUMPRODUCT(--ISNUMBER(SEARCH(" "&amp;DJ2002:DJ2016&amp;" ",AS36)))),"")</f>
        <v>0</v>
      </c>
      <c r="CL36" s="127" t="str">
        <f>IF(25=25,IF(AM36="","",IF((CJ36)-(0)&gt;0,"X",IF((CK36)-(0)&gt;0,"?",""))),"")</f>
        <v/>
      </c>
      <c r="CM36" s="127" cm="1">
        <f t="array" ref="CM36">IF(25=25,IF(AM36="","",SUMPRODUCT(--ISNUMBER(SEARCH(" "&amp;DJ2017:DJ2034&amp;" ",AS36)))),"")</f>
        <v>0</v>
      </c>
      <c r="CN36" s="127" cm="1">
        <f t="array" ref="CN36">IF(25=25,IF(AM36="","",SUMPRODUCT(--ISNUMBER(SEARCH(" "&amp;DJ2035:DJ2049&amp;" ",AS36)))),"")</f>
        <v>0</v>
      </c>
      <c r="CO36" s="127" t="str">
        <f>IF(25=25,IF(AM36="","",IF((CM36)-(0)&gt;0,"X",IF((CN36)-(0)&gt;0,"?",""))),"")</f>
        <v/>
      </c>
      <c r="CP36" s="127" cm="1">
        <f t="array" ref="CP36">IF(25=25,IF(AM36="","",SUMPRODUCT(--ISNUMBER(SEARCH(" "&amp;DJ2050:DJ2068&amp;" ",AS36)))),"")</f>
        <v>0</v>
      </c>
      <c r="CQ36" s="127" cm="1">
        <f t="array" ref="CQ36">IF(25=25,IF(AM36="","",SUMPRODUCT(--ISNUMBER(SEARCH(" "&amp;DJ2069:DJ2083&amp;" ",AS36)))),"")</f>
        <v>0</v>
      </c>
      <c r="CR36" s="127" t="str">
        <f>IF(25=25,IF(AM36="","",IF((CP36)-(0)&gt;0,"X",IF((CQ36)-(0)&gt;0,"?",""))),"")</f>
        <v/>
      </c>
      <c r="CS36" s="127" cm="1">
        <f t="array" ref="CS36">IF(25=25,IF(AM36="","",SUMPRODUCT(--ISNUMBER(SEARCH(" "&amp;DJ2084:DJ2104&amp;" ",AS36)))),"")</f>
        <v>0</v>
      </c>
      <c r="CT36" s="127" cm="1">
        <f t="array" ref="CT36">IF(25=25,IF(AM36="","",SUMPRODUCT(--ISNUMBER(SEARCH(" "&amp;DJ2105:DJ2144&amp;" ",SUBSTITUTE(SUBSTITUTE(AS36," "&amp;DJ1378&amp;" "," ")," "&amp;DJ1377&amp;" "," "))))+--ISNUMBER(SEARCH("poiré",AN36))),"")</f>
        <v>0</v>
      </c>
      <c r="CU36" s="127" t="str">
        <f>IF(25=25,IF(AM36="","",IF(OR(CS36&gt;0,ISNUMBER(SEARCH(" vinaigre de vin ",AS36)),ISNUMBER(SEARCH(" vinaigre au vin ",AS36))),"X",IF(CT36&gt;0,"?",""))),"")</f>
        <v/>
      </c>
      <c r="CV36" s="127" cm="1">
        <f t="array" ref="CV36">IF(25=25,IF(AM36="","",SUMPRODUCT(--ISNUMBER(SEARCH(" "&amp;DJ2145:DJ2157&amp;" ",AS36)))),"")</f>
        <v>0</v>
      </c>
      <c r="CW36" s="127" cm="1">
        <f t="array" ref="CW36">IF(25=25,IF(AM36="","",SUMPRODUCT(--ISNUMBER(SEARCH(" "&amp;DJ2158:DJ2163&amp;" ",AS36)))),"")</f>
        <v>0</v>
      </c>
      <c r="CX36" s="127" t="str">
        <f>IF(25=25,IF(AM36="","",IF((CV36)-(0)&gt;0,"X",IF((CW36)-(0)&gt;0,"?",""))),"")</f>
        <v/>
      </c>
      <c r="CY36" s="127" cm="1">
        <f t="array" ref="CY36">IF(25=25,IF(AM36="","",SUMPRODUCT(--ISNUMBER(SEARCH(" "&amp;DJ2164:DJ2263&amp;" ",DB36)))),"")</f>
        <v>0</v>
      </c>
      <c r="CZ36" s="127" cm="1">
        <f t="array" ref="CZ36">IF(25=25,IF(AM36="","",SUMPRODUCT(--ISNUMBER(SEARCH(" "&amp;DJ2264:DJ2363&amp;" ",DB36)))),"")</f>
        <v>0</v>
      </c>
      <c r="DA36" s="127" cm="1">
        <f t="array" ref="DA36">IF(25=25,IF(AM36="","",SUMPRODUCT(--ISNUMBER(SEARCH(" "&amp;DJ2364:DJ2406&amp;" ",DB36)))),"")</f>
        <v>0</v>
      </c>
      <c r="DB36" s="127" t="str">
        <f>IF(25=25,IF(AM36="","",SUBSTITUTE(SUBSTITUTE(SUBSTITUTE(SUBSTITUTE(SUBSTITUTE(SUBSTITUTE(SUBSTITUTE(SUBSTITUTE(SUBSTITUTE(SUBSTITUTE(SUBSTITUTE(SUBSTITUTE(SUBSTITUTE(SUBSTITUTE(SUBSTITUTE(SUBSTITUTE(AS36," "&amp;DJ2412&amp;" "," ")," "&amp;DJ2411&amp;" "," ")," "&amp;DJ2410&amp;" "," ")," "&amp;DJ2417&amp;" "," ")," "&amp;DJ2409&amp;" "," ")," "&amp;DJ2421&amp;" "," ")," "&amp;DJ2408&amp;" "," ")," "&amp;DJ2413&amp;" "," ")," "&amp;DJ2416&amp;" "," ")," "&amp;DJ2407&amp;" "," ")," "&amp;DJ2415&amp;" "," ")," "&amp;DJ2422&amp;" "," ")," "&amp;DJ2419&amp;" "," ")," "&amp;DJ2414&amp;" "," ")," "&amp;DJ2418&amp;" "," ")," "&amp;DJ2420&amp;" "," ")),"")</f>
        <v xml:space="preserve"> 1 prechauffez le four a 180°c th 6 </v>
      </c>
      <c r="DC36" s="127" cm="1">
        <f t="array" ref="DC36">IF(25=25,IF(AM36="","",SUMPRODUCT(--ISNUMBER(SEARCH(" "&amp;DJ2423:DJ2427&amp;" ",DB36)))),"")</f>
        <v>0</v>
      </c>
      <c r="DD36" s="127" t="str">
        <f>IF(25=25,IF(AM36="","",IF(SUM(CY36:DA36)&gt;0,"X",IF(DC36&gt;0,"?",""))),"")</f>
        <v/>
      </c>
      <c r="DE36" s="152"/>
      <c r="DF36" s="160" t="s">
        <v>703</v>
      </c>
      <c r="DG36" s="160" t="s">
        <v>584</v>
      </c>
      <c r="DH36" s="160" t="s">
        <v>125</v>
      </c>
      <c r="DI36" s="160" t="s">
        <v>704</v>
      </c>
      <c r="DJ36" s="160" t="s">
        <v>704</v>
      </c>
      <c r="DK36" s="160" t="s">
        <v>588</v>
      </c>
      <c r="DL36" s="160" t="s">
        <v>589</v>
      </c>
      <c r="DM36" s="160" t="s">
        <v>590</v>
      </c>
      <c r="DN36" s="161" t="s">
        <v>591</v>
      </c>
      <c r="DP36" s="130">
        <v>1</v>
      </c>
    </row>
    <row r="37" spans="2:120" ht="30" customHeight="1">
      <c r="B37" s="165" t="str">
        <f t="shared" si="0"/>
        <v>5. Incorporez la farine, la poudre d’amandes puis la crème liquide, en mélangeant bien entre chaque ajout.</v>
      </c>
      <c r="C37" s="165" t="str">
        <f t="shared" si="1"/>
        <v>5 Incorporez la farine la poudre d’amandes puis la crème liquide en mélangeant bien entre chaque ajout</v>
      </c>
      <c r="D37" s="165" t="str">
        <f>IF(UPPER(TRIM(N11))="X",C37,B37)</f>
        <v>5. Incorporez la farine, la poudre d’amandes puis la crème liquide, en mélangeant bien entre chaque ajout.</v>
      </c>
      <c r="E37" s="165" cm="1">
        <f t="array" ref="E37">IF(H36&lt;&gt;"",E36,IF(E36="","",IFERROR(MATCH(TRUE(),INDEX(INDEX(K:K,E36+1):K203&lt;&gt;"",0),0)+E36,"")))</f>
        <v>34</v>
      </c>
      <c r="F37" s="165" t="str" cm="1">
        <f t="array" ref="F37">IF(E37="","",IF(H36&lt;&gt;"",H36,INDEX(D:D,E37)))</f>
        <v>2. Étalez la pâte sablée dans un moule beurré, piquez le fond avec une fourchette et placez au réfrigérateur pendant la préparation.</v>
      </c>
      <c r="G37" s="165" t="str">
        <f t="shared" si="2"/>
        <v xml:space="preserve">2. Étalez la pâte sablée dans un moule beurré, piquez le fond avec une </v>
      </c>
      <c r="H37" s="174" t="str">
        <f t="shared" si="3"/>
        <v>fourchette et placez au réfrigérateur pendant la préparation.</v>
      </c>
      <c r="I37" s="184" t="str">
        <f>IF(AND(F37&lt;&gt;"",N10&gt;0,M37&gt;N10),"Mot &gt; limite","")</f>
        <v/>
      </c>
      <c r="J37" s="175">
        <f>IF(K37="","",COUNTIF(K18:K37,"&lt;&gt;"))</f>
        <v>20</v>
      </c>
      <c r="K37" s="111" t="s">
        <v>412</v>
      </c>
      <c r="L37" s="175">
        <f t="shared" si="4"/>
        <v>106</v>
      </c>
      <c r="M37" s="135">
        <f>IF(OR(F37="",N10="",N10&lt;=0),"",IF(LEN(F37)&lt;=N10,LEN(F37),IFERROR(FIND("♦",SUBSTITUTE(LEFT(F37,N10)," ","♦",LEN(LEFT(F37,N10))-LEN(SUBSTITUTE(LEFT(F37,N10)," ","")))),FIND(" ",F37&amp;" ",N10+1)-1)))</f>
        <v>71</v>
      </c>
      <c r="N37" s="176">
        <f t="shared" si="5"/>
        <v>20</v>
      </c>
      <c r="O37" s="177" t="str">
        <f t="shared" si="6"/>
        <v xml:space="preserve">2. Étalez la pâte sablée dans un moule beurré, piquez le fond avec une </v>
      </c>
      <c r="P37" s="176">
        <f t="shared" si="7"/>
        <v>14</v>
      </c>
      <c r="Q37" s="176">
        <f t="shared" si="8"/>
        <v>71</v>
      </c>
      <c r="S37" s="178">
        <v>20</v>
      </c>
      <c r="T37" s="179" t="str">
        <f t="shared" si="10"/>
        <v xml:space="preserve">2. Étalez la pâte sablée dans un moule beurré, piquez le fond avec une </v>
      </c>
      <c r="U37" s="180" t="str">
        <f t="shared" si="9"/>
        <v>2. Étalez la pâte sablée dans un moule beurré, piquez le fond avec une *</v>
      </c>
      <c r="V37" s="181" t="str">
        <f>IF(26=26,IF(T37="","",IF(W37="X",""&amp;"Céréales contenant du gluten","")&amp;IF(X37="X",IF(COUNTIF(W37:W37,"X")&gt;0,", ","")&amp;"Crustacés","")&amp;IF(Y37="X",IF(COUNTIF(W37:X37,"X")&gt;0,", ","")&amp;"Œufs","")&amp;IF(Z37="X",IF(COUNTIF(W37:Y37,"X")&gt;0,", ","")&amp;"Poissons","")&amp;IF(AA37="X",IF(COUNTIF(W37:Z37,"X")&gt;0,", ","")&amp;"Arachides","")&amp;IF(AB37="X",IF(COUNTIF(W37:AA37,"X")&gt;0,", ","")&amp;"Soja","")&amp;IF(AC37="X",IF(COUNTIF(W37:AB37,"X")&gt;0,", ","")&amp;"Lait","")&amp;IF(AD37="X",IF(COUNTIF(W37:AC37,"X")&gt;0,", ","")&amp;"Fruits à coque","")&amp;IF(AE37="X",IF(COUNTIF(W37:AD37,"X")&gt;0,", ","")&amp;"Céleri","")&amp;IF(AF37="X",IF(COUNTIF(W37:AE37,"X")&gt;0,", ","")&amp;"Moutarde","")&amp;IF(AG37="X",IF(COUNTIF(W37:AF37,"X")&gt;0,", ","")&amp;"Sésame","")&amp;IF(AH37="X",IF(COUNTIF(W37:AG37,"X")&gt;0,", ","")&amp;"Sulfites","")&amp;IF(AI37="X",IF(COUNTIF(W37:AH37,"X")&gt;0,", ","")&amp;"Lupin","")&amp;IF(AJ37="X",IF(COUNTIF(W37:AI37,"X")&gt;0,", ","")&amp;"Mollusques","")),"")</f>
        <v>Céréales contenant du gluten, Lait, Mollusques</v>
      </c>
      <c r="W37" s="182" t="str">
        <f>IF(26=26,IF(T37="","",AX37),"")</f>
        <v>X</v>
      </c>
      <c r="X37" s="182" t="str">
        <f>IF(26=26,IF(T37="","",BA37),"")</f>
        <v/>
      </c>
      <c r="Y37" s="182" t="str">
        <f>IF(26=26,IF(T37="","",BE37),"")</f>
        <v>?</v>
      </c>
      <c r="Z37" s="182" t="str">
        <f>IF(26=26,IF(T37="","",IF(ISNUMBER(SEARCH(" colin ",AS37)),"X",BR37)),"")</f>
        <v/>
      </c>
      <c r="AA37" s="182" t="str">
        <f>IF(26=26,IF(T37="","",BT37),"")</f>
        <v/>
      </c>
      <c r="AB37" s="182" t="str">
        <f>IF(26=26,IF(T37="","",BX37),"")</f>
        <v/>
      </c>
      <c r="AC37" s="182" t="str">
        <f>IF(26=26,IF(T37="","",CE37),"")</f>
        <v>X</v>
      </c>
      <c r="AD37" s="182" t="str">
        <f>IF(26=26,IF(T37="","",CI37),"")</f>
        <v/>
      </c>
      <c r="AE37" s="182" t="str">
        <f>IF(26=26,IF(T37="","",CL37),"")</f>
        <v>?</v>
      </c>
      <c r="AF37" s="182" t="str">
        <f>IF(26=26,IF(T37="","",CO37),"")</f>
        <v>?</v>
      </c>
      <c r="AG37" s="182" t="str">
        <f>IF(26=26,IF(T37="","",CR37),"")</f>
        <v/>
      </c>
      <c r="AH37" s="182" t="str">
        <f>IF(26=26,IF(T37="","",CU37),"")</f>
        <v/>
      </c>
      <c r="AI37" s="182" t="str">
        <f>IF(26=26,IF(T37="","",CX37),"")</f>
        <v/>
      </c>
      <c r="AJ37" s="182" t="str">
        <f>IF(26=26,IF(T37="","",DD37),"")</f>
        <v>X</v>
      </c>
      <c r="AK37" s="183" t="str">
        <f>IF(26=26,IF(T37="","",IF(W37="?",""&amp;"Céréales contenant du gluten","")&amp;IF(X37="?",IF(COUNTIF(W37:W37,"~?")&gt;0,", ","")&amp;"Crustacés","")&amp;IF(Y37="?",IF(COUNTIF(W37:X37,"~?")&gt;0,", ","")&amp;"Œufs","")&amp;IF(Z37="?",IF(COUNTIF(W37:Y37,"~?")&gt;0,", ","")&amp;"Poissons","")&amp;IF(AA37="?",IF(COUNTIF(W37:Z37,"~?")&gt;0,", ","")&amp;"Arachides","")&amp;IF(AB37="?",IF(COUNTIF(W37:AA37,"~?")&gt;0,", ","")&amp;"Soja","")&amp;IF(AC37="?",IF(COUNTIF(W37:AB37,"~?")&gt;0,", ","")&amp;"Lait","")&amp;IF(AD37="?",IF(COUNTIF(W37:AC37,"~?")&gt;0,", ","")&amp;"Fruits à coque","")&amp;IF(AE37="?",IF(COUNTIF(W37:AD37,"~?")&gt;0,", ","")&amp;"Céleri","")&amp;IF(AF37="?",IF(COUNTIF(W37:AE37,"~?")&gt;0,", ","")&amp;"Moutarde","")&amp;IF(AG37="?",IF(COUNTIF(W37:AF37,"~?")&gt;0,", ","")&amp;"Sésame","")&amp;IF(AH37="?",IF(COUNTIF(W37:AG37,"~?")&gt;0,", ","")&amp;"Sulfites","")&amp;IF(AI37="?",IF(COUNTIF(W37:AH37,"~?")&gt;0,", ","")&amp;"Lupin","")&amp;IF(AJ37="?",IF(COUNTIF(W37:AI37,"~?")&gt;0,", ","")&amp;"Mollusques","")),"")</f>
        <v>Œufs, Céleri, Moutarde</v>
      </c>
      <c r="AM37" s="127" t="str">
        <f>IF(26=26,IF(T37="","",T37),"")</f>
        <v xml:space="preserve">2. Étalez la pâte sablée dans un moule beurré, piquez le fond avec une </v>
      </c>
      <c r="AN37" s="127" t="str">
        <f>IF(26=26,LOWER(CLEAN(SUBSTITUTE(SUBSTITUTE(SUBSTITUTE(SUBSTITUTE(AM37,CHAR(160)," ")," "," "),CHAR(10)," "),CHAR(13)," "))),"")</f>
        <v xml:space="preserve">2. étalez la pâte sablée dans un moule beurré, piquez le fond avec une </v>
      </c>
      <c r="AO37" s="127" t="str">
        <f>IF(26=26,SUBSTITUTE(SUBSTITUTE(SUBSTITUTE(SUBSTITUTE(SUBSTITUTE(SUBSTITUTE(SUBSTITUTE(SUBSTITUTE(SUBSTITUTE(SUBSTITUTE(SUBSTITUTE(SUBSTITUTE(AN37,"œ","oe"),"æ","ae"),"à","a"),"á","a"),"â","a"),"ä","a"),"ã","a"),"ç","c"),"è","e"),"é","e"),"ê","e"),"ë","e"),"")</f>
        <v xml:space="preserve">2. etalez la pate sablee dans un moule beurre, piquez le fond avec une </v>
      </c>
      <c r="AP37" s="127" t="str">
        <f>IF(26=26,SUBSTITUTE(SUBSTITUTE(SUBSTITUTE(SUBSTITUTE(SUBSTITUTE(SUBSTITUTE(SUBSTITUTE(SUBSTITUTE(SUBSTITUTE(SUBSTITUTE(SUBSTITUTE(SUBSTITUTE(SUBSTITUTE(SUBSTITUTE(SUBSTITUTE(SUBSTITUTE(AO37,"ì","i"),"í","i"),"î","i"),"ï","i"),"ñ","n"),"ò","o"),"ó","o"),"ô","o"),"ö","o"),"õ","o"),"ù","u"),"ú","u"),"û","u"),"ü","u"),"ý","y"),"ÿ","y"),"")</f>
        <v xml:space="preserve">2. etalez la pate sablee dans un moule beurre, piquez le fond avec une </v>
      </c>
      <c r="AQ37" s="127" t="str">
        <f>IF(26=26,SUBSTITUTE(SUBSTITUTE(SUBSTITUTE(SUBSTITUTE(SUBSTITUTE(SUBSTITUTE(SUBSTITUTE(SUBSTITUTE(SUBSTITUTE(SUBSTITUTE(SUBSTITUTE(SUBSTITUTE(SUBSTITUTE(SUBSTITUTE(AP37,"’"," "),"`"," "),"–"," "),"—"," "),"-"," "),"'"," "),"/"," "),"_"," "),","," "),"."," "),"("," "),")"," "),";"," "),":"," "),"")</f>
        <v xml:space="preserve">2  etalez la pate sablee dans un moule beurre  piquez le fond avec une </v>
      </c>
      <c r="AR37" s="127" t="str">
        <f>IF(26=26,SUBSTITUTE(SUBSTITUTE(SUBSTITUTE(SUBSTITUTE(SUBSTITUTE(SUBSTITUTE(SUBSTITUTE(SUBSTITUTE(SUBSTITUTE(SUBSTITUTE(SUBSTITUTE(SUBSTITUTE(SUBSTITUTE(SUBSTITUTE(SUBSTITUTE(AQ37,"!"," "),"?"," "),"+"," "),"*"," "),"&amp;"," "),"["," "),"]"," "),"{"," "),"}"," "),"%"," "),"="," "),"\"," "),"|"," "),"&lt;"," "),"&gt;"," "),"")</f>
        <v xml:space="preserve">2  etalez la pate sablee dans un moule beurre  piquez le fond avec une </v>
      </c>
      <c r="AS37" s="127" t="str">
        <f>IF(26=26," "&amp;TRIM(SUBSTITUTE(SUBSTITUTE(SUBSTITUTE(SUBSTITUTE(SUBSTITUTE(SUBSTITUTE(AR37,CHAR(34)," "),"  "," "),"  "," "),"  "," "),"  "," "),"  "," "))&amp;" ","")</f>
        <v xml:space="preserve"> 2 etalez la pate sablee dans un moule beurre piquez le fond avec une </v>
      </c>
      <c r="AT37" s="127" cm="1">
        <f t="array" ref="AT37">IF(26=26,IF(AM37="","",SUMPRODUCT(--ISNUMBER(SEARCH(" "&amp;DJ13:DJ112&amp;" ",AV37)))),"")</f>
        <v>0</v>
      </c>
      <c r="AU37" s="127" cm="1">
        <f t="array" ref="AU37">IF(26=26,IF(AM37="","",SUMPRODUCT(--ISNUMBER(SEARCH(" "&amp;DJ113:DJ162&amp;" ",AV37)))),"")</f>
        <v>1</v>
      </c>
      <c r="AV37" s="127" t="str">
        <f>IF(AM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2 etalez la pate sablee dans un moule beurre piquez le fond avec une </v>
      </c>
      <c r="AW37" s="127" cm="1">
        <f t="array" ref="AW37">IF(AM37="","",SUMPRODUCT(--ISNUMBER(SEARCH(" "&amp;DJ195:DJ216&amp;" ",AV37)))+--ISNUMBER(SEARCH(" "&amp;DJ2465&amp;" ",AV37)))</f>
        <v>0</v>
      </c>
      <c r="AX37" s="127" t="str" cm="1">
        <f t="array" ref="AX37">IF(26=26,IF(AM37="","",IF(SUM(AT37:AU37)+SUMPRODUCT(--ISNUMBER(SEARCH(" "&amp;DJ2429:DJ2431&amp;" ",AV37)))&gt;0,"X",IF(AW37&gt;0,"?",""))),"")</f>
        <v>X</v>
      </c>
      <c r="AY37" s="127" cm="1">
        <f t="array" ref="AY37">IF(26=26,IF(AM37="","",SUMPRODUCT(--ISNUMBER(SEARCH(" "&amp;DJ217:DJ316&amp;" ",AS37)))),"")</f>
        <v>0</v>
      </c>
      <c r="AZ37" s="127" cm="1">
        <f t="array" ref="AZ37">IF(26=26,IF(AM37="","",SUMPRODUCT(--ISNUMBER(SEARCH(" "&amp;DJ317:DJ351&amp;" ",AS37)))),"")</f>
        <v>0</v>
      </c>
      <c r="BA37" s="127" t="str">
        <f>IF(26=26,IF(AM37="","",IF((SUM(AY37:AZ37))-(0)&gt;0,"X",IF((0)-(0)&gt;0,"?",""))),"")</f>
        <v/>
      </c>
      <c r="BB37" s="127" cm="1">
        <f t="array" ref="BB37">IF(26=26,IF(AM37="","",SUMPRODUCT(--ISNUMBER(SEARCH(" "&amp;DJ352:DJ409&amp;" ",AS37)))),"")</f>
        <v>0</v>
      </c>
      <c r="BC37" s="127" cm="1">
        <f t="array" ref="BC37">IF(26=26,IF(AM37="","",SUMPRODUCT(--ISNUMBER(SEARCH(" "&amp;DJ410:DJ437&amp;" ",BD37)))+SUMPRODUCT(--ISNUMBER(SEARCH(" "&amp;DJ2451:DJ2464&amp;" ",BD37)))),"")</f>
        <v>1</v>
      </c>
      <c r="BD37" s="127" t="str">
        <f>IF(26=26,IF(AM37="","",SUBSTITUTE(SUBSTITUTE(SUBSTITUTE(SUBSTITUTE(SUBSTITUTE(SUBSTITUTE(SUBSTITUTE(SUBSTITUTE(SUBSTITUTE(SUBSTITUTE(SUBSTITUTE(SUBSTITUTE(SUBSTITUTE(SUBSTITUTE(AS37," "&amp;DJ2466&amp;" "," ")," "&amp;DJ444&amp;" "," ")," "&amp;DJ442&amp;" "," ")," "&amp;DJ2449&amp;" "," ")," "&amp;DJ2450&amp;" "," ")," "&amp;DJ439&amp;" "," ")," "&amp;DJ443&amp;" "," ")," "&amp;DJ445&amp;" "," ")," "&amp;DJ440&amp;" "," ")," "&amp;DJ438&amp;" "," ")," "&amp;DJ1378&amp;" "," ")," "&amp;DJ446&amp;" "," ")," "&amp;DJ1377&amp;" "," ")," "&amp;DJ441&amp;" "," ")),"")</f>
        <v xml:space="preserve"> 2 etalez la pate sablee dans un moule beurre piquez le fond avec une </v>
      </c>
      <c r="BE37" s="127" t="str">
        <f>IF(26=26,IF(AM37="","",IF(BB37&gt;0,"X",IF(BC37&gt;0,"?",""))),"")</f>
        <v>?</v>
      </c>
      <c r="BF37" s="127" cm="1">
        <f t="array" ref="BF37">IF(26=26,IF(AM37="","",SUMPRODUCT(--ISNUMBER(SEARCH(" "&amp;DJ447:DJ546&amp;" ",BP37)))),"")</f>
        <v>0</v>
      </c>
      <c r="BG37" s="127" cm="1">
        <f t="array" ref="BG37">IF(26=26,IF(AM37="","",SUMPRODUCT(--ISNUMBER(SEARCH(" "&amp;DJ547:DJ646&amp;" ",BP37)))),"")</f>
        <v>0</v>
      </c>
      <c r="BH37" s="127" cm="1">
        <f t="array" ref="BH37">IF(26=26,IF(AM37="","",SUMPRODUCT(--ISNUMBER(SEARCH(" "&amp;DJ647:DJ746&amp;" ",BP37)))),"")</f>
        <v>0</v>
      </c>
      <c r="BI37" s="127" cm="1">
        <f t="array" ref="BI37">IF(26=26,IF(AM37="","",SUMPRODUCT(--ISNUMBER(SEARCH(" "&amp;DJ747:DJ846&amp;" ",BP37)))),"")</f>
        <v>0</v>
      </c>
      <c r="BJ37" s="127" cm="1">
        <f t="array" ref="BJ37">IF(26=26,IF(AM37="","",SUMPRODUCT(--ISNUMBER(SEARCH(" "&amp;DJ847:DJ946&amp;" ",BP37)))),"")</f>
        <v>0</v>
      </c>
      <c r="BK37" s="127" cm="1">
        <f t="array" ref="BK37">IF(26=26,IF(AM37="","",SUMPRODUCT(--ISNUMBER(SEARCH(" "&amp;DJ947:DJ1046&amp;" ",BP37)))),"")</f>
        <v>0</v>
      </c>
      <c r="BL37" s="127" cm="1">
        <f t="array" ref="BL37">IF(26=26,IF(AM37="","",SUMPRODUCT(--ISNUMBER(SEARCH(" "&amp;DJ1047:DJ1146&amp;" ",BP37)))),"")</f>
        <v>0</v>
      </c>
      <c r="BM37" s="127" cm="1">
        <f t="array" ref="BM37">IF(26=26,IF(AM37="","",SUMPRODUCT(--ISNUMBER(SEARCH(" "&amp;DJ1147:DJ1246&amp;" ",BP37)))),"")</f>
        <v>0</v>
      </c>
      <c r="BN37" s="127" cm="1">
        <f t="array" ref="BN37">IF(26=26,IF(AM37="","",SUMPRODUCT(--ISNUMBER(SEARCH(" "&amp;DJ1247:DJ1346&amp;" ",BP37)))),"")</f>
        <v>0</v>
      </c>
      <c r="BO37" s="127" cm="1">
        <f t="array" ref="BO37">IF(26=26,IF(AM37="","",SUMPRODUCT(--ISNUMBER(SEARCH(" "&amp;DJ1347:DJ1374&amp;" ",BP37)))),"")</f>
        <v>0</v>
      </c>
      <c r="BP37" s="127" t="str">
        <f>IF(26=26,IF(AM37="","",SUBSTITUTE(SUBSTITUTE(SUBSTITUTE(SUBSTITUTE(SUBSTITUTE(SUBSTITUTE(SUBSTITUTE(SUBSTITUTE(SUBSTITUTE(AS37," "&amp;DJ1376&amp;" "," ")," "&amp;DJ1375&amp;" "," ")," "&amp;DJ1381&amp;" "," ")," "&amp;DJ1382&amp;" "," ")," "&amp;DJ1378&amp;" "," ")," "&amp;DJ1380&amp;" "," ")," "&amp;DJ1377&amp;" "," ")," "&amp;DJ1379&amp;" "," ")," "&amp;DJ1383&amp;" "," ")),"")</f>
        <v xml:space="preserve"> 2 etalez la pate sablee dans un moule beurre piquez le fond avec une </v>
      </c>
      <c r="BQ37" s="127" cm="1">
        <f t="array" ref="BQ37">IF(26=26,IF(AM37="","",SUMPRODUCT(--ISNUMBER(SEARCH(" "&amp;DJ1384:DJ1394&amp;" ",BP37)))),"")</f>
        <v>0</v>
      </c>
      <c r="BR37" s="127" t="str" cm="1">
        <f t="array" ref="BR37">IF(26=26,IF(AM37="","",IF(SUM(BF37:BO37)+SUMPRODUCT(--ISNUMBER(SEARCH(" "&amp;DJ2432:DJ2433&amp;" ",BP37)))&gt;0,"X",IF(BQ37&gt;0,"?",""))),"")</f>
        <v/>
      </c>
      <c r="BS37" s="127" cm="1">
        <f t="array" ref="BS37">IF(26=26,IF(AM37="","",SUMPRODUCT(--ISNUMBER(SEARCH(" "&amp;DJ1395:DJ1415&amp;" ",AS37)))),"")</f>
        <v>0</v>
      </c>
      <c r="BT37" s="127" t="str">
        <f>IF(26=26,IF(AM37="","",IF((BS37)-(0)&gt;0,"X",IF((0)-(0)&gt;0,"?",""))),"")</f>
        <v/>
      </c>
      <c r="BU37" s="127" cm="1">
        <f t="array" ref="BU37">IF(26=26,IF(AM37="","",SUMPRODUCT(--ISNUMBER(SEARCH(" "&amp;DJ1416:DJ1453&amp;" ",BV37)))),"")</f>
        <v>0</v>
      </c>
      <c r="BV37" s="127" t="str">
        <f>IF(26=26,IF(AM37="","",SUBSTITUTE(SUBSTITUTE(AS37," "&amp;DJ1454&amp;" "," ")," "&amp;DJ1455&amp;" "," ")),"")</f>
        <v xml:space="preserve"> 2 etalez la pate sablee dans un moule beurre piquez le fond avec une </v>
      </c>
      <c r="BW37" s="127" cm="1">
        <f t="array" ref="BW37">IF(26=26,IF(AM37="","",SUMPRODUCT(--ISNUMBER(SEARCH(" "&amp;DJ1456:DJ1466&amp;" ",BV37)))),"")</f>
        <v>0</v>
      </c>
      <c r="BX37" s="127" t="str">
        <f>IF(26=26,IF(AM37="","",IF(BU37&gt;0,"X",IF(BW37&gt;0,"?",""))),"")</f>
        <v/>
      </c>
      <c r="BY37" s="127" cm="1">
        <f t="array" ref="BY37">IF(26=26,IF(AM37="","",SUMPRODUCT(--ISNUMBER(SEARCH(" "&amp;DJ1467:DJ1566&amp;" ",CB37)))),"")</f>
        <v>1</v>
      </c>
      <c r="BZ37" s="127" cm="1">
        <f t="array" ref="BZ37">IF(26=26,IF(AM37="","",SUMPRODUCT(--ISNUMBER(SEARCH(" "&amp;DJ1567:DJ1666&amp;" ",CB37)))),"")</f>
        <v>0</v>
      </c>
      <c r="CA37" s="127" cm="1">
        <f t="array" ref="CA37">IF(26=26,IF(AM37="","",SUMPRODUCT(--ISNUMBER(SEARCH(" "&amp;DJ1667:DJ1750&amp;" ",CB37)))),"")</f>
        <v>0</v>
      </c>
      <c r="CB37" s="127" t="str">
        <f>IF(26=26,IF(AM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2 etalez la pate sablee dans un moule beurre piquez le fond avec une </v>
      </c>
      <c r="CC37" s="127" cm="1">
        <f t="array" ref="CC37">IF(26=26,IF(AM37="","",SUMPRODUCT(--ISNUMBER(SEARCH(" "&amp;DJ1801:DJ1880&amp;" ",CD37)))+SUMPRODUCT(--ISNUMBER(SEARCH(" "&amp;DJ2451:DJ2464&amp;" ",CD37)))),"")</f>
        <v>0</v>
      </c>
      <c r="CD37" s="127" t="str">
        <f>IF(26=26,IF(AM37="","",SUBSTITUTE(SUBSTITUTE(SUBSTITUTE(SUBSTITUTE(SUBSTITUTE(SUBSTITUTE(SUBSTITUTE(SUBSTITUTE(SUBSTITUTE(SUBSTITUTE(SUBSTITUTE(SUBSTITUTE(SUBSTITUTE(CB37," "&amp;DJ1887&amp;" "," ")," "&amp;DJ1885&amp;" "," ")," "&amp;DJ2449&amp;" "," ")," "&amp;DJ2450&amp;" "," ")," "&amp;DJ1882&amp;" "," ")," "&amp;DJ1886&amp;" "," ")," "&amp;DJ1888&amp;" "," ")," "&amp;DJ1883&amp;" "," ")," "&amp;DJ1881&amp;" "," ")," "&amp;DJ1378&amp;" "," ")," "&amp;DJ1889&amp;" "," ")," "&amp;DJ1377&amp;" "," ")," "&amp;DJ1884&amp;" "," ")),"")</f>
        <v xml:space="preserve"> 2 etalez la pate sablee dans un moule beurre piquez le fond avec une </v>
      </c>
      <c r="CE37" s="127" t="str" cm="1">
        <f t="array" ref="CE37">IF(26=26,IF(AM37="","",IF(SUM(BY37:CA37)+SUMPRODUCT(--ISNUMBER(SEARCH(" "&amp;DJ2434:DJ2435&amp;" ",CB37)))&gt;0,"X",IF(CC37&gt;0,"?",""))),"")</f>
        <v>X</v>
      </c>
      <c r="CF37" s="127" cm="1">
        <f t="array" ref="CF37">IF(26=26,IF(AM37="","",SUMPRODUCT(--ISNUMBER(SEARCH(" "&amp;DJ1890:DJ1947&amp;" ",CG37)))),"")</f>
        <v>0</v>
      </c>
      <c r="CG37" s="127" t="str">
        <f>IF(26=26,IF(AM37="","",SUBSTITUTE(SUBSTITUTE(SUBSTITUTE(SUBSTITUTE(SUBSTITUTE(SUBSTITUTE(SUBSTITUTE(SUBSTITUTE(SUBSTITUTE(SUBSTITUTE(SUBSTITUTE(SUBSTITUTE(SUBSTITUTE(SUBSTITUTE(SUBSTITUTE(SUBSTITUTE(SUBSTITUTE(SUBSTITUTE(SUBSTITUTE(SUBSTITUTE(SUBSTITUTE(SUBSTITUTE(SUBSTITUTE(AS37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2 etalez la pate sablee dans un moule beurre piquez le fond avec une </v>
      </c>
      <c r="CH37" s="127" cm="1">
        <f t="array" ref="CH37">IF(26=26,IF(AM37="","",SUMPRODUCT(--ISNUMBER(SEARCH(" "&amp;DJ1971:DJ1987&amp;" ",CG37)))),"")</f>
        <v>0</v>
      </c>
      <c r="CI37" s="127" t="str">
        <f>IF(26=26,IF(AM37="","",IF(CF37&gt;0,"X",IF(CH37&gt;0,"?",""))),"")</f>
        <v/>
      </c>
      <c r="CJ37" s="127" cm="1">
        <f t="array" ref="CJ37">IF(26=26,IF(AM37="","",SUMPRODUCT(--ISNUMBER(SEARCH(" "&amp;DJ1988:DJ2001&amp;" ",AS37)))),"")</f>
        <v>0</v>
      </c>
      <c r="CK37" s="127" cm="1">
        <f t="array" ref="CK37">IF(26=26,IF(AM37="","",SUMPRODUCT(--ISNUMBER(SEARCH(" "&amp;DJ2002:DJ2016&amp;" ",AS37)))),"")</f>
        <v>1</v>
      </c>
      <c r="CL37" s="127" t="str">
        <f>IF(26=26,IF(AM37="","",IF((CJ37)-(0)&gt;0,"X",IF((CK37)-(0)&gt;0,"?",""))),"")</f>
        <v>?</v>
      </c>
      <c r="CM37" s="127" cm="1">
        <f t="array" ref="CM37">IF(26=26,IF(AM37="","",SUMPRODUCT(--ISNUMBER(SEARCH(" "&amp;DJ2017:DJ2034&amp;" ",AS37)))),"")</f>
        <v>0</v>
      </c>
      <c r="CN37" s="127" cm="1">
        <f t="array" ref="CN37">IF(26=26,IF(AM37="","",SUMPRODUCT(--ISNUMBER(SEARCH(" "&amp;DJ2035:DJ2049&amp;" ",AS37)))),"")</f>
        <v>1</v>
      </c>
      <c r="CO37" s="127" t="str">
        <f>IF(26=26,IF(AM37="","",IF((CM37)-(0)&gt;0,"X",IF((CN37)-(0)&gt;0,"?",""))),"")</f>
        <v>?</v>
      </c>
      <c r="CP37" s="127" cm="1">
        <f t="array" ref="CP37">IF(26=26,IF(AM37="","",SUMPRODUCT(--ISNUMBER(SEARCH(" "&amp;DJ2050:DJ2068&amp;" ",AS37)))),"")</f>
        <v>0</v>
      </c>
      <c r="CQ37" s="127" cm="1">
        <f t="array" ref="CQ37">IF(26=26,IF(AM37="","",SUMPRODUCT(--ISNUMBER(SEARCH(" "&amp;DJ2069:DJ2083&amp;" ",AS37)))),"")</f>
        <v>0</v>
      </c>
      <c r="CR37" s="127" t="str">
        <f>IF(26=26,IF(AM37="","",IF((CP37)-(0)&gt;0,"X",IF((CQ37)-(0)&gt;0,"?",""))),"")</f>
        <v/>
      </c>
      <c r="CS37" s="127" cm="1">
        <f t="array" ref="CS37">IF(26=26,IF(AM37="","",SUMPRODUCT(--ISNUMBER(SEARCH(" "&amp;DJ2084:DJ2104&amp;" ",AS37)))),"")</f>
        <v>0</v>
      </c>
      <c r="CT37" s="127" cm="1">
        <f t="array" ref="CT37">IF(26=26,IF(AM37="","",SUMPRODUCT(--ISNUMBER(SEARCH(" "&amp;DJ2105:DJ2144&amp;" ",SUBSTITUTE(SUBSTITUTE(AS37," "&amp;DJ1378&amp;" "," ")," "&amp;DJ1377&amp;" "," "))))+--ISNUMBER(SEARCH("poiré",AN37))),"")</f>
        <v>0</v>
      </c>
      <c r="CU37" s="127" t="str">
        <f>IF(26=26,IF(AM37="","",IF(OR(CS37&gt;0,ISNUMBER(SEARCH(" vinaigre de vin ",AS37)),ISNUMBER(SEARCH(" vinaigre au vin ",AS37))),"X",IF(CT37&gt;0,"?",""))),"")</f>
        <v/>
      </c>
      <c r="CV37" s="127" cm="1">
        <f t="array" ref="CV37">IF(26=26,IF(AM37="","",SUMPRODUCT(--ISNUMBER(SEARCH(" "&amp;DJ2145:DJ2157&amp;" ",AS37)))),"")</f>
        <v>0</v>
      </c>
      <c r="CW37" s="127" cm="1">
        <f t="array" ref="CW37">IF(26=26,IF(AM37="","",SUMPRODUCT(--ISNUMBER(SEARCH(" "&amp;DJ2158:DJ2163&amp;" ",AS37)))),"")</f>
        <v>0</v>
      </c>
      <c r="CX37" s="127" t="str">
        <f>IF(26=26,IF(AM37="","",IF((CV37)-(0)&gt;0,"X",IF((CW37)-(0)&gt;0,"?",""))),"")</f>
        <v/>
      </c>
      <c r="CY37" s="127" cm="1">
        <f t="array" ref="CY37">IF(26=26,IF(AM37="","",SUMPRODUCT(--ISNUMBER(SEARCH(" "&amp;DJ2164:DJ2263&amp;" ",DB37)))),"")</f>
        <v>0</v>
      </c>
      <c r="CZ37" s="127" cm="1">
        <f t="array" ref="CZ37">IF(26=26,IF(AM37="","",SUMPRODUCT(--ISNUMBER(SEARCH(" "&amp;DJ2264:DJ2363&amp;" ",DB37)))),"")</f>
        <v>1</v>
      </c>
      <c r="DA37" s="127" cm="1">
        <f t="array" ref="DA37">IF(26=26,IF(AM37="","",SUMPRODUCT(--ISNUMBER(SEARCH(" "&amp;DJ2364:DJ2406&amp;" ",DB37)))),"")</f>
        <v>0</v>
      </c>
      <c r="DB37" s="127" t="str">
        <f>IF(26=26,IF(AM37="","",SUBSTITUTE(SUBSTITUTE(SUBSTITUTE(SUBSTITUTE(SUBSTITUTE(SUBSTITUTE(SUBSTITUTE(SUBSTITUTE(SUBSTITUTE(SUBSTITUTE(SUBSTITUTE(SUBSTITUTE(SUBSTITUTE(SUBSTITUTE(SUBSTITUTE(SUBSTITUTE(AS37," "&amp;DJ2412&amp;" "," ")," "&amp;DJ2411&amp;" "," ")," "&amp;DJ2410&amp;" "," ")," "&amp;DJ2417&amp;" "," ")," "&amp;DJ2409&amp;" "," ")," "&amp;DJ2421&amp;" "," ")," "&amp;DJ2408&amp;" "," ")," "&amp;DJ2413&amp;" "," ")," "&amp;DJ2416&amp;" "," ")," "&amp;DJ2407&amp;" "," ")," "&amp;DJ2415&amp;" "," ")," "&amp;DJ2422&amp;" "," ")," "&amp;DJ2419&amp;" "," ")," "&amp;DJ2414&amp;" "," ")," "&amp;DJ2418&amp;" "," ")," "&amp;DJ2420&amp;" "," ")),"")</f>
        <v xml:space="preserve"> 2 etalez la pate sablee dans un moule beurre piquez le fond avec une </v>
      </c>
      <c r="DC37" s="127" cm="1">
        <f t="array" ref="DC37">IF(26=26,IF(AM37="","",SUMPRODUCT(--ISNUMBER(SEARCH(" "&amp;DJ2423:DJ2427&amp;" ",DB37)))),"")</f>
        <v>0</v>
      </c>
      <c r="DD37" s="127" t="str">
        <f>IF(26=26,IF(AM37="","",IF(SUM(CY37:DA37)&gt;0,"X",IF(DC37&gt;0,"?",""))),"")</f>
        <v>X</v>
      </c>
      <c r="DE37" s="152"/>
      <c r="DF37" s="160" t="s">
        <v>705</v>
      </c>
      <c r="DG37" s="160" t="s">
        <v>584</v>
      </c>
      <c r="DH37" s="160" t="s">
        <v>125</v>
      </c>
      <c r="DI37" s="160" t="s">
        <v>180</v>
      </c>
      <c r="DJ37" s="160" t="s">
        <v>180</v>
      </c>
      <c r="DK37" s="160" t="s">
        <v>588</v>
      </c>
      <c r="DL37" s="160" t="s">
        <v>589</v>
      </c>
      <c r="DM37" s="160" t="s">
        <v>590</v>
      </c>
      <c r="DN37" s="161" t="s">
        <v>591</v>
      </c>
      <c r="DP37" s="130">
        <v>1</v>
      </c>
    </row>
    <row r="38" spans="2:120" ht="30" customHeight="1">
      <c r="B38" s="165" t="str">
        <f t="shared" si="0"/>
        <v>6. Versez cette préparation sur les pommes, parsemez d’amandes effilées et ajoutez quelques noisettes de beurre.</v>
      </c>
      <c r="C38" s="165" t="str">
        <f t="shared" si="1"/>
        <v>6 Versez cette préparation sur les pommes parsemez d’amandes effilées et ajoutez quelques noisettes de beurre</v>
      </c>
      <c r="D38" s="165" t="str">
        <f>IF(UPPER(TRIM(N11))="X",C38,B38)</f>
        <v>6. Versez cette préparation sur les pommes, parsemez d’amandes effilées et ajoutez quelques noisettes de beurre.</v>
      </c>
      <c r="E38" s="165" cm="1">
        <f t="array" ref="E38">IF(H37&lt;&gt;"",E37,IF(E37="","",IFERROR(MATCH(TRUE(),INDEX(INDEX(K:K,E37+1):K203&lt;&gt;"",0),0)+E37,"")))</f>
        <v>34</v>
      </c>
      <c r="F38" s="165" t="str" cm="1">
        <f t="array" ref="F38">IF(E38="","",IF(H37&lt;&gt;"",H37,INDEX(D:D,E38)))</f>
        <v>fourchette et placez au réfrigérateur pendant la préparation.</v>
      </c>
      <c r="G38" s="165" t="str">
        <f t="shared" si="2"/>
        <v>fourchette et placez au réfrigérateur pendant la préparation.</v>
      </c>
      <c r="H38" s="174" t="str">
        <f t="shared" si="3"/>
        <v/>
      </c>
      <c r="I38" s="184" t="str">
        <f>IF(AND(F38&lt;&gt;"",N10&gt;0,M38&gt;N10),"Mot &gt; limite","")</f>
        <v/>
      </c>
      <c r="J38" s="175">
        <f>IF(K38="","",COUNTIF(K18:K38,"&lt;&gt;"))</f>
        <v>21</v>
      </c>
      <c r="K38" s="111" t="s">
        <v>413</v>
      </c>
      <c r="L38" s="175">
        <f t="shared" si="4"/>
        <v>112</v>
      </c>
      <c r="M38" s="135">
        <f>IF(OR(F38="",N10="",N10&lt;=0),"",IF(LEN(F38)&lt;=N10,LEN(F38),IFERROR(FIND("♦",SUBSTITUTE(LEFT(F38,N10)," ","♦",LEN(LEFT(F38,N10))-LEN(SUBSTITUTE(LEFT(F38,N10)," ","")))),FIND(" ",F38&amp;" ",N10+1)-1)))</f>
        <v>61</v>
      </c>
      <c r="N38" s="176">
        <f t="shared" si="5"/>
        <v>21</v>
      </c>
      <c r="O38" s="177" t="str">
        <f t="shared" si="6"/>
        <v>fourchette et placez au réfrigérateur pendant la préparation.</v>
      </c>
      <c r="P38" s="176">
        <f t="shared" si="7"/>
        <v>8</v>
      </c>
      <c r="Q38" s="176">
        <f t="shared" si="8"/>
        <v>61</v>
      </c>
      <c r="S38" s="178">
        <v>21</v>
      </c>
      <c r="T38" s="179" t="str">
        <f t="shared" si="10"/>
        <v>fourchette et placez au réfrigérateur pendant la préparation.</v>
      </c>
      <c r="U38" s="180" t="str">
        <f t="shared" si="9"/>
        <v>fourchette et placez au réfrigérateur pendant la préparation.</v>
      </c>
      <c r="V38" s="181" t="str">
        <f>IF(27=27,IF(T38="","",IF(W38="X",""&amp;"Céréales contenant du gluten","")&amp;IF(X38="X",IF(COUNTIF(W38:W38,"X")&gt;0,", ","")&amp;"Crustacés","")&amp;IF(Y38="X",IF(COUNTIF(W38:X38,"X")&gt;0,", ","")&amp;"Œufs","")&amp;IF(Z38="X",IF(COUNTIF(W38:Y38,"X")&gt;0,", ","")&amp;"Poissons","")&amp;IF(AA38="X",IF(COUNTIF(W38:Z38,"X")&gt;0,", ","")&amp;"Arachides","")&amp;IF(AB38="X",IF(COUNTIF(W38:AA38,"X")&gt;0,", ","")&amp;"Soja","")&amp;IF(AC38="X",IF(COUNTIF(W38:AB38,"X")&gt;0,", ","")&amp;"Lait","")&amp;IF(AD38="X",IF(COUNTIF(W38:AC38,"X")&gt;0,", ","")&amp;"Fruits à coque","")&amp;IF(AE38="X",IF(COUNTIF(W38:AD38,"X")&gt;0,", ","")&amp;"Céleri","")&amp;IF(AF38="X",IF(COUNTIF(W38:AE38,"X")&gt;0,", ","")&amp;"Moutarde","")&amp;IF(AG38="X",IF(COUNTIF(W38:AF38,"X")&gt;0,", ","")&amp;"Sésame","")&amp;IF(AH38="X",IF(COUNTIF(W38:AG38,"X")&gt;0,", ","")&amp;"Sulfites","")&amp;IF(AI38="X",IF(COUNTIF(W38:AH38,"X")&gt;0,", ","")&amp;"Lupin","")&amp;IF(AJ38="X",IF(COUNTIF(W38:AI38,"X")&gt;0,", ","")&amp;"Mollusques","")),"")</f>
        <v/>
      </c>
      <c r="W38" s="182" t="str">
        <f>IF(27=27,IF(T38="","",AX38),"")</f>
        <v/>
      </c>
      <c r="X38" s="182" t="str">
        <f>IF(27=27,IF(T38="","",BA38),"")</f>
        <v/>
      </c>
      <c r="Y38" s="182" t="str">
        <f>IF(27=27,IF(T38="","",BE38),"")</f>
        <v/>
      </c>
      <c r="Z38" s="182" t="str">
        <f>IF(27=27,IF(T38="","",IF(ISNUMBER(SEARCH(" colin ",AS38)),"X",BR38)),"")</f>
        <v/>
      </c>
      <c r="AA38" s="182" t="str">
        <f>IF(27=27,IF(T38="","",BT38),"")</f>
        <v/>
      </c>
      <c r="AB38" s="182" t="str">
        <f>IF(27=27,IF(T38="","",BX38),"")</f>
        <v/>
      </c>
      <c r="AC38" s="182" t="str">
        <f>IF(27=27,IF(T38="","",CE38),"")</f>
        <v/>
      </c>
      <c r="AD38" s="182" t="str">
        <f>IF(27=27,IF(T38="","",CI38),"")</f>
        <v/>
      </c>
      <c r="AE38" s="182" t="str">
        <f>IF(27=27,IF(T38="","",CL38),"")</f>
        <v/>
      </c>
      <c r="AF38" s="182" t="str">
        <f>IF(27=27,IF(T38="","",CO38),"")</f>
        <v/>
      </c>
      <c r="AG38" s="182" t="str">
        <f>IF(27=27,IF(T38="","",CR38),"")</f>
        <v/>
      </c>
      <c r="AH38" s="182" t="str">
        <f>IF(27=27,IF(T38="","",CU38),"")</f>
        <v/>
      </c>
      <c r="AI38" s="182" t="str">
        <f>IF(27=27,IF(T38="","",CX38),"")</f>
        <v/>
      </c>
      <c r="AJ38" s="182" t="str">
        <f>IF(27=27,IF(T38="","",DD38),"")</f>
        <v/>
      </c>
      <c r="AK38" s="183" t="str">
        <f>IF(27=27,IF(T38="","",IF(W38="?",""&amp;"Céréales contenant du gluten","")&amp;IF(X38="?",IF(COUNTIF(W38:W38,"~?")&gt;0,", ","")&amp;"Crustacés","")&amp;IF(Y38="?",IF(COUNTIF(W38:X38,"~?")&gt;0,", ","")&amp;"Œufs","")&amp;IF(Z38="?",IF(COUNTIF(W38:Y38,"~?")&gt;0,", ","")&amp;"Poissons","")&amp;IF(AA38="?",IF(COUNTIF(W38:Z38,"~?")&gt;0,", ","")&amp;"Arachides","")&amp;IF(AB38="?",IF(COUNTIF(W38:AA38,"~?")&gt;0,", ","")&amp;"Soja","")&amp;IF(AC38="?",IF(COUNTIF(W38:AB38,"~?")&gt;0,", ","")&amp;"Lait","")&amp;IF(AD38="?",IF(COUNTIF(W38:AC38,"~?")&gt;0,", ","")&amp;"Fruits à coque","")&amp;IF(AE38="?",IF(COUNTIF(W38:AD38,"~?")&gt;0,", ","")&amp;"Céleri","")&amp;IF(AF38="?",IF(COUNTIF(W38:AE38,"~?")&gt;0,", ","")&amp;"Moutarde","")&amp;IF(AG38="?",IF(COUNTIF(W38:AF38,"~?")&gt;0,", ","")&amp;"Sésame","")&amp;IF(AH38="?",IF(COUNTIF(W38:AG38,"~?")&gt;0,", ","")&amp;"Sulfites","")&amp;IF(AI38="?",IF(COUNTIF(W38:AH38,"~?")&gt;0,", ","")&amp;"Lupin","")&amp;IF(AJ38="?",IF(COUNTIF(W38:AI38,"~?")&gt;0,", ","")&amp;"Mollusques","")),"")</f>
        <v/>
      </c>
      <c r="AM38" s="127" t="str">
        <f>IF(27=27,IF(T38="","",T38),"")</f>
        <v>fourchette et placez au réfrigérateur pendant la préparation.</v>
      </c>
      <c r="AN38" s="127" t="str">
        <f>IF(27=27,LOWER(CLEAN(SUBSTITUTE(SUBSTITUTE(SUBSTITUTE(SUBSTITUTE(AM38,CHAR(160)," ")," "," "),CHAR(10)," "),CHAR(13)," "))),"")</f>
        <v>fourchette et placez au réfrigérateur pendant la préparation.</v>
      </c>
      <c r="AO38" s="127" t="str">
        <f>IF(27=27,SUBSTITUTE(SUBSTITUTE(SUBSTITUTE(SUBSTITUTE(SUBSTITUTE(SUBSTITUTE(SUBSTITUTE(SUBSTITUTE(SUBSTITUTE(SUBSTITUTE(SUBSTITUTE(SUBSTITUTE(AN38,"œ","oe"),"æ","ae"),"à","a"),"á","a"),"â","a"),"ä","a"),"ã","a"),"ç","c"),"è","e"),"é","e"),"ê","e"),"ë","e"),"")</f>
        <v>fourchette et placez au refrigerateur pendant la preparation.</v>
      </c>
      <c r="AP38" s="127" t="str">
        <f>IF(27=27,SUBSTITUTE(SUBSTITUTE(SUBSTITUTE(SUBSTITUTE(SUBSTITUTE(SUBSTITUTE(SUBSTITUTE(SUBSTITUTE(SUBSTITUTE(SUBSTITUTE(SUBSTITUTE(SUBSTITUTE(SUBSTITUTE(SUBSTITUTE(SUBSTITUTE(SUBSTITUTE(AO38,"ì","i"),"í","i"),"î","i"),"ï","i"),"ñ","n"),"ò","o"),"ó","o"),"ô","o"),"ö","o"),"õ","o"),"ù","u"),"ú","u"),"û","u"),"ü","u"),"ý","y"),"ÿ","y"),"")</f>
        <v>fourchette et placez au refrigerateur pendant la preparation.</v>
      </c>
      <c r="AQ38" s="127" t="str">
        <f>IF(27=27,SUBSTITUTE(SUBSTITUTE(SUBSTITUTE(SUBSTITUTE(SUBSTITUTE(SUBSTITUTE(SUBSTITUTE(SUBSTITUTE(SUBSTITUTE(SUBSTITUTE(SUBSTITUTE(SUBSTITUTE(SUBSTITUTE(SUBSTITUTE(AP38,"’"," "),"`"," "),"–"," "),"—"," "),"-"," "),"'"," "),"/"," "),"_"," "),","," "),"."," "),"("," "),")"," "),";"," "),":"," "),"")</f>
        <v xml:space="preserve">fourchette et placez au refrigerateur pendant la preparation </v>
      </c>
      <c r="AR38" s="127" t="str">
        <f>IF(27=27,SUBSTITUTE(SUBSTITUTE(SUBSTITUTE(SUBSTITUTE(SUBSTITUTE(SUBSTITUTE(SUBSTITUTE(SUBSTITUTE(SUBSTITUTE(SUBSTITUTE(SUBSTITUTE(SUBSTITUTE(SUBSTITUTE(SUBSTITUTE(SUBSTITUTE(AQ38,"!"," "),"?"," "),"+"," "),"*"," "),"&amp;"," "),"["," "),"]"," "),"{"," "),"}"," "),"%"," "),"="," "),"\"," "),"|"," "),"&lt;"," "),"&gt;"," "),"")</f>
        <v xml:space="preserve">fourchette et placez au refrigerateur pendant la preparation </v>
      </c>
      <c r="AS38" s="127" t="str">
        <f>IF(27=27," "&amp;TRIM(SUBSTITUTE(SUBSTITUTE(SUBSTITUTE(SUBSTITUTE(SUBSTITUTE(SUBSTITUTE(AR38,CHAR(34)," "),"  "," "),"  "," "),"  "," "),"  "," "),"  "," "))&amp;" ","")</f>
        <v xml:space="preserve"> fourchette et placez au refrigerateur pendant la preparation </v>
      </c>
      <c r="AT38" s="127" cm="1">
        <f t="array" ref="AT38">IF(27=27,IF(AM38="","",SUMPRODUCT(--ISNUMBER(SEARCH(" "&amp;DJ13:DJ112&amp;" ",AV38)))),"")</f>
        <v>0</v>
      </c>
      <c r="AU38" s="127" cm="1">
        <f t="array" ref="AU38">IF(27=27,IF(AM38="","",SUMPRODUCT(--ISNUMBER(SEARCH(" "&amp;DJ113:DJ162&amp;" ",AV38)))),"")</f>
        <v>0</v>
      </c>
      <c r="AV38" s="127" t="str">
        <f>IF(AM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fourchette et placez au refrigerateur pendant la preparation </v>
      </c>
      <c r="AW38" s="127" cm="1">
        <f t="array" ref="AW38">IF(AM38="","",SUMPRODUCT(--ISNUMBER(SEARCH(" "&amp;DJ195:DJ216&amp;" ",AV38)))+--ISNUMBER(SEARCH(" "&amp;DJ2465&amp;" ",AV38)))</f>
        <v>0</v>
      </c>
      <c r="AX38" s="127" t="str" cm="1">
        <f t="array" ref="AX38">IF(27=27,IF(AM38="","",IF(SUM(AT38:AU38)+SUMPRODUCT(--ISNUMBER(SEARCH(" "&amp;DJ2429:DJ2431&amp;" ",AV38)))&gt;0,"X",IF(AW38&gt;0,"?",""))),"")</f>
        <v/>
      </c>
      <c r="AY38" s="127" cm="1">
        <f t="array" ref="AY38">IF(27=27,IF(AM38="","",SUMPRODUCT(--ISNUMBER(SEARCH(" "&amp;DJ217:DJ316&amp;" ",AS38)))),"")</f>
        <v>0</v>
      </c>
      <c r="AZ38" s="127" cm="1">
        <f t="array" ref="AZ38">IF(27=27,IF(AM38="","",SUMPRODUCT(--ISNUMBER(SEARCH(" "&amp;DJ317:DJ351&amp;" ",AS38)))),"")</f>
        <v>0</v>
      </c>
      <c r="BA38" s="127" t="str">
        <f>IF(27=27,IF(AM38="","",IF((SUM(AY38:AZ38))-(0)&gt;0,"X",IF((0)-(0)&gt;0,"?",""))),"")</f>
        <v/>
      </c>
      <c r="BB38" s="127" cm="1">
        <f t="array" ref="BB38">IF(27=27,IF(AM38="","",SUMPRODUCT(--ISNUMBER(SEARCH(" "&amp;DJ352:DJ409&amp;" ",AS38)))),"")</f>
        <v>0</v>
      </c>
      <c r="BC38" s="127" cm="1">
        <f t="array" ref="BC38">IF(27=27,IF(AM38="","",SUMPRODUCT(--ISNUMBER(SEARCH(" "&amp;DJ410:DJ437&amp;" ",BD38)))+SUMPRODUCT(--ISNUMBER(SEARCH(" "&amp;DJ2451:DJ2464&amp;" ",BD38)))),"")</f>
        <v>0</v>
      </c>
      <c r="BD38" s="127" t="str">
        <f>IF(27=27,IF(AM38="","",SUBSTITUTE(SUBSTITUTE(SUBSTITUTE(SUBSTITUTE(SUBSTITUTE(SUBSTITUTE(SUBSTITUTE(SUBSTITUTE(SUBSTITUTE(SUBSTITUTE(SUBSTITUTE(SUBSTITUTE(SUBSTITUTE(SUBSTITUTE(AS38," "&amp;DJ2466&amp;" "," ")," "&amp;DJ444&amp;" "," ")," "&amp;DJ442&amp;" "," ")," "&amp;DJ2449&amp;" "," ")," "&amp;DJ2450&amp;" "," ")," "&amp;DJ439&amp;" "," ")," "&amp;DJ443&amp;" "," ")," "&amp;DJ445&amp;" "," ")," "&amp;DJ440&amp;" "," ")," "&amp;DJ438&amp;" "," ")," "&amp;DJ1378&amp;" "," ")," "&amp;DJ446&amp;" "," ")," "&amp;DJ1377&amp;" "," ")," "&amp;DJ441&amp;" "," ")),"")</f>
        <v xml:space="preserve"> fourchette et placez au refrigerateur pendant la preparation </v>
      </c>
      <c r="BE38" s="127" t="str">
        <f>IF(27=27,IF(AM38="","",IF(BB38&gt;0,"X",IF(BC38&gt;0,"?",""))),"")</f>
        <v/>
      </c>
      <c r="BF38" s="127" cm="1">
        <f t="array" ref="BF38">IF(27=27,IF(AM38="","",SUMPRODUCT(--ISNUMBER(SEARCH(" "&amp;DJ447:DJ546&amp;" ",BP38)))),"")</f>
        <v>0</v>
      </c>
      <c r="BG38" s="127" cm="1">
        <f t="array" ref="BG38">IF(27=27,IF(AM38="","",SUMPRODUCT(--ISNUMBER(SEARCH(" "&amp;DJ547:DJ646&amp;" ",BP38)))),"")</f>
        <v>0</v>
      </c>
      <c r="BH38" s="127" cm="1">
        <f t="array" ref="BH38">IF(27=27,IF(AM38="","",SUMPRODUCT(--ISNUMBER(SEARCH(" "&amp;DJ647:DJ746&amp;" ",BP38)))),"")</f>
        <v>0</v>
      </c>
      <c r="BI38" s="127" cm="1">
        <f t="array" ref="BI38">IF(27=27,IF(AM38="","",SUMPRODUCT(--ISNUMBER(SEARCH(" "&amp;DJ747:DJ846&amp;" ",BP38)))),"")</f>
        <v>0</v>
      </c>
      <c r="BJ38" s="127" cm="1">
        <f t="array" ref="BJ38">IF(27=27,IF(AM38="","",SUMPRODUCT(--ISNUMBER(SEARCH(" "&amp;DJ847:DJ946&amp;" ",BP38)))),"")</f>
        <v>0</v>
      </c>
      <c r="BK38" s="127" cm="1">
        <f t="array" ref="BK38">IF(27=27,IF(AM38="","",SUMPRODUCT(--ISNUMBER(SEARCH(" "&amp;DJ947:DJ1046&amp;" ",BP38)))),"")</f>
        <v>0</v>
      </c>
      <c r="BL38" s="127" cm="1">
        <f t="array" ref="BL38">IF(27=27,IF(AM38="","",SUMPRODUCT(--ISNUMBER(SEARCH(" "&amp;DJ1047:DJ1146&amp;" ",BP38)))),"")</f>
        <v>0</v>
      </c>
      <c r="BM38" s="127" cm="1">
        <f t="array" ref="BM38">IF(27=27,IF(AM38="","",SUMPRODUCT(--ISNUMBER(SEARCH(" "&amp;DJ1147:DJ1246&amp;" ",BP38)))),"")</f>
        <v>0</v>
      </c>
      <c r="BN38" s="127" cm="1">
        <f t="array" ref="BN38">IF(27=27,IF(AM38="","",SUMPRODUCT(--ISNUMBER(SEARCH(" "&amp;DJ1247:DJ1346&amp;" ",BP38)))),"")</f>
        <v>0</v>
      </c>
      <c r="BO38" s="127" cm="1">
        <f t="array" ref="BO38">IF(27=27,IF(AM38="","",SUMPRODUCT(--ISNUMBER(SEARCH(" "&amp;DJ1347:DJ1374&amp;" ",BP38)))),"")</f>
        <v>0</v>
      </c>
      <c r="BP38" s="127" t="str">
        <f>IF(27=27,IF(AM38="","",SUBSTITUTE(SUBSTITUTE(SUBSTITUTE(SUBSTITUTE(SUBSTITUTE(SUBSTITUTE(SUBSTITUTE(SUBSTITUTE(SUBSTITUTE(AS38," "&amp;DJ1376&amp;" "," ")," "&amp;DJ1375&amp;" "," ")," "&amp;DJ1381&amp;" "," ")," "&amp;DJ1382&amp;" "," ")," "&amp;DJ1378&amp;" "," ")," "&amp;DJ1380&amp;" "," ")," "&amp;DJ1377&amp;" "," ")," "&amp;DJ1379&amp;" "," ")," "&amp;DJ1383&amp;" "," ")),"")</f>
        <v xml:space="preserve"> fourchette et placez au refrigerateur pendant la preparation </v>
      </c>
      <c r="BQ38" s="127" cm="1">
        <f t="array" ref="BQ38">IF(27=27,IF(AM38="","",SUMPRODUCT(--ISNUMBER(SEARCH(" "&amp;DJ1384:DJ1394&amp;" ",BP38)))),"")</f>
        <v>0</v>
      </c>
      <c r="BR38" s="127" t="str" cm="1">
        <f t="array" ref="BR38">IF(27=27,IF(AM38="","",IF(SUM(BF38:BO38)+SUMPRODUCT(--ISNUMBER(SEARCH(" "&amp;DJ2432:DJ2433&amp;" ",BP38)))&gt;0,"X",IF(BQ38&gt;0,"?",""))),"")</f>
        <v/>
      </c>
      <c r="BS38" s="127" cm="1">
        <f t="array" ref="BS38">IF(27=27,IF(AM38="","",SUMPRODUCT(--ISNUMBER(SEARCH(" "&amp;DJ1395:DJ1415&amp;" ",AS38)))),"")</f>
        <v>0</v>
      </c>
      <c r="BT38" s="127" t="str">
        <f>IF(27=27,IF(AM38="","",IF((BS38)-(0)&gt;0,"X",IF((0)-(0)&gt;0,"?",""))),"")</f>
        <v/>
      </c>
      <c r="BU38" s="127" cm="1">
        <f t="array" ref="BU38">IF(27=27,IF(AM38="","",SUMPRODUCT(--ISNUMBER(SEARCH(" "&amp;DJ1416:DJ1453&amp;" ",BV38)))),"")</f>
        <v>0</v>
      </c>
      <c r="BV38" s="127" t="str">
        <f>IF(27=27,IF(AM38="","",SUBSTITUTE(SUBSTITUTE(AS38," "&amp;DJ1454&amp;" "," ")," "&amp;DJ1455&amp;" "," ")),"")</f>
        <v xml:space="preserve"> fourchette et placez au refrigerateur pendant la preparation </v>
      </c>
      <c r="BW38" s="127" cm="1">
        <f t="array" ref="BW38">IF(27=27,IF(AM38="","",SUMPRODUCT(--ISNUMBER(SEARCH(" "&amp;DJ1456:DJ1466&amp;" ",BV38)))),"")</f>
        <v>0</v>
      </c>
      <c r="BX38" s="127" t="str">
        <f>IF(27=27,IF(AM38="","",IF(BU38&gt;0,"X",IF(BW38&gt;0,"?",""))),"")</f>
        <v/>
      </c>
      <c r="BY38" s="127" cm="1">
        <f t="array" ref="BY38">IF(27=27,IF(AM38="","",SUMPRODUCT(--ISNUMBER(SEARCH(" "&amp;DJ1467:DJ1566&amp;" ",CB38)))),"")</f>
        <v>0</v>
      </c>
      <c r="BZ38" s="127" cm="1">
        <f t="array" ref="BZ38">IF(27=27,IF(AM38="","",SUMPRODUCT(--ISNUMBER(SEARCH(" "&amp;DJ1567:DJ1666&amp;" ",CB38)))),"")</f>
        <v>0</v>
      </c>
      <c r="CA38" s="127" cm="1">
        <f t="array" ref="CA38">IF(27=27,IF(AM38="","",SUMPRODUCT(--ISNUMBER(SEARCH(" "&amp;DJ1667:DJ1750&amp;" ",CB38)))),"")</f>
        <v>0</v>
      </c>
      <c r="CB38" s="127" t="str">
        <f>IF(27=27,IF(AM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fourchette et placez au refrigerateur pendant la preparation </v>
      </c>
      <c r="CC38" s="127" cm="1">
        <f t="array" ref="CC38">IF(27=27,IF(AM38="","",SUMPRODUCT(--ISNUMBER(SEARCH(" "&amp;DJ1801:DJ1880&amp;" ",CD38)))+SUMPRODUCT(--ISNUMBER(SEARCH(" "&amp;DJ2451:DJ2464&amp;" ",CD38)))),"")</f>
        <v>0</v>
      </c>
      <c r="CD38" s="127" t="str">
        <f>IF(27=27,IF(AM38="","",SUBSTITUTE(SUBSTITUTE(SUBSTITUTE(SUBSTITUTE(SUBSTITUTE(SUBSTITUTE(SUBSTITUTE(SUBSTITUTE(SUBSTITUTE(SUBSTITUTE(SUBSTITUTE(SUBSTITUTE(SUBSTITUTE(CB38," "&amp;DJ1887&amp;" "," ")," "&amp;DJ1885&amp;" "," ")," "&amp;DJ2449&amp;" "," ")," "&amp;DJ2450&amp;" "," ")," "&amp;DJ1882&amp;" "," ")," "&amp;DJ1886&amp;" "," ")," "&amp;DJ1888&amp;" "," ")," "&amp;DJ1883&amp;" "," ")," "&amp;DJ1881&amp;" "," ")," "&amp;DJ1378&amp;" "," ")," "&amp;DJ1889&amp;" "," ")," "&amp;DJ1377&amp;" "," ")," "&amp;DJ1884&amp;" "," ")),"")</f>
        <v xml:space="preserve"> fourchette et placez au refrigerateur pendant la preparation </v>
      </c>
      <c r="CE38" s="127" t="str" cm="1">
        <f t="array" ref="CE38">IF(27=27,IF(AM38="","",IF(SUM(BY38:CA38)+SUMPRODUCT(--ISNUMBER(SEARCH(" "&amp;DJ2434:DJ2435&amp;" ",CB38)))&gt;0,"X",IF(CC38&gt;0,"?",""))),"")</f>
        <v/>
      </c>
      <c r="CF38" s="127" cm="1">
        <f t="array" ref="CF38">IF(27=27,IF(AM38="","",SUMPRODUCT(--ISNUMBER(SEARCH(" "&amp;DJ1890:DJ1947&amp;" ",CG38)))),"")</f>
        <v>0</v>
      </c>
      <c r="CG38" s="127" t="str">
        <f>IF(27=27,IF(AM38="","",SUBSTITUTE(SUBSTITUTE(SUBSTITUTE(SUBSTITUTE(SUBSTITUTE(SUBSTITUTE(SUBSTITUTE(SUBSTITUTE(SUBSTITUTE(SUBSTITUTE(SUBSTITUTE(SUBSTITUTE(SUBSTITUTE(SUBSTITUTE(SUBSTITUTE(SUBSTITUTE(SUBSTITUTE(SUBSTITUTE(SUBSTITUTE(SUBSTITUTE(SUBSTITUTE(SUBSTITUTE(SUBSTITUTE(AS38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fourchette et placez au refrigerateur pendant la preparation </v>
      </c>
      <c r="CH38" s="127" cm="1">
        <f t="array" ref="CH38">IF(27=27,IF(AM38="","",SUMPRODUCT(--ISNUMBER(SEARCH(" "&amp;DJ1971:DJ1987&amp;" ",CG38)))),"")</f>
        <v>0</v>
      </c>
      <c r="CI38" s="127" t="str">
        <f>IF(27=27,IF(AM38="","",IF(CF38&gt;0,"X",IF(CH38&gt;0,"?",""))),"")</f>
        <v/>
      </c>
      <c r="CJ38" s="127" cm="1">
        <f t="array" ref="CJ38">IF(27=27,IF(AM38="","",SUMPRODUCT(--ISNUMBER(SEARCH(" "&amp;DJ1988:DJ2001&amp;" ",AS38)))),"")</f>
        <v>0</v>
      </c>
      <c r="CK38" s="127" cm="1">
        <f t="array" ref="CK38">IF(27=27,IF(AM38="","",SUMPRODUCT(--ISNUMBER(SEARCH(" "&amp;DJ2002:DJ2016&amp;" ",AS38)))),"")</f>
        <v>0</v>
      </c>
      <c r="CL38" s="127" t="str">
        <f>IF(27=27,IF(AM38="","",IF((CJ38)-(0)&gt;0,"X",IF((CK38)-(0)&gt;0,"?",""))),"")</f>
        <v/>
      </c>
      <c r="CM38" s="127" cm="1">
        <f t="array" ref="CM38">IF(27=27,IF(AM38="","",SUMPRODUCT(--ISNUMBER(SEARCH(" "&amp;DJ2017:DJ2034&amp;" ",AS38)))),"")</f>
        <v>0</v>
      </c>
      <c r="CN38" s="127" cm="1">
        <f t="array" ref="CN38">IF(27=27,IF(AM38="","",SUMPRODUCT(--ISNUMBER(SEARCH(" "&amp;DJ2035:DJ2049&amp;" ",AS38)))),"")</f>
        <v>0</v>
      </c>
      <c r="CO38" s="127" t="str">
        <f>IF(27=27,IF(AM38="","",IF((CM38)-(0)&gt;0,"X",IF((CN38)-(0)&gt;0,"?",""))),"")</f>
        <v/>
      </c>
      <c r="CP38" s="127" cm="1">
        <f t="array" ref="CP38">IF(27=27,IF(AM38="","",SUMPRODUCT(--ISNUMBER(SEARCH(" "&amp;DJ2050:DJ2068&amp;" ",AS38)))),"")</f>
        <v>0</v>
      </c>
      <c r="CQ38" s="127" cm="1">
        <f t="array" ref="CQ38">IF(27=27,IF(AM38="","",SUMPRODUCT(--ISNUMBER(SEARCH(" "&amp;DJ2069:DJ2083&amp;" ",AS38)))),"")</f>
        <v>0</v>
      </c>
      <c r="CR38" s="127" t="str">
        <f>IF(27=27,IF(AM38="","",IF((CP38)-(0)&gt;0,"X",IF((CQ38)-(0)&gt;0,"?",""))),"")</f>
        <v/>
      </c>
      <c r="CS38" s="127" cm="1">
        <f t="array" ref="CS38">IF(27=27,IF(AM38="","",SUMPRODUCT(--ISNUMBER(SEARCH(" "&amp;DJ2084:DJ2104&amp;" ",AS38)))),"")</f>
        <v>0</v>
      </c>
      <c r="CT38" s="127" cm="1">
        <f t="array" ref="CT38">IF(27=27,IF(AM38="","",SUMPRODUCT(--ISNUMBER(SEARCH(" "&amp;DJ2105:DJ2144&amp;" ",SUBSTITUTE(SUBSTITUTE(AS38," "&amp;DJ1378&amp;" "," ")," "&amp;DJ1377&amp;" "," "))))+--ISNUMBER(SEARCH("poiré",AN38))),"")</f>
        <v>0</v>
      </c>
      <c r="CU38" s="127" t="str">
        <f>IF(27=27,IF(AM38="","",IF(OR(CS38&gt;0,ISNUMBER(SEARCH(" vinaigre de vin ",AS38)),ISNUMBER(SEARCH(" vinaigre au vin ",AS38))),"X",IF(CT38&gt;0,"?",""))),"")</f>
        <v/>
      </c>
      <c r="CV38" s="127" cm="1">
        <f t="array" ref="CV38">IF(27=27,IF(AM38="","",SUMPRODUCT(--ISNUMBER(SEARCH(" "&amp;DJ2145:DJ2157&amp;" ",AS38)))),"")</f>
        <v>0</v>
      </c>
      <c r="CW38" s="127" cm="1">
        <f t="array" ref="CW38">IF(27=27,IF(AM38="","",SUMPRODUCT(--ISNUMBER(SEARCH(" "&amp;DJ2158:DJ2163&amp;" ",AS38)))),"")</f>
        <v>0</v>
      </c>
      <c r="CX38" s="127" t="str">
        <f>IF(27=27,IF(AM38="","",IF((CV38)-(0)&gt;0,"X",IF((CW38)-(0)&gt;0,"?",""))),"")</f>
        <v/>
      </c>
      <c r="CY38" s="127" cm="1">
        <f t="array" ref="CY38">IF(27=27,IF(AM38="","",SUMPRODUCT(--ISNUMBER(SEARCH(" "&amp;DJ2164:DJ2263&amp;" ",DB38)))),"")</f>
        <v>0</v>
      </c>
      <c r="CZ38" s="127" cm="1">
        <f t="array" ref="CZ38">IF(27=27,IF(AM38="","",SUMPRODUCT(--ISNUMBER(SEARCH(" "&amp;DJ2264:DJ2363&amp;" ",DB38)))),"")</f>
        <v>0</v>
      </c>
      <c r="DA38" s="127" cm="1">
        <f t="array" ref="DA38">IF(27=27,IF(AM38="","",SUMPRODUCT(--ISNUMBER(SEARCH(" "&amp;DJ2364:DJ2406&amp;" ",DB38)))),"")</f>
        <v>0</v>
      </c>
      <c r="DB38" s="127" t="str">
        <f>IF(27=27,IF(AM38="","",SUBSTITUTE(SUBSTITUTE(SUBSTITUTE(SUBSTITUTE(SUBSTITUTE(SUBSTITUTE(SUBSTITUTE(SUBSTITUTE(SUBSTITUTE(SUBSTITUTE(SUBSTITUTE(SUBSTITUTE(SUBSTITUTE(SUBSTITUTE(SUBSTITUTE(SUBSTITUTE(AS38," "&amp;DJ2412&amp;" "," ")," "&amp;DJ2411&amp;" "," ")," "&amp;DJ2410&amp;" "," ")," "&amp;DJ2417&amp;" "," ")," "&amp;DJ2409&amp;" "," ")," "&amp;DJ2421&amp;" "," ")," "&amp;DJ2408&amp;" "," ")," "&amp;DJ2413&amp;" "," ")," "&amp;DJ2416&amp;" "," ")," "&amp;DJ2407&amp;" "," ")," "&amp;DJ2415&amp;" "," ")," "&amp;DJ2422&amp;" "," ")," "&amp;DJ2419&amp;" "," ")," "&amp;DJ2414&amp;" "," ")," "&amp;DJ2418&amp;" "," ")," "&amp;DJ2420&amp;" "," ")),"")</f>
        <v xml:space="preserve"> fourchette et placez au refrigerateur pendant la preparation </v>
      </c>
      <c r="DC38" s="127" cm="1">
        <f t="array" ref="DC38">IF(27=27,IF(AM38="","",SUMPRODUCT(--ISNUMBER(SEARCH(" "&amp;DJ2423:DJ2427&amp;" ",DB38)))),"")</f>
        <v>0</v>
      </c>
      <c r="DD38" s="127" t="str">
        <f>IF(27=27,IF(AM38="","",IF(SUM(CY38:DA38)&gt;0,"X",IF(DC38&gt;0,"?",""))),"")</f>
        <v/>
      </c>
      <c r="DE38" s="152"/>
      <c r="DF38" s="160" t="s">
        <v>706</v>
      </c>
      <c r="DG38" s="160" t="s">
        <v>584</v>
      </c>
      <c r="DH38" s="160" t="s">
        <v>125</v>
      </c>
      <c r="DI38" s="160" t="s">
        <v>707</v>
      </c>
      <c r="DJ38" s="160" t="s">
        <v>708</v>
      </c>
      <c r="DK38" s="160" t="s">
        <v>588</v>
      </c>
      <c r="DL38" s="160" t="s">
        <v>589</v>
      </c>
      <c r="DM38" s="160" t="s">
        <v>590</v>
      </c>
      <c r="DN38" s="161" t="s">
        <v>591</v>
      </c>
      <c r="DP38" s="130">
        <v>1</v>
      </c>
    </row>
    <row r="39" spans="2:120" ht="30" customHeight="1">
      <c r="B39" s="165" t="str">
        <f t="shared" si="0"/>
        <v>7. Enfournez pendant 30 minutes jusqu’à ce que la tarte soit dorée.</v>
      </c>
      <c r="C39" s="165" t="str">
        <f t="shared" si="1"/>
        <v>7 Enfournez pendant 30 minutes jusqu’à ce que la tarte soit dorée</v>
      </c>
      <c r="D39" s="165" t="str">
        <f>IF(UPPER(TRIM(N11))="X",C39,B39)</f>
        <v>7. Enfournez pendant 30 minutes jusqu’à ce que la tarte soit dorée.</v>
      </c>
      <c r="E39" s="165" cm="1">
        <f t="array" ref="E39">IF(H38&lt;&gt;"",E38,IF(E38="","",IFERROR(MATCH(TRUE(),INDEX(INDEX(K:K,E38+1):K203&lt;&gt;"",0),0)+E38,"")))</f>
        <v>35</v>
      </c>
      <c r="F39" s="165" t="str" cm="1">
        <f t="array" ref="F39">IF(E39="","",IF(H38&lt;&gt;"",H38,INDEX(D:D,E39)))</f>
        <v>3. Épluchez, épépinez et coupez les pommes en tranches épaisses. Disposez-les joliment sur le fond de tarte.</v>
      </c>
      <c r="G39" s="165" t="str">
        <f t="shared" si="2"/>
        <v xml:space="preserve">3. Épluchez, épépinez et coupez les pommes en tranches épaisses. Disposez-les </v>
      </c>
      <c r="H39" s="174" t="str">
        <f t="shared" si="3"/>
        <v>joliment sur le fond de tarte.</v>
      </c>
      <c r="I39" s="184" t="str">
        <f>IF(AND(F39&lt;&gt;"",N10&gt;0,M39&gt;N10),"Mot &gt; limite","")</f>
        <v/>
      </c>
      <c r="J39" s="175">
        <f>IF(K39="","",COUNTIF(K18:K39,"&lt;&gt;"))</f>
        <v>22</v>
      </c>
      <c r="K39" s="111" t="s">
        <v>414</v>
      </c>
      <c r="L39" s="175">
        <f t="shared" si="4"/>
        <v>67</v>
      </c>
      <c r="M39" s="135">
        <f>IF(OR(F39="",N10="",N10&lt;=0),"",IF(LEN(F39)&lt;=N10,LEN(F39),IFERROR(FIND("♦",SUBSTITUTE(LEFT(F39,N10)," ","♦",LEN(LEFT(F39,N10))-LEN(SUBSTITUTE(LEFT(F39,N10)," ","")))),FIND(" ",F39&amp;" ",N10+1)-1)))</f>
        <v>78</v>
      </c>
      <c r="N39" s="176">
        <f t="shared" si="5"/>
        <v>22</v>
      </c>
      <c r="O39" s="177" t="str">
        <f t="shared" si="6"/>
        <v xml:space="preserve">3. Épluchez, épépinez et coupez les pommes en tranches épaisses. Disposez-les </v>
      </c>
      <c r="P39" s="176">
        <f t="shared" si="7"/>
        <v>11</v>
      </c>
      <c r="Q39" s="176">
        <f t="shared" si="8"/>
        <v>78</v>
      </c>
      <c r="S39" s="178">
        <v>22</v>
      </c>
      <c r="T39" s="179" t="str">
        <f t="shared" si="10"/>
        <v xml:space="preserve">3. Épluchez, épépinez et coupez les pommes en tranches épaisses. Disposez-les </v>
      </c>
      <c r="U39" s="180" t="str">
        <f t="shared" si="9"/>
        <v>3. Épluchez, épépinez et coupez les pommes en tranches épaisses. Disposez-les</v>
      </c>
      <c r="V39" s="181" t="str">
        <f>IF(28=28,IF(T39="","",IF(W39="X",""&amp;"Céréales contenant du gluten","")&amp;IF(X39="X",IF(COUNTIF(W39:W39,"X")&gt;0,", ","")&amp;"Crustacés","")&amp;IF(Y39="X",IF(COUNTIF(W39:X39,"X")&gt;0,", ","")&amp;"Œufs","")&amp;IF(Z39="X",IF(COUNTIF(W39:Y39,"X")&gt;0,", ","")&amp;"Poissons","")&amp;IF(AA39="X",IF(COUNTIF(W39:Z39,"X")&gt;0,", ","")&amp;"Arachides","")&amp;IF(AB39="X",IF(COUNTIF(W39:AA39,"X")&gt;0,", ","")&amp;"Soja","")&amp;IF(AC39="X",IF(COUNTIF(W39:AB39,"X")&gt;0,", ","")&amp;"Lait","")&amp;IF(AD39="X",IF(COUNTIF(W39:AC39,"X")&gt;0,", ","")&amp;"Fruits à coque","")&amp;IF(AE39="X",IF(COUNTIF(W39:AD39,"X")&gt;0,", ","")&amp;"Céleri","")&amp;IF(AF39="X",IF(COUNTIF(W39:AE39,"X")&gt;0,", ","")&amp;"Moutarde","")&amp;IF(AG39="X",IF(COUNTIF(W39:AF39,"X")&gt;0,", ","")&amp;"Sésame","")&amp;IF(AH39="X",IF(COUNTIF(W39:AG39,"X")&gt;0,", ","")&amp;"Sulfites","")&amp;IF(AI39="X",IF(COUNTIF(W39:AH39,"X")&gt;0,", ","")&amp;"Lupin","")&amp;IF(AJ39="X",IF(COUNTIF(W39:AI39,"X")&gt;0,", ","")&amp;"Mollusques","")),"")</f>
        <v/>
      </c>
      <c r="W39" s="182" t="str">
        <f>IF(28=28,IF(T39="","",AX39),"")</f>
        <v/>
      </c>
      <c r="X39" s="182" t="str">
        <f>IF(28=28,IF(T39="","",BA39),"")</f>
        <v/>
      </c>
      <c r="Y39" s="182" t="str">
        <f>IF(28=28,IF(T39="","",BE39),"")</f>
        <v/>
      </c>
      <c r="Z39" s="182" t="str">
        <f>IF(28=28,IF(T39="","",IF(ISNUMBER(SEARCH(" colin ",AS39)),"X",BR39)),"")</f>
        <v/>
      </c>
      <c r="AA39" s="182" t="str">
        <f>IF(28=28,IF(T39="","",BT39),"")</f>
        <v/>
      </c>
      <c r="AB39" s="182" t="str">
        <f>IF(28=28,IF(T39="","",BX39),"")</f>
        <v/>
      </c>
      <c r="AC39" s="182" t="str">
        <f>IF(28=28,IF(T39="","",CE39),"")</f>
        <v/>
      </c>
      <c r="AD39" s="182" t="str">
        <f>IF(28=28,IF(T39="","",CI39),"")</f>
        <v/>
      </c>
      <c r="AE39" s="182" t="str">
        <f>IF(28=28,IF(T39="","",CL39),"")</f>
        <v/>
      </c>
      <c r="AF39" s="182" t="str">
        <f>IF(28=28,IF(T39="","",CO39),"")</f>
        <v/>
      </c>
      <c r="AG39" s="182" t="str">
        <f>IF(28=28,IF(T39="","",CR39),"")</f>
        <v/>
      </c>
      <c r="AH39" s="182" t="str">
        <f>IF(28=28,IF(T39="","",CU39),"")</f>
        <v/>
      </c>
      <c r="AI39" s="182" t="str">
        <f>IF(28=28,IF(T39="","",CX39),"")</f>
        <v/>
      </c>
      <c r="AJ39" s="182" t="str">
        <f>IF(28=28,IF(T39="","",DD39),"")</f>
        <v/>
      </c>
      <c r="AK39" s="183" t="str">
        <f>IF(28=28,IF(T39="","",IF(W39="?",""&amp;"Céréales contenant du gluten","")&amp;IF(X39="?",IF(COUNTIF(W39:W39,"~?")&gt;0,", ","")&amp;"Crustacés","")&amp;IF(Y39="?",IF(COUNTIF(W39:X39,"~?")&gt;0,", ","")&amp;"Œufs","")&amp;IF(Z39="?",IF(COUNTIF(W39:Y39,"~?")&gt;0,", ","")&amp;"Poissons","")&amp;IF(AA39="?",IF(COUNTIF(W39:Z39,"~?")&gt;0,", ","")&amp;"Arachides","")&amp;IF(AB39="?",IF(COUNTIF(W39:AA39,"~?")&gt;0,", ","")&amp;"Soja","")&amp;IF(AC39="?",IF(COUNTIF(W39:AB39,"~?")&gt;0,", ","")&amp;"Lait","")&amp;IF(AD39="?",IF(COUNTIF(W39:AC39,"~?")&gt;0,", ","")&amp;"Fruits à coque","")&amp;IF(AE39="?",IF(COUNTIF(W39:AD39,"~?")&gt;0,", ","")&amp;"Céleri","")&amp;IF(AF39="?",IF(COUNTIF(W39:AE39,"~?")&gt;0,", ","")&amp;"Moutarde","")&amp;IF(AG39="?",IF(COUNTIF(W39:AF39,"~?")&gt;0,", ","")&amp;"Sésame","")&amp;IF(AH39="?",IF(COUNTIF(W39:AG39,"~?")&gt;0,", ","")&amp;"Sulfites","")&amp;IF(AI39="?",IF(COUNTIF(W39:AH39,"~?")&gt;0,", ","")&amp;"Lupin","")&amp;IF(AJ39="?",IF(COUNTIF(W39:AI39,"~?")&gt;0,", ","")&amp;"Mollusques","")),"")</f>
        <v/>
      </c>
      <c r="AM39" s="127" t="str">
        <f>IF(28=28,IF(T39="","",T39),"")</f>
        <v xml:space="preserve">3. Épluchez, épépinez et coupez les pommes en tranches épaisses. Disposez-les </v>
      </c>
      <c r="AN39" s="127" t="str">
        <f>IF(28=28,LOWER(CLEAN(SUBSTITUTE(SUBSTITUTE(SUBSTITUTE(SUBSTITUTE(AM39,CHAR(160)," ")," "," "),CHAR(10)," "),CHAR(13)," "))),"")</f>
        <v xml:space="preserve">3. épluchez, épépinez et coupez les pommes en tranches épaisses. disposez-les </v>
      </c>
      <c r="AO39" s="127" t="str">
        <f>IF(28=28,SUBSTITUTE(SUBSTITUTE(SUBSTITUTE(SUBSTITUTE(SUBSTITUTE(SUBSTITUTE(SUBSTITUTE(SUBSTITUTE(SUBSTITUTE(SUBSTITUTE(SUBSTITUTE(SUBSTITUTE(AN39,"œ","oe"),"æ","ae"),"à","a"),"á","a"),"â","a"),"ä","a"),"ã","a"),"ç","c"),"è","e"),"é","e"),"ê","e"),"ë","e"),"")</f>
        <v xml:space="preserve">3. epluchez, epepinez et coupez les pommes en tranches epaisses. disposez-les </v>
      </c>
      <c r="AP39" s="127" t="str">
        <f>IF(28=28,SUBSTITUTE(SUBSTITUTE(SUBSTITUTE(SUBSTITUTE(SUBSTITUTE(SUBSTITUTE(SUBSTITUTE(SUBSTITUTE(SUBSTITUTE(SUBSTITUTE(SUBSTITUTE(SUBSTITUTE(SUBSTITUTE(SUBSTITUTE(SUBSTITUTE(SUBSTITUTE(AO39,"ì","i"),"í","i"),"î","i"),"ï","i"),"ñ","n"),"ò","o"),"ó","o"),"ô","o"),"ö","o"),"õ","o"),"ù","u"),"ú","u"),"û","u"),"ü","u"),"ý","y"),"ÿ","y"),"")</f>
        <v xml:space="preserve">3. epluchez, epepinez et coupez les pommes en tranches epaisses. disposez-les </v>
      </c>
      <c r="AQ39" s="127" t="str">
        <f>IF(28=28,SUBSTITUTE(SUBSTITUTE(SUBSTITUTE(SUBSTITUTE(SUBSTITUTE(SUBSTITUTE(SUBSTITUTE(SUBSTITUTE(SUBSTITUTE(SUBSTITUTE(SUBSTITUTE(SUBSTITUTE(SUBSTITUTE(SUBSTITUTE(AP39,"’"," "),"`"," "),"–"," "),"—"," "),"-"," "),"'"," "),"/"," "),"_"," "),","," "),"."," "),"("," "),")"," "),";"," "),":"," "),"")</f>
        <v xml:space="preserve">3  epluchez  epepinez et coupez les pommes en tranches epaisses  disposez les </v>
      </c>
      <c r="AR39" s="127" t="str">
        <f>IF(28=28,SUBSTITUTE(SUBSTITUTE(SUBSTITUTE(SUBSTITUTE(SUBSTITUTE(SUBSTITUTE(SUBSTITUTE(SUBSTITUTE(SUBSTITUTE(SUBSTITUTE(SUBSTITUTE(SUBSTITUTE(SUBSTITUTE(SUBSTITUTE(SUBSTITUTE(AQ39,"!"," "),"?"," "),"+"," "),"*"," "),"&amp;"," "),"["," "),"]"," "),"{"," "),"}"," "),"%"," "),"="," "),"\"," "),"|"," "),"&lt;"," "),"&gt;"," "),"")</f>
        <v xml:space="preserve">3  epluchez  epepinez et coupez les pommes en tranches epaisses  disposez les </v>
      </c>
      <c r="AS39" s="127" t="str">
        <f>IF(28=28," "&amp;TRIM(SUBSTITUTE(SUBSTITUTE(SUBSTITUTE(SUBSTITUTE(SUBSTITUTE(SUBSTITUTE(AR39,CHAR(34)," "),"  "," "),"  "," "),"  "," "),"  "," "),"  "," "))&amp;" ","")</f>
        <v xml:space="preserve"> 3 epluchez epepinez et coupez les pommes en tranches epaisses disposez les </v>
      </c>
      <c r="AT39" s="127" cm="1">
        <f t="array" ref="AT39">IF(28=28,IF(AM39="","",SUMPRODUCT(--ISNUMBER(SEARCH(" "&amp;DJ13:DJ112&amp;" ",AV39)))),"")</f>
        <v>0</v>
      </c>
      <c r="AU39" s="127" cm="1">
        <f t="array" ref="AU39">IF(28=28,IF(AM39="","",SUMPRODUCT(--ISNUMBER(SEARCH(" "&amp;DJ113:DJ162&amp;" ",AV39)))),"")</f>
        <v>0</v>
      </c>
      <c r="AV39" s="127" t="str">
        <f>IF(AM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3 epluchez epepinez et coupez les pommes en tranches epaisses disposez les </v>
      </c>
      <c r="AW39" s="127" cm="1">
        <f t="array" ref="AW39">IF(AM39="","",SUMPRODUCT(--ISNUMBER(SEARCH(" "&amp;DJ195:DJ216&amp;" ",AV39)))+--ISNUMBER(SEARCH(" "&amp;DJ2465&amp;" ",AV39)))</f>
        <v>0</v>
      </c>
      <c r="AX39" s="127" t="str" cm="1">
        <f t="array" ref="AX39">IF(28=28,IF(AM39="","",IF(SUM(AT39:AU39)+SUMPRODUCT(--ISNUMBER(SEARCH(" "&amp;DJ2429:DJ2431&amp;" ",AV39)))&gt;0,"X",IF(AW39&gt;0,"?",""))),"")</f>
        <v/>
      </c>
      <c r="AY39" s="127" cm="1">
        <f t="array" ref="AY39">IF(28=28,IF(AM39="","",SUMPRODUCT(--ISNUMBER(SEARCH(" "&amp;DJ217:DJ316&amp;" ",AS39)))),"")</f>
        <v>0</v>
      </c>
      <c r="AZ39" s="127" cm="1">
        <f t="array" ref="AZ39">IF(28=28,IF(AM39="","",SUMPRODUCT(--ISNUMBER(SEARCH(" "&amp;DJ317:DJ351&amp;" ",AS39)))),"")</f>
        <v>0</v>
      </c>
      <c r="BA39" s="127" t="str">
        <f>IF(28=28,IF(AM39="","",IF((SUM(AY39:AZ39))-(0)&gt;0,"X",IF((0)-(0)&gt;0,"?",""))),"")</f>
        <v/>
      </c>
      <c r="BB39" s="127" cm="1">
        <f t="array" ref="BB39">IF(28=28,IF(AM39="","",SUMPRODUCT(--ISNUMBER(SEARCH(" "&amp;DJ352:DJ409&amp;" ",AS39)))),"")</f>
        <v>0</v>
      </c>
      <c r="BC39" s="127" cm="1">
        <f t="array" ref="BC39">IF(28=28,IF(AM39="","",SUMPRODUCT(--ISNUMBER(SEARCH(" "&amp;DJ410:DJ437&amp;" ",BD39)))+SUMPRODUCT(--ISNUMBER(SEARCH(" "&amp;DJ2451:DJ2464&amp;" ",BD39)))),"")</f>
        <v>0</v>
      </c>
      <c r="BD39" s="127" t="str">
        <f>IF(28=28,IF(AM39="","",SUBSTITUTE(SUBSTITUTE(SUBSTITUTE(SUBSTITUTE(SUBSTITUTE(SUBSTITUTE(SUBSTITUTE(SUBSTITUTE(SUBSTITUTE(SUBSTITUTE(SUBSTITUTE(SUBSTITUTE(SUBSTITUTE(SUBSTITUTE(AS39," "&amp;DJ2466&amp;" "," ")," "&amp;DJ444&amp;" "," ")," "&amp;DJ442&amp;" "," ")," "&amp;DJ2449&amp;" "," ")," "&amp;DJ2450&amp;" "," ")," "&amp;DJ439&amp;" "," ")," "&amp;DJ443&amp;" "," ")," "&amp;DJ445&amp;" "," ")," "&amp;DJ440&amp;" "," ")," "&amp;DJ438&amp;" "," ")," "&amp;DJ1378&amp;" "," ")," "&amp;DJ446&amp;" "," ")," "&amp;DJ1377&amp;" "," ")," "&amp;DJ441&amp;" "," ")),"")</f>
        <v xml:space="preserve"> 3 epluchez epepinez et coupez les pommes en tranches epaisses disposez les </v>
      </c>
      <c r="BE39" s="127" t="str">
        <f>IF(28=28,IF(AM39="","",IF(BB39&gt;0,"X",IF(BC39&gt;0,"?",""))),"")</f>
        <v/>
      </c>
      <c r="BF39" s="127" cm="1">
        <f t="array" ref="BF39">IF(28=28,IF(AM39="","",SUMPRODUCT(--ISNUMBER(SEARCH(" "&amp;DJ447:DJ546&amp;" ",BP39)))),"")</f>
        <v>0</v>
      </c>
      <c r="BG39" s="127" cm="1">
        <f t="array" ref="BG39">IF(28=28,IF(AM39="","",SUMPRODUCT(--ISNUMBER(SEARCH(" "&amp;DJ547:DJ646&amp;" ",BP39)))),"")</f>
        <v>0</v>
      </c>
      <c r="BH39" s="127" cm="1">
        <f t="array" ref="BH39">IF(28=28,IF(AM39="","",SUMPRODUCT(--ISNUMBER(SEARCH(" "&amp;DJ647:DJ746&amp;" ",BP39)))),"")</f>
        <v>0</v>
      </c>
      <c r="BI39" s="127" cm="1">
        <f t="array" ref="BI39">IF(28=28,IF(AM39="","",SUMPRODUCT(--ISNUMBER(SEARCH(" "&amp;DJ747:DJ846&amp;" ",BP39)))),"")</f>
        <v>0</v>
      </c>
      <c r="BJ39" s="127" cm="1">
        <f t="array" ref="BJ39">IF(28=28,IF(AM39="","",SUMPRODUCT(--ISNUMBER(SEARCH(" "&amp;DJ847:DJ946&amp;" ",BP39)))),"")</f>
        <v>0</v>
      </c>
      <c r="BK39" s="127" cm="1">
        <f t="array" ref="BK39">IF(28=28,IF(AM39="","",SUMPRODUCT(--ISNUMBER(SEARCH(" "&amp;DJ947:DJ1046&amp;" ",BP39)))),"")</f>
        <v>0</v>
      </c>
      <c r="BL39" s="127" cm="1">
        <f t="array" ref="BL39">IF(28=28,IF(AM39="","",SUMPRODUCT(--ISNUMBER(SEARCH(" "&amp;DJ1047:DJ1146&amp;" ",BP39)))),"")</f>
        <v>0</v>
      </c>
      <c r="BM39" s="127" cm="1">
        <f t="array" ref="BM39">IF(28=28,IF(AM39="","",SUMPRODUCT(--ISNUMBER(SEARCH(" "&amp;DJ1147:DJ1246&amp;" ",BP39)))),"")</f>
        <v>0</v>
      </c>
      <c r="BN39" s="127" cm="1">
        <f t="array" ref="BN39">IF(28=28,IF(AM39="","",SUMPRODUCT(--ISNUMBER(SEARCH(" "&amp;DJ1247:DJ1346&amp;" ",BP39)))),"")</f>
        <v>0</v>
      </c>
      <c r="BO39" s="127" cm="1">
        <f t="array" ref="BO39">IF(28=28,IF(AM39="","",SUMPRODUCT(--ISNUMBER(SEARCH(" "&amp;DJ1347:DJ1374&amp;" ",BP39)))),"")</f>
        <v>0</v>
      </c>
      <c r="BP39" s="127" t="str">
        <f>IF(28=28,IF(AM39="","",SUBSTITUTE(SUBSTITUTE(SUBSTITUTE(SUBSTITUTE(SUBSTITUTE(SUBSTITUTE(SUBSTITUTE(SUBSTITUTE(SUBSTITUTE(AS39," "&amp;DJ1376&amp;" "," ")," "&amp;DJ1375&amp;" "," ")," "&amp;DJ1381&amp;" "," ")," "&amp;DJ1382&amp;" "," ")," "&amp;DJ1378&amp;" "," ")," "&amp;DJ1380&amp;" "," ")," "&amp;DJ1377&amp;" "," ")," "&amp;DJ1379&amp;" "," ")," "&amp;DJ1383&amp;" "," ")),"")</f>
        <v xml:space="preserve"> 3 epluchez epepinez et coupez les pommes en tranches epaisses disposez les </v>
      </c>
      <c r="BQ39" s="127" cm="1">
        <f t="array" ref="BQ39">IF(28=28,IF(AM39="","",SUMPRODUCT(--ISNUMBER(SEARCH(" "&amp;DJ1384:DJ1394&amp;" ",BP39)))),"")</f>
        <v>0</v>
      </c>
      <c r="BR39" s="127" t="str" cm="1">
        <f t="array" ref="BR39">IF(28=28,IF(AM39="","",IF(SUM(BF39:BO39)+SUMPRODUCT(--ISNUMBER(SEARCH(" "&amp;DJ2432:DJ2433&amp;" ",BP39)))&gt;0,"X",IF(BQ39&gt;0,"?",""))),"")</f>
        <v/>
      </c>
      <c r="BS39" s="127" cm="1">
        <f t="array" ref="BS39">IF(28=28,IF(AM39="","",SUMPRODUCT(--ISNUMBER(SEARCH(" "&amp;DJ1395:DJ1415&amp;" ",AS39)))),"")</f>
        <v>0</v>
      </c>
      <c r="BT39" s="127" t="str">
        <f>IF(28=28,IF(AM39="","",IF((BS39)-(0)&gt;0,"X",IF((0)-(0)&gt;0,"?",""))),"")</f>
        <v/>
      </c>
      <c r="BU39" s="127" cm="1">
        <f t="array" ref="BU39">IF(28=28,IF(AM39="","",SUMPRODUCT(--ISNUMBER(SEARCH(" "&amp;DJ1416:DJ1453&amp;" ",BV39)))),"")</f>
        <v>0</v>
      </c>
      <c r="BV39" s="127" t="str">
        <f>IF(28=28,IF(AM39="","",SUBSTITUTE(SUBSTITUTE(AS39," "&amp;DJ1454&amp;" "," ")," "&amp;DJ1455&amp;" "," ")),"")</f>
        <v xml:space="preserve"> 3 epluchez epepinez et coupez les pommes en tranches epaisses disposez les </v>
      </c>
      <c r="BW39" s="127" cm="1">
        <f t="array" ref="BW39">IF(28=28,IF(AM39="","",SUMPRODUCT(--ISNUMBER(SEARCH(" "&amp;DJ1456:DJ1466&amp;" ",BV39)))),"")</f>
        <v>0</v>
      </c>
      <c r="BX39" s="127" t="str">
        <f>IF(28=28,IF(AM39="","",IF(BU39&gt;0,"X",IF(BW39&gt;0,"?",""))),"")</f>
        <v/>
      </c>
      <c r="BY39" s="127" cm="1">
        <f t="array" ref="BY39">IF(28=28,IF(AM39="","",SUMPRODUCT(--ISNUMBER(SEARCH(" "&amp;DJ1467:DJ1566&amp;" ",CB39)))),"")</f>
        <v>0</v>
      </c>
      <c r="BZ39" s="127" cm="1">
        <f t="array" ref="BZ39">IF(28=28,IF(AM39="","",SUMPRODUCT(--ISNUMBER(SEARCH(" "&amp;DJ1567:DJ1666&amp;" ",CB39)))),"")</f>
        <v>0</v>
      </c>
      <c r="CA39" s="127" cm="1">
        <f t="array" ref="CA39">IF(28=28,IF(AM39="","",SUMPRODUCT(--ISNUMBER(SEARCH(" "&amp;DJ1667:DJ1750&amp;" ",CB39)))),"")</f>
        <v>0</v>
      </c>
      <c r="CB39" s="127" t="str">
        <f>IF(28=28,IF(AM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3 epluchez epepinez et coupez les pommes en tranches epaisses disposez les </v>
      </c>
      <c r="CC39" s="127" cm="1">
        <f t="array" ref="CC39">IF(28=28,IF(AM39="","",SUMPRODUCT(--ISNUMBER(SEARCH(" "&amp;DJ1801:DJ1880&amp;" ",CD39)))+SUMPRODUCT(--ISNUMBER(SEARCH(" "&amp;DJ2451:DJ2464&amp;" ",CD39)))),"")</f>
        <v>0</v>
      </c>
      <c r="CD39" s="127" t="str">
        <f>IF(28=28,IF(AM39="","",SUBSTITUTE(SUBSTITUTE(SUBSTITUTE(SUBSTITUTE(SUBSTITUTE(SUBSTITUTE(SUBSTITUTE(SUBSTITUTE(SUBSTITUTE(SUBSTITUTE(SUBSTITUTE(SUBSTITUTE(SUBSTITUTE(CB39," "&amp;DJ1887&amp;" "," ")," "&amp;DJ1885&amp;" "," ")," "&amp;DJ2449&amp;" "," ")," "&amp;DJ2450&amp;" "," ")," "&amp;DJ1882&amp;" "," ")," "&amp;DJ1886&amp;" "," ")," "&amp;DJ1888&amp;" "," ")," "&amp;DJ1883&amp;" "," ")," "&amp;DJ1881&amp;" "," ")," "&amp;DJ1378&amp;" "," ")," "&amp;DJ1889&amp;" "," ")," "&amp;DJ1377&amp;" "," ")," "&amp;DJ1884&amp;" "," ")),"")</f>
        <v xml:space="preserve"> 3 epluchez epepinez et coupez les pommes en tranches epaisses disposez les </v>
      </c>
      <c r="CE39" s="127" t="str" cm="1">
        <f t="array" ref="CE39">IF(28=28,IF(AM39="","",IF(SUM(BY39:CA39)+SUMPRODUCT(--ISNUMBER(SEARCH(" "&amp;DJ2434:DJ2435&amp;" ",CB39)))&gt;0,"X",IF(CC39&gt;0,"?",""))),"")</f>
        <v/>
      </c>
      <c r="CF39" s="127" cm="1">
        <f t="array" ref="CF39">IF(28=28,IF(AM39="","",SUMPRODUCT(--ISNUMBER(SEARCH(" "&amp;DJ1890:DJ1947&amp;" ",CG39)))),"")</f>
        <v>0</v>
      </c>
      <c r="CG39" s="127" t="str">
        <f>IF(28=28,IF(AM39="","",SUBSTITUTE(SUBSTITUTE(SUBSTITUTE(SUBSTITUTE(SUBSTITUTE(SUBSTITUTE(SUBSTITUTE(SUBSTITUTE(SUBSTITUTE(SUBSTITUTE(SUBSTITUTE(SUBSTITUTE(SUBSTITUTE(SUBSTITUTE(SUBSTITUTE(SUBSTITUTE(SUBSTITUTE(SUBSTITUTE(SUBSTITUTE(SUBSTITUTE(SUBSTITUTE(SUBSTITUTE(SUBSTITUTE(AS39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3 epluchez epepinez et coupez les pommes en tranches epaisses disposez les </v>
      </c>
      <c r="CH39" s="127" cm="1">
        <f t="array" ref="CH39">IF(28=28,IF(AM39="","",SUMPRODUCT(--ISNUMBER(SEARCH(" "&amp;DJ1971:DJ1987&amp;" ",CG39)))),"")</f>
        <v>0</v>
      </c>
      <c r="CI39" s="127" t="str">
        <f>IF(28=28,IF(AM39="","",IF(CF39&gt;0,"X",IF(CH39&gt;0,"?",""))),"")</f>
        <v/>
      </c>
      <c r="CJ39" s="127" cm="1">
        <f t="array" ref="CJ39">IF(28=28,IF(AM39="","",SUMPRODUCT(--ISNUMBER(SEARCH(" "&amp;DJ1988:DJ2001&amp;" ",AS39)))),"")</f>
        <v>0</v>
      </c>
      <c r="CK39" s="127" cm="1">
        <f t="array" ref="CK39">IF(28=28,IF(AM39="","",SUMPRODUCT(--ISNUMBER(SEARCH(" "&amp;DJ2002:DJ2016&amp;" ",AS39)))),"")</f>
        <v>0</v>
      </c>
      <c r="CL39" s="127" t="str">
        <f>IF(28=28,IF(AM39="","",IF((CJ39)-(0)&gt;0,"X",IF((CK39)-(0)&gt;0,"?",""))),"")</f>
        <v/>
      </c>
      <c r="CM39" s="127" cm="1">
        <f t="array" ref="CM39">IF(28=28,IF(AM39="","",SUMPRODUCT(--ISNUMBER(SEARCH(" "&amp;DJ2017:DJ2034&amp;" ",AS39)))),"")</f>
        <v>0</v>
      </c>
      <c r="CN39" s="127" cm="1">
        <f t="array" ref="CN39">IF(28=28,IF(AM39="","",SUMPRODUCT(--ISNUMBER(SEARCH(" "&amp;DJ2035:DJ2049&amp;" ",AS39)))),"")</f>
        <v>0</v>
      </c>
      <c r="CO39" s="127" t="str">
        <f>IF(28=28,IF(AM39="","",IF((CM39)-(0)&gt;0,"X",IF((CN39)-(0)&gt;0,"?",""))),"")</f>
        <v/>
      </c>
      <c r="CP39" s="127" cm="1">
        <f t="array" ref="CP39">IF(28=28,IF(AM39="","",SUMPRODUCT(--ISNUMBER(SEARCH(" "&amp;DJ2050:DJ2068&amp;" ",AS39)))),"")</f>
        <v>0</v>
      </c>
      <c r="CQ39" s="127" cm="1">
        <f t="array" ref="CQ39">IF(28=28,IF(AM39="","",SUMPRODUCT(--ISNUMBER(SEARCH(" "&amp;DJ2069:DJ2083&amp;" ",AS39)))),"")</f>
        <v>0</v>
      </c>
      <c r="CR39" s="127" t="str">
        <f>IF(28=28,IF(AM39="","",IF((CP39)-(0)&gt;0,"X",IF((CQ39)-(0)&gt;0,"?",""))),"")</f>
        <v/>
      </c>
      <c r="CS39" s="127" cm="1">
        <f t="array" ref="CS39">IF(28=28,IF(AM39="","",SUMPRODUCT(--ISNUMBER(SEARCH(" "&amp;DJ2084:DJ2104&amp;" ",AS39)))),"")</f>
        <v>0</v>
      </c>
      <c r="CT39" s="127" cm="1">
        <f t="array" ref="CT39">IF(28=28,IF(AM39="","",SUMPRODUCT(--ISNUMBER(SEARCH(" "&amp;DJ2105:DJ2144&amp;" ",SUBSTITUTE(SUBSTITUTE(AS39," "&amp;DJ1378&amp;" "," ")," "&amp;DJ1377&amp;" "," "))))+--ISNUMBER(SEARCH("poiré",AN39))),"")</f>
        <v>0</v>
      </c>
      <c r="CU39" s="127" t="str">
        <f>IF(28=28,IF(AM39="","",IF(OR(CS39&gt;0,ISNUMBER(SEARCH(" vinaigre de vin ",AS39)),ISNUMBER(SEARCH(" vinaigre au vin ",AS39))),"X",IF(CT39&gt;0,"?",""))),"")</f>
        <v/>
      </c>
      <c r="CV39" s="127" cm="1">
        <f t="array" ref="CV39">IF(28=28,IF(AM39="","",SUMPRODUCT(--ISNUMBER(SEARCH(" "&amp;DJ2145:DJ2157&amp;" ",AS39)))),"")</f>
        <v>0</v>
      </c>
      <c r="CW39" s="127" cm="1">
        <f t="array" ref="CW39">IF(28=28,IF(AM39="","",SUMPRODUCT(--ISNUMBER(SEARCH(" "&amp;DJ2158:DJ2163&amp;" ",AS39)))),"")</f>
        <v>0</v>
      </c>
      <c r="CX39" s="127" t="str">
        <f>IF(28=28,IF(AM39="","",IF((CV39)-(0)&gt;0,"X",IF((CW39)-(0)&gt;0,"?",""))),"")</f>
        <v/>
      </c>
      <c r="CY39" s="127" cm="1">
        <f t="array" ref="CY39">IF(28=28,IF(AM39="","",SUMPRODUCT(--ISNUMBER(SEARCH(" "&amp;DJ2164:DJ2263&amp;" ",DB39)))),"")</f>
        <v>0</v>
      </c>
      <c r="CZ39" s="127" cm="1">
        <f t="array" ref="CZ39">IF(28=28,IF(AM39="","",SUMPRODUCT(--ISNUMBER(SEARCH(" "&amp;DJ2264:DJ2363&amp;" ",DB39)))),"")</f>
        <v>0</v>
      </c>
      <c r="DA39" s="127" cm="1">
        <f t="array" ref="DA39">IF(28=28,IF(AM39="","",SUMPRODUCT(--ISNUMBER(SEARCH(" "&amp;DJ2364:DJ2406&amp;" ",DB39)))),"")</f>
        <v>0</v>
      </c>
      <c r="DB39" s="127" t="str">
        <f>IF(28=28,IF(AM39="","",SUBSTITUTE(SUBSTITUTE(SUBSTITUTE(SUBSTITUTE(SUBSTITUTE(SUBSTITUTE(SUBSTITUTE(SUBSTITUTE(SUBSTITUTE(SUBSTITUTE(SUBSTITUTE(SUBSTITUTE(SUBSTITUTE(SUBSTITUTE(SUBSTITUTE(SUBSTITUTE(AS39," "&amp;DJ2412&amp;" "," ")," "&amp;DJ2411&amp;" "," ")," "&amp;DJ2410&amp;" "," ")," "&amp;DJ2417&amp;" "," ")," "&amp;DJ2409&amp;" "," ")," "&amp;DJ2421&amp;" "," ")," "&amp;DJ2408&amp;" "," ")," "&amp;DJ2413&amp;" "," ")," "&amp;DJ2416&amp;" "," ")," "&amp;DJ2407&amp;" "," ")," "&amp;DJ2415&amp;" "," ")," "&amp;DJ2422&amp;" "," ")," "&amp;DJ2419&amp;" "," ")," "&amp;DJ2414&amp;" "," ")," "&amp;DJ2418&amp;" "," ")," "&amp;DJ2420&amp;" "," ")),"")</f>
        <v xml:space="preserve"> 3 epluchez epepinez et coupez les pommes en tranches epaisses disposez les </v>
      </c>
      <c r="DC39" s="127" cm="1">
        <f t="array" ref="DC39">IF(28=28,IF(AM39="","",SUMPRODUCT(--ISNUMBER(SEARCH(" "&amp;DJ2423:DJ2427&amp;" ",DB39)))),"")</f>
        <v>0</v>
      </c>
      <c r="DD39" s="127" t="str">
        <f>IF(28=28,IF(AM39="","",IF(SUM(CY39:DA39)&gt;0,"X",IF(DC39&gt;0,"?",""))),"")</f>
        <v/>
      </c>
      <c r="DE39" s="152"/>
      <c r="DF39" s="160" t="s">
        <v>709</v>
      </c>
      <c r="DG39" s="160" t="s">
        <v>584</v>
      </c>
      <c r="DH39" s="160" t="s">
        <v>125</v>
      </c>
      <c r="DI39" s="160" t="s">
        <v>710</v>
      </c>
      <c r="DJ39" s="160" t="s">
        <v>710</v>
      </c>
      <c r="DK39" s="160" t="s">
        <v>588</v>
      </c>
      <c r="DL39" s="160" t="s">
        <v>589</v>
      </c>
      <c r="DM39" s="160" t="s">
        <v>590</v>
      </c>
      <c r="DN39" s="161" t="s">
        <v>591</v>
      </c>
      <c r="DP39" s="130">
        <v>1</v>
      </c>
    </row>
    <row r="40" spans="2:120" ht="30" customHeight="1">
      <c r="B40" s="165" t="str">
        <f t="shared" si="0"/>
        <v>8. Laissez tiédir, saupoudrez de sucre glace et servez avec une touche de crème fraîche.</v>
      </c>
      <c r="C40" s="165" t="str">
        <f t="shared" si="1"/>
        <v>8 Laissez tiédir saupoudrez de sucre glace et servez avec une touche de crème fraîche</v>
      </c>
      <c r="D40" s="165" t="str">
        <f>IF(UPPER(TRIM(N11))="X",C40,B40)</f>
        <v>8. Laissez tiédir, saupoudrez de sucre glace et servez avec une touche de crème fraîche.</v>
      </c>
      <c r="E40" s="165" cm="1">
        <f t="array" ref="E40">IF(H39&lt;&gt;"",E39,IF(E39="","",IFERROR(MATCH(TRUE(),INDEX(INDEX(K:K,E39+1):K203&lt;&gt;"",0),0)+E39,"")))</f>
        <v>35</v>
      </c>
      <c r="F40" s="165" t="str" cm="1">
        <f t="array" ref="F40">IF(E40="","",IF(H39&lt;&gt;"",H39,INDEX(D:D,E40)))</f>
        <v>joliment sur le fond de tarte.</v>
      </c>
      <c r="G40" s="165" t="str">
        <f t="shared" si="2"/>
        <v>joliment sur le fond de tarte.</v>
      </c>
      <c r="H40" s="174" t="str">
        <f t="shared" si="3"/>
        <v/>
      </c>
      <c r="I40" s="184" t="str">
        <f>IF(AND(F40&lt;&gt;"",N10&gt;0,M40&gt;N10),"Mot &gt; limite","")</f>
        <v/>
      </c>
      <c r="J40" s="175">
        <f>IF(K40="","",COUNTIF(K18:K40,"&lt;&gt;"))</f>
        <v>23</v>
      </c>
      <c r="K40" s="111" t="s">
        <v>415</v>
      </c>
      <c r="L40" s="175">
        <f t="shared" si="4"/>
        <v>88</v>
      </c>
      <c r="M40" s="135">
        <f>IF(OR(F40="",N10="",N10&lt;=0),"",IF(LEN(F40)&lt;=N10,LEN(F40),IFERROR(FIND("♦",SUBSTITUTE(LEFT(F40,N10)," ","♦",LEN(LEFT(F40,N10))-LEN(SUBSTITUTE(LEFT(F40,N10)," ","")))),FIND(" ",F40&amp;" ",N10+1)-1)))</f>
        <v>30</v>
      </c>
      <c r="N40" s="176">
        <f t="shared" si="5"/>
        <v>23</v>
      </c>
      <c r="O40" s="177" t="str">
        <f t="shared" si="6"/>
        <v>joliment sur le fond de tarte.</v>
      </c>
      <c r="P40" s="176">
        <f t="shared" si="7"/>
        <v>6</v>
      </c>
      <c r="Q40" s="176">
        <f t="shared" si="8"/>
        <v>30</v>
      </c>
      <c r="S40" s="178">
        <v>23</v>
      </c>
      <c r="T40" s="179" t="str">
        <f t="shared" si="10"/>
        <v>joliment sur le fond de tarte.</v>
      </c>
      <c r="U40" s="180" t="str">
        <f t="shared" si="9"/>
        <v>joliment sur le fond de tarte.</v>
      </c>
      <c r="V40" s="181" t="str">
        <f>IF(29=29,IF(T40="","",IF(W40="X",""&amp;"Céréales contenant du gluten","")&amp;IF(X40="X",IF(COUNTIF(W40:W40,"X")&gt;0,", ","")&amp;"Crustacés","")&amp;IF(Y40="X",IF(COUNTIF(W40:X40,"X")&gt;0,", ","")&amp;"Œufs","")&amp;IF(Z40="X",IF(COUNTIF(W40:Y40,"X")&gt;0,", ","")&amp;"Poissons","")&amp;IF(AA40="X",IF(COUNTIF(W40:Z40,"X")&gt;0,", ","")&amp;"Arachides","")&amp;IF(AB40="X",IF(COUNTIF(W40:AA40,"X")&gt;0,", ","")&amp;"Soja","")&amp;IF(AC40="X",IF(COUNTIF(W40:AB40,"X")&gt;0,", ","")&amp;"Lait","")&amp;IF(AD40="X",IF(COUNTIF(W40:AC40,"X")&gt;0,", ","")&amp;"Fruits à coque","")&amp;IF(AE40="X",IF(COUNTIF(W40:AD40,"X")&gt;0,", ","")&amp;"Céleri","")&amp;IF(AF40="X",IF(COUNTIF(W40:AE40,"X")&gt;0,", ","")&amp;"Moutarde","")&amp;IF(AG40="X",IF(COUNTIF(W40:AF40,"X")&gt;0,", ","")&amp;"Sésame","")&amp;IF(AH40="X",IF(COUNTIF(W40:AG40,"X")&gt;0,", ","")&amp;"Sulfites","")&amp;IF(AI40="X",IF(COUNTIF(W40:AH40,"X")&gt;0,", ","")&amp;"Lupin","")&amp;IF(AJ40="X",IF(COUNTIF(W40:AI40,"X")&gt;0,", ","")&amp;"Mollusques","")),"")</f>
        <v/>
      </c>
      <c r="W40" s="182" t="str">
        <f>IF(29=29,IF(T40="","",AX40),"")</f>
        <v/>
      </c>
      <c r="X40" s="182" t="str">
        <f>IF(29=29,IF(T40="","",BA40),"")</f>
        <v/>
      </c>
      <c r="Y40" s="182" t="str">
        <f>IF(29=29,IF(T40="","",BE40),"")</f>
        <v/>
      </c>
      <c r="Z40" s="182" t="str">
        <f>IF(29=29,IF(T40="","",IF(ISNUMBER(SEARCH(" colin ",AS40)),"X",BR40)),"")</f>
        <v/>
      </c>
      <c r="AA40" s="182" t="str">
        <f>IF(29=29,IF(T40="","",BT40),"")</f>
        <v/>
      </c>
      <c r="AB40" s="182" t="str">
        <f>IF(29=29,IF(T40="","",BX40),"")</f>
        <v/>
      </c>
      <c r="AC40" s="182" t="str">
        <f>IF(29=29,IF(T40="","",CE40),"")</f>
        <v/>
      </c>
      <c r="AD40" s="182" t="str">
        <f>IF(29=29,IF(T40="","",CI40),"")</f>
        <v/>
      </c>
      <c r="AE40" s="182" t="str">
        <f>IF(29=29,IF(T40="","",CL40),"")</f>
        <v/>
      </c>
      <c r="AF40" s="182" t="str">
        <f>IF(29=29,IF(T40="","",CO40),"")</f>
        <v/>
      </c>
      <c r="AG40" s="182" t="str">
        <f>IF(29=29,IF(T40="","",CR40),"")</f>
        <v/>
      </c>
      <c r="AH40" s="182" t="str">
        <f>IF(29=29,IF(T40="","",CU40),"")</f>
        <v/>
      </c>
      <c r="AI40" s="182" t="str">
        <f>IF(29=29,IF(T40="","",CX40),"")</f>
        <v/>
      </c>
      <c r="AJ40" s="182" t="str">
        <f>IF(29=29,IF(T40="","",DD40),"")</f>
        <v/>
      </c>
      <c r="AK40" s="183" t="str">
        <f>IF(29=29,IF(T40="","",IF(W40="?",""&amp;"Céréales contenant du gluten","")&amp;IF(X40="?",IF(COUNTIF(W40:W40,"~?")&gt;0,", ","")&amp;"Crustacés","")&amp;IF(Y40="?",IF(COUNTIF(W40:X40,"~?")&gt;0,", ","")&amp;"Œufs","")&amp;IF(Z40="?",IF(COUNTIF(W40:Y40,"~?")&gt;0,", ","")&amp;"Poissons","")&amp;IF(AA40="?",IF(COUNTIF(W40:Z40,"~?")&gt;0,", ","")&amp;"Arachides","")&amp;IF(AB40="?",IF(COUNTIF(W40:AA40,"~?")&gt;0,", ","")&amp;"Soja","")&amp;IF(AC40="?",IF(COUNTIF(W40:AB40,"~?")&gt;0,", ","")&amp;"Lait","")&amp;IF(AD40="?",IF(COUNTIF(W40:AC40,"~?")&gt;0,", ","")&amp;"Fruits à coque","")&amp;IF(AE40="?",IF(COUNTIF(W40:AD40,"~?")&gt;0,", ","")&amp;"Céleri","")&amp;IF(AF40="?",IF(COUNTIF(W40:AE40,"~?")&gt;0,", ","")&amp;"Moutarde","")&amp;IF(AG40="?",IF(COUNTIF(W40:AF40,"~?")&gt;0,", ","")&amp;"Sésame","")&amp;IF(AH40="?",IF(COUNTIF(W40:AG40,"~?")&gt;0,", ","")&amp;"Sulfites","")&amp;IF(AI40="?",IF(COUNTIF(W40:AH40,"~?")&gt;0,", ","")&amp;"Lupin","")&amp;IF(AJ40="?",IF(COUNTIF(W40:AI40,"~?")&gt;0,", ","")&amp;"Mollusques","")),"")</f>
        <v/>
      </c>
      <c r="AM40" s="127" t="str">
        <f>IF(29=29,IF(T40="","",T40),"")</f>
        <v>joliment sur le fond de tarte.</v>
      </c>
      <c r="AN40" s="127" t="str">
        <f>IF(29=29,LOWER(CLEAN(SUBSTITUTE(SUBSTITUTE(SUBSTITUTE(SUBSTITUTE(AM40,CHAR(160)," ")," "," "),CHAR(10)," "),CHAR(13)," "))),"")</f>
        <v>joliment sur le fond de tarte.</v>
      </c>
      <c r="AO40" s="127" t="str">
        <f>IF(29=29,SUBSTITUTE(SUBSTITUTE(SUBSTITUTE(SUBSTITUTE(SUBSTITUTE(SUBSTITUTE(SUBSTITUTE(SUBSTITUTE(SUBSTITUTE(SUBSTITUTE(SUBSTITUTE(SUBSTITUTE(AN40,"œ","oe"),"æ","ae"),"à","a"),"á","a"),"â","a"),"ä","a"),"ã","a"),"ç","c"),"è","e"),"é","e"),"ê","e"),"ë","e"),"")</f>
        <v>joliment sur le fond de tarte.</v>
      </c>
      <c r="AP40" s="127" t="str">
        <f>IF(29=29,SUBSTITUTE(SUBSTITUTE(SUBSTITUTE(SUBSTITUTE(SUBSTITUTE(SUBSTITUTE(SUBSTITUTE(SUBSTITUTE(SUBSTITUTE(SUBSTITUTE(SUBSTITUTE(SUBSTITUTE(SUBSTITUTE(SUBSTITUTE(SUBSTITUTE(SUBSTITUTE(AO40,"ì","i"),"í","i"),"î","i"),"ï","i"),"ñ","n"),"ò","o"),"ó","o"),"ô","o"),"ö","o"),"õ","o"),"ù","u"),"ú","u"),"û","u"),"ü","u"),"ý","y"),"ÿ","y"),"")</f>
        <v>joliment sur le fond de tarte.</v>
      </c>
      <c r="AQ40" s="127" t="str">
        <f>IF(29=29,SUBSTITUTE(SUBSTITUTE(SUBSTITUTE(SUBSTITUTE(SUBSTITUTE(SUBSTITUTE(SUBSTITUTE(SUBSTITUTE(SUBSTITUTE(SUBSTITUTE(SUBSTITUTE(SUBSTITUTE(SUBSTITUTE(SUBSTITUTE(AP40,"’"," "),"`"," "),"–"," "),"—"," "),"-"," "),"'"," "),"/"," "),"_"," "),","," "),"."," "),"("," "),")"," "),";"," "),":"," "),"")</f>
        <v xml:space="preserve">joliment sur le fond de tarte </v>
      </c>
      <c r="AR40" s="127" t="str">
        <f>IF(29=29,SUBSTITUTE(SUBSTITUTE(SUBSTITUTE(SUBSTITUTE(SUBSTITUTE(SUBSTITUTE(SUBSTITUTE(SUBSTITUTE(SUBSTITUTE(SUBSTITUTE(SUBSTITUTE(SUBSTITUTE(SUBSTITUTE(SUBSTITUTE(SUBSTITUTE(AQ40,"!"," "),"?"," "),"+"," "),"*"," "),"&amp;"," "),"["," "),"]"," "),"{"," "),"}"," "),"%"," "),"="," "),"\"," "),"|"," "),"&lt;"," "),"&gt;"," "),"")</f>
        <v xml:space="preserve">joliment sur le fond de tarte </v>
      </c>
      <c r="AS40" s="127" t="str">
        <f>IF(29=29," "&amp;TRIM(SUBSTITUTE(SUBSTITUTE(SUBSTITUTE(SUBSTITUTE(SUBSTITUTE(SUBSTITUTE(AR40,CHAR(34)," "),"  "," "),"  "," "),"  "," "),"  "," "),"  "," "))&amp;" ","")</f>
        <v xml:space="preserve"> joliment sur le fond de tarte </v>
      </c>
      <c r="AT40" s="127" cm="1">
        <f t="array" ref="AT40">IF(29=29,IF(AM40="","",SUMPRODUCT(--ISNUMBER(SEARCH(" "&amp;DJ13:DJ112&amp;" ",AV40)))),"")</f>
        <v>0</v>
      </c>
      <c r="AU40" s="127" cm="1">
        <f t="array" ref="AU40">IF(29=29,IF(AM40="","",SUMPRODUCT(--ISNUMBER(SEARCH(" "&amp;DJ113:DJ162&amp;" ",AV40)))),"")</f>
        <v>0</v>
      </c>
      <c r="AV40" s="127" t="str">
        <f>IF(AM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joliment sur le fond de tarte </v>
      </c>
      <c r="AW40" s="127" cm="1">
        <f t="array" ref="AW40">IF(AM40="","",SUMPRODUCT(--ISNUMBER(SEARCH(" "&amp;DJ195:DJ216&amp;" ",AV40)))+--ISNUMBER(SEARCH(" "&amp;DJ2465&amp;" ",AV40)))</f>
        <v>0</v>
      </c>
      <c r="AX40" s="127" t="str" cm="1">
        <f t="array" ref="AX40">IF(29=29,IF(AM40="","",IF(SUM(AT40:AU40)+SUMPRODUCT(--ISNUMBER(SEARCH(" "&amp;DJ2429:DJ2431&amp;" ",AV40)))&gt;0,"X",IF(AW40&gt;0,"?",""))),"")</f>
        <v/>
      </c>
      <c r="AY40" s="127" cm="1">
        <f t="array" ref="AY40">IF(29=29,IF(AM40="","",SUMPRODUCT(--ISNUMBER(SEARCH(" "&amp;DJ217:DJ316&amp;" ",AS40)))),"")</f>
        <v>0</v>
      </c>
      <c r="AZ40" s="127" cm="1">
        <f t="array" ref="AZ40">IF(29=29,IF(AM40="","",SUMPRODUCT(--ISNUMBER(SEARCH(" "&amp;DJ317:DJ351&amp;" ",AS40)))),"")</f>
        <v>0</v>
      </c>
      <c r="BA40" s="127" t="str">
        <f>IF(29=29,IF(AM40="","",IF((SUM(AY40:AZ40))-(0)&gt;0,"X",IF((0)-(0)&gt;0,"?",""))),"")</f>
        <v/>
      </c>
      <c r="BB40" s="127" cm="1">
        <f t="array" ref="BB40">IF(29=29,IF(AM40="","",SUMPRODUCT(--ISNUMBER(SEARCH(" "&amp;DJ352:DJ409&amp;" ",AS40)))),"")</f>
        <v>0</v>
      </c>
      <c r="BC40" s="127" cm="1">
        <f t="array" ref="BC40">IF(29=29,IF(AM40="","",SUMPRODUCT(--ISNUMBER(SEARCH(" "&amp;DJ410:DJ437&amp;" ",BD40)))+SUMPRODUCT(--ISNUMBER(SEARCH(" "&amp;DJ2451:DJ2464&amp;" ",BD40)))),"")</f>
        <v>0</v>
      </c>
      <c r="BD40" s="127" t="str">
        <f>IF(29=29,IF(AM40="","",SUBSTITUTE(SUBSTITUTE(SUBSTITUTE(SUBSTITUTE(SUBSTITUTE(SUBSTITUTE(SUBSTITUTE(SUBSTITUTE(SUBSTITUTE(SUBSTITUTE(SUBSTITUTE(SUBSTITUTE(SUBSTITUTE(SUBSTITUTE(AS40," "&amp;DJ2466&amp;" "," ")," "&amp;DJ444&amp;" "," ")," "&amp;DJ442&amp;" "," ")," "&amp;DJ2449&amp;" "," ")," "&amp;DJ2450&amp;" "," ")," "&amp;DJ439&amp;" "," ")," "&amp;DJ443&amp;" "," ")," "&amp;DJ445&amp;" "," ")," "&amp;DJ440&amp;" "," ")," "&amp;DJ438&amp;" "," ")," "&amp;DJ1378&amp;" "," ")," "&amp;DJ446&amp;" "," ")," "&amp;DJ1377&amp;" "," ")," "&amp;DJ441&amp;" "," ")),"")</f>
        <v xml:space="preserve"> joliment sur le fond de tarte </v>
      </c>
      <c r="BE40" s="127" t="str">
        <f>IF(29=29,IF(AM40="","",IF(BB40&gt;0,"X",IF(BC40&gt;0,"?",""))),"")</f>
        <v/>
      </c>
      <c r="BF40" s="127" cm="1">
        <f t="array" ref="BF40">IF(29=29,IF(AM40="","",SUMPRODUCT(--ISNUMBER(SEARCH(" "&amp;DJ447:DJ546&amp;" ",BP40)))),"")</f>
        <v>0</v>
      </c>
      <c r="BG40" s="127" cm="1">
        <f t="array" ref="BG40">IF(29=29,IF(AM40="","",SUMPRODUCT(--ISNUMBER(SEARCH(" "&amp;DJ547:DJ646&amp;" ",BP40)))),"")</f>
        <v>0</v>
      </c>
      <c r="BH40" s="127" cm="1">
        <f t="array" ref="BH40">IF(29=29,IF(AM40="","",SUMPRODUCT(--ISNUMBER(SEARCH(" "&amp;DJ647:DJ746&amp;" ",BP40)))),"")</f>
        <v>0</v>
      </c>
      <c r="BI40" s="127" cm="1">
        <f t="array" ref="BI40">IF(29=29,IF(AM40="","",SUMPRODUCT(--ISNUMBER(SEARCH(" "&amp;DJ747:DJ846&amp;" ",BP40)))),"")</f>
        <v>0</v>
      </c>
      <c r="BJ40" s="127" cm="1">
        <f t="array" ref="BJ40">IF(29=29,IF(AM40="","",SUMPRODUCT(--ISNUMBER(SEARCH(" "&amp;DJ847:DJ946&amp;" ",BP40)))),"")</f>
        <v>0</v>
      </c>
      <c r="BK40" s="127" cm="1">
        <f t="array" ref="BK40">IF(29=29,IF(AM40="","",SUMPRODUCT(--ISNUMBER(SEARCH(" "&amp;DJ947:DJ1046&amp;" ",BP40)))),"")</f>
        <v>0</v>
      </c>
      <c r="BL40" s="127" cm="1">
        <f t="array" ref="BL40">IF(29=29,IF(AM40="","",SUMPRODUCT(--ISNUMBER(SEARCH(" "&amp;DJ1047:DJ1146&amp;" ",BP40)))),"")</f>
        <v>0</v>
      </c>
      <c r="BM40" s="127" cm="1">
        <f t="array" ref="BM40">IF(29=29,IF(AM40="","",SUMPRODUCT(--ISNUMBER(SEARCH(" "&amp;DJ1147:DJ1246&amp;" ",BP40)))),"")</f>
        <v>0</v>
      </c>
      <c r="BN40" s="127" cm="1">
        <f t="array" ref="BN40">IF(29=29,IF(AM40="","",SUMPRODUCT(--ISNUMBER(SEARCH(" "&amp;DJ1247:DJ1346&amp;" ",BP40)))),"")</f>
        <v>0</v>
      </c>
      <c r="BO40" s="127" cm="1">
        <f t="array" ref="BO40">IF(29=29,IF(AM40="","",SUMPRODUCT(--ISNUMBER(SEARCH(" "&amp;DJ1347:DJ1374&amp;" ",BP40)))),"")</f>
        <v>0</v>
      </c>
      <c r="BP40" s="127" t="str">
        <f>IF(29=29,IF(AM40="","",SUBSTITUTE(SUBSTITUTE(SUBSTITUTE(SUBSTITUTE(SUBSTITUTE(SUBSTITUTE(SUBSTITUTE(SUBSTITUTE(SUBSTITUTE(AS40," "&amp;DJ1376&amp;" "," ")," "&amp;DJ1375&amp;" "," ")," "&amp;DJ1381&amp;" "," ")," "&amp;DJ1382&amp;" "," ")," "&amp;DJ1378&amp;" "," ")," "&amp;DJ1380&amp;" "," ")," "&amp;DJ1377&amp;" "," ")," "&amp;DJ1379&amp;" "," ")," "&amp;DJ1383&amp;" "," ")),"")</f>
        <v xml:space="preserve"> joliment sur le fond de tarte </v>
      </c>
      <c r="BQ40" s="127" cm="1">
        <f t="array" ref="BQ40">IF(29=29,IF(AM40="","",SUMPRODUCT(--ISNUMBER(SEARCH(" "&amp;DJ1384:DJ1394&amp;" ",BP40)))),"")</f>
        <v>0</v>
      </c>
      <c r="BR40" s="127" t="str" cm="1">
        <f t="array" ref="BR40">IF(29=29,IF(AM40="","",IF(SUM(BF40:BO40)+SUMPRODUCT(--ISNUMBER(SEARCH(" "&amp;DJ2432:DJ2433&amp;" ",BP40)))&gt;0,"X",IF(BQ40&gt;0,"?",""))),"")</f>
        <v/>
      </c>
      <c r="BS40" s="127" cm="1">
        <f t="array" ref="BS40">IF(29=29,IF(AM40="","",SUMPRODUCT(--ISNUMBER(SEARCH(" "&amp;DJ1395:DJ1415&amp;" ",AS40)))),"")</f>
        <v>0</v>
      </c>
      <c r="BT40" s="127" t="str">
        <f>IF(29=29,IF(AM40="","",IF((BS40)-(0)&gt;0,"X",IF((0)-(0)&gt;0,"?",""))),"")</f>
        <v/>
      </c>
      <c r="BU40" s="127" cm="1">
        <f t="array" ref="BU40">IF(29=29,IF(AM40="","",SUMPRODUCT(--ISNUMBER(SEARCH(" "&amp;DJ1416:DJ1453&amp;" ",BV40)))),"")</f>
        <v>0</v>
      </c>
      <c r="BV40" s="127" t="str">
        <f>IF(29=29,IF(AM40="","",SUBSTITUTE(SUBSTITUTE(AS40," "&amp;DJ1454&amp;" "," ")," "&amp;DJ1455&amp;" "," ")),"")</f>
        <v xml:space="preserve"> joliment sur le fond de tarte </v>
      </c>
      <c r="BW40" s="127" cm="1">
        <f t="array" ref="BW40">IF(29=29,IF(AM40="","",SUMPRODUCT(--ISNUMBER(SEARCH(" "&amp;DJ1456:DJ1466&amp;" ",BV40)))),"")</f>
        <v>0</v>
      </c>
      <c r="BX40" s="127" t="str">
        <f>IF(29=29,IF(AM40="","",IF(BU40&gt;0,"X",IF(BW40&gt;0,"?",""))),"")</f>
        <v/>
      </c>
      <c r="BY40" s="127" cm="1">
        <f t="array" ref="BY40">IF(29=29,IF(AM40="","",SUMPRODUCT(--ISNUMBER(SEARCH(" "&amp;DJ1467:DJ1566&amp;" ",CB40)))),"")</f>
        <v>0</v>
      </c>
      <c r="BZ40" s="127" cm="1">
        <f t="array" ref="BZ40">IF(29=29,IF(AM40="","",SUMPRODUCT(--ISNUMBER(SEARCH(" "&amp;DJ1567:DJ1666&amp;" ",CB40)))),"")</f>
        <v>0</v>
      </c>
      <c r="CA40" s="127" cm="1">
        <f t="array" ref="CA40">IF(29=29,IF(AM40="","",SUMPRODUCT(--ISNUMBER(SEARCH(" "&amp;DJ1667:DJ1750&amp;" ",CB40)))),"")</f>
        <v>0</v>
      </c>
      <c r="CB40" s="127" t="str">
        <f>IF(29=29,IF(AM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joliment sur le fond de tarte </v>
      </c>
      <c r="CC40" s="127" cm="1">
        <f t="array" ref="CC40">IF(29=29,IF(AM40="","",SUMPRODUCT(--ISNUMBER(SEARCH(" "&amp;DJ1801:DJ1880&amp;" ",CD40)))+SUMPRODUCT(--ISNUMBER(SEARCH(" "&amp;DJ2451:DJ2464&amp;" ",CD40)))),"")</f>
        <v>0</v>
      </c>
      <c r="CD40" s="127" t="str">
        <f>IF(29=29,IF(AM40="","",SUBSTITUTE(SUBSTITUTE(SUBSTITUTE(SUBSTITUTE(SUBSTITUTE(SUBSTITUTE(SUBSTITUTE(SUBSTITUTE(SUBSTITUTE(SUBSTITUTE(SUBSTITUTE(SUBSTITUTE(SUBSTITUTE(CB40," "&amp;DJ1887&amp;" "," ")," "&amp;DJ1885&amp;" "," ")," "&amp;DJ2449&amp;" "," ")," "&amp;DJ2450&amp;" "," ")," "&amp;DJ1882&amp;" "," ")," "&amp;DJ1886&amp;" "," ")," "&amp;DJ1888&amp;" "," ")," "&amp;DJ1883&amp;" "," ")," "&amp;DJ1881&amp;" "," ")," "&amp;DJ1378&amp;" "," ")," "&amp;DJ1889&amp;" "," ")," "&amp;DJ1377&amp;" "," ")," "&amp;DJ1884&amp;" "," ")),"")</f>
        <v xml:space="preserve"> joliment sur le fond de tarte </v>
      </c>
      <c r="CE40" s="127" t="str" cm="1">
        <f t="array" ref="CE40">IF(29=29,IF(AM40="","",IF(SUM(BY40:CA40)+SUMPRODUCT(--ISNUMBER(SEARCH(" "&amp;DJ2434:DJ2435&amp;" ",CB40)))&gt;0,"X",IF(CC40&gt;0,"?",""))),"")</f>
        <v/>
      </c>
      <c r="CF40" s="127" cm="1">
        <f t="array" ref="CF40">IF(29=29,IF(AM40="","",SUMPRODUCT(--ISNUMBER(SEARCH(" "&amp;DJ1890:DJ1947&amp;" ",CG40)))),"")</f>
        <v>0</v>
      </c>
      <c r="CG40" s="127" t="str">
        <f>IF(29=29,IF(AM40="","",SUBSTITUTE(SUBSTITUTE(SUBSTITUTE(SUBSTITUTE(SUBSTITUTE(SUBSTITUTE(SUBSTITUTE(SUBSTITUTE(SUBSTITUTE(SUBSTITUTE(SUBSTITUTE(SUBSTITUTE(SUBSTITUTE(SUBSTITUTE(SUBSTITUTE(SUBSTITUTE(SUBSTITUTE(SUBSTITUTE(SUBSTITUTE(SUBSTITUTE(SUBSTITUTE(SUBSTITUTE(SUBSTITUTE(AS40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joliment sur le fond de tarte </v>
      </c>
      <c r="CH40" s="127" cm="1">
        <f t="array" ref="CH40">IF(29=29,IF(AM40="","",SUMPRODUCT(--ISNUMBER(SEARCH(" "&amp;DJ1971:DJ1987&amp;" ",CG40)))),"")</f>
        <v>0</v>
      </c>
      <c r="CI40" s="127" t="str">
        <f>IF(29=29,IF(AM40="","",IF(CF40&gt;0,"X",IF(CH40&gt;0,"?",""))),"")</f>
        <v/>
      </c>
      <c r="CJ40" s="127" cm="1">
        <f t="array" ref="CJ40">IF(29=29,IF(AM40="","",SUMPRODUCT(--ISNUMBER(SEARCH(" "&amp;DJ1988:DJ2001&amp;" ",AS40)))),"")</f>
        <v>0</v>
      </c>
      <c r="CK40" s="127" cm="1">
        <f t="array" ref="CK40">IF(29=29,IF(AM40="","",SUMPRODUCT(--ISNUMBER(SEARCH(" "&amp;DJ2002:DJ2016&amp;" ",AS40)))),"")</f>
        <v>0</v>
      </c>
      <c r="CL40" s="127" t="str">
        <f>IF(29=29,IF(AM40="","",IF((CJ40)-(0)&gt;0,"X",IF((CK40)-(0)&gt;0,"?",""))),"")</f>
        <v/>
      </c>
      <c r="CM40" s="127" cm="1">
        <f t="array" ref="CM40">IF(29=29,IF(AM40="","",SUMPRODUCT(--ISNUMBER(SEARCH(" "&amp;DJ2017:DJ2034&amp;" ",AS40)))),"")</f>
        <v>0</v>
      </c>
      <c r="CN40" s="127" cm="1">
        <f t="array" ref="CN40">IF(29=29,IF(AM40="","",SUMPRODUCT(--ISNUMBER(SEARCH(" "&amp;DJ2035:DJ2049&amp;" ",AS40)))),"")</f>
        <v>0</v>
      </c>
      <c r="CO40" s="127" t="str">
        <f>IF(29=29,IF(AM40="","",IF((CM40)-(0)&gt;0,"X",IF((CN40)-(0)&gt;0,"?",""))),"")</f>
        <v/>
      </c>
      <c r="CP40" s="127" cm="1">
        <f t="array" ref="CP40">IF(29=29,IF(AM40="","",SUMPRODUCT(--ISNUMBER(SEARCH(" "&amp;DJ2050:DJ2068&amp;" ",AS40)))),"")</f>
        <v>0</v>
      </c>
      <c r="CQ40" s="127" cm="1">
        <f t="array" ref="CQ40">IF(29=29,IF(AM40="","",SUMPRODUCT(--ISNUMBER(SEARCH(" "&amp;DJ2069:DJ2083&amp;" ",AS40)))),"")</f>
        <v>0</v>
      </c>
      <c r="CR40" s="127" t="str">
        <f>IF(29=29,IF(AM40="","",IF((CP40)-(0)&gt;0,"X",IF((CQ40)-(0)&gt;0,"?",""))),"")</f>
        <v/>
      </c>
      <c r="CS40" s="127" cm="1">
        <f t="array" ref="CS40">IF(29=29,IF(AM40="","",SUMPRODUCT(--ISNUMBER(SEARCH(" "&amp;DJ2084:DJ2104&amp;" ",AS40)))),"")</f>
        <v>0</v>
      </c>
      <c r="CT40" s="127" cm="1">
        <f t="array" ref="CT40">IF(29=29,IF(AM40="","",SUMPRODUCT(--ISNUMBER(SEARCH(" "&amp;DJ2105:DJ2144&amp;" ",SUBSTITUTE(SUBSTITUTE(AS40," "&amp;DJ1378&amp;" "," ")," "&amp;DJ1377&amp;" "," "))))+--ISNUMBER(SEARCH("poiré",AN40))),"")</f>
        <v>0</v>
      </c>
      <c r="CU40" s="127" t="str">
        <f>IF(29=29,IF(AM40="","",IF(OR(CS40&gt;0,ISNUMBER(SEARCH(" vinaigre de vin ",AS40)),ISNUMBER(SEARCH(" vinaigre au vin ",AS40))),"X",IF(CT40&gt;0,"?",""))),"")</f>
        <v/>
      </c>
      <c r="CV40" s="127" cm="1">
        <f t="array" ref="CV40">IF(29=29,IF(AM40="","",SUMPRODUCT(--ISNUMBER(SEARCH(" "&amp;DJ2145:DJ2157&amp;" ",AS40)))),"")</f>
        <v>0</v>
      </c>
      <c r="CW40" s="127" cm="1">
        <f t="array" ref="CW40">IF(29=29,IF(AM40="","",SUMPRODUCT(--ISNUMBER(SEARCH(" "&amp;DJ2158:DJ2163&amp;" ",AS40)))),"")</f>
        <v>0</v>
      </c>
      <c r="CX40" s="127" t="str">
        <f>IF(29=29,IF(AM40="","",IF((CV40)-(0)&gt;0,"X",IF((CW40)-(0)&gt;0,"?",""))),"")</f>
        <v/>
      </c>
      <c r="CY40" s="127" cm="1">
        <f t="array" ref="CY40">IF(29=29,IF(AM40="","",SUMPRODUCT(--ISNUMBER(SEARCH(" "&amp;DJ2164:DJ2263&amp;" ",DB40)))),"")</f>
        <v>0</v>
      </c>
      <c r="CZ40" s="127" cm="1">
        <f t="array" ref="CZ40">IF(29=29,IF(AM40="","",SUMPRODUCT(--ISNUMBER(SEARCH(" "&amp;DJ2264:DJ2363&amp;" ",DB40)))),"")</f>
        <v>0</v>
      </c>
      <c r="DA40" s="127" cm="1">
        <f t="array" ref="DA40">IF(29=29,IF(AM40="","",SUMPRODUCT(--ISNUMBER(SEARCH(" "&amp;DJ2364:DJ2406&amp;" ",DB40)))),"")</f>
        <v>0</v>
      </c>
      <c r="DB40" s="127" t="str">
        <f>IF(29=29,IF(AM40="","",SUBSTITUTE(SUBSTITUTE(SUBSTITUTE(SUBSTITUTE(SUBSTITUTE(SUBSTITUTE(SUBSTITUTE(SUBSTITUTE(SUBSTITUTE(SUBSTITUTE(SUBSTITUTE(SUBSTITUTE(SUBSTITUTE(SUBSTITUTE(SUBSTITUTE(SUBSTITUTE(AS40," "&amp;DJ2412&amp;" "," ")," "&amp;DJ2411&amp;" "," ")," "&amp;DJ2410&amp;" "," ")," "&amp;DJ2417&amp;" "," ")," "&amp;DJ2409&amp;" "," ")," "&amp;DJ2421&amp;" "," ")," "&amp;DJ2408&amp;" "," ")," "&amp;DJ2413&amp;" "," ")," "&amp;DJ2416&amp;" "," ")," "&amp;DJ2407&amp;" "," ")," "&amp;DJ2415&amp;" "," ")," "&amp;DJ2422&amp;" "," ")," "&amp;DJ2419&amp;" "," ")," "&amp;DJ2414&amp;" "," ")," "&amp;DJ2418&amp;" "," ")," "&amp;DJ2420&amp;" "," ")),"")</f>
        <v xml:space="preserve"> joliment sur le fond de tarte </v>
      </c>
      <c r="DC40" s="127" cm="1">
        <f t="array" ref="DC40">IF(29=29,IF(AM40="","",SUMPRODUCT(--ISNUMBER(SEARCH(" "&amp;DJ2423:DJ2427&amp;" ",DB40)))),"")</f>
        <v>0</v>
      </c>
      <c r="DD40" s="127" t="str">
        <f>IF(29=29,IF(AM40="","",IF(SUM(CY40:DA40)&gt;0,"X",IF(DC40&gt;0,"?",""))),"")</f>
        <v/>
      </c>
      <c r="DE40" s="152"/>
      <c r="DF40" s="160" t="s">
        <v>711</v>
      </c>
      <c r="DG40" s="160" t="s">
        <v>584</v>
      </c>
      <c r="DH40" s="160" t="s">
        <v>125</v>
      </c>
      <c r="DI40" s="160" t="s">
        <v>712</v>
      </c>
      <c r="DJ40" s="160" t="s">
        <v>712</v>
      </c>
      <c r="DK40" s="160" t="s">
        <v>588</v>
      </c>
      <c r="DL40" s="160" t="s">
        <v>589</v>
      </c>
      <c r="DM40" s="160" t="s">
        <v>590</v>
      </c>
      <c r="DN40" s="161" t="s">
        <v>591</v>
      </c>
      <c r="DP40" s="130">
        <v>1</v>
      </c>
    </row>
    <row r="41" spans="2:120" ht="30" customHeight="1">
      <c r="B41" s="165" t="str">
        <f t="shared" si="0"/>
        <v>Préparation : 20 min</v>
      </c>
      <c r="C41" s="165" t="str">
        <f t="shared" si="1"/>
        <v>Préparation 20 min</v>
      </c>
      <c r="D41" s="165" t="str">
        <f>IF(UPPER(TRIM(N11))="X",C41,B41)</f>
        <v>Préparation : 20 min</v>
      </c>
      <c r="E41" s="165" cm="1">
        <f t="array" ref="E41">IF(H40&lt;&gt;"",E40,IF(E40="","",IFERROR(MATCH(TRUE(),INDEX(INDEX(K:K,E40+1):K203&lt;&gt;"",0),0)+E40,"")))</f>
        <v>36</v>
      </c>
      <c r="F41" s="165" t="str" cm="1">
        <f t="array" ref="F41">IF(E41="","",IF(H40&lt;&gt;"",H40,INDEX(D:D,E41)))</f>
        <v>4. Dans un saladier, fouettez les œufs avec le sucre et le sucre vanillé jusqu’à ce que le mélange blanchisse.</v>
      </c>
      <c r="G41" s="165" t="str">
        <f t="shared" si="2"/>
        <v xml:space="preserve">4. Dans un saladier, fouettez les œufs avec le sucre et le sucre vanillé </v>
      </c>
      <c r="H41" s="174" t="str">
        <f t="shared" si="3"/>
        <v>jusqu’à ce que le mélange blanchisse.</v>
      </c>
      <c r="I41" s="184" t="str">
        <f>IF(AND(F41&lt;&gt;"",N10&gt;0,M41&gt;N10),"Mot &gt; limite","")</f>
        <v/>
      </c>
      <c r="J41" s="175">
        <f>IF(K41="","",COUNTIF(K18:K41,"&lt;&gt;"))</f>
        <v>24</v>
      </c>
      <c r="K41" s="111" t="s">
        <v>416</v>
      </c>
      <c r="L41" s="175">
        <f t="shared" si="4"/>
        <v>20</v>
      </c>
      <c r="M41" s="135">
        <f>IF(OR(F41="",N10="",N10&lt;=0),"",IF(LEN(F41)&lt;=N10,LEN(F41),IFERROR(FIND("♦",SUBSTITUTE(LEFT(F41,N10)," ","♦",LEN(LEFT(F41,N10))-LEN(SUBSTITUTE(LEFT(F41,N10)," ","")))),FIND(" ",F41&amp;" ",N10+1)-1)))</f>
        <v>73</v>
      </c>
      <c r="N41" s="176">
        <f t="shared" si="5"/>
        <v>24</v>
      </c>
      <c r="O41" s="177" t="str">
        <f t="shared" si="6"/>
        <v xml:space="preserve">4. Dans un saladier, fouettez les œufs avec le sucre et le sucre vanillé </v>
      </c>
      <c r="P41" s="176">
        <f t="shared" si="7"/>
        <v>14</v>
      </c>
      <c r="Q41" s="176">
        <f t="shared" si="8"/>
        <v>73</v>
      </c>
      <c r="S41" s="178">
        <v>24</v>
      </c>
      <c r="T41" s="179" t="str">
        <f t="shared" si="10"/>
        <v xml:space="preserve">4. Dans un saladier, fouettez les œufs avec le sucre et le sucre vanillé </v>
      </c>
      <c r="U41" s="180" t="str">
        <f t="shared" si="9"/>
        <v>4. Dans un saladier, fouettez les œufs avec le sucre et le sucre vanillé *</v>
      </c>
      <c r="V41" s="181" t="str">
        <f>IF(30=30,IF(T41="","",IF(W41="X",""&amp;"Céréales contenant du gluten","")&amp;IF(X41="X",IF(COUNTIF(W41:W41,"X")&gt;0,", ","")&amp;"Crustacés","")&amp;IF(Y41="X",IF(COUNTIF(W41:X41,"X")&gt;0,", ","")&amp;"Œufs","")&amp;IF(Z41="X",IF(COUNTIF(W41:Y41,"X")&gt;0,", ","")&amp;"Poissons","")&amp;IF(AA41="X",IF(COUNTIF(W41:Z41,"X")&gt;0,", ","")&amp;"Arachides","")&amp;IF(AB41="X",IF(COUNTIF(W41:AA41,"X")&gt;0,", ","")&amp;"Soja","")&amp;IF(AC41="X",IF(COUNTIF(W41:AB41,"X")&gt;0,", ","")&amp;"Lait","")&amp;IF(AD41="X",IF(COUNTIF(W41:AC41,"X")&gt;0,", ","")&amp;"Fruits à coque","")&amp;IF(AE41="X",IF(COUNTIF(W41:AD41,"X")&gt;0,", ","")&amp;"Céleri","")&amp;IF(AF41="X",IF(COUNTIF(W41:AE41,"X")&gt;0,", ","")&amp;"Moutarde","")&amp;IF(AG41="X",IF(COUNTIF(W41:AF41,"X")&gt;0,", ","")&amp;"Sésame","")&amp;IF(AH41="X",IF(COUNTIF(W41:AG41,"X")&gt;0,", ","")&amp;"Sulfites","")&amp;IF(AI41="X",IF(COUNTIF(W41:AH41,"X")&gt;0,", ","")&amp;"Lupin","")&amp;IF(AJ41="X",IF(COUNTIF(W41:AI41,"X")&gt;0,", ","")&amp;"Mollusques","")),"")</f>
        <v>Œufs</v>
      </c>
      <c r="W41" s="182" t="str">
        <f>IF(30=30,IF(T41="","",AX41),"")</f>
        <v/>
      </c>
      <c r="X41" s="182" t="str">
        <f>IF(30=30,IF(T41="","",BA41),"")</f>
        <v/>
      </c>
      <c r="Y41" s="182" t="str">
        <f>IF(30=30,IF(T41="","",BE41),"")</f>
        <v>X</v>
      </c>
      <c r="Z41" s="182" t="str">
        <f>IF(30=30,IF(T41="","",IF(ISNUMBER(SEARCH(" colin ",AS41)),"X",BR41)),"")</f>
        <v/>
      </c>
      <c r="AA41" s="182" t="str">
        <f>IF(30=30,IF(T41="","",BT41),"")</f>
        <v/>
      </c>
      <c r="AB41" s="182" t="str">
        <f>IF(30=30,IF(T41="","",BX41),"")</f>
        <v/>
      </c>
      <c r="AC41" s="182" t="str">
        <f>IF(30=30,IF(T41="","",CE41),"")</f>
        <v/>
      </c>
      <c r="AD41" s="182" t="str">
        <f>IF(30=30,IF(T41="","",CI41),"")</f>
        <v/>
      </c>
      <c r="AE41" s="182" t="str">
        <f>IF(30=30,IF(T41="","",CL41),"")</f>
        <v/>
      </c>
      <c r="AF41" s="182" t="str">
        <f>IF(30=30,IF(T41="","",CO41),"")</f>
        <v/>
      </c>
      <c r="AG41" s="182" t="str">
        <f>IF(30=30,IF(T41="","",CR41),"")</f>
        <v/>
      </c>
      <c r="AH41" s="182" t="str">
        <f>IF(30=30,IF(T41="","",CU41),"")</f>
        <v/>
      </c>
      <c r="AI41" s="182" t="str">
        <f>IF(30=30,IF(T41="","",CX41),"")</f>
        <v/>
      </c>
      <c r="AJ41" s="182" t="str">
        <f>IF(30=30,IF(T41="","",DD41),"")</f>
        <v/>
      </c>
      <c r="AK41" s="183" t="str">
        <f>IF(30=30,IF(T41="","",IF(W41="?",""&amp;"Céréales contenant du gluten","")&amp;IF(X41="?",IF(COUNTIF(W41:W41,"~?")&gt;0,", ","")&amp;"Crustacés","")&amp;IF(Y41="?",IF(COUNTIF(W41:X41,"~?")&gt;0,", ","")&amp;"Œufs","")&amp;IF(Z41="?",IF(COUNTIF(W41:Y41,"~?")&gt;0,", ","")&amp;"Poissons","")&amp;IF(AA41="?",IF(COUNTIF(W41:Z41,"~?")&gt;0,", ","")&amp;"Arachides","")&amp;IF(AB41="?",IF(COUNTIF(W41:AA41,"~?")&gt;0,", ","")&amp;"Soja","")&amp;IF(AC41="?",IF(COUNTIF(W41:AB41,"~?")&gt;0,", ","")&amp;"Lait","")&amp;IF(AD41="?",IF(COUNTIF(W41:AC41,"~?")&gt;0,", ","")&amp;"Fruits à coque","")&amp;IF(AE41="?",IF(COUNTIF(W41:AD41,"~?")&gt;0,", ","")&amp;"Céleri","")&amp;IF(AF41="?",IF(COUNTIF(W41:AE41,"~?")&gt;0,", ","")&amp;"Moutarde","")&amp;IF(AG41="?",IF(COUNTIF(W41:AF41,"~?")&gt;0,", ","")&amp;"Sésame","")&amp;IF(AH41="?",IF(COUNTIF(W41:AG41,"~?")&gt;0,", ","")&amp;"Sulfites","")&amp;IF(AI41="?",IF(COUNTIF(W41:AH41,"~?")&gt;0,", ","")&amp;"Lupin","")&amp;IF(AJ41="?",IF(COUNTIF(W41:AI41,"~?")&gt;0,", ","")&amp;"Mollusques","")),"")</f>
        <v/>
      </c>
      <c r="AM41" s="127" t="str">
        <f>IF(30=30,IF(T41="","",T41),"")</f>
        <v xml:space="preserve">4. Dans un saladier, fouettez les œufs avec le sucre et le sucre vanillé </v>
      </c>
      <c r="AN41" s="127" t="str">
        <f>IF(30=30,LOWER(CLEAN(SUBSTITUTE(SUBSTITUTE(SUBSTITUTE(SUBSTITUTE(AM41,CHAR(160)," ")," "," "),CHAR(10)," "),CHAR(13)," "))),"")</f>
        <v xml:space="preserve">4. dans un saladier, fouettez les œufs avec le sucre et le sucre vanillé </v>
      </c>
      <c r="AO41" s="127" t="str">
        <f>IF(30=30,SUBSTITUTE(SUBSTITUTE(SUBSTITUTE(SUBSTITUTE(SUBSTITUTE(SUBSTITUTE(SUBSTITUTE(SUBSTITUTE(SUBSTITUTE(SUBSTITUTE(SUBSTITUTE(SUBSTITUTE(AN41,"œ","oe"),"æ","ae"),"à","a"),"á","a"),"â","a"),"ä","a"),"ã","a"),"ç","c"),"è","e"),"é","e"),"ê","e"),"ë","e"),"")</f>
        <v xml:space="preserve">4. dans un saladier, fouettez les oeufs avec le sucre et le sucre vanille </v>
      </c>
      <c r="AP41" s="127" t="str">
        <f>IF(30=30,SUBSTITUTE(SUBSTITUTE(SUBSTITUTE(SUBSTITUTE(SUBSTITUTE(SUBSTITUTE(SUBSTITUTE(SUBSTITUTE(SUBSTITUTE(SUBSTITUTE(SUBSTITUTE(SUBSTITUTE(SUBSTITUTE(SUBSTITUTE(SUBSTITUTE(SUBSTITUTE(AO41,"ì","i"),"í","i"),"î","i"),"ï","i"),"ñ","n"),"ò","o"),"ó","o"),"ô","o"),"ö","o"),"õ","o"),"ù","u"),"ú","u"),"û","u"),"ü","u"),"ý","y"),"ÿ","y"),"")</f>
        <v xml:space="preserve">4. dans un saladier, fouettez les oeufs avec le sucre et le sucre vanille </v>
      </c>
      <c r="AQ41" s="127" t="str">
        <f>IF(30=30,SUBSTITUTE(SUBSTITUTE(SUBSTITUTE(SUBSTITUTE(SUBSTITUTE(SUBSTITUTE(SUBSTITUTE(SUBSTITUTE(SUBSTITUTE(SUBSTITUTE(SUBSTITUTE(SUBSTITUTE(SUBSTITUTE(SUBSTITUTE(AP41,"’"," "),"`"," "),"–"," "),"—"," "),"-"," "),"'"," "),"/"," "),"_"," "),","," "),"."," "),"("," "),")"," "),";"," "),":"," "),"")</f>
        <v xml:space="preserve">4  dans un saladier  fouettez les oeufs avec le sucre et le sucre vanille </v>
      </c>
      <c r="AR41" s="127" t="str">
        <f>IF(30=30,SUBSTITUTE(SUBSTITUTE(SUBSTITUTE(SUBSTITUTE(SUBSTITUTE(SUBSTITUTE(SUBSTITUTE(SUBSTITUTE(SUBSTITUTE(SUBSTITUTE(SUBSTITUTE(SUBSTITUTE(SUBSTITUTE(SUBSTITUTE(SUBSTITUTE(AQ41,"!"," "),"?"," "),"+"," "),"*"," "),"&amp;"," "),"["," "),"]"," "),"{"," "),"}"," "),"%"," "),"="," "),"\"," "),"|"," "),"&lt;"," "),"&gt;"," "),"")</f>
        <v xml:space="preserve">4  dans un saladier  fouettez les oeufs avec le sucre et le sucre vanille </v>
      </c>
      <c r="AS41" s="127" t="str">
        <f>IF(30=30," "&amp;TRIM(SUBSTITUTE(SUBSTITUTE(SUBSTITUTE(SUBSTITUTE(SUBSTITUTE(SUBSTITUTE(AR41,CHAR(34)," "),"  "," "),"  "," "),"  "," "),"  "," "),"  "," "))&amp;" ","")</f>
        <v xml:space="preserve"> 4 dans un saladier fouettez les oeufs avec le sucre et le sucre vanille </v>
      </c>
      <c r="AT41" s="127" cm="1">
        <f t="array" ref="AT41">IF(30=30,IF(AM41="","",SUMPRODUCT(--ISNUMBER(SEARCH(" "&amp;DJ13:DJ112&amp;" ",AV41)))),"")</f>
        <v>0</v>
      </c>
      <c r="AU41" s="127" cm="1">
        <f t="array" ref="AU41">IF(30=30,IF(AM41="","",SUMPRODUCT(--ISNUMBER(SEARCH(" "&amp;DJ113:DJ162&amp;" ",AV41)))),"")</f>
        <v>0</v>
      </c>
      <c r="AV41" s="127" t="str">
        <f>IF(AM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4 dans un saladier fouettez les oeufs avec le sucre et le sucre vanille </v>
      </c>
      <c r="AW41" s="127" cm="1">
        <f t="array" ref="AW41">IF(AM41="","",SUMPRODUCT(--ISNUMBER(SEARCH(" "&amp;DJ195:DJ216&amp;" ",AV41)))+--ISNUMBER(SEARCH(" "&amp;DJ2465&amp;" ",AV41)))</f>
        <v>0</v>
      </c>
      <c r="AX41" s="127" t="str" cm="1">
        <f t="array" ref="AX41">IF(30=30,IF(AM41="","",IF(SUM(AT41:AU41)+SUMPRODUCT(--ISNUMBER(SEARCH(" "&amp;DJ2429:DJ2431&amp;" ",AV41)))&gt;0,"X",IF(AW41&gt;0,"?",""))),"")</f>
        <v/>
      </c>
      <c r="AY41" s="127" cm="1">
        <f t="array" ref="AY41">IF(30=30,IF(AM41="","",SUMPRODUCT(--ISNUMBER(SEARCH(" "&amp;DJ217:DJ316&amp;" ",AS41)))),"")</f>
        <v>0</v>
      </c>
      <c r="AZ41" s="127" cm="1">
        <f t="array" ref="AZ41">IF(30=30,IF(AM41="","",SUMPRODUCT(--ISNUMBER(SEARCH(" "&amp;DJ317:DJ351&amp;" ",AS41)))),"")</f>
        <v>0</v>
      </c>
      <c r="BA41" s="127" t="str">
        <f>IF(30=30,IF(AM41="","",IF((SUM(AY41:AZ41))-(0)&gt;0,"X",IF((0)-(0)&gt;0,"?",""))),"")</f>
        <v/>
      </c>
      <c r="BB41" s="127" cm="1">
        <f t="array" ref="BB41">IF(30=30,IF(AM41="","",SUMPRODUCT(--ISNUMBER(SEARCH(" "&amp;DJ352:DJ409&amp;" ",AS41)))),"")</f>
        <v>1</v>
      </c>
      <c r="BC41" s="127" cm="1">
        <f t="array" ref="BC41">IF(30=30,IF(AM41="","",SUMPRODUCT(--ISNUMBER(SEARCH(" "&amp;DJ410:DJ437&amp;" ",BD41)))+SUMPRODUCT(--ISNUMBER(SEARCH(" "&amp;DJ2451:DJ2464&amp;" ",BD41)))),"")</f>
        <v>0</v>
      </c>
      <c r="BD41" s="127" t="str">
        <f>IF(30=30,IF(AM41="","",SUBSTITUTE(SUBSTITUTE(SUBSTITUTE(SUBSTITUTE(SUBSTITUTE(SUBSTITUTE(SUBSTITUTE(SUBSTITUTE(SUBSTITUTE(SUBSTITUTE(SUBSTITUTE(SUBSTITUTE(SUBSTITUTE(SUBSTITUTE(AS41," "&amp;DJ2466&amp;" "," ")," "&amp;DJ444&amp;" "," ")," "&amp;DJ442&amp;" "," ")," "&amp;DJ2449&amp;" "," ")," "&amp;DJ2450&amp;" "," ")," "&amp;DJ439&amp;" "," ")," "&amp;DJ443&amp;" "," ")," "&amp;DJ445&amp;" "," ")," "&amp;DJ440&amp;" "," ")," "&amp;DJ438&amp;" "," ")," "&amp;DJ1378&amp;" "," ")," "&amp;DJ446&amp;" "," ")," "&amp;DJ1377&amp;" "," ")," "&amp;DJ441&amp;" "," ")),"")</f>
        <v xml:space="preserve"> 4 dans un saladier fouettez les oeufs avec le sucre et le sucre vanille </v>
      </c>
      <c r="BE41" s="127" t="str">
        <f>IF(30=30,IF(AM41="","",IF(BB41&gt;0,"X",IF(BC41&gt;0,"?",""))),"")</f>
        <v>X</v>
      </c>
      <c r="BF41" s="127" cm="1">
        <f t="array" ref="BF41">IF(30=30,IF(AM41="","",SUMPRODUCT(--ISNUMBER(SEARCH(" "&amp;DJ447:DJ546&amp;" ",BP41)))),"")</f>
        <v>0</v>
      </c>
      <c r="BG41" s="127" cm="1">
        <f t="array" ref="BG41">IF(30=30,IF(AM41="","",SUMPRODUCT(--ISNUMBER(SEARCH(" "&amp;DJ547:DJ646&amp;" ",BP41)))),"")</f>
        <v>0</v>
      </c>
      <c r="BH41" s="127" cm="1">
        <f t="array" ref="BH41">IF(30=30,IF(AM41="","",SUMPRODUCT(--ISNUMBER(SEARCH(" "&amp;DJ647:DJ746&amp;" ",BP41)))),"")</f>
        <v>0</v>
      </c>
      <c r="BI41" s="127" cm="1">
        <f t="array" ref="BI41">IF(30=30,IF(AM41="","",SUMPRODUCT(--ISNUMBER(SEARCH(" "&amp;DJ747:DJ846&amp;" ",BP41)))),"")</f>
        <v>0</v>
      </c>
      <c r="BJ41" s="127" cm="1">
        <f t="array" ref="BJ41">IF(30=30,IF(AM41="","",SUMPRODUCT(--ISNUMBER(SEARCH(" "&amp;DJ847:DJ946&amp;" ",BP41)))),"")</f>
        <v>0</v>
      </c>
      <c r="BK41" s="127" cm="1">
        <f t="array" ref="BK41">IF(30=30,IF(AM41="","",SUMPRODUCT(--ISNUMBER(SEARCH(" "&amp;DJ947:DJ1046&amp;" ",BP41)))),"")</f>
        <v>0</v>
      </c>
      <c r="BL41" s="127" cm="1">
        <f t="array" ref="BL41">IF(30=30,IF(AM41="","",SUMPRODUCT(--ISNUMBER(SEARCH(" "&amp;DJ1047:DJ1146&amp;" ",BP41)))),"")</f>
        <v>0</v>
      </c>
      <c r="BM41" s="127" cm="1">
        <f t="array" ref="BM41">IF(30=30,IF(AM41="","",SUMPRODUCT(--ISNUMBER(SEARCH(" "&amp;DJ1147:DJ1246&amp;" ",BP41)))),"")</f>
        <v>0</v>
      </c>
      <c r="BN41" s="127" cm="1">
        <f t="array" ref="BN41">IF(30=30,IF(AM41="","",SUMPRODUCT(--ISNUMBER(SEARCH(" "&amp;DJ1247:DJ1346&amp;" ",BP41)))),"")</f>
        <v>0</v>
      </c>
      <c r="BO41" s="127" cm="1">
        <f t="array" ref="BO41">IF(30=30,IF(AM41="","",SUMPRODUCT(--ISNUMBER(SEARCH(" "&amp;DJ1347:DJ1374&amp;" ",BP41)))),"")</f>
        <v>0</v>
      </c>
      <c r="BP41" s="127" t="str">
        <f>IF(30=30,IF(AM41="","",SUBSTITUTE(SUBSTITUTE(SUBSTITUTE(SUBSTITUTE(SUBSTITUTE(SUBSTITUTE(SUBSTITUTE(SUBSTITUTE(SUBSTITUTE(AS41," "&amp;DJ1376&amp;" "," ")," "&amp;DJ1375&amp;" "," ")," "&amp;DJ1381&amp;" "," ")," "&amp;DJ1382&amp;" "," ")," "&amp;DJ1378&amp;" "," ")," "&amp;DJ1380&amp;" "," ")," "&amp;DJ1377&amp;" "," ")," "&amp;DJ1379&amp;" "," ")," "&amp;DJ1383&amp;" "," ")),"")</f>
        <v xml:space="preserve"> 4 dans un saladier fouettez les oeufs avec le sucre et le sucre vanille </v>
      </c>
      <c r="BQ41" s="127" cm="1">
        <f t="array" ref="BQ41">IF(30=30,IF(AM41="","",SUMPRODUCT(--ISNUMBER(SEARCH(" "&amp;DJ1384:DJ1394&amp;" ",BP41)))),"")</f>
        <v>0</v>
      </c>
      <c r="BR41" s="127" t="str" cm="1">
        <f t="array" ref="BR41">IF(30=30,IF(AM41="","",IF(SUM(BF41:BO41)+SUMPRODUCT(--ISNUMBER(SEARCH(" "&amp;DJ2432:DJ2433&amp;" ",BP41)))&gt;0,"X",IF(BQ41&gt;0,"?",""))),"")</f>
        <v/>
      </c>
      <c r="BS41" s="127" cm="1">
        <f t="array" ref="BS41">IF(30=30,IF(AM41="","",SUMPRODUCT(--ISNUMBER(SEARCH(" "&amp;DJ1395:DJ1415&amp;" ",AS41)))),"")</f>
        <v>0</v>
      </c>
      <c r="BT41" s="127" t="str">
        <f>IF(30=30,IF(AM41="","",IF((BS41)-(0)&gt;0,"X",IF((0)-(0)&gt;0,"?",""))),"")</f>
        <v/>
      </c>
      <c r="BU41" s="127" cm="1">
        <f t="array" ref="BU41">IF(30=30,IF(AM41="","",SUMPRODUCT(--ISNUMBER(SEARCH(" "&amp;DJ1416:DJ1453&amp;" ",BV41)))),"")</f>
        <v>0</v>
      </c>
      <c r="BV41" s="127" t="str">
        <f>IF(30=30,IF(AM41="","",SUBSTITUTE(SUBSTITUTE(AS41," "&amp;DJ1454&amp;" "," ")," "&amp;DJ1455&amp;" "," ")),"")</f>
        <v xml:space="preserve"> 4 dans un saladier fouettez les oeufs avec le sucre et le sucre vanille </v>
      </c>
      <c r="BW41" s="127" cm="1">
        <f t="array" ref="BW41">IF(30=30,IF(AM41="","",SUMPRODUCT(--ISNUMBER(SEARCH(" "&amp;DJ1456:DJ1466&amp;" ",BV41)))),"")</f>
        <v>0</v>
      </c>
      <c r="BX41" s="127" t="str">
        <f>IF(30=30,IF(AM41="","",IF(BU41&gt;0,"X",IF(BW41&gt;0,"?",""))),"")</f>
        <v/>
      </c>
      <c r="BY41" s="127" cm="1">
        <f t="array" ref="BY41">IF(30=30,IF(AM41="","",SUMPRODUCT(--ISNUMBER(SEARCH(" "&amp;DJ1467:DJ1566&amp;" ",CB41)))),"")</f>
        <v>0</v>
      </c>
      <c r="BZ41" s="127" cm="1">
        <f t="array" ref="BZ41">IF(30=30,IF(AM41="","",SUMPRODUCT(--ISNUMBER(SEARCH(" "&amp;DJ1567:DJ1666&amp;" ",CB41)))),"")</f>
        <v>0</v>
      </c>
      <c r="CA41" s="127" cm="1">
        <f t="array" ref="CA41">IF(30=30,IF(AM41="","",SUMPRODUCT(--ISNUMBER(SEARCH(" "&amp;DJ1667:DJ1750&amp;" ",CB41)))),"")</f>
        <v>0</v>
      </c>
      <c r="CB41" s="127" t="str">
        <f>IF(30=30,IF(AM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4 dans un saladier fouettez les oeufs avec le sucre et le sucre vanille </v>
      </c>
      <c r="CC41" s="127" cm="1">
        <f t="array" ref="CC41">IF(30=30,IF(AM41="","",SUMPRODUCT(--ISNUMBER(SEARCH(" "&amp;DJ1801:DJ1880&amp;" ",CD41)))+SUMPRODUCT(--ISNUMBER(SEARCH(" "&amp;DJ2451:DJ2464&amp;" ",CD41)))),"")</f>
        <v>0</v>
      </c>
      <c r="CD41" s="127" t="str">
        <f>IF(30=30,IF(AM41="","",SUBSTITUTE(SUBSTITUTE(SUBSTITUTE(SUBSTITUTE(SUBSTITUTE(SUBSTITUTE(SUBSTITUTE(SUBSTITUTE(SUBSTITUTE(SUBSTITUTE(SUBSTITUTE(SUBSTITUTE(SUBSTITUTE(CB41," "&amp;DJ1887&amp;" "," ")," "&amp;DJ1885&amp;" "," ")," "&amp;DJ2449&amp;" "," ")," "&amp;DJ2450&amp;" "," ")," "&amp;DJ1882&amp;" "," ")," "&amp;DJ1886&amp;" "," ")," "&amp;DJ1888&amp;" "," ")," "&amp;DJ1883&amp;" "," ")," "&amp;DJ1881&amp;" "," ")," "&amp;DJ1378&amp;" "," ")," "&amp;DJ1889&amp;" "," ")," "&amp;DJ1377&amp;" "," ")," "&amp;DJ1884&amp;" "," ")),"")</f>
        <v xml:space="preserve"> 4 dans un saladier fouettez les oeufs avec le sucre et le sucre vanille </v>
      </c>
      <c r="CE41" s="127" t="str" cm="1">
        <f t="array" ref="CE41">IF(30=30,IF(AM41="","",IF(SUM(BY41:CA41)+SUMPRODUCT(--ISNUMBER(SEARCH(" "&amp;DJ2434:DJ2435&amp;" ",CB41)))&gt;0,"X",IF(CC41&gt;0,"?",""))),"")</f>
        <v/>
      </c>
      <c r="CF41" s="127" cm="1">
        <f t="array" ref="CF41">IF(30=30,IF(AM41="","",SUMPRODUCT(--ISNUMBER(SEARCH(" "&amp;DJ1890:DJ1947&amp;" ",CG41)))),"")</f>
        <v>0</v>
      </c>
      <c r="CG41" s="127" t="str">
        <f>IF(30=30,IF(AM41="","",SUBSTITUTE(SUBSTITUTE(SUBSTITUTE(SUBSTITUTE(SUBSTITUTE(SUBSTITUTE(SUBSTITUTE(SUBSTITUTE(SUBSTITUTE(SUBSTITUTE(SUBSTITUTE(SUBSTITUTE(SUBSTITUTE(SUBSTITUTE(SUBSTITUTE(SUBSTITUTE(SUBSTITUTE(SUBSTITUTE(SUBSTITUTE(SUBSTITUTE(SUBSTITUTE(SUBSTITUTE(SUBSTITUTE(AS41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4 dans un saladier fouettez les oeufs avec le sucre et le sucre vanille </v>
      </c>
      <c r="CH41" s="127" cm="1">
        <f t="array" ref="CH41">IF(30=30,IF(AM41="","",SUMPRODUCT(--ISNUMBER(SEARCH(" "&amp;DJ1971:DJ1987&amp;" ",CG41)))),"")</f>
        <v>0</v>
      </c>
      <c r="CI41" s="127" t="str">
        <f>IF(30=30,IF(AM41="","",IF(CF41&gt;0,"X",IF(CH41&gt;0,"?",""))),"")</f>
        <v/>
      </c>
      <c r="CJ41" s="127" cm="1">
        <f t="array" ref="CJ41">IF(30=30,IF(AM41="","",SUMPRODUCT(--ISNUMBER(SEARCH(" "&amp;DJ1988:DJ2001&amp;" ",AS41)))),"")</f>
        <v>0</v>
      </c>
      <c r="CK41" s="127" cm="1">
        <f t="array" ref="CK41">IF(30=30,IF(AM41="","",SUMPRODUCT(--ISNUMBER(SEARCH(" "&amp;DJ2002:DJ2016&amp;" ",AS41)))),"")</f>
        <v>0</v>
      </c>
      <c r="CL41" s="127" t="str">
        <f>IF(30=30,IF(AM41="","",IF((CJ41)-(0)&gt;0,"X",IF((CK41)-(0)&gt;0,"?",""))),"")</f>
        <v/>
      </c>
      <c r="CM41" s="127" cm="1">
        <f t="array" ref="CM41">IF(30=30,IF(AM41="","",SUMPRODUCT(--ISNUMBER(SEARCH(" "&amp;DJ2017:DJ2034&amp;" ",AS41)))),"")</f>
        <v>0</v>
      </c>
      <c r="CN41" s="127" cm="1">
        <f t="array" ref="CN41">IF(30=30,IF(AM41="","",SUMPRODUCT(--ISNUMBER(SEARCH(" "&amp;DJ2035:DJ2049&amp;" ",AS41)))),"")</f>
        <v>0</v>
      </c>
      <c r="CO41" s="127" t="str">
        <f>IF(30=30,IF(AM41="","",IF((CM41)-(0)&gt;0,"X",IF((CN41)-(0)&gt;0,"?",""))),"")</f>
        <v/>
      </c>
      <c r="CP41" s="127" cm="1">
        <f t="array" ref="CP41">IF(30=30,IF(AM41="","",SUMPRODUCT(--ISNUMBER(SEARCH(" "&amp;DJ2050:DJ2068&amp;" ",AS41)))),"")</f>
        <v>0</v>
      </c>
      <c r="CQ41" s="127" cm="1">
        <f t="array" ref="CQ41">IF(30=30,IF(AM41="","",SUMPRODUCT(--ISNUMBER(SEARCH(" "&amp;DJ2069:DJ2083&amp;" ",AS41)))),"")</f>
        <v>0</v>
      </c>
      <c r="CR41" s="127" t="str">
        <f>IF(30=30,IF(AM41="","",IF((CP41)-(0)&gt;0,"X",IF((CQ41)-(0)&gt;0,"?",""))),"")</f>
        <v/>
      </c>
      <c r="CS41" s="127" cm="1">
        <f t="array" ref="CS41">IF(30=30,IF(AM41="","",SUMPRODUCT(--ISNUMBER(SEARCH(" "&amp;DJ2084:DJ2104&amp;" ",AS41)))),"")</f>
        <v>0</v>
      </c>
      <c r="CT41" s="127" cm="1">
        <f t="array" ref="CT41">IF(30=30,IF(AM41="","",SUMPRODUCT(--ISNUMBER(SEARCH(" "&amp;DJ2105:DJ2144&amp;" ",SUBSTITUTE(SUBSTITUTE(AS41," "&amp;DJ1378&amp;" "," ")," "&amp;DJ1377&amp;" "," "))))+--ISNUMBER(SEARCH("poiré",AN41))),"")</f>
        <v>0</v>
      </c>
      <c r="CU41" s="127" t="str">
        <f>IF(30=30,IF(AM41="","",IF(OR(CS41&gt;0,ISNUMBER(SEARCH(" vinaigre de vin ",AS41)),ISNUMBER(SEARCH(" vinaigre au vin ",AS41))),"X",IF(CT41&gt;0,"?",""))),"")</f>
        <v/>
      </c>
      <c r="CV41" s="127" cm="1">
        <f t="array" ref="CV41">IF(30=30,IF(AM41="","",SUMPRODUCT(--ISNUMBER(SEARCH(" "&amp;DJ2145:DJ2157&amp;" ",AS41)))),"")</f>
        <v>0</v>
      </c>
      <c r="CW41" s="127" cm="1">
        <f t="array" ref="CW41">IF(30=30,IF(AM41="","",SUMPRODUCT(--ISNUMBER(SEARCH(" "&amp;DJ2158:DJ2163&amp;" ",AS41)))),"")</f>
        <v>0</v>
      </c>
      <c r="CX41" s="127" t="str">
        <f>IF(30=30,IF(AM41="","",IF((CV41)-(0)&gt;0,"X",IF((CW41)-(0)&gt;0,"?",""))),"")</f>
        <v/>
      </c>
      <c r="CY41" s="127" cm="1">
        <f t="array" ref="CY41">IF(30=30,IF(AM41="","",SUMPRODUCT(--ISNUMBER(SEARCH(" "&amp;DJ2164:DJ2263&amp;" ",DB41)))),"")</f>
        <v>0</v>
      </c>
      <c r="CZ41" s="127" cm="1">
        <f t="array" ref="CZ41">IF(30=30,IF(AM41="","",SUMPRODUCT(--ISNUMBER(SEARCH(" "&amp;DJ2264:DJ2363&amp;" ",DB41)))),"")</f>
        <v>0</v>
      </c>
      <c r="DA41" s="127" cm="1">
        <f t="array" ref="DA41">IF(30=30,IF(AM41="","",SUMPRODUCT(--ISNUMBER(SEARCH(" "&amp;DJ2364:DJ2406&amp;" ",DB41)))),"")</f>
        <v>0</v>
      </c>
      <c r="DB41" s="127" t="str">
        <f>IF(30=30,IF(AM41="","",SUBSTITUTE(SUBSTITUTE(SUBSTITUTE(SUBSTITUTE(SUBSTITUTE(SUBSTITUTE(SUBSTITUTE(SUBSTITUTE(SUBSTITUTE(SUBSTITUTE(SUBSTITUTE(SUBSTITUTE(SUBSTITUTE(SUBSTITUTE(SUBSTITUTE(SUBSTITUTE(AS41," "&amp;DJ2412&amp;" "," ")," "&amp;DJ2411&amp;" "," ")," "&amp;DJ2410&amp;" "," ")," "&amp;DJ2417&amp;" "," ")," "&amp;DJ2409&amp;" "," ")," "&amp;DJ2421&amp;" "," ")," "&amp;DJ2408&amp;" "," ")," "&amp;DJ2413&amp;" "," ")," "&amp;DJ2416&amp;" "," ")," "&amp;DJ2407&amp;" "," ")," "&amp;DJ2415&amp;" "," ")," "&amp;DJ2422&amp;" "," ")," "&amp;DJ2419&amp;" "," ")," "&amp;DJ2414&amp;" "," ")," "&amp;DJ2418&amp;" "," ")," "&amp;DJ2420&amp;" "," ")),"")</f>
        <v xml:space="preserve"> 4 dans un saladier fouettez les oeufs avec le sucre et le sucre vanille </v>
      </c>
      <c r="DC41" s="127" cm="1">
        <f t="array" ref="DC41">IF(30=30,IF(AM41="","",SUMPRODUCT(--ISNUMBER(SEARCH(" "&amp;DJ2423:DJ2427&amp;" ",DB41)))),"")</f>
        <v>0</v>
      </c>
      <c r="DD41" s="127" t="str">
        <f>IF(30=30,IF(AM41="","",IF(SUM(CY41:DA41)&gt;0,"X",IF(DC41&gt;0,"?",""))),"")</f>
        <v/>
      </c>
      <c r="DE41" s="152"/>
      <c r="DF41" s="160" t="s">
        <v>713</v>
      </c>
      <c r="DG41" s="160" t="s">
        <v>584</v>
      </c>
      <c r="DH41" s="160" t="s">
        <v>125</v>
      </c>
      <c r="DI41" s="160" t="s">
        <v>181</v>
      </c>
      <c r="DJ41" s="160" t="s">
        <v>181</v>
      </c>
      <c r="DK41" s="160" t="s">
        <v>588</v>
      </c>
      <c r="DL41" s="160" t="s">
        <v>589</v>
      </c>
      <c r="DM41" s="160" t="s">
        <v>590</v>
      </c>
      <c r="DN41" s="161" t="s">
        <v>591</v>
      </c>
      <c r="DP41" s="130">
        <v>1</v>
      </c>
    </row>
    <row r="42" spans="2:120" ht="30" customHeight="1">
      <c r="B42" s="165" t="str">
        <f t="shared" si="0"/>
        <v>Cuisson : 30 min</v>
      </c>
      <c r="C42" s="165" t="str">
        <f t="shared" si="1"/>
        <v>Cuisson 30 min</v>
      </c>
      <c r="D42" s="165" t="str">
        <f>IF(UPPER(TRIM(N11))="X",C42,B42)</f>
        <v>Cuisson : 30 min</v>
      </c>
      <c r="E42" s="165" cm="1">
        <f t="array" ref="E42">IF(H41&lt;&gt;"",E41,IF(E41="","",IFERROR(MATCH(TRUE(),INDEX(INDEX(K:K,E41+1):K203&lt;&gt;"",0),0)+E41,"")))</f>
        <v>36</v>
      </c>
      <c r="F42" s="165" t="str" cm="1">
        <f t="array" ref="F42">IF(E42="","",IF(H41&lt;&gt;"",H41,INDEX(D:D,E42)))</f>
        <v>jusqu’à ce que le mélange blanchisse.</v>
      </c>
      <c r="G42" s="165" t="str">
        <f t="shared" si="2"/>
        <v>jusqu’à ce que le mélange blanchisse.</v>
      </c>
      <c r="H42" s="174" t="str">
        <f t="shared" si="3"/>
        <v/>
      </c>
      <c r="I42" s="184" t="str">
        <f>IF(AND(F42&lt;&gt;"",N10&gt;0,M42&gt;N10),"Mot &gt; limite","")</f>
        <v/>
      </c>
      <c r="J42" s="175">
        <f>IF(K42="","",COUNTIF(K18:K42,"&lt;&gt;"))</f>
        <v>25</v>
      </c>
      <c r="K42" s="111" t="s">
        <v>417</v>
      </c>
      <c r="L42" s="175">
        <f t="shared" si="4"/>
        <v>16</v>
      </c>
      <c r="M42" s="135">
        <f>IF(OR(F42="",N10="",N10&lt;=0),"",IF(LEN(F42)&lt;=N10,LEN(F42),IFERROR(FIND("♦",SUBSTITUTE(LEFT(F42,N10)," ","♦",LEN(LEFT(F42,N10))-LEN(SUBSTITUTE(LEFT(F42,N10)," ","")))),FIND(" ",F42&amp;" ",N10+1)-1)))</f>
        <v>37</v>
      </c>
      <c r="N42" s="176">
        <f t="shared" si="5"/>
        <v>25</v>
      </c>
      <c r="O42" s="177" t="str">
        <f t="shared" si="6"/>
        <v>jusqu’à ce que le mélange blanchisse.</v>
      </c>
      <c r="P42" s="176">
        <f t="shared" si="7"/>
        <v>6</v>
      </c>
      <c r="Q42" s="176">
        <f t="shared" si="8"/>
        <v>37</v>
      </c>
      <c r="S42" s="178">
        <v>25</v>
      </c>
      <c r="T42" s="179" t="str">
        <f t="shared" si="10"/>
        <v>jusqu’à ce que le mélange blanchisse.</v>
      </c>
      <c r="U42" s="180" t="str">
        <f t="shared" si="9"/>
        <v>jusqu’à ce que le mélange blanchisse.</v>
      </c>
      <c r="V42" s="181" t="str">
        <f>IF(31=31,IF(T42="","",IF(W42="X",""&amp;"Céréales contenant du gluten","")&amp;IF(X42="X",IF(COUNTIF(W42:W42,"X")&gt;0,", ","")&amp;"Crustacés","")&amp;IF(Y42="X",IF(COUNTIF(W42:X42,"X")&gt;0,", ","")&amp;"Œufs","")&amp;IF(Z42="X",IF(COUNTIF(W42:Y42,"X")&gt;0,", ","")&amp;"Poissons","")&amp;IF(AA42="X",IF(COUNTIF(W42:Z42,"X")&gt;0,", ","")&amp;"Arachides","")&amp;IF(AB42="X",IF(COUNTIF(W42:AA42,"X")&gt;0,", ","")&amp;"Soja","")&amp;IF(AC42="X",IF(COUNTIF(W42:AB42,"X")&gt;0,", ","")&amp;"Lait","")&amp;IF(AD42="X",IF(COUNTIF(W42:AC42,"X")&gt;0,", ","")&amp;"Fruits à coque","")&amp;IF(AE42="X",IF(COUNTIF(W42:AD42,"X")&gt;0,", ","")&amp;"Céleri","")&amp;IF(AF42="X",IF(COUNTIF(W42:AE42,"X")&gt;0,", ","")&amp;"Moutarde","")&amp;IF(AG42="X",IF(COUNTIF(W42:AF42,"X")&gt;0,", ","")&amp;"Sésame","")&amp;IF(AH42="X",IF(COUNTIF(W42:AG42,"X")&gt;0,", ","")&amp;"Sulfites","")&amp;IF(AI42="X",IF(COUNTIF(W42:AH42,"X")&gt;0,", ","")&amp;"Lupin","")&amp;IF(AJ42="X",IF(COUNTIF(W42:AI42,"X")&gt;0,", ","")&amp;"Mollusques","")),"")</f>
        <v/>
      </c>
      <c r="W42" s="182" t="str">
        <f>IF(31=31,IF(T42="","",AX42),"")</f>
        <v/>
      </c>
      <c r="X42" s="182" t="str">
        <f>IF(31=31,IF(T42="","",BA42),"")</f>
        <v/>
      </c>
      <c r="Y42" s="182" t="str">
        <f>IF(31=31,IF(T42="","",BE42),"")</f>
        <v/>
      </c>
      <c r="Z42" s="182" t="str">
        <f>IF(31=31,IF(T42="","",IF(ISNUMBER(SEARCH(" colin ",AS42)),"X",BR42)),"")</f>
        <v/>
      </c>
      <c r="AA42" s="182" t="str">
        <f>IF(31=31,IF(T42="","",BT42),"")</f>
        <v/>
      </c>
      <c r="AB42" s="182" t="str">
        <f>IF(31=31,IF(T42="","",BX42),"")</f>
        <v/>
      </c>
      <c r="AC42" s="182" t="str">
        <f>IF(31=31,IF(T42="","",CE42),"")</f>
        <v/>
      </c>
      <c r="AD42" s="182" t="str">
        <f>IF(31=31,IF(T42="","",CI42),"")</f>
        <v/>
      </c>
      <c r="AE42" s="182" t="str">
        <f>IF(31=31,IF(T42="","",CL42),"")</f>
        <v/>
      </c>
      <c r="AF42" s="182" t="str">
        <f>IF(31=31,IF(T42="","",CO42),"")</f>
        <v/>
      </c>
      <c r="AG42" s="182" t="str">
        <f>IF(31=31,IF(T42="","",CR42),"")</f>
        <v/>
      </c>
      <c r="AH42" s="182" t="str">
        <f>IF(31=31,IF(T42="","",CU42),"")</f>
        <v/>
      </c>
      <c r="AI42" s="182" t="str">
        <f>IF(31=31,IF(T42="","",CX42),"")</f>
        <v/>
      </c>
      <c r="AJ42" s="182" t="str">
        <f>IF(31=31,IF(T42="","",DD42),"")</f>
        <v/>
      </c>
      <c r="AK42" s="183" t="str">
        <f>IF(31=31,IF(T42="","",IF(W42="?",""&amp;"Céréales contenant du gluten","")&amp;IF(X42="?",IF(COUNTIF(W42:W42,"~?")&gt;0,", ","")&amp;"Crustacés","")&amp;IF(Y42="?",IF(COUNTIF(W42:X42,"~?")&gt;0,", ","")&amp;"Œufs","")&amp;IF(Z42="?",IF(COUNTIF(W42:Y42,"~?")&gt;0,", ","")&amp;"Poissons","")&amp;IF(AA42="?",IF(COUNTIF(W42:Z42,"~?")&gt;0,", ","")&amp;"Arachides","")&amp;IF(AB42="?",IF(COUNTIF(W42:AA42,"~?")&gt;0,", ","")&amp;"Soja","")&amp;IF(AC42="?",IF(COUNTIF(W42:AB42,"~?")&gt;0,", ","")&amp;"Lait","")&amp;IF(AD42="?",IF(COUNTIF(W42:AC42,"~?")&gt;0,", ","")&amp;"Fruits à coque","")&amp;IF(AE42="?",IF(COUNTIF(W42:AD42,"~?")&gt;0,", ","")&amp;"Céleri","")&amp;IF(AF42="?",IF(COUNTIF(W42:AE42,"~?")&gt;0,", ","")&amp;"Moutarde","")&amp;IF(AG42="?",IF(COUNTIF(W42:AF42,"~?")&gt;0,", ","")&amp;"Sésame","")&amp;IF(AH42="?",IF(COUNTIF(W42:AG42,"~?")&gt;0,", ","")&amp;"Sulfites","")&amp;IF(AI42="?",IF(COUNTIF(W42:AH42,"~?")&gt;0,", ","")&amp;"Lupin","")&amp;IF(AJ42="?",IF(COUNTIF(W42:AI42,"~?")&gt;0,", ","")&amp;"Mollusques","")),"")</f>
        <v/>
      </c>
      <c r="AM42" s="127" t="str">
        <f>IF(31=31,IF(T42="","",T42),"")</f>
        <v>jusqu’à ce que le mélange blanchisse.</v>
      </c>
      <c r="AN42" s="127" t="str">
        <f>IF(31=31,LOWER(CLEAN(SUBSTITUTE(SUBSTITUTE(SUBSTITUTE(SUBSTITUTE(AM42,CHAR(160)," ")," "," "),CHAR(10)," "),CHAR(13)," "))),"")</f>
        <v>jusqu’à ce que le mélange blanchisse.</v>
      </c>
      <c r="AO42" s="127" t="str">
        <f>IF(31=31,SUBSTITUTE(SUBSTITUTE(SUBSTITUTE(SUBSTITUTE(SUBSTITUTE(SUBSTITUTE(SUBSTITUTE(SUBSTITUTE(SUBSTITUTE(SUBSTITUTE(SUBSTITUTE(SUBSTITUTE(AN42,"œ","oe"),"æ","ae"),"à","a"),"á","a"),"â","a"),"ä","a"),"ã","a"),"ç","c"),"è","e"),"é","e"),"ê","e"),"ë","e"),"")</f>
        <v>jusqu’a ce que le melange blanchisse.</v>
      </c>
      <c r="AP42" s="127" t="str">
        <f>IF(31=31,SUBSTITUTE(SUBSTITUTE(SUBSTITUTE(SUBSTITUTE(SUBSTITUTE(SUBSTITUTE(SUBSTITUTE(SUBSTITUTE(SUBSTITUTE(SUBSTITUTE(SUBSTITUTE(SUBSTITUTE(SUBSTITUTE(SUBSTITUTE(SUBSTITUTE(SUBSTITUTE(AO42,"ì","i"),"í","i"),"î","i"),"ï","i"),"ñ","n"),"ò","o"),"ó","o"),"ô","o"),"ö","o"),"õ","o"),"ù","u"),"ú","u"),"û","u"),"ü","u"),"ý","y"),"ÿ","y"),"")</f>
        <v>jusqu’a ce que le melange blanchisse.</v>
      </c>
      <c r="AQ42" s="127" t="str">
        <f>IF(31=31,SUBSTITUTE(SUBSTITUTE(SUBSTITUTE(SUBSTITUTE(SUBSTITUTE(SUBSTITUTE(SUBSTITUTE(SUBSTITUTE(SUBSTITUTE(SUBSTITUTE(SUBSTITUTE(SUBSTITUTE(SUBSTITUTE(SUBSTITUTE(AP42,"’"," "),"`"," "),"–"," "),"—"," "),"-"," "),"'"," "),"/"," "),"_"," "),","," "),"."," "),"("," "),")"," "),";"," "),":"," "),"")</f>
        <v xml:space="preserve">jusqu a ce que le melange blanchisse </v>
      </c>
      <c r="AR42" s="127" t="str">
        <f>IF(31=31,SUBSTITUTE(SUBSTITUTE(SUBSTITUTE(SUBSTITUTE(SUBSTITUTE(SUBSTITUTE(SUBSTITUTE(SUBSTITUTE(SUBSTITUTE(SUBSTITUTE(SUBSTITUTE(SUBSTITUTE(SUBSTITUTE(SUBSTITUTE(SUBSTITUTE(AQ42,"!"," "),"?"," "),"+"," "),"*"," "),"&amp;"," "),"["," "),"]"," "),"{"," "),"}"," "),"%"," "),"="," "),"\"," "),"|"," "),"&lt;"," "),"&gt;"," "),"")</f>
        <v xml:space="preserve">jusqu a ce que le melange blanchisse </v>
      </c>
      <c r="AS42" s="127" t="str">
        <f>IF(31=31," "&amp;TRIM(SUBSTITUTE(SUBSTITUTE(SUBSTITUTE(SUBSTITUTE(SUBSTITUTE(SUBSTITUTE(AR42,CHAR(34)," "),"  "," "),"  "," "),"  "," "),"  "," "),"  "," "))&amp;" ","")</f>
        <v xml:space="preserve"> jusqu a ce que le melange blanchisse </v>
      </c>
      <c r="AT42" s="127" cm="1">
        <f t="array" ref="AT42">IF(31=31,IF(AM42="","",SUMPRODUCT(--ISNUMBER(SEARCH(" "&amp;DJ13:DJ112&amp;" ",AV42)))),"")</f>
        <v>0</v>
      </c>
      <c r="AU42" s="127" cm="1">
        <f t="array" ref="AU42">IF(31=31,IF(AM42="","",SUMPRODUCT(--ISNUMBER(SEARCH(" "&amp;DJ113:DJ162&amp;" ",AV42)))),"")</f>
        <v>0</v>
      </c>
      <c r="AV42" s="127" t="str">
        <f>IF(AM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jusqu a ce que le melange blanchisse </v>
      </c>
      <c r="AW42" s="127" cm="1">
        <f t="array" ref="AW42">IF(AM42="","",SUMPRODUCT(--ISNUMBER(SEARCH(" "&amp;DJ195:DJ216&amp;" ",AV42)))+--ISNUMBER(SEARCH(" "&amp;DJ2465&amp;" ",AV42)))</f>
        <v>0</v>
      </c>
      <c r="AX42" s="127" t="str" cm="1">
        <f t="array" ref="AX42">IF(31=31,IF(AM42="","",IF(SUM(AT42:AU42)+SUMPRODUCT(--ISNUMBER(SEARCH(" "&amp;DJ2429:DJ2431&amp;" ",AV42)))&gt;0,"X",IF(AW42&gt;0,"?",""))),"")</f>
        <v/>
      </c>
      <c r="AY42" s="127" cm="1">
        <f t="array" ref="AY42">IF(31=31,IF(AM42="","",SUMPRODUCT(--ISNUMBER(SEARCH(" "&amp;DJ217:DJ316&amp;" ",AS42)))),"")</f>
        <v>0</v>
      </c>
      <c r="AZ42" s="127" cm="1">
        <f t="array" ref="AZ42">IF(31=31,IF(AM42="","",SUMPRODUCT(--ISNUMBER(SEARCH(" "&amp;DJ317:DJ351&amp;" ",AS42)))),"")</f>
        <v>0</v>
      </c>
      <c r="BA42" s="127" t="str">
        <f>IF(31=31,IF(AM42="","",IF((SUM(AY42:AZ42))-(0)&gt;0,"X",IF((0)-(0)&gt;0,"?",""))),"")</f>
        <v/>
      </c>
      <c r="BB42" s="127" cm="1">
        <f t="array" ref="BB42">IF(31=31,IF(AM42="","",SUMPRODUCT(--ISNUMBER(SEARCH(" "&amp;DJ352:DJ409&amp;" ",AS42)))),"")</f>
        <v>0</v>
      </c>
      <c r="BC42" s="127" cm="1">
        <f t="array" ref="BC42">IF(31=31,IF(AM42="","",SUMPRODUCT(--ISNUMBER(SEARCH(" "&amp;DJ410:DJ437&amp;" ",BD42)))+SUMPRODUCT(--ISNUMBER(SEARCH(" "&amp;DJ2451:DJ2464&amp;" ",BD42)))),"")</f>
        <v>0</v>
      </c>
      <c r="BD42" s="127" t="str">
        <f>IF(31=31,IF(AM42="","",SUBSTITUTE(SUBSTITUTE(SUBSTITUTE(SUBSTITUTE(SUBSTITUTE(SUBSTITUTE(SUBSTITUTE(SUBSTITUTE(SUBSTITUTE(SUBSTITUTE(SUBSTITUTE(SUBSTITUTE(SUBSTITUTE(SUBSTITUTE(AS42," "&amp;DJ2466&amp;" "," ")," "&amp;DJ444&amp;" "," ")," "&amp;DJ442&amp;" "," ")," "&amp;DJ2449&amp;" "," ")," "&amp;DJ2450&amp;" "," ")," "&amp;DJ439&amp;" "," ")," "&amp;DJ443&amp;" "," ")," "&amp;DJ445&amp;" "," ")," "&amp;DJ440&amp;" "," ")," "&amp;DJ438&amp;" "," ")," "&amp;DJ1378&amp;" "," ")," "&amp;DJ446&amp;" "," ")," "&amp;DJ1377&amp;" "," ")," "&amp;DJ441&amp;" "," ")),"")</f>
        <v xml:space="preserve"> jusqu a ce que le melange blanchisse </v>
      </c>
      <c r="BE42" s="127" t="str">
        <f>IF(31=31,IF(AM42="","",IF(BB42&gt;0,"X",IF(BC42&gt;0,"?",""))),"")</f>
        <v/>
      </c>
      <c r="BF42" s="127" cm="1">
        <f t="array" ref="BF42">IF(31=31,IF(AM42="","",SUMPRODUCT(--ISNUMBER(SEARCH(" "&amp;DJ447:DJ546&amp;" ",BP42)))),"")</f>
        <v>0</v>
      </c>
      <c r="BG42" s="127" cm="1">
        <f t="array" ref="BG42">IF(31=31,IF(AM42="","",SUMPRODUCT(--ISNUMBER(SEARCH(" "&amp;DJ547:DJ646&amp;" ",BP42)))),"")</f>
        <v>0</v>
      </c>
      <c r="BH42" s="127" cm="1">
        <f t="array" ref="BH42">IF(31=31,IF(AM42="","",SUMPRODUCT(--ISNUMBER(SEARCH(" "&amp;DJ647:DJ746&amp;" ",BP42)))),"")</f>
        <v>0</v>
      </c>
      <c r="BI42" s="127" cm="1">
        <f t="array" ref="BI42">IF(31=31,IF(AM42="","",SUMPRODUCT(--ISNUMBER(SEARCH(" "&amp;DJ747:DJ846&amp;" ",BP42)))),"")</f>
        <v>0</v>
      </c>
      <c r="BJ42" s="127" cm="1">
        <f t="array" ref="BJ42">IF(31=31,IF(AM42="","",SUMPRODUCT(--ISNUMBER(SEARCH(" "&amp;DJ847:DJ946&amp;" ",BP42)))),"")</f>
        <v>0</v>
      </c>
      <c r="BK42" s="127" cm="1">
        <f t="array" ref="BK42">IF(31=31,IF(AM42="","",SUMPRODUCT(--ISNUMBER(SEARCH(" "&amp;DJ947:DJ1046&amp;" ",BP42)))),"")</f>
        <v>0</v>
      </c>
      <c r="BL42" s="127" cm="1">
        <f t="array" ref="BL42">IF(31=31,IF(AM42="","",SUMPRODUCT(--ISNUMBER(SEARCH(" "&amp;DJ1047:DJ1146&amp;" ",BP42)))),"")</f>
        <v>0</v>
      </c>
      <c r="BM42" s="127" cm="1">
        <f t="array" ref="BM42">IF(31=31,IF(AM42="","",SUMPRODUCT(--ISNUMBER(SEARCH(" "&amp;DJ1147:DJ1246&amp;" ",BP42)))),"")</f>
        <v>0</v>
      </c>
      <c r="BN42" s="127" cm="1">
        <f t="array" ref="BN42">IF(31=31,IF(AM42="","",SUMPRODUCT(--ISNUMBER(SEARCH(" "&amp;DJ1247:DJ1346&amp;" ",BP42)))),"")</f>
        <v>0</v>
      </c>
      <c r="BO42" s="127" cm="1">
        <f t="array" ref="BO42">IF(31=31,IF(AM42="","",SUMPRODUCT(--ISNUMBER(SEARCH(" "&amp;DJ1347:DJ1374&amp;" ",BP42)))),"")</f>
        <v>0</v>
      </c>
      <c r="BP42" s="127" t="str">
        <f>IF(31=31,IF(AM42="","",SUBSTITUTE(SUBSTITUTE(SUBSTITUTE(SUBSTITUTE(SUBSTITUTE(SUBSTITUTE(SUBSTITUTE(SUBSTITUTE(SUBSTITUTE(AS42," "&amp;DJ1376&amp;" "," ")," "&amp;DJ1375&amp;" "," ")," "&amp;DJ1381&amp;" "," ")," "&amp;DJ1382&amp;" "," ")," "&amp;DJ1378&amp;" "," ")," "&amp;DJ1380&amp;" "," ")," "&amp;DJ1377&amp;" "," ")," "&amp;DJ1379&amp;" "," ")," "&amp;DJ1383&amp;" "," ")),"")</f>
        <v xml:space="preserve"> jusqu a ce que le melange blanchisse </v>
      </c>
      <c r="BQ42" s="127" cm="1">
        <f t="array" ref="BQ42">IF(31=31,IF(AM42="","",SUMPRODUCT(--ISNUMBER(SEARCH(" "&amp;DJ1384:DJ1394&amp;" ",BP42)))),"")</f>
        <v>0</v>
      </c>
      <c r="BR42" s="127" t="str" cm="1">
        <f t="array" ref="BR42">IF(31=31,IF(AM42="","",IF(SUM(BF42:BO42)+SUMPRODUCT(--ISNUMBER(SEARCH(" "&amp;DJ2432:DJ2433&amp;" ",BP42)))&gt;0,"X",IF(BQ42&gt;0,"?",""))),"")</f>
        <v/>
      </c>
      <c r="BS42" s="127" cm="1">
        <f t="array" ref="BS42">IF(31=31,IF(AM42="","",SUMPRODUCT(--ISNUMBER(SEARCH(" "&amp;DJ1395:DJ1415&amp;" ",AS42)))),"")</f>
        <v>0</v>
      </c>
      <c r="BT42" s="127" t="str">
        <f>IF(31=31,IF(AM42="","",IF((BS42)-(0)&gt;0,"X",IF((0)-(0)&gt;0,"?",""))),"")</f>
        <v/>
      </c>
      <c r="BU42" s="127" cm="1">
        <f t="array" ref="BU42">IF(31=31,IF(AM42="","",SUMPRODUCT(--ISNUMBER(SEARCH(" "&amp;DJ1416:DJ1453&amp;" ",BV42)))),"")</f>
        <v>0</v>
      </c>
      <c r="BV42" s="127" t="str">
        <f>IF(31=31,IF(AM42="","",SUBSTITUTE(SUBSTITUTE(AS42," "&amp;DJ1454&amp;" "," ")," "&amp;DJ1455&amp;" "," ")),"")</f>
        <v xml:space="preserve"> jusqu a ce que le melange blanchisse </v>
      </c>
      <c r="BW42" s="127" cm="1">
        <f t="array" ref="BW42">IF(31=31,IF(AM42="","",SUMPRODUCT(--ISNUMBER(SEARCH(" "&amp;DJ1456:DJ1466&amp;" ",BV42)))),"")</f>
        <v>0</v>
      </c>
      <c r="BX42" s="127" t="str">
        <f>IF(31=31,IF(AM42="","",IF(BU42&gt;0,"X",IF(BW42&gt;0,"?",""))),"")</f>
        <v/>
      </c>
      <c r="BY42" s="127" cm="1">
        <f t="array" ref="BY42">IF(31=31,IF(AM42="","",SUMPRODUCT(--ISNUMBER(SEARCH(" "&amp;DJ1467:DJ1566&amp;" ",CB42)))),"")</f>
        <v>0</v>
      </c>
      <c r="BZ42" s="127" cm="1">
        <f t="array" ref="BZ42">IF(31=31,IF(AM42="","",SUMPRODUCT(--ISNUMBER(SEARCH(" "&amp;DJ1567:DJ1666&amp;" ",CB42)))),"")</f>
        <v>0</v>
      </c>
      <c r="CA42" s="127" cm="1">
        <f t="array" ref="CA42">IF(31=31,IF(AM42="","",SUMPRODUCT(--ISNUMBER(SEARCH(" "&amp;DJ1667:DJ1750&amp;" ",CB42)))),"")</f>
        <v>0</v>
      </c>
      <c r="CB42" s="127" t="str">
        <f>IF(31=31,IF(AM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jusqu a ce que le melange blanchisse </v>
      </c>
      <c r="CC42" s="127" cm="1">
        <f t="array" ref="CC42">IF(31=31,IF(AM42="","",SUMPRODUCT(--ISNUMBER(SEARCH(" "&amp;DJ1801:DJ1880&amp;" ",CD42)))+SUMPRODUCT(--ISNUMBER(SEARCH(" "&amp;DJ2451:DJ2464&amp;" ",CD42)))),"")</f>
        <v>0</v>
      </c>
      <c r="CD42" s="127" t="str">
        <f>IF(31=31,IF(AM42="","",SUBSTITUTE(SUBSTITUTE(SUBSTITUTE(SUBSTITUTE(SUBSTITUTE(SUBSTITUTE(SUBSTITUTE(SUBSTITUTE(SUBSTITUTE(SUBSTITUTE(SUBSTITUTE(SUBSTITUTE(SUBSTITUTE(CB42," "&amp;DJ1887&amp;" "," ")," "&amp;DJ1885&amp;" "," ")," "&amp;DJ2449&amp;" "," ")," "&amp;DJ2450&amp;" "," ")," "&amp;DJ1882&amp;" "," ")," "&amp;DJ1886&amp;" "," ")," "&amp;DJ1888&amp;" "," ")," "&amp;DJ1883&amp;" "," ")," "&amp;DJ1881&amp;" "," ")," "&amp;DJ1378&amp;" "," ")," "&amp;DJ1889&amp;" "," ")," "&amp;DJ1377&amp;" "," ")," "&amp;DJ1884&amp;" "," ")),"")</f>
        <v xml:space="preserve"> jusqu a ce que le melange blanchisse </v>
      </c>
      <c r="CE42" s="127" t="str" cm="1">
        <f t="array" ref="CE42">IF(31=31,IF(AM42="","",IF(SUM(BY42:CA42)+SUMPRODUCT(--ISNUMBER(SEARCH(" "&amp;DJ2434:DJ2435&amp;" ",CB42)))&gt;0,"X",IF(CC42&gt;0,"?",""))),"")</f>
        <v/>
      </c>
      <c r="CF42" s="127" cm="1">
        <f t="array" ref="CF42">IF(31=31,IF(AM42="","",SUMPRODUCT(--ISNUMBER(SEARCH(" "&amp;DJ1890:DJ1947&amp;" ",CG42)))),"")</f>
        <v>0</v>
      </c>
      <c r="CG42" s="127" t="str">
        <f>IF(31=31,IF(AM42="","",SUBSTITUTE(SUBSTITUTE(SUBSTITUTE(SUBSTITUTE(SUBSTITUTE(SUBSTITUTE(SUBSTITUTE(SUBSTITUTE(SUBSTITUTE(SUBSTITUTE(SUBSTITUTE(SUBSTITUTE(SUBSTITUTE(SUBSTITUTE(SUBSTITUTE(SUBSTITUTE(SUBSTITUTE(SUBSTITUTE(SUBSTITUTE(SUBSTITUTE(SUBSTITUTE(SUBSTITUTE(SUBSTITUTE(AS42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jusqu a ce que le melange blanchisse </v>
      </c>
      <c r="CH42" s="127" cm="1">
        <f t="array" ref="CH42">IF(31=31,IF(AM42="","",SUMPRODUCT(--ISNUMBER(SEARCH(" "&amp;DJ1971:DJ1987&amp;" ",CG42)))),"")</f>
        <v>0</v>
      </c>
      <c r="CI42" s="127" t="str">
        <f>IF(31=31,IF(AM42="","",IF(CF42&gt;0,"X",IF(CH42&gt;0,"?",""))),"")</f>
        <v/>
      </c>
      <c r="CJ42" s="127" cm="1">
        <f t="array" ref="CJ42">IF(31=31,IF(AM42="","",SUMPRODUCT(--ISNUMBER(SEARCH(" "&amp;DJ1988:DJ2001&amp;" ",AS42)))),"")</f>
        <v>0</v>
      </c>
      <c r="CK42" s="127" cm="1">
        <f t="array" ref="CK42">IF(31=31,IF(AM42="","",SUMPRODUCT(--ISNUMBER(SEARCH(" "&amp;DJ2002:DJ2016&amp;" ",AS42)))),"")</f>
        <v>0</v>
      </c>
      <c r="CL42" s="127" t="str">
        <f>IF(31=31,IF(AM42="","",IF((CJ42)-(0)&gt;0,"X",IF((CK42)-(0)&gt;0,"?",""))),"")</f>
        <v/>
      </c>
      <c r="CM42" s="127" cm="1">
        <f t="array" ref="CM42">IF(31=31,IF(AM42="","",SUMPRODUCT(--ISNUMBER(SEARCH(" "&amp;DJ2017:DJ2034&amp;" ",AS42)))),"")</f>
        <v>0</v>
      </c>
      <c r="CN42" s="127" cm="1">
        <f t="array" ref="CN42">IF(31=31,IF(AM42="","",SUMPRODUCT(--ISNUMBER(SEARCH(" "&amp;DJ2035:DJ2049&amp;" ",AS42)))),"")</f>
        <v>0</v>
      </c>
      <c r="CO42" s="127" t="str">
        <f>IF(31=31,IF(AM42="","",IF((CM42)-(0)&gt;0,"X",IF((CN42)-(0)&gt;0,"?",""))),"")</f>
        <v/>
      </c>
      <c r="CP42" s="127" cm="1">
        <f t="array" ref="CP42">IF(31=31,IF(AM42="","",SUMPRODUCT(--ISNUMBER(SEARCH(" "&amp;DJ2050:DJ2068&amp;" ",AS42)))),"")</f>
        <v>0</v>
      </c>
      <c r="CQ42" s="127" cm="1">
        <f t="array" ref="CQ42">IF(31=31,IF(AM42="","",SUMPRODUCT(--ISNUMBER(SEARCH(" "&amp;DJ2069:DJ2083&amp;" ",AS42)))),"")</f>
        <v>0</v>
      </c>
      <c r="CR42" s="127" t="str">
        <f>IF(31=31,IF(AM42="","",IF((CP42)-(0)&gt;0,"X",IF((CQ42)-(0)&gt;0,"?",""))),"")</f>
        <v/>
      </c>
      <c r="CS42" s="127" cm="1">
        <f t="array" ref="CS42">IF(31=31,IF(AM42="","",SUMPRODUCT(--ISNUMBER(SEARCH(" "&amp;DJ2084:DJ2104&amp;" ",AS42)))),"")</f>
        <v>0</v>
      </c>
      <c r="CT42" s="127" cm="1">
        <f t="array" ref="CT42">IF(31=31,IF(AM42="","",SUMPRODUCT(--ISNUMBER(SEARCH(" "&amp;DJ2105:DJ2144&amp;" ",SUBSTITUTE(SUBSTITUTE(AS42," "&amp;DJ1378&amp;" "," ")," "&amp;DJ1377&amp;" "," "))))+--ISNUMBER(SEARCH("poiré",AN42))),"")</f>
        <v>0</v>
      </c>
      <c r="CU42" s="127" t="str">
        <f>IF(31=31,IF(AM42="","",IF(OR(CS42&gt;0,ISNUMBER(SEARCH(" vinaigre de vin ",AS42)),ISNUMBER(SEARCH(" vinaigre au vin ",AS42))),"X",IF(CT42&gt;0,"?",""))),"")</f>
        <v/>
      </c>
      <c r="CV42" s="127" cm="1">
        <f t="array" ref="CV42">IF(31=31,IF(AM42="","",SUMPRODUCT(--ISNUMBER(SEARCH(" "&amp;DJ2145:DJ2157&amp;" ",AS42)))),"")</f>
        <v>0</v>
      </c>
      <c r="CW42" s="127" cm="1">
        <f t="array" ref="CW42">IF(31=31,IF(AM42="","",SUMPRODUCT(--ISNUMBER(SEARCH(" "&amp;DJ2158:DJ2163&amp;" ",AS42)))),"")</f>
        <v>0</v>
      </c>
      <c r="CX42" s="127" t="str">
        <f>IF(31=31,IF(AM42="","",IF((CV42)-(0)&gt;0,"X",IF((CW42)-(0)&gt;0,"?",""))),"")</f>
        <v/>
      </c>
      <c r="CY42" s="127" cm="1">
        <f t="array" ref="CY42">IF(31=31,IF(AM42="","",SUMPRODUCT(--ISNUMBER(SEARCH(" "&amp;DJ2164:DJ2263&amp;" ",DB42)))),"")</f>
        <v>0</v>
      </c>
      <c r="CZ42" s="127" cm="1">
        <f t="array" ref="CZ42">IF(31=31,IF(AM42="","",SUMPRODUCT(--ISNUMBER(SEARCH(" "&amp;DJ2264:DJ2363&amp;" ",DB42)))),"")</f>
        <v>0</v>
      </c>
      <c r="DA42" s="127" cm="1">
        <f t="array" ref="DA42">IF(31=31,IF(AM42="","",SUMPRODUCT(--ISNUMBER(SEARCH(" "&amp;DJ2364:DJ2406&amp;" ",DB42)))),"")</f>
        <v>0</v>
      </c>
      <c r="DB42" s="127" t="str">
        <f>IF(31=31,IF(AM42="","",SUBSTITUTE(SUBSTITUTE(SUBSTITUTE(SUBSTITUTE(SUBSTITUTE(SUBSTITUTE(SUBSTITUTE(SUBSTITUTE(SUBSTITUTE(SUBSTITUTE(SUBSTITUTE(SUBSTITUTE(SUBSTITUTE(SUBSTITUTE(SUBSTITUTE(SUBSTITUTE(AS42," "&amp;DJ2412&amp;" "," ")," "&amp;DJ2411&amp;" "," ")," "&amp;DJ2410&amp;" "," ")," "&amp;DJ2417&amp;" "," ")," "&amp;DJ2409&amp;" "," ")," "&amp;DJ2421&amp;" "," ")," "&amp;DJ2408&amp;" "," ")," "&amp;DJ2413&amp;" "," ")," "&amp;DJ2416&amp;" "," ")," "&amp;DJ2407&amp;" "," ")," "&amp;DJ2415&amp;" "," ")," "&amp;DJ2422&amp;" "," ")," "&amp;DJ2419&amp;" "," ")," "&amp;DJ2414&amp;" "," ")," "&amp;DJ2418&amp;" "," ")," "&amp;DJ2420&amp;" "," ")),"")</f>
        <v xml:space="preserve"> jusqu a ce que le melange blanchisse </v>
      </c>
      <c r="DC42" s="127" cm="1">
        <f t="array" ref="DC42">IF(31=31,IF(AM42="","",SUMPRODUCT(--ISNUMBER(SEARCH(" "&amp;DJ2423:DJ2427&amp;" ",DB42)))),"")</f>
        <v>0</v>
      </c>
      <c r="DD42" s="127" t="str">
        <f>IF(31=31,IF(AM42="","",IF(SUM(CY42:DA42)&gt;0,"X",IF(DC42&gt;0,"?",""))),"")</f>
        <v/>
      </c>
      <c r="DE42" s="152"/>
      <c r="DF42" s="160" t="s">
        <v>714</v>
      </c>
      <c r="DG42" s="160" t="s">
        <v>584</v>
      </c>
      <c r="DH42" s="160" t="s">
        <v>125</v>
      </c>
      <c r="DI42" s="160" t="s">
        <v>715</v>
      </c>
      <c r="DJ42" s="160" t="s">
        <v>715</v>
      </c>
      <c r="DK42" s="160" t="s">
        <v>588</v>
      </c>
      <c r="DL42" s="160" t="s">
        <v>589</v>
      </c>
      <c r="DM42" s="160" t="s">
        <v>590</v>
      </c>
      <c r="DN42" s="161" t="s">
        <v>591</v>
      </c>
      <c r="DP42" s="130">
        <v>1</v>
      </c>
    </row>
    <row r="43" spans="2:120" ht="30" customHeight="1">
      <c r="B43" s="165" t="str">
        <f t="shared" si="0"/>
        <v>Portions : 4</v>
      </c>
      <c r="C43" s="165" t="str">
        <f t="shared" si="1"/>
        <v>Portions 4</v>
      </c>
      <c r="D43" s="165" t="str">
        <f>IF(UPPER(TRIM(N11))="X",C43,B43)</f>
        <v>Portions : 4</v>
      </c>
      <c r="E43" s="165" cm="1">
        <f t="array" ref="E43">IF(H42&lt;&gt;"",E42,IF(E42="","",IFERROR(MATCH(TRUE(),INDEX(INDEX(K:K,E42+1):K203&lt;&gt;"",0),0)+E42,"")))</f>
        <v>37</v>
      </c>
      <c r="F43" s="165" t="str" cm="1">
        <f t="array" ref="F43">IF(E43="","",IF(H42&lt;&gt;"",H42,INDEX(D:D,E43)))</f>
        <v>5. Incorporez la farine, la poudre d’amandes puis la crème liquide, en mélangeant bien entre chaque ajout.</v>
      </c>
      <c r="G43" s="165" t="str">
        <f t="shared" si="2"/>
        <v xml:space="preserve">5. Incorporez la farine, la poudre d’amandes puis la crème liquide, en </v>
      </c>
      <c r="H43" s="174" t="str">
        <f t="shared" si="3"/>
        <v>mélangeant bien entre chaque ajout.</v>
      </c>
      <c r="I43" s="184" t="str">
        <f>IF(AND(F43&lt;&gt;"",N10&gt;0,M43&gt;N10),"Mot &gt; limite","")</f>
        <v/>
      </c>
      <c r="J43" s="175">
        <f>IF(K43="","",COUNTIF(K18:K43,"&lt;&gt;"))</f>
        <v>26</v>
      </c>
      <c r="K43" s="111" t="s">
        <v>418</v>
      </c>
      <c r="L43" s="175">
        <f t="shared" si="4"/>
        <v>12</v>
      </c>
      <c r="M43" s="135">
        <f>IF(OR(F43="",N10="",N10&lt;=0),"",IF(LEN(F43)&lt;=N10,LEN(F43),IFERROR(FIND("♦",SUBSTITUTE(LEFT(F43,N10)," ","♦",LEN(LEFT(F43,N10))-LEN(SUBSTITUTE(LEFT(F43,N10)," ","")))),FIND(" ",F43&amp;" ",N10+1)-1)))</f>
        <v>71</v>
      </c>
      <c r="N43" s="176">
        <f t="shared" si="5"/>
        <v>26</v>
      </c>
      <c r="O43" s="177" t="str">
        <f t="shared" si="6"/>
        <v xml:space="preserve">5. Incorporez la farine, la poudre d’amandes puis la crème liquide, en </v>
      </c>
      <c r="P43" s="176">
        <f t="shared" si="7"/>
        <v>12</v>
      </c>
      <c r="Q43" s="176">
        <f t="shared" si="8"/>
        <v>71</v>
      </c>
      <c r="S43" s="178">
        <v>26</v>
      </c>
      <c r="T43" s="179" t="str">
        <f t="shared" si="10"/>
        <v xml:space="preserve">5. Incorporez la farine, la poudre d’amandes puis la crème liquide, en </v>
      </c>
      <c r="U43" s="180" t="str">
        <f t="shared" si="9"/>
        <v>5. Incorporez la farine, la poudre d’amandes puis la crème liquide, en *</v>
      </c>
      <c r="V43" s="181" t="str">
        <f>IF(32=32,IF(T43="","",IF(W43="X",""&amp;"Céréales contenant du gluten","")&amp;IF(X43="X",IF(COUNTIF(W43:W43,"X")&gt;0,", ","")&amp;"Crustacés","")&amp;IF(Y43="X",IF(COUNTIF(W43:X43,"X")&gt;0,", ","")&amp;"Œufs","")&amp;IF(Z43="X",IF(COUNTIF(W43:Y43,"X")&gt;0,", ","")&amp;"Poissons","")&amp;IF(AA43="X",IF(COUNTIF(W43:Z43,"X")&gt;0,", ","")&amp;"Arachides","")&amp;IF(AB43="X",IF(COUNTIF(W43:AA43,"X")&gt;0,", ","")&amp;"Soja","")&amp;IF(AC43="X",IF(COUNTIF(W43:AB43,"X")&gt;0,", ","")&amp;"Lait","")&amp;IF(AD43="X",IF(COUNTIF(W43:AC43,"X")&gt;0,", ","")&amp;"Fruits à coque","")&amp;IF(AE43="X",IF(COUNTIF(W43:AD43,"X")&gt;0,", ","")&amp;"Céleri","")&amp;IF(AF43="X",IF(COUNTIF(W43:AE43,"X")&gt;0,", ","")&amp;"Moutarde","")&amp;IF(AG43="X",IF(COUNTIF(W43:AF43,"X")&gt;0,", ","")&amp;"Sésame","")&amp;IF(AH43="X",IF(COUNTIF(W43:AG43,"X")&gt;0,", ","")&amp;"Sulfites","")&amp;IF(AI43="X",IF(COUNTIF(W43:AH43,"X")&gt;0,", ","")&amp;"Lupin","")&amp;IF(AJ43="X",IF(COUNTIF(W43:AI43,"X")&gt;0,", ","")&amp;"Mollusques","")),"")</f>
        <v>Lait, Fruits à coque</v>
      </c>
      <c r="W43" s="182" t="str">
        <f>IF(32=32,IF(T43="","",AX43),"")</f>
        <v>?</v>
      </c>
      <c r="X43" s="182" t="str">
        <f>IF(32=32,IF(T43="","",BA43),"")</f>
        <v/>
      </c>
      <c r="Y43" s="182" t="str">
        <f>IF(32=32,IF(T43="","",BE43),"")</f>
        <v/>
      </c>
      <c r="Z43" s="182" t="str">
        <f>IF(32=32,IF(T43="","",IF(ISNUMBER(SEARCH(" colin ",AS43)),"X",BR43)),"")</f>
        <v/>
      </c>
      <c r="AA43" s="182" t="str">
        <f>IF(32=32,IF(T43="","",BT43),"")</f>
        <v/>
      </c>
      <c r="AB43" s="182" t="str">
        <f>IF(32=32,IF(T43="","",BX43),"")</f>
        <v/>
      </c>
      <c r="AC43" s="182" t="str">
        <f>IF(32=32,IF(T43="","",CE43),"")</f>
        <v>X</v>
      </c>
      <c r="AD43" s="182" t="str">
        <f>IF(32=32,IF(T43="","",CI43),"")</f>
        <v>X</v>
      </c>
      <c r="AE43" s="182" t="str">
        <f>IF(32=32,IF(T43="","",CL43),"")</f>
        <v/>
      </c>
      <c r="AF43" s="182" t="str">
        <f>IF(32=32,IF(T43="","",CO43),"")</f>
        <v/>
      </c>
      <c r="AG43" s="182" t="str">
        <f>IF(32=32,IF(T43="","",CR43),"")</f>
        <v/>
      </c>
      <c r="AH43" s="182" t="str">
        <f>IF(32=32,IF(T43="","",CU43),"")</f>
        <v/>
      </c>
      <c r="AI43" s="182" t="str">
        <f>IF(32=32,IF(T43="","",CX43),"")</f>
        <v/>
      </c>
      <c r="AJ43" s="182" t="str">
        <f>IF(32=32,IF(T43="","",DD43),"")</f>
        <v/>
      </c>
      <c r="AK43" s="183" t="str">
        <f>IF(32=32,IF(T43="","",IF(W43="?",""&amp;"Céréales contenant du gluten","")&amp;IF(X43="?",IF(COUNTIF(W43:W43,"~?")&gt;0,", ","")&amp;"Crustacés","")&amp;IF(Y43="?",IF(COUNTIF(W43:X43,"~?")&gt;0,", ","")&amp;"Œufs","")&amp;IF(Z43="?",IF(COUNTIF(W43:Y43,"~?")&gt;0,", ","")&amp;"Poissons","")&amp;IF(AA43="?",IF(COUNTIF(W43:Z43,"~?")&gt;0,", ","")&amp;"Arachides","")&amp;IF(AB43="?",IF(COUNTIF(W43:AA43,"~?")&gt;0,", ","")&amp;"Soja","")&amp;IF(AC43="?",IF(COUNTIF(W43:AB43,"~?")&gt;0,", ","")&amp;"Lait","")&amp;IF(AD43="?",IF(COUNTIF(W43:AC43,"~?")&gt;0,", ","")&amp;"Fruits à coque","")&amp;IF(AE43="?",IF(COUNTIF(W43:AD43,"~?")&gt;0,", ","")&amp;"Céleri","")&amp;IF(AF43="?",IF(COUNTIF(W43:AE43,"~?")&gt;0,", ","")&amp;"Moutarde","")&amp;IF(AG43="?",IF(COUNTIF(W43:AF43,"~?")&gt;0,", ","")&amp;"Sésame","")&amp;IF(AH43="?",IF(COUNTIF(W43:AG43,"~?")&gt;0,", ","")&amp;"Sulfites","")&amp;IF(AI43="?",IF(COUNTIF(W43:AH43,"~?")&gt;0,", ","")&amp;"Lupin","")&amp;IF(AJ43="?",IF(COUNTIF(W43:AI43,"~?")&gt;0,", ","")&amp;"Mollusques","")),"")</f>
        <v>Céréales contenant du gluten</v>
      </c>
      <c r="AM43" s="127" t="str">
        <f>IF(32=32,IF(T43="","",T43),"")</f>
        <v xml:space="preserve">5. Incorporez la farine, la poudre d’amandes puis la crème liquide, en </v>
      </c>
      <c r="AN43" s="127" t="str">
        <f>IF(32=32,LOWER(CLEAN(SUBSTITUTE(SUBSTITUTE(SUBSTITUTE(SUBSTITUTE(AM43,CHAR(160)," ")," "," "),CHAR(10)," "),CHAR(13)," "))),"")</f>
        <v xml:space="preserve">5. incorporez la farine, la poudre d’amandes puis la crème liquide, en </v>
      </c>
      <c r="AO43" s="127" t="str">
        <f>IF(32=32,SUBSTITUTE(SUBSTITUTE(SUBSTITUTE(SUBSTITUTE(SUBSTITUTE(SUBSTITUTE(SUBSTITUTE(SUBSTITUTE(SUBSTITUTE(SUBSTITUTE(SUBSTITUTE(SUBSTITUTE(AN43,"œ","oe"),"æ","ae"),"à","a"),"á","a"),"â","a"),"ä","a"),"ã","a"),"ç","c"),"è","e"),"é","e"),"ê","e"),"ë","e"),"")</f>
        <v xml:space="preserve">5. incorporez la farine, la poudre d’amandes puis la creme liquide, en </v>
      </c>
      <c r="AP43" s="127" t="str">
        <f>IF(32=32,SUBSTITUTE(SUBSTITUTE(SUBSTITUTE(SUBSTITUTE(SUBSTITUTE(SUBSTITUTE(SUBSTITUTE(SUBSTITUTE(SUBSTITUTE(SUBSTITUTE(SUBSTITUTE(SUBSTITUTE(SUBSTITUTE(SUBSTITUTE(SUBSTITUTE(SUBSTITUTE(AO43,"ì","i"),"í","i"),"î","i"),"ï","i"),"ñ","n"),"ò","o"),"ó","o"),"ô","o"),"ö","o"),"õ","o"),"ù","u"),"ú","u"),"û","u"),"ü","u"),"ý","y"),"ÿ","y"),"")</f>
        <v xml:space="preserve">5. incorporez la farine, la poudre d’amandes puis la creme liquide, en </v>
      </c>
      <c r="AQ43" s="127" t="str">
        <f>IF(32=32,SUBSTITUTE(SUBSTITUTE(SUBSTITUTE(SUBSTITUTE(SUBSTITUTE(SUBSTITUTE(SUBSTITUTE(SUBSTITUTE(SUBSTITUTE(SUBSTITUTE(SUBSTITUTE(SUBSTITUTE(SUBSTITUTE(SUBSTITUTE(AP43,"’"," "),"`"," "),"–"," "),"—"," "),"-"," "),"'"," "),"/"," "),"_"," "),","," "),"."," "),"("," "),")"," "),";"," "),":"," "),"")</f>
        <v xml:space="preserve">5  incorporez la farine  la poudre d amandes puis la creme liquide  en </v>
      </c>
      <c r="AR43" s="127" t="str">
        <f>IF(32=32,SUBSTITUTE(SUBSTITUTE(SUBSTITUTE(SUBSTITUTE(SUBSTITUTE(SUBSTITUTE(SUBSTITUTE(SUBSTITUTE(SUBSTITUTE(SUBSTITUTE(SUBSTITUTE(SUBSTITUTE(SUBSTITUTE(SUBSTITUTE(SUBSTITUTE(AQ43,"!"," "),"?"," "),"+"," "),"*"," "),"&amp;"," "),"["," "),"]"," "),"{"," "),"}"," "),"%"," "),"="," "),"\"," "),"|"," "),"&lt;"," "),"&gt;"," "),"")</f>
        <v xml:space="preserve">5  incorporez la farine  la poudre d amandes puis la creme liquide  en </v>
      </c>
      <c r="AS43" s="127" t="str">
        <f>IF(32=32," "&amp;TRIM(SUBSTITUTE(SUBSTITUTE(SUBSTITUTE(SUBSTITUTE(SUBSTITUTE(SUBSTITUTE(AR43,CHAR(34)," "),"  "," "),"  "," "),"  "," "),"  "," "),"  "," "))&amp;" ","")</f>
        <v xml:space="preserve"> 5 incorporez la farine la poudre d amandes puis la creme liquide en </v>
      </c>
      <c r="AT43" s="127" cm="1">
        <f t="array" ref="AT43">IF(32=32,IF(AM43="","",SUMPRODUCT(--ISNUMBER(SEARCH(" "&amp;DJ13:DJ112&amp;" ",AV43)))),"")</f>
        <v>0</v>
      </c>
      <c r="AU43" s="127" cm="1">
        <f t="array" ref="AU43">IF(32=32,IF(AM43="","",SUMPRODUCT(--ISNUMBER(SEARCH(" "&amp;DJ113:DJ162&amp;" ",AV43)))),"")</f>
        <v>0</v>
      </c>
      <c r="AV43" s="127" t="str">
        <f>IF(AM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5 incorporez la farine la poudre d amandes puis la creme liquide en </v>
      </c>
      <c r="AW43" s="127" cm="1">
        <f t="array" ref="AW43">IF(AM43="","",SUMPRODUCT(--ISNUMBER(SEARCH(" "&amp;DJ195:DJ216&amp;" ",AV43)))+--ISNUMBER(SEARCH(" "&amp;DJ2465&amp;" ",AV43)))</f>
        <v>1</v>
      </c>
      <c r="AX43" s="127" t="str" cm="1">
        <f t="array" ref="AX43">IF(32=32,IF(AM43="","",IF(SUM(AT43:AU43)+SUMPRODUCT(--ISNUMBER(SEARCH(" "&amp;DJ2429:DJ2431&amp;" ",AV43)))&gt;0,"X",IF(AW43&gt;0,"?",""))),"")</f>
        <v>?</v>
      </c>
      <c r="AY43" s="127" cm="1">
        <f t="array" ref="AY43">IF(32=32,IF(AM43="","",SUMPRODUCT(--ISNUMBER(SEARCH(" "&amp;DJ217:DJ316&amp;" ",AS43)))),"")</f>
        <v>0</v>
      </c>
      <c r="AZ43" s="127" cm="1">
        <f t="array" ref="AZ43">IF(32=32,IF(AM43="","",SUMPRODUCT(--ISNUMBER(SEARCH(" "&amp;DJ317:DJ351&amp;" ",AS43)))),"")</f>
        <v>0</v>
      </c>
      <c r="BA43" s="127" t="str">
        <f>IF(32=32,IF(AM43="","",IF((SUM(AY43:AZ43))-(0)&gt;0,"X",IF((0)-(0)&gt;0,"?",""))),"")</f>
        <v/>
      </c>
      <c r="BB43" s="127" cm="1">
        <f t="array" ref="BB43">IF(32=32,IF(AM43="","",SUMPRODUCT(--ISNUMBER(SEARCH(" "&amp;DJ352:DJ409&amp;" ",AS43)))),"")</f>
        <v>0</v>
      </c>
      <c r="BC43" s="127" cm="1">
        <f t="array" ref="BC43">IF(32=32,IF(AM43="","",SUMPRODUCT(--ISNUMBER(SEARCH(" "&amp;DJ410:DJ437&amp;" ",BD43)))+SUMPRODUCT(--ISNUMBER(SEARCH(" "&amp;DJ2451:DJ2464&amp;" ",BD43)))),"")</f>
        <v>0</v>
      </c>
      <c r="BD43" s="127" t="str">
        <f>IF(32=32,IF(AM43="","",SUBSTITUTE(SUBSTITUTE(SUBSTITUTE(SUBSTITUTE(SUBSTITUTE(SUBSTITUTE(SUBSTITUTE(SUBSTITUTE(SUBSTITUTE(SUBSTITUTE(SUBSTITUTE(SUBSTITUTE(SUBSTITUTE(SUBSTITUTE(AS43," "&amp;DJ2466&amp;" "," ")," "&amp;DJ444&amp;" "," ")," "&amp;DJ442&amp;" "," ")," "&amp;DJ2449&amp;" "," ")," "&amp;DJ2450&amp;" "," ")," "&amp;DJ439&amp;" "," ")," "&amp;DJ443&amp;" "," ")," "&amp;DJ445&amp;" "," ")," "&amp;DJ440&amp;" "," ")," "&amp;DJ438&amp;" "," ")," "&amp;DJ1378&amp;" "," ")," "&amp;DJ446&amp;" "," ")," "&amp;DJ1377&amp;" "," ")," "&amp;DJ441&amp;" "," ")),"")</f>
        <v xml:space="preserve"> 5 incorporez la farine la poudre d amandes puis la creme liquide en </v>
      </c>
      <c r="BE43" s="127" t="str">
        <f>IF(32=32,IF(AM43="","",IF(BB43&gt;0,"X",IF(BC43&gt;0,"?",""))),"")</f>
        <v/>
      </c>
      <c r="BF43" s="127" cm="1">
        <f t="array" ref="BF43">IF(32=32,IF(AM43="","",SUMPRODUCT(--ISNUMBER(SEARCH(" "&amp;DJ447:DJ546&amp;" ",BP43)))),"")</f>
        <v>0</v>
      </c>
      <c r="BG43" s="127" cm="1">
        <f t="array" ref="BG43">IF(32=32,IF(AM43="","",SUMPRODUCT(--ISNUMBER(SEARCH(" "&amp;DJ547:DJ646&amp;" ",BP43)))),"")</f>
        <v>0</v>
      </c>
      <c r="BH43" s="127" cm="1">
        <f t="array" ref="BH43">IF(32=32,IF(AM43="","",SUMPRODUCT(--ISNUMBER(SEARCH(" "&amp;DJ647:DJ746&amp;" ",BP43)))),"")</f>
        <v>0</v>
      </c>
      <c r="BI43" s="127" cm="1">
        <f t="array" ref="BI43">IF(32=32,IF(AM43="","",SUMPRODUCT(--ISNUMBER(SEARCH(" "&amp;DJ747:DJ846&amp;" ",BP43)))),"")</f>
        <v>0</v>
      </c>
      <c r="BJ43" s="127" cm="1">
        <f t="array" ref="BJ43">IF(32=32,IF(AM43="","",SUMPRODUCT(--ISNUMBER(SEARCH(" "&amp;DJ847:DJ946&amp;" ",BP43)))),"")</f>
        <v>0</v>
      </c>
      <c r="BK43" s="127" cm="1">
        <f t="array" ref="BK43">IF(32=32,IF(AM43="","",SUMPRODUCT(--ISNUMBER(SEARCH(" "&amp;DJ947:DJ1046&amp;" ",BP43)))),"")</f>
        <v>0</v>
      </c>
      <c r="BL43" s="127" cm="1">
        <f t="array" ref="BL43">IF(32=32,IF(AM43="","",SUMPRODUCT(--ISNUMBER(SEARCH(" "&amp;DJ1047:DJ1146&amp;" ",BP43)))),"")</f>
        <v>0</v>
      </c>
      <c r="BM43" s="127" cm="1">
        <f t="array" ref="BM43">IF(32=32,IF(AM43="","",SUMPRODUCT(--ISNUMBER(SEARCH(" "&amp;DJ1147:DJ1246&amp;" ",BP43)))),"")</f>
        <v>0</v>
      </c>
      <c r="BN43" s="127" cm="1">
        <f t="array" ref="BN43">IF(32=32,IF(AM43="","",SUMPRODUCT(--ISNUMBER(SEARCH(" "&amp;DJ1247:DJ1346&amp;" ",BP43)))),"")</f>
        <v>0</v>
      </c>
      <c r="BO43" s="127" cm="1">
        <f t="array" ref="BO43">IF(32=32,IF(AM43="","",SUMPRODUCT(--ISNUMBER(SEARCH(" "&amp;DJ1347:DJ1374&amp;" ",BP43)))),"")</f>
        <v>0</v>
      </c>
      <c r="BP43" s="127" t="str">
        <f>IF(32=32,IF(AM43="","",SUBSTITUTE(SUBSTITUTE(SUBSTITUTE(SUBSTITUTE(SUBSTITUTE(SUBSTITUTE(SUBSTITUTE(SUBSTITUTE(SUBSTITUTE(AS43," "&amp;DJ1376&amp;" "," ")," "&amp;DJ1375&amp;" "," ")," "&amp;DJ1381&amp;" "," ")," "&amp;DJ1382&amp;" "," ")," "&amp;DJ1378&amp;" "," ")," "&amp;DJ1380&amp;" "," ")," "&amp;DJ1377&amp;" "," ")," "&amp;DJ1379&amp;" "," ")," "&amp;DJ1383&amp;" "," ")),"")</f>
        <v xml:space="preserve"> 5 incorporez la farine la poudre d amandes puis la creme liquide en </v>
      </c>
      <c r="BQ43" s="127" cm="1">
        <f t="array" ref="BQ43">IF(32=32,IF(AM43="","",SUMPRODUCT(--ISNUMBER(SEARCH(" "&amp;DJ1384:DJ1394&amp;" ",BP43)))),"")</f>
        <v>0</v>
      </c>
      <c r="BR43" s="127" t="str" cm="1">
        <f t="array" ref="BR43">IF(32=32,IF(AM43="","",IF(SUM(BF43:BO43)+SUMPRODUCT(--ISNUMBER(SEARCH(" "&amp;DJ2432:DJ2433&amp;" ",BP43)))&gt;0,"X",IF(BQ43&gt;0,"?",""))),"")</f>
        <v/>
      </c>
      <c r="BS43" s="127" cm="1">
        <f t="array" ref="BS43">IF(32=32,IF(AM43="","",SUMPRODUCT(--ISNUMBER(SEARCH(" "&amp;DJ1395:DJ1415&amp;" ",AS43)))),"")</f>
        <v>0</v>
      </c>
      <c r="BT43" s="127" t="str">
        <f>IF(32=32,IF(AM43="","",IF((BS43)-(0)&gt;0,"X",IF((0)-(0)&gt;0,"?",""))),"")</f>
        <v/>
      </c>
      <c r="BU43" s="127" cm="1">
        <f t="array" ref="BU43">IF(32=32,IF(AM43="","",SUMPRODUCT(--ISNUMBER(SEARCH(" "&amp;DJ1416:DJ1453&amp;" ",BV43)))),"")</f>
        <v>0</v>
      </c>
      <c r="BV43" s="127" t="str">
        <f>IF(32=32,IF(AM43="","",SUBSTITUTE(SUBSTITUTE(AS43," "&amp;DJ1454&amp;" "," ")," "&amp;DJ1455&amp;" "," ")),"")</f>
        <v xml:space="preserve"> 5 incorporez la farine la poudre d amandes puis la creme liquide en </v>
      </c>
      <c r="BW43" s="127" cm="1">
        <f t="array" ref="BW43">IF(32=32,IF(AM43="","",SUMPRODUCT(--ISNUMBER(SEARCH(" "&amp;DJ1456:DJ1466&amp;" ",BV43)))),"")</f>
        <v>0</v>
      </c>
      <c r="BX43" s="127" t="str">
        <f>IF(32=32,IF(AM43="","",IF(BU43&gt;0,"X",IF(BW43&gt;0,"?",""))),"")</f>
        <v/>
      </c>
      <c r="BY43" s="127" cm="1">
        <f t="array" ref="BY43">IF(32=32,IF(AM43="","",SUMPRODUCT(--ISNUMBER(SEARCH(" "&amp;DJ1467:DJ1566&amp;" ",CB43)))),"")</f>
        <v>2</v>
      </c>
      <c r="BZ43" s="127" cm="1">
        <f t="array" ref="BZ43">IF(32=32,IF(AM43="","",SUMPRODUCT(--ISNUMBER(SEARCH(" "&amp;DJ1567:DJ1666&amp;" ",CB43)))),"")</f>
        <v>0</v>
      </c>
      <c r="CA43" s="127" cm="1">
        <f t="array" ref="CA43">IF(32=32,IF(AM43="","",SUMPRODUCT(--ISNUMBER(SEARCH(" "&amp;DJ1667:DJ1750&amp;" ",CB43)))),"")</f>
        <v>0</v>
      </c>
      <c r="CB43" s="127" t="str">
        <f>IF(32=32,IF(AM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5 incorporez la farine la poudre d amandes puis la creme liquide en </v>
      </c>
      <c r="CC43" s="127" cm="1">
        <f t="array" ref="CC43">IF(32=32,IF(AM43="","",SUMPRODUCT(--ISNUMBER(SEARCH(" "&amp;DJ1801:DJ1880&amp;" ",CD43)))+SUMPRODUCT(--ISNUMBER(SEARCH(" "&amp;DJ2451:DJ2464&amp;" ",CD43)))),"")</f>
        <v>0</v>
      </c>
      <c r="CD43" s="127" t="str">
        <f>IF(32=32,IF(AM43="","",SUBSTITUTE(SUBSTITUTE(SUBSTITUTE(SUBSTITUTE(SUBSTITUTE(SUBSTITUTE(SUBSTITUTE(SUBSTITUTE(SUBSTITUTE(SUBSTITUTE(SUBSTITUTE(SUBSTITUTE(SUBSTITUTE(CB43," "&amp;DJ1887&amp;" "," ")," "&amp;DJ1885&amp;" "," ")," "&amp;DJ2449&amp;" "," ")," "&amp;DJ2450&amp;" "," ")," "&amp;DJ1882&amp;" "," ")," "&amp;DJ1886&amp;" "," ")," "&amp;DJ1888&amp;" "," ")," "&amp;DJ1883&amp;" "," ")," "&amp;DJ1881&amp;" "," ")," "&amp;DJ1378&amp;" "," ")," "&amp;DJ1889&amp;" "," ")," "&amp;DJ1377&amp;" "," ")," "&amp;DJ1884&amp;" "," ")),"")</f>
        <v xml:space="preserve"> 5 incorporez la farine la poudre d amandes puis la creme liquide en </v>
      </c>
      <c r="CE43" s="127" t="str" cm="1">
        <f t="array" ref="CE43">IF(32=32,IF(AM43="","",IF(SUM(BY43:CA43)+SUMPRODUCT(--ISNUMBER(SEARCH(" "&amp;DJ2434:DJ2435&amp;" ",CB43)))&gt;0,"X",IF(CC43&gt;0,"?",""))),"")</f>
        <v>X</v>
      </c>
      <c r="CF43" s="127" cm="1">
        <f t="array" ref="CF43">IF(32=32,IF(AM43="","",SUMPRODUCT(--ISNUMBER(SEARCH(" "&amp;DJ1890:DJ1947&amp;" ",CG43)))),"")</f>
        <v>1</v>
      </c>
      <c r="CG43" s="127" t="str">
        <f>IF(32=32,IF(AM43="","",SUBSTITUTE(SUBSTITUTE(SUBSTITUTE(SUBSTITUTE(SUBSTITUTE(SUBSTITUTE(SUBSTITUTE(SUBSTITUTE(SUBSTITUTE(SUBSTITUTE(SUBSTITUTE(SUBSTITUTE(SUBSTITUTE(SUBSTITUTE(SUBSTITUTE(SUBSTITUTE(SUBSTITUTE(SUBSTITUTE(SUBSTITUTE(SUBSTITUTE(SUBSTITUTE(SUBSTITUTE(SUBSTITUTE(AS43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5 incorporez la farine la poudre d amandes puis la creme liquide en </v>
      </c>
      <c r="CH43" s="127" cm="1">
        <f t="array" ref="CH43">IF(32=32,IF(AM43="","",SUMPRODUCT(--ISNUMBER(SEARCH(" "&amp;DJ1971:DJ1987&amp;" ",CG43)))),"")</f>
        <v>0</v>
      </c>
      <c r="CI43" s="127" t="str">
        <f>IF(32=32,IF(AM43="","",IF(CF43&gt;0,"X",IF(CH43&gt;0,"?",""))),"")</f>
        <v>X</v>
      </c>
      <c r="CJ43" s="127" cm="1">
        <f t="array" ref="CJ43">IF(32=32,IF(AM43="","",SUMPRODUCT(--ISNUMBER(SEARCH(" "&amp;DJ1988:DJ2001&amp;" ",AS43)))),"")</f>
        <v>0</v>
      </c>
      <c r="CK43" s="127" cm="1">
        <f t="array" ref="CK43">IF(32=32,IF(AM43="","",SUMPRODUCT(--ISNUMBER(SEARCH(" "&amp;DJ2002:DJ2016&amp;" ",AS43)))),"")</f>
        <v>0</v>
      </c>
      <c r="CL43" s="127" t="str">
        <f>IF(32=32,IF(AM43="","",IF((CJ43)-(0)&gt;0,"X",IF((CK43)-(0)&gt;0,"?",""))),"")</f>
        <v/>
      </c>
      <c r="CM43" s="127" cm="1">
        <f t="array" ref="CM43">IF(32=32,IF(AM43="","",SUMPRODUCT(--ISNUMBER(SEARCH(" "&amp;DJ2017:DJ2034&amp;" ",AS43)))),"")</f>
        <v>0</v>
      </c>
      <c r="CN43" s="127" cm="1">
        <f t="array" ref="CN43">IF(32=32,IF(AM43="","",SUMPRODUCT(--ISNUMBER(SEARCH(" "&amp;DJ2035:DJ2049&amp;" ",AS43)))),"")</f>
        <v>0</v>
      </c>
      <c r="CO43" s="127" t="str">
        <f>IF(32=32,IF(AM43="","",IF((CM43)-(0)&gt;0,"X",IF((CN43)-(0)&gt;0,"?",""))),"")</f>
        <v/>
      </c>
      <c r="CP43" s="127" cm="1">
        <f t="array" ref="CP43">IF(32=32,IF(AM43="","",SUMPRODUCT(--ISNUMBER(SEARCH(" "&amp;DJ2050:DJ2068&amp;" ",AS43)))),"")</f>
        <v>0</v>
      </c>
      <c r="CQ43" s="127" cm="1">
        <f t="array" ref="CQ43">IF(32=32,IF(AM43="","",SUMPRODUCT(--ISNUMBER(SEARCH(" "&amp;DJ2069:DJ2083&amp;" ",AS43)))),"")</f>
        <v>0</v>
      </c>
      <c r="CR43" s="127" t="str">
        <f>IF(32=32,IF(AM43="","",IF((CP43)-(0)&gt;0,"X",IF((CQ43)-(0)&gt;0,"?",""))),"")</f>
        <v/>
      </c>
      <c r="CS43" s="127" cm="1">
        <f t="array" ref="CS43">IF(32=32,IF(AM43="","",SUMPRODUCT(--ISNUMBER(SEARCH(" "&amp;DJ2084:DJ2104&amp;" ",AS43)))),"")</f>
        <v>0</v>
      </c>
      <c r="CT43" s="127" cm="1">
        <f t="array" ref="CT43">IF(32=32,IF(AM43="","",SUMPRODUCT(--ISNUMBER(SEARCH(" "&amp;DJ2105:DJ2144&amp;" ",SUBSTITUTE(SUBSTITUTE(AS43," "&amp;DJ1378&amp;" "," ")," "&amp;DJ1377&amp;" "," "))))+--ISNUMBER(SEARCH("poiré",AN43))),"")</f>
        <v>0</v>
      </c>
      <c r="CU43" s="127" t="str">
        <f>IF(32=32,IF(AM43="","",IF(OR(CS43&gt;0,ISNUMBER(SEARCH(" vinaigre de vin ",AS43)),ISNUMBER(SEARCH(" vinaigre au vin ",AS43))),"X",IF(CT43&gt;0,"?",""))),"")</f>
        <v/>
      </c>
      <c r="CV43" s="127" cm="1">
        <f t="array" ref="CV43">IF(32=32,IF(AM43="","",SUMPRODUCT(--ISNUMBER(SEARCH(" "&amp;DJ2145:DJ2157&amp;" ",AS43)))),"")</f>
        <v>0</v>
      </c>
      <c r="CW43" s="127" cm="1">
        <f t="array" ref="CW43">IF(32=32,IF(AM43="","",SUMPRODUCT(--ISNUMBER(SEARCH(" "&amp;DJ2158:DJ2163&amp;" ",AS43)))),"")</f>
        <v>0</v>
      </c>
      <c r="CX43" s="127" t="str">
        <f>IF(32=32,IF(AM43="","",IF((CV43)-(0)&gt;0,"X",IF((CW43)-(0)&gt;0,"?",""))),"")</f>
        <v/>
      </c>
      <c r="CY43" s="127" cm="1">
        <f t="array" ref="CY43">IF(32=32,IF(AM43="","",SUMPRODUCT(--ISNUMBER(SEARCH(" "&amp;DJ2164:DJ2263&amp;" ",DB43)))),"")</f>
        <v>0</v>
      </c>
      <c r="CZ43" s="127" cm="1">
        <f t="array" ref="CZ43">IF(32=32,IF(AM43="","",SUMPRODUCT(--ISNUMBER(SEARCH(" "&amp;DJ2264:DJ2363&amp;" ",DB43)))),"")</f>
        <v>0</v>
      </c>
      <c r="DA43" s="127" cm="1">
        <f t="array" ref="DA43">IF(32=32,IF(AM43="","",SUMPRODUCT(--ISNUMBER(SEARCH(" "&amp;DJ2364:DJ2406&amp;" ",DB43)))),"")</f>
        <v>0</v>
      </c>
      <c r="DB43" s="127" t="str">
        <f>IF(32=32,IF(AM43="","",SUBSTITUTE(SUBSTITUTE(SUBSTITUTE(SUBSTITUTE(SUBSTITUTE(SUBSTITUTE(SUBSTITUTE(SUBSTITUTE(SUBSTITUTE(SUBSTITUTE(SUBSTITUTE(SUBSTITUTE(SUBSTITUTE(SUBSTITUTE(SUBSTITUTE(SUBSTITUTE(AS43," "&amp;DJ2412&amp;" "," ")," "&amp;DJ2411&amp;" "," ")," "&amp;DJ2410&amp;" "," ")," "&amp;DJ2417&amp;" "," ")," "&amp;DJ2409&amp;" "," ")," "&amp;DJ2421&amp;" "," ")," "&amp;DJ2408&amp;" "," ")," "&amp;DJ2413&amp;" "," ")," "&amp;DJ2416&amp;" "," ")," "&amp;DJ2407&amp;" "," ")," "&amp;DJ2415&amp;" "," ")," "&amp;DJ2422&amp;" "," ")," "&amp;DJ2419&amp;" "," ")," "&amp;DJ2414&amp;" "," ")," "&amp;DJ2418&amp;" "," ")," "&amp;DJ2420&amp;" "," ")),"")</f>
        <v xml:space="preserve"> 5 incorporez la farine la poudre d amandes puis la creme liquide en </v>
      </c>
      <c r="DC43" s="127" cm="1">
        <f t="array" ref="DC43">IF(32=32,IF(AM43="","",SUMPRODUCT(--ISNUMBER(SEARCH(" "&amp;DJ2423:DJ2427&amp;" ",DB43)))),"")</f>
        <v>0</v>
      </c>
      <c r="DD43" s="127" t="str">
        <f>IF(32=32,IF(AM43="","",IF(SUM(CY43:DA43)&gt;0,"X",IF(DC43&gt;0,"?",""))),"")</f>
        <v/>
      </c>
      <c r="DE43" s="152"/>
      <c r="DF43" s="160" t="s">
        <v>716</v>
      </c>
      <c r="DG43" s="160" t="s">
        <v>584</v>
      </c>
      <c r="DH43" s="160" t="s">
        <v>125</v>
      </c>
      <c r="DI43" s="160" t="s">
        <v>717</v>
      </c>
      <c r="DJ43" s="160" t="s">
        <v>717</v>
      </c>
      <c r="DK43" s="160" t="s">
        <v>588</v>
      </c>
      <c r="DL43" s="160" t="s">
        <v>589</v>
      </c>
      <c r="DM43" s="160" t="s">
        <v>590</v>
      </c>
      <c r="DN43" s="161" t="s">
        <v>591</v>
      </c>
      <c r="DP43" s="130">
        <v>1</v>
      </c>
    </row>
    <row r="44" spans="2:120" ht="30" customHeight="1">
      <c r="B44" s="165" t="str">
        <f t="shared" si="0"/>
        <v>Calories : ≈ 410 kcal par part</v>
      </c>
      <c r="C44" s="165" t="str">
        <f t="shared" si="1"/>
        <v>Calories ≈ 410 kcal par part</v>
      </c>
      <c r="D44" s="165" t="str">
        <f>IF(UPPER(TRIM(N11))="X",C44,B44)</f>
        <v>Calories : ≈ 410 kcal par part</v>
      </c>
      <c r="E44" s="165" cm="1">
        <f t="array" ref="E44">IF(H43&lt;&gt;"",E43,IF(E43="","",IFERROR(MATCH(TRUE(),INDEX(INDEX(K:K,E43+1):K203&lt;&gt;"",0),0)+E43,"")))</f>
        <v>37</v>
      </c>
      <c r="F44" s="165" t="str" cm="1">
        <f t="array" ref="F44">IF(E44="","",IF(H43&lt;&gt;"",H43,INDEX(D:D,E44)))</f>
        <v>mélangeant bien entre chaque ajout.</v>
      </c>
      <c r="G44" s="165" t="str">
        <f t="shared" si="2"/>
        <v>mélangeant bien entre chaque ajout.</v>
      </c>
      <c r="H44" s="174" t="str">
        <f t="shared" si="3"/>
        <v/>
      </c>
      <c r="I44" s="184" t="str">
        <f>IF(AND(F44&lt;&gt;"",N10&gt;0,M44&gt;N10),"Mot &gt; limite","")</f>
        <v/>
      </c>
      <c r="J44" s="175">
        <f>IF(K44="","",COUNTIF(K18:K44,"&lt;&gt;"))</f>
        <v>27</v>
      </c>
      <c r="K44" s="111" t="s">
        <v>419</v>
      </c>
      <c r="L44" s="175">
        <f t="shared" si="4"/>
        <v>30</v>
      </c>
      <c r="M44" s="135">
        <f>IF(OR(F44="",N10="",N10&lt;=0),"",IF(LEN(F44)&lt;=N10,LEN(F44),IFERROR(FIND("♦",SUBSTITUTE(LEFT(F44,N10)," ","♦",LEN(LEFT(F44,N10))-LEN(SUBSTITUTE(LEFT(F44,N10)," ","")))),FIND(" ",F44&amp;" ",N10+1)-1)))</f>
        <v>35</v>
      </c>
      <c r="N44" s="176">
        <f t="shared" si="5"/>
        <v>27</v>
      </c>
      <c r="O44" s="177" t="str">
        <f t="shared" si="6"/>
        <v>mélangeant bien entre chaque ajout.</v>
      </c>
      <c r="P44" s="176">
        <f t="shared" si="7"/>
        <v>5</v>
      </c>
      <c r="Q44" s="176">
        <f t="shared" si="8"/>
        <v>35</v>
      </c>
      <c r="S44" s="178">
        <v>27</v>
      </c>
      <c r="T44" s="179" t="str">
        <f t="shared" si="10"/>
        <v>mélangeant bien entre chaque ajout.</v>
      </c>
      <c r="U44" s="180" t="str">
        <f t="shared" si="9"/>
        <v>mélangeant bien entre chaque ajout.</v>
      </c>
      <c r="V44" s="181" t="str">
        <f>IF(33=33,IF(T44="","",IF(W44="X",""&amp;"Céréales contenant du gluten","")&amp;IF(X44="X",IF(COUNTIF(W44:W44,"X")&gt;0,", ","")&amp;"Crustacés","")&amp;IF(Y44="X",IF(COUNTIF(W44:X44,"X")&gt;0,", ","")&amp;"Œufs","")&amp;IF(Z44="X",IF(COUNTIF(W44:Y44,"X")&gt;0,", ","")&amp;"Poissons","")&amp;IF(AA44="X",IF(COUNTIF(W44:Z44,"X")&gt;0,", ","")&amp;"Arachides","")&amp;IF(AB44="X",IF(COUNTIF(W44:AA44,"X")&gt;0,", ","")&amp;"Soja","")&amp;IF(AC44="X",IF(COUNTIF(W44:AB44,"X")&gt;0,", ","")&amp;"Lait","")&amp;IF(AD44="X",IF(COUNTIF(W44:AC44,"X")&gt;0,", ","")&amp;"Fruits à coque","")&amp;IF(AE44="X",IF(COUNTIF(W44:AD44,"X")&gt;0,", ","")&amp;"Céleri","")&amp;IF(AF44="X",IF(COUNTIF(W44:AE44,"X")&gt;0,", ","")&amp;"Moutarde","")&amp;IF(AG44="X",IF(COUNTIF(W44:AF44,"X")&gt;0,", ","")&amp;"Sésame","")&amp;IF(AH44="X",IF(COUNTIF(W44:AG44,"X")&gt;0,", ","")&amp;"Sulfites","")&amp;IF(AI44="X",IF(COUNTIF(W44:AH44,"X")&gt;0,", ","")&amp;"Lupin","")&amp;IF(AJ44="X",IF(COUNTIF(W44:AI44,"X")&gt;0,", ","")&amp;"Mollusques","")),"")</f>
        <v/>
      </c>
      <c r="W44" s="182" t="str">
        <f>IF(33=33,IF(T44="","",AX44),"")</f>
        <v/>
      </c>
      <c r="X44" s="182" t="str">
        <f>IF(33=33,IF(T44="","",BA44),"")</f>
        <v/>
      </c>
      <c r="Y44" s="182" t="str">
        <f>IF(33=33,IF(T44="","",BE44),"")</f>
        <v/>
      </c>
      <c r="Z44" s="182" t="str">
        <f>IF(33=33,IF(T44="","",IF(ISNUMBER(SEARCH(" colin ",AS44)),"X",BR44)),"")</f>
        <v/>
      </c>
      <c r="AA44" s="182" t="str">
        <f>IF(33=33,IF(T44="","",BT44),"")</f>
        <v/>
      </c>
      <c r="AB44" s="182" t="str">
        <f>IF(33=33,IF(T44="","",BX44),"")</f>
        <v/>
      </c>
      <c r="AC44" s="182" t="str">
        <f>IF(33=33,IF(T44="","",CE44),"")</f>
        <v/>
      </c>
      <c r="AD44" s="182" t="str">
        <f>IF(33=33,IF(T44="","",CI44),"")</f>
        <v/>
      </c>
      <c r="AE44" s="182" t="str">
        <f>IF(33=33,IF(T44="","",CL44),"")</f>
        <v/>
      </c>
      <c r="AF44" s="182" t="str">
        <f>IF(33=33,IF(T44="","",CO44),"")</f>
        <v/>
      </c>
      <c r="AG44" s="182" t="str">
        <f>IF(33=33,IF(T44="","",CR44),"")</f>
        <v/>
      </c>
      <c r="AH44" s="182" t="str">
        <f>IF(33=33,IF(T44="","",CU44),"")</f>
        <v/>
      </c>
      <c r="AI44" s="182" t="str">
        <f>IF(33=33,IF(T44="","",CX44),"")</f>
        <v/>
      </c>
      <c r="AJ44" s="182" t="str">
        <f>IF(33=33,IF(T44="","",DD44),"")</f>
        <v/>
      </c>
      <c r="AK44" s="183" t="str">
        <f>IF(33=33,IF(T44="","",IF(W44="?",""&amp;"Céréales contenant du gluten","")&amp;IF(X44="?",IF(COUNTIF(W44:W44,"~?")&gt;0,", ","")&amp;"Crustacés","")&amp;IF(Y44="?",IF(COUNTIF(W44:X44,"~?")&gt;0,", ","")&amp;"Œufs","")&amp;IF(Z44="?",IF(COUNTIF(W44:Y44,"~?")&gt;0,", ","")&amp;"Poissons","")&amp;IF(AA44="?",IF(COUNTIF(W44:Z44,"~?")&gt;0,", ","")&amp;"Arachides","")&amp;IF(AB44="?",IF(COUNTIF(W44:AA44,"~?")&gt;0,", ","")&amp;"Soja","")&amp;IF(AC44="?",IF(COUNTIF(W44:AB44,"~?")&gt;0,", ","")&amp;"Lait","")&amp;IF(AD44="?",IF(COUNTIF(W44:AC44,"~?")&gt;0,", ","")&amp;"Fruits à coque","")&amp;IF(AE44="?",IF(COUNTIF(W44:AD44,"~?")&gt;0,", ","")&amp;"Céleri","")&amp;IF(AF44="?",IF(COUNTIF(W44:AE44,"~?")&gt;0,", ","")&amp;"Moutarde","")&amp;IF(AG44="?",IF(COUNTIF(W44:AF44,"~?")&gt;0,", ","")&amp;"Sésame","")&amp;IF(AH44="?",IF(COUNTIF(W44:AG44,"~?")&gt;0,", ","")&amp;"Sulfites","")&amp;IF(AI44="?",IF(COUNTIF(W44:AH44,"~?")&gt;0,", ","")&amp;"Lupin","")&amp;IF(AJ44="?",IF(COUNTIF(W44:AI44,"~?")&gt;0,", ","")&amp;"Mollusques","")),"")</f>
        <v/>
      </c>
      <c r="AM44" s="127" t="str">
        <f>IF(33=33,IF(T44="","",T44),"")</f>
        <v>mélangeant bien entre chaque ajout.</v>
      </c>
      <c r="AN44" s="127" t="str">
        <f>IF(33=33,LOWER(CLEAN(SUBSTITUTE(SUBSTITUTE(SUBSTITUTE(SUBSTITUTE(AM44,CHAR(160)," ")," "," "),CHAR(10)," "),CHAR(13)," "))),"")</f>
        <v>mélangeant bien entre chaque ajout.</v>
      </c>
      <c r="AO44" s="127" t="str">
        <f>IF(33=33,SUBSTITUTE(SUBSTITUTE(SUBSTITUTE(SUBSTITUTE(SUBSTITUTE(SUBSTITUTE(SUBSTITUTE(SUBSTITUTE(SUBSTITUTE(SUBSTITUTE(SUBSTITUTE(SUBSTITUTE(AN44,"œ","oe"),"æ","ae"),"à","a"),"á","a"),"â","a"),"ä","a"),"ã","a"),"ç","c"),"è","e"),"é","e"),"ê","e"),"ë","e"),"")</f>
        <v>melangeant bien entre chaque ajout.</v>
      </c>
      <c r="AP44" s="127" t="str">
        <f>IF(33=33,SUBSTITUTE(SUBSTITUTE(SUBSTITUTE(SUBSTITUTE(SUBSTITUTE(SUBSTITUTE(SUBSTITUTE(SUBSTITUTE(SUBSTITUTE(SUBSTITUTE(SUBSTITUTE(SUBSTITUTE(SUBSTITUTE(SUBSTITUTE(SUBSTITUTE(SUBSTITUTE(AO44,"ì","i"),"í","i"),"î","i"),"ï","i"),"ñ","n"),"ò","o"),"ó","o"),"ô","o"),"ö","o"),"õ","o"),"ù","u"),"ú","u"),"û","u"),"ü","u"),"ý","y"),"ÿ","y"),"")</f>
        <v>melangeant bien entre chaque ajout.</v>
      </c>
      <c r="AQ44" s="127" t="str">
        <f>IF(33=33,SUBSTITUTE(SUBSTITUTE(SUBSTITUTE(SUBSTITUTE(SUBSTITUTE(SUBSTITUTE(SUBSTITUTE(SUBSTITUTE(SUBSTITUTE(SUBSTITUTE(SUBSTITUTE(SUBSTITUTE(SUBSTITUTE(SUBSTITUTE(AP44,"’"," "),"`"," "),"–"," "),"—"," "),"-"," "),"'"," "),"/"," "),"_"," "),","," "),"."," "),"("," "),")"," "),";"," "),":"," "),"")</f>
        <v xml:space="preserve">melangeant bien entre chaque ajout </v>
      </c>
      <c r="AR44" s="127" t="str">
        <f>IF(33=33,SUBSTITUTE(SUBSTITUTE(SUBSTITUTE(SUBSTITUTE(SUBSTITUTE(SUBSTITUTE(SUBSTITUTE(SUBSTITUTE(SUBSTITUTE(SUBSTITUTE(SUBSTITUTE(SUBSTITUTE(SUBSTITUTE(SUBSTITUTE(SUBSTITUTE(AQ44,"!"," "),"?"," "),"+"," "),"*"," "),"&amp;"," "),"["," "),"]"," "),"{"," "),"}"," "),"%"," "),"="," "),"\"," "),"|"," "),"&lt;"," "),"&gt;"," "),"")</f>
        <v xml:space="preserve">melangeant bien entre chaque ajout </v>
      </c>
      <c r="AS44" s="127" t="str">
        <f>IF(33=33," "&amp;TRIM(SUBSTITUTE(SUBSTITUTE(SUBSTITUTE(SUBSTITUTE(SUBSTITUTE(SUBSTITUTE(AR44,CHAR(34)," "),"  "," "),"  "," "),"  "," "),"  "," "),"  "," "))&amp;" ","")</f>
        <v xml:space="preserve"> melangeant bien entre chaque ajout </v>
      </c>
      <c r="AT44" s="127" cm="1">
        <f t="array" ref="AT44">IF(33=33,IF(AM44="","",SUMPRODUCT(--ISNUMBER(SEARCH(" "&amp;DJ13:DJ112&amp;" ",AV44)))),"")</f>
        <v>0</v>
      </c>
      <c r="AU44" s="127" cm="1">
        <f t="array" ref="AU44">IF(33=33,IF(AM44="","",SUMPRODUCT(--ISNUMBER(SEARCH(" "&amp;DJ113:DJ162&amp;" ",AV44)))),"")</f>
        <v>0</v>
      </c>
      <c r="AV44" s="127" t="str">
        <f>IF(AM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melangeant bien entre chaque ajout </v>
      </c>
      <c r="AW44" s="127" cm="1">
        <f t="array" ref="AW44">IF(AM44="","",SUMPRODUCT(--ISNUMBER(SEARCH(" "&amp;DJ195:DJ216&amp;" ",AV44)))+--ISNUMBER(SEARCH(" "&amp;DJ2465&amp;" ",AV44)))</f>
        <v>0</v>
      </c>
      <c r="AX44" s="127" t="str" cm="1">
        <f t="array" ref="AX44">IF(33=33,IF(AM44="","",IF(SUM(AT44:AU44)+SUMPRODUCT(--ISNUMBER(SEARCH(" "&amp;DJ2429:DJ2431&amp;" ",AV44)))&gt;0,"X",IF(AW44&gt;0,"?",""))),"")</f>
        <v/>
      </c>
      <c r="AY44" s="127" cm="1">
        <f t="array" ref="AY44">IF(33=33,IF(AM44="","",SUMPRODUCT(--ISNUMBER(SEARCH(" "&amp;DJ217:DJ316&amp;" ",AS44)))),"")</f>
        <v>0</v>
      </c>
      <c r="AZ44" s="127" cm="1">
        <f t="array" ref="AZ44">IF(33=33,IF(AM44="","",SUMPRODUCT(--ISNUMBER(SEARCH(" "&amp;DJ317:DJ351&amp;" ",AS44)))),"")</f>
        <v>0</v>
      </c>
      <c r="BA44" s="127" t="str">
        <f>IF(33=33,IF(AM44="","",IF((SUM(AY44:AZ44))-(0)&gt;0,"X",IF((0)-(0)&gt;0,"?",""))),"")</f>
        <v/>
      </c>
      <c r="BB44" s="127" cm="1">
        <f t="array" ref="BB44">IF(33=33,IF(AM44="","",SUMPRODUCT(--ISNUMBER(SEARCH(" "&amp;DJ352:DJ409&amp;" ",AS44)))),"")</f>
        <v>0</v>
      </c>
      <c r="BC44" s="127" cm="1">
        <f t="array" ref="BC44">IF(33=33,IF(AM44="","",SUMPRODUCT(--ISNUMBER(SEARCH(" "&amp;DJ410:DJ437&amp;" ",BD44)))+SUMPRODUCT(--ISNUMBER(SEARCH(" "&amp;DJ2451:DJ2464&amp;" ",BD44)))),"")</f>
        <v>0</v>
      </c>
      <c r="BD44" s="127" t="str">
        <f>IF(33=33,IF(AM44="","",SUBSTITUTE(SUBSTITUTE(SUBSTITUTE(SUBSTITUTE(SUBSTITUTE(SUBSTITUTE(SUBSTITUTE(SUBSTITUTE(SUBSTITUTE(SUBSTITUTE(SUBSTITUTE(SUBSTITUTE(SUBSTITUTE(SUBSTITUTE(AS44," "&amp;DJ2466&amp;" "," ")," "&amp;DJ444&amp;" "," ")," "&amp;DJ442&amp;" "," ")," "&amp;DJ2449&amp;" "," ")," "&amp;DJ2450&amp;" "," ")," "&amp;DJ439&amp;" "," ")," "&amp;DJ443&amp;" "," ")," "&amp;DJ445&amp;" "," ")," "&amp;DJ440&amp;" "," ")," "&amp;DJ438&amp;" "," ")," "&amp;DJ1378&amp;" "," ")," "&amp;DJ446&amp;" "," ")," "&amp;DJ1377&amp;" "," ")," "&amp;DJ441&amp;" "," ")),"")</f>
        <v xml:space="preserve"> melangeant bien entre chaque ajout </v>
      </c>
      <c r="BE44" s="127" t="str">
        <f>IF(33=33,IF(AM44="","",IF(BB44&gt;0,"X",IF(BC44&gt;0,"?",""))),"")</f>
        <v/>
      </c>
      <c r="BF44" s="127" cm="1">
        <f t="array" ref="BF44">IF(33=33,IF(AM44="","",SUMPRODUCT(--ISNUMBER(SEARCH(" "&amp;DJ447:DJ546&amp;" ",BP44)))),"")</f>
        <v>0</v>
      </c>
      <c r="BG44" s="127" cm="1">
        <f t="array" ref="BG44">IF(33=33,IF(AM44="","",SUMPRODUCT(--ISNUMBER(SEARCH(" "&amp;DJ547:DJ646&amp;" ",BP44)))),"")</f>
        <v>0</v>
      </c>
      <c r="BH44" s="127" cm="1">
        <f t="array" ref="BH44">IF(33=33,IF(AM44="","",SUMPRODUCT(--ISNUMBER(SEARCH(" "&amp;DJ647:DJ746&amp;" ",BP44)))),"")</f>
        <v>0</v>
      </c>
      <c r="BI44" s="127" cm="1">
        <f t="array" ref="BI44">IF(33=33,IF(AM44="","",SUMPRODUCT(--ISNUMBER(SEARCH(" "&amp;DJ747:DJ846&amp;" ",BP44)))),"")</f>
        <v>0</v>
      </c>
      <c r="BJ44" s="127" cm="1">
        <f t="array" ref="BJ44">IF(33=33,IF(AM44="","",SUMPRODUCT(--ISNUMBER(SEARCH(" "&amp;DJ847:DJ946&amp;" ",BP44)))),"")</f>
        <v>0</v>
      </c>
      <c r="BK44" s="127" cm="1">
        <f t="array" ref="BK44">IF(33=33,IF(AM44="","",SUMPRODUCT(--ISNUMBER(SEARCH(" "&amp;DJ947:DJ1046&amp;" ",BP44)))),"")</f>
        <v>0</v>
      </c>
      <c r="BL44" s="127" cm="1">
        <f t="array" ref="BL44">IF(33=33,IF(AM44="","",SUMPRODUCT(--ISNUMBER(SEARCH(" "&amp;DJ1047:DJ1146&amp;" ",BP44)))),"")</f>
        <v>0</v>
      </c>
      <c r="BM44" s="127" cm="1">
        <f t="array" ref="BM44">IF(33=33,IF(AM44="","",SUMPRODUCT(--ISNUMBER(SEARCH(" "&amp;DJ1147:DJ1246&amp;" ",BP44)))),"")</f>
        <v>0</v>
      </c>
      <c r="BN44" s="127" cm="1">
        <f t="array" ref="BN44">IF(33=33,IF(AM44="","",SUMPRODUCT(--ISNUMBER(SEARCH(" "&amp;DJ1247:DJ1346&amp;" ",BP44)))),"")</f>
        <v>0</v>
      </c>
      <c r="BO44" s="127" cm="1">
        <f t="array" ref="BO44">IF(33=33,IF(AM44="","",SUMPRODUCT(--ISNUMBER(SEARCH(" "&amp;DJ1347:DJ1374&amp;" ",BP44)))),"")</f>
        <v>0</v>
      </c>
      <c r="BP44" s="127" t="str">
        <f>IF(33=33,IF(AM44="","",SUBSTITUTE(SUBSTITUTE(SUBSTITUTE(SUBSTITUTE(SUBSTITUTE(SUBSTITUTE(SUBSTITUTE(SUBSTITUTE(SUBSTITUTE(AS44," "&amp;DJ1376&amp;" "," ")," "&amp;DJ1375&amp;" "," ")," "&amp;DJ1381&amp;" "," ")," "&amp;DJ1382&amp;" "," ")," "&amp;DJ1378&amp;" "," ")," "&amp;DJ1380&amp;" "," ")," "&amp;DJ1377&amp;" "," ")," "&amp;DJ1379&amp;" "," ")," "&amp;DJ1383&amp;" "," ")),"")</f>
        <v xml:space="preserve"> melangeant bien entre chaque ajout </v>
      </c>
      <c r="BQ44" s="127" cm="1">
        <f t="array" ref="BQ44">IF(33=33,IF(AM44="","",SUMPRODUCT(--ISNUMBER(SEARCH(" "&amp;DJ1384:DJ1394&amp;" ",BP44)))),"")</f>
        <v>0</v>
      </c>
      <c r="BR44" s="127" t="str" cm="1">
        <f t="array" ref="BR44">IF(33=33,IF(AM44="","",IF(SUM(BF44:BO44)+SUMPRODUCT(--ISNUMBER(SEARCH(" "&amp;DJ2432:DJ2433&amp;" ",BP44)))&gt;0,"X",IF(BQ44&gt;0,"?",""))),"")</f>
        <v/>
      </c>
      <c r="BS44" s="127" cm="1">
        <f t="array" ref="BS44">IF(33=33,IF(AM44="","",SUMPRODUCT(--ISNUMBER(SEARCH(" "&amp;DJ1395:DJ1415&amp;" ",AS44)))),"")</f>
        <v>0</v>
      </c>
      <c r="BT44" s="127" t="str">
        <f>IF(33=33,IF(AM44="","",IF((BS44)-(0)&gt;0,"X",IF((0)-(0)&gt;0,"?",""))),"")</f>
        <v/>
      </c>
      <c r="BU44" s="127" cm="1">
        <f t="array" ref="BU44">IF(33=33,IF(AM44="","",SUMPRODUCT(--ISNUMBER(SEARCH(" "&amp;DJ1416:DJ1453&amp;" ",BV44)))),"")</f>
        <v>0</v>
      </c>
      <c r="BV44" s="127" t="str">
        <f>IF(33=33,IF(AM44="","",SUBSTITUTE(SUBSTITUTE(AS44," "&amp;DJ1454&amp;" "," ")," "&amp;DJ1455&amp;" "," ")),"")</f>
        <v xml:space="preserve"> melangeant bien entre chaque ajout </v>
      </c>
      <c r="BW44" s="127" cm="1">
        <f t="array" ref="BW44">IF(33=33,IF(AM44="","",SUMPRODUCT(--ISNUMBER(SEARCH(" "&amp;DJ1456:DJ1466&amp;" ",BV44)))),"")</f>
        <v>0</v>
      </c>
      <c r="BX44" s="127" t="str">
        <f>IF(33=33,IF(AM44="","",IF(BU44&gt;0,"X",IF(BW44&gt;0,"?",""))),"")</f>
        <v/>
      </c>
      <c r="BY44" s="127" cm="1">
        <f t="array" ref="BY44">IF(33=33,IF(AM44="","",SUMPRODUCT(--ISNUMBER(SEARCH(" "&amp;DJ1467:DJ1566&amp;" ",CB44)))),"")</f>
        <v>0</v>
      </c>
      <c r="BZ44" s="127" cm="1">
        <f t="array" ref="BZ44">IF(33=33,IF(AM44="","",SUMPRODUCT(--ISNUMBER(SEARCH(" "&amp;DJ1567:DJ1666&amp;" ",CB44)))),"")</f>
        <v>0</v>
      </c>
      <c r="CA44" s="127" cm="1">
        <f t="array" ref="CA44">IF(33=33,IF(AM44="","",SUMPRODUCT(--ISNUMBER(SEARCH(" "&amp;DJ1667:DJ1750&amp;" ",CB44)))),"")</f>
        <v>0</v>
      </c>
      <c r="CB44" s="127" t="str">
        <f>IF(33=33,IF(AM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melangeant bien entre chaque ajout </v>
      </c>
      <c r="CC44" s="127" cm="1">
        <f t="array" ref="CC44">IF(33=33,IF(AM44="","",SUMPRODUCT(--ISNUMBER(SEARCH(" "&amp;DJ1801:DJ1880&amp;" ",CD44)))+SUMPRODUCT(--ISNUMBER(SEARCH(" "&amp;DJ2451:DJ2464&amp;" ",CD44)))),"")</f>
        <v>0</v>
      </c>
      <c r="CD44" s="127" t="str">
        <f>IF(33=33,IF(AM44="","",SUBSTITUTE(SUBSTITUTE(SUBSTITUTE(SUBSTITUTE(SUBSTITUTE(SUBSTITUTE(SUBSTITUTE(SUBSTITUTE(SUBSTITUTE(SUBSTITUTE(SUBSTITUTE(SUBSTITUTE(SUBSTITUTE(CB44," "&amp;DJ1887&amp;" "," ")," "&amp;DJ1885&amp;" "," ")," "&amp;DJ2449&amp;" "," ")," "&amp;DJ2450&amp;" "," ")," "&amp;DJ1882&amp;" "," ")," "&amp;DJ1886&amp;" "," ")," "&amp;DJ1888&amp;" "," ")," "&amp;DJ1883&amp;" "," ")," "&amp;DJ1881&amp;" "," ")," "&amp;DJ1378&amp;" "," ")," "&amp;DJ1889&amp;" "," ")," "&amp;DJ1377&amp;" "," ")," "&amp;DJ1884&amp;" "," ")),"")</f>
        <v xml:space="preserve"> melangeant bien entre chaque ajout </v>
      </c>
      <c r="CE44" s="127" t="str" cm="1">
        <f t="array" ref="CE44">IF(33=33,IF(AM44="","",IF(SUM(BY44:CA44)+SUMPRODUCT(--ISNUMBER(SEARCH(" "&amp;DJ2434:DJ2435&amp;" ",CB44)))&gt;0,"X",IF(CC44&gt;0,"?",""))),"")</f>
        <v/>
      </c>
      <c r="CF44" s="127" cm="1">
        <f t="array" ref="CF44">IF(33=33,IF(AM44="","",SUMPRODUCT(--ISNUMBER(SEARCH(" "&amp;DJ1890:DJ1947&amp;" ",CG44)))),"")</f>
        <v>0</v>
      </c>
      <c r="CG44" s="127" t="str">
        <f>IF(33=33,IF(AM44="","",SUBSTITUTE(SUBSTITUTE(SUBSTITUTE(SUBSTITUTE(SUBSTITUTE(SUBSTITUTE(SUBSTITUTE(SUBSTITUTE(SUBSTITUTE(SUBSTITUTE(SUBSTITUTE(SUBSTITUTE(SUBSTITUTE(SUBSTITUTE(SUBSTITUTE(SUBSTITUTE(SUBSTITUTE(SUBSTITUTE(SUBSTITUTE(SUBSTITUTE(SUBSTITUTE(SUBSTITUTE(SUBSTITUTE(AS44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melangeant bien entre chaque ajout </v>
      </c>
      <c r="CH44" s="127" cm="1">
        <f t="array" ref="CH44">IF(33=33,IF(AM44="","",SUMPRODUCT(--ISNUMBER(SEARCH(" "&amp;DJ1971:DJ1987&amp;" ",CG44)))),"")</f>
        <v>0</v>
      </c>
      <c r="CI44" s="127" t="str">
        <f>IF(33=33,IF(AM44="","",IF(CF44&gt;0,"X",IF(CH44&gt;0,"?",""))),"")</f>
        <v/>
      </c>
      <c r="CJ44" s="127" cm="1">
        <f t="array" ref="CJ44">IF(33=33,IF(AM44="","",SUMPRODUCT(--ISNUMBER(SEARCH(" "&amp;DJ1988:DJ2001&amp;" ",AS44)))),"")</f>
        <v>0</v>
      </c>
      <c r="CK44" s="127" cm="1">
        <f t="array" ref="CK44">IF(33=33,IF(AM44="","",SUMPRODUCT(--ISNUMBER(SEARCH(" "&amp;DJ2002:DJ2016&amp;" ",AS44)))),"")</f>
        <v>0</v>
      </c>
      <c r="CL44" s="127" t="str">
        <f>IF(33=33,IF(AM44="","",IF((CJ44)-(0)&gt;0,"X",IF((CK44)-(0)&gt;0,"?",""))),"")</f>
        <v/>
      </c>
      <c r="CM44" s="127" cm="1">
        <f t="array" ref="CM44">IF(33=33,IF(AM44="","",SUMPRODUCT(--ISNUMBER(SEARCH(" "&amp;DJ2017:DJ2034&amp;" ",AS44)))),"")</f>
        <v>0</v>
      </c>
      <c r="CN44" s="127" cm="1">
        <f t="array" ref="CN44">IF(33=33,IF(AM44="","",SUMPRODUCT(--ISNUMBER(SEARCH(" "&amp;DJ2035:DJ2049&amp;" ",AS44)))),"")</f>
        <v>0</v>
      </c>
      <c r="CO44" s="127" t="str">
        <f>IF(33=33,IF(AM44="","",IF((CM44)-(0)&gt;0,"X",IF((CN44)-(0)&gt;0,"?",""))),"")</f>
        <v/>
      </c>
      <c r="CP44" s="127" cm="1">
        <f t="array" ref="CP44">IF(33=33,IF(AM44="","",SUMPRODUCT(--ISNUMBER(SEARCH(" "&amp;DJ2050:DJ2068&amp;" ",AS44)))),"")</f>
        <v>0</v>
      </c>
      <c r="CQ44" s="127" cm="1">
        <f t="array" ref="CQ44">IF(33=33,IF(AM44="","",SUMPRODUCT(--ISNUMBER(SEARCH(" "&amp;DJ2069:DJ2083&amp;" ",AS44)))),"")</f>
        <v>0</v>
      </c>
      <c r="CR44" s="127" t="str">
        <f>IF(33=33,IF(AM44="","",IF((CP44)-(0)&gt;0,"X",IF((CQ44)-(0)&gt;0,"?",""))),"")</f>
        <v/>
      </c>
      <c r="CS44" s="127" cm="1">
        <f t="array" ref="CS44">IF(33=33,IF(AM44="","",SUMPRODUCT(--ISNUMBER(SEARCH(" "&amp;DJ2084:DJ2104&amp;" ",AS44)))),"")</f>
        <v>0</v>
      </c>
      <c r="CT44" s="127" cm="1">
        <f t="array" ref="CT44">IF(33=33,IF(AM44="","",SUMPRODUCT(--ISNUMBER(SEARCH(" "&amp;DJ2105:DJ2144&amp;" ",SUBSTITUTE(SUBSTITUTE(AS44," "&amp;DJ1378&amp;" "," ")," "&amp;DJ1377&amp;" "," "))))+--ISNUMBER(SEARCH("poiré",AN44))),"")</f>
        <v>0</v>
      </c>
      <c r="CU44" s="127" t="str">
        <f>IF(33=33,IF(AM44="","",IF(OR(CS44&gt;0,ISNUMBER(SEARCH(" vinaigre de vin ",AS44)),ISNUMBER(SEARCH(" vinaigre au vin ",AS44))),"X",IF(CT44&gt;0,"?",""))),"")</f>
        <v/>
      </c>
      <c r="CV44" s="127" cm="1">
        <f t="array" ref="CV44">IF(33=33,IF(AM44="","",SUMPRODUCT(--ISNUMBER(SEARCH(" "&amp;DJ2145:DJ2157&amp;" ",AS44)))),"")</f>
        <v>0</v>
      </c>
      <c r="CW44" s="127" cm="1">
        <f t="array" ref="CW44">IF(33=33,IF(AM44="","",SUMPRODUCT(--ISNUMBER(SEARCH(" "&amp;DJ2158:DJ2163&amp;" ",AS44)))),"")</f>
        <v>0</v>
      </c>
      <c r="CX44" s="127" t="str">
        <f>IF(33=33,IF(AM44="","",IF((CV44)-(0)&gt;0,"X",IF((CW44)-(0)&gt;0,"?",""))),"")</f>
        <v/>
      </c>
      <c r="CY44" s="127" cm="1">
        <f t="array" ref="CY44">IF(33=33,IF(AM44="","",SUMPRODUCT(--ISNUMBER(SEARCH(" "&amp;DJ2164:DJ2263&amp;" ",DB44)))),"")</f>
        <v>0</v>
      </c>
      <c r="CZ44" s="127" cm="1">
        <f t="array" ref="CZ44">IF(33=33,IF(AM44="","",SUMPRODUCT(--ISNUMBER(SEARCH(" "&amp;DJ2264:DJ2363&amp;" ",DB44)))),"")</f>
        <v>0</v>
      </c>
      <c r="DA44" s="127" cm="1">
        <f t="array" ref="DA44">IF(33=33,IF(AM44="","",SUMPRODUCT(--ISNUMBER(SEARCH(" "&amp;DJ2364:DJ2406&amp;" ",DB44)))),"")</f>
        <v>0</v>
      </c>
      <c r="DB44" s="127" t="str">
        <f>IF(33=33,IF(AM44="","",SUBSTITUTE(SUBSTITUTE(SUBSTITUTE(SUBSTITUTE(SUBSTITUTE(SUBSTITUTE(SUBSTITUTE(SUBSTITUTE(SUBSTITUTE(SUBSTITUTE(SUBSTITUTE(SUBSTITUTE(SUBSTITUTE(SUBSTITUTE(SUBSTITUTE(SUBSTITUTE(AS44," "&amp;DJ2412&amp;" "," ")," "&amp;DJ2411&amp;" "," ")," "&amp;DJ2410&amp;" "," ")," "&amp;DJ2417&amp;" "," ")," "&amp;DJ2409&amp;" "," ")," "&amp;DJ2421&amp;" "," ")," "&amp;DJ2408&amp;" "," ")," "&amp;DJ2413&amp;" "," ")," "&amp;DJ2416&amp;" "," ")," "&amp;DJ2407&amp;" "," ")," "&amp;DJ2415&amp;" "," ")," "&amp;DJ2422&amp;" "," ")," "&amp;DJ2419&amp;" "," ")," "&amp;DJ2414&amp;" "," ")," "&amp;DJ2418&amp;" "," ")," "&amp;DJ2420&amp;" "," ")),"")</f>
        <v xml:space="preserve"> melangeant bien entre chaque ajout </v>
      </c>
      <c r="DC44" s="127" cm="1">
        <f t="array" ref="DC44">IF(33=33,IF(AM44="","",SUMPRODUCT(--ISNUMBER(SEARCH(" "&amp;DJ2423:DJ2427&amp;" ",DB44)))),"")</f>
        <v>0</v>
      </c>
      <c r="DD44" s="127" t="str">
        <f>IF(33=33,IF(AM44="","",IF(SUM(CY44:DA44)&gt;0,"X",IF(DC44&gt;0,"?",""))),"")</f>
        <v/>
      </c>
      <c r="DE44" s="152"/>
      <c r="DF44" s="160" t="s">
        <v>718</v>
      </c>
      <c r="DG44" s="160" t="s">
        <v>584</v>
      </c>
      <c r="DH44" s="160" t="s">
        <v>125</v>
      </c>
      <c r="DI44" s="160" t="s">
        <v>719</v>
      </c>
      <c r="DJ44" s="160" t="s">
        <v>720</v>
      </c>
      <c r="DK44" s="160" t="s">
        <v>588</v>
      </c>
      <c r="DL44" s="160" t="s">
        <v>589</v>
      </c>
      <c r="DM44" s="160" t="s">
        <v>590</v>
      </c>
      <c r="DN44" s="161" t="s">
        <v>591</v>
      </c>
      <c r="DP44" s="130">
        <v>1</v>
      </c>
    </row>
    <row r="45" spans="2:120" ht="30" customHeight="1">
      <c r="B45" s="165" t="str">
        <f t="shared" si="0"/>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C45" s="165" t="str">
        <f t="shared" si="1"/>
        <v>Si vous récupérez du texte sur internet collez le d’abord dans la colonne 1️⃣ pour le “nettoyer” cela supprime les espaces insécables tabulations invisibles et autres “pollutions” ◄ 2️⃣ Saisissez la largeur du document dans lequel vous collerez ensuite le texte ◄ 3️⃣ saisissez un nombre de caractères par lignes ◄ 4️⃣ Si vous ne voulez pas de ponctuation saisissez un X dans la cellule Ensuite dans la colonne B copiez le texte nettoyé puis dans votre document faites Collage spécial &gt; 1 2 3 Valeurs pour ne coller que le texte sans formules</v>
      </c>
      <c r="D45" s="165" t="str">
        <f>IF(UPPER(TRIM(N11))="X",C45,B45)</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E45" s="165" cm="1">
        <f t="array" ref="E45">IF(H44&lt;&gt;"",E44,IF(E44="","",IFERROR(MATCH(TRUE(),INDEX(INDEX(K:K,E44+1):K203&lt;&gt;"",0),0)+E44,"")))</f>
        <v>38</v>
      </c>
      <c r="F45" s="165" t="str" cm="1">
        <f t="array" ref="F45">IF(E45="","",IF(H44&lt;&gt;"",H44,INDEX(D:D,E45)))</f>
        <v>6. Versez cette préparation sur les pommes, parsemez d’amandes effilées et ajoutez quelques noisettes de beurre.</v>
      </c>
      <c r="G45" s="165" t="str">
        <f t="shared" si="2"/>
        <v xml:space="preserve">6. Versez cette préparation sur les pommes, parsemez d’amandes effilées et </v>
      </c>
      <c r="H45" s="174" t="str">
        <f t="shared" si="3"/>
        <v>ajoutez quelques noisettes de beurre.</v>
      </c>
      <c r="I45" s="184" t="str">
        <f>IF(AND(F45&lt;&gt;"",N10&gt;0,M45&gt;N10),"Mot &gt; limite","")</f>
        <v/>
      </c>
      <c r="J45" s="175">
        <f>IF(K45="","",COUNTIF(K18:K45,"&lt;&gt;"))</f>
        <v>28</v>
      </c>
      <c r="K45" s="111" t="s">
        <v>53</v>
      </c>
      <c r="L45" s="175">
        <f t="shared" si="4"/>
        <v>558</v>
      </c>
      <c r="M45" s="135">
        <f>IF(OR(F45="",N10="",N10&lt;=0),"",IF(LEN(F45)&lt;=N10,LEN(F45),IFERROR(FIND("♦",SUBSTITUTE(LEFT(F45,N10)," ","♦",LEN(LEFT(F45,N10))-LEN(SUBSTITUTE(LEFT(F45,N10)," ","")))),FIND(" ",F45&amp;" ",N10+1)-1)))</f>
        <v>75</v>
      </c>
      <c r="N45" s="176">
        <f t="shared" si="5"/>
        <v>28</v>
      </c>
      <c r="O45" s="177" t="str">
        <f t="shared" si="6"/>
        <v xml:space="preserve">6. Versez cette préparation sur les pommes, parsemez d’amandes effilées et </v>
      </c>
      <c r="P45" s="176">
        <f t="shared" si="7"/>
        <v>11</v>
      </c>
      <c r="Q45" s="176">
        <f t="shared" si="8"/>
        <v>75</v>
      </c>
      <c r="S45" s="178">
        <v>28</v>
      </c>
      <c r="T45" s="179" t="str">
        <f t="shared" si="10"/>
        <v xml:space="preserve">6. Versez cette préparation sur les pommes, parsemez d’amandes effilées et </v>
      </c>
      <c r="U45" s="180" t="str">
        <f t="shared" si="9"/>
        <v>6. Versez cette préparation sur les pommes, parsemez d’amandes effilées et *</v>
      </c>
      <c r="V45" s="181" t="str">
        <f>IF(34=34,IF(T45="","",IF(W45="X",""&amp;"Céréales contenant du gluten","")&amp;IF(X45="X",IF(COUNTIF(W45:W45,"X")&gt;0,", ","")&amp;"Crustacés","")&amp;IF(Y45="X",IF(COUNTIF(W45:X45,"X")&gt;0,", ","")&amp;"Œufs","")&amp;IF(Z45="X",IF(COUNTIF(W45:Y45,"X")&gt;0,", ","")&amp;"Poissons","")&amp;IF(AA45="X",IF(COUNTIF(W45:Z45,"X")&gt;0,", ","")&amp;"Arachides","")&amp;IF(AB45="X",IF(COUNTIF(W45:AA45,"X")&gt;0,", ","")&amp;"Soja","")&amp;IF(AC45="X",IF(COUNTIF(W45:AB45,"X")&gt;0,", ","")&amp;"Lait","")&amp;IF(AD45="X",IF(COUNTIF(W45:AC45,"X")&gt;0,", ","")&amp;"Fruits à coque","")&amp;IF(AE45="X",IF(COUNTIF(W45:AD45,"X")&gt;0,", ","")&amp;"Céleri","")&amp;IF(AF45="X",IF(COUNTIF(W45:AE45,"X")&gt;0,", ","")&amp;"Moutarde","")&amp;IF(AG45="X",IF(COUNTIF(W45:AF45,"X")&gt;0,", ","")&amp;"Sésame","")&amp;IF(AH45="X",IF(COUNTIF(W45:AG45,"X")&gt;0,", ","")&amp;"Sulfites","")&amp;IF(AI45="X",IF(COUNTIF(W45:AH45,"X")&gt;0,", ","")&amp;"Lupin","")&amp;IF(AJ45="X",IF(COUNTIF(W45:AI45,"X")&gt;0,", ","")&amp;"Mollusques","")),"")</f>
        <v>Fruits à coque</v>
      </c>
      <c r="W45" s="182" t="str">
        <f>IF(34=34,IF(T45="","",AX45),"")</f>
        <v/>
      </c>
      <c r="X45" s="182" t="str">
        <f>IF(34=34,IF(T45="","",BA45),"")</f>
        <v/>
      </c>
      <c r="Y45" s="182" t="str">
        <f>IF(34=34,IF(T45="","",BE45),"")</f>
        <v/>
      </c>
      <c r="Z45" s="182" t="str">
        <f>IF(34=34,IF(T45="","",IF(ISNUMBER(SEARCH(" colin ",AS45)),"X",BR45)),"")</f>
        <v/>
      </c>
      <c r="AA45" s="182" t="str">
        <f>IF(34=34,IF(T45="","",BT45),"")</f>
        <v/>
      </c>
      <c r="AB45" s="182" t="str">
        <f>IF(34=34,IF(T45="","",BX45),"")</f>
        <v/>
      </c>
      <c r="AC45" s="182" t="str">
        <f>IF(34=34,IF(T45="","",CE45),"")</f>
        <v/>
      </c>
      <c r="AD45" s="182" t="str">
        <f>IF(34=34,IF(T45="","",CI45),"")</f>
        <v>X</v>
      </c>
      <c r="AE45" s="182" t="str">
        <f>IF(34=34,IF(T45="","",CL45),"")</f>
        <v/>
      </c>
      <c r="AF45" s="182" t="str">
        <f>IF(34=34,IF(T45="","",CO45),"")</f>
        <v/>
      </c>
      <c r="AG45" s="182" t="str">
        <f>IF(34=34,IF(T45="","",CR45),"")</f>
        <v/>
      </c>
      <c r="AH45" s="182" t="str">
        <f>IF(34=34,IF(T45="","",CU45),"")</f>
        <v/>
      </c>
      <c r="AI45" s="182" t="str">
        <f>IF(34=34,IF(T45="","",CX45),"")</f>
        <v/>
      </c>
      <c r="AJ45" s="182" t="str">
        <f>IF(34=34,IF(T45="","",DD45),"")</f>
        <v/>
      </c>
      <c r="AK45" s="183" t="str">
        <f>IF(34=34,IF(T45="","",IF(W45="?",""&amp;"Céréales contenant du gluten","")&amp;IF(X45="?",IF(COUNTIF(W45:W45,"~?")&gt;0,", ","")&amp;"Crustacés","")&amp;IF(Y45="?",IF(COUNTIF(W45:X45,"~?")&gt;0,", ","")&amp;"Œufs","")&amp;IF(Z45="?",IF(COUNTIF(W45:Y45,"~?")&gt;0,", ","")&amp;"Poissons","")&amp;IF(AA45="?",IF(COUNTIF(W45:Z45,"~?")&gt;0,", ","")&amp;"Arachides","")&amp;IF(AB45="?",IF(COUNTIF(W45:AA45,"~?")&gt;0,", ","")&amp;"Soja","")&amp;IF(AC45="?",IF(COUNTIF(W45:AB45,"~?")&gt;0,", ","")&amp;"Lait","")&amp;IF(AD45="?",IF(COUNTIF(W45:AC45,"~?")&gt;0,", ","")&amp;"Fruits à coque","")&amp;IF(AE45="?",IF(COUNTIF(W45:AD45,"~?")&gt;0,", ","")&amp;"Céleri","")&amp;IF(AF45="?",IF(COUNTIF(W45:AE45,"~?")&gt;0,", ","")&amp;"Moutarde","")&amp;IF(AG45="?",IF(COUNTIF(W45:AF45,"~?")&gt;0,", ","")&amp;"Sésame","")&amp;IF(AH45="?",IF(COUNTIF(W45:AG45,"~?")&gt;0,", ","")&amp;"Sulfites","")&amp;IF(AI45="?",IF(COUNTIF(W45:AH45,"~?")&gt;0,", ","")&amp;"Lupin","")&amp;IF(AJ45="?",IF(COUNTIF(W45:AI45,"~?")&gt;0,", ","")&amp;"Mollusques","")),"")</f>
        <v/>
      </c>
      <c r="AM45" s="127" t="str">
        <f>IF(34=34,IF(T45="","",T45),"")</f>
        <v xml:space="preserve">6. Versez cette préparation sur les pommes, parsemez d’amandes effilées et </v>
      </c>
      <c r="AN45" s="127" t="str">
        <f>IF(34=34,LOWER(CLEAN(SUBSTITUTE(SUBSTITUTE(SUBSTITUTE(SUBSTITUTE(AM45,CHAR(160)," ")," "," "),CHAR(10)," "),CHAR(13)," "))),"")</f>
        <v xml:space="preserve">6. versez cette préparation sur les pommes, parsemez d’amandes effilées et </v>
      </c>
      <c r="AO45" s="127" t="str">
        <f>IF(34=34,SUBSTITUTE(SUBSTITUTE(SUBSTITUTE(SUBSTITUTE(SUBSTITUTE(SUBSTITUTE(SUBSTITUTE(SUBSTITUTE(SUBSTITUTE(SUBSTITUTE(SUBSTITUTE(SUBSTITUTE(AN45,"œ","oe"),"æ","ae"),"à","a"),"á","a"),"â","a"),"ä","a"),"ã","a"),"ç","c"),"è","e"),"é","e"),"ê","e"),"ë","e"),"")</f>
        <v xml:space="preserve">6. versez cette preparation sur les pommes, parsemez d’amandes effilees et </v>
      </c>
      <c r="AP45" s="127" t="str">
        <f>IF(34=34,SUBSTITUTE(SUBSTITUTE(SUBSTITUTE(SUBSTITUTE(SUBSTITUTE(SUBSTITUTE(SUBSTITUTE(SUBSTITUTE(SUBSTITUTE(SUBSTITUTE(SUBSTITUTE(SUBSTITUTE(SUBSTITUTE(SUBSTITUTE(SUBSTITUTE(SUBSTITUTE(AO45,"ì","i"),"í","i"),"î","i"),"ï","i"),"ñ","n"),"ò","o"),"ó","o"),"ô","o"),"ö","o"),"õ","o"),"ù","u"),"ú","u"),"û","u"),"ü","u"),"ý","y"),"ÿ","y"),"")</f>
        <v xml:space="preserve">6. versez cette preparation sur les pommes, parsemez d’amandes effilees et </v>
      </c>
      <c r="AQ45" s="127" t="str">
        <f>IF(34=34,SUBSTITUTE(SUBSTITUTE(SUBSTITUTE(SUBSTITUTE(SUBSTITUTE(SUBSTITUTE(SUBSTITUTE(SUBSTITUTE(SUBSTITUTE(SUBSTITUTE(SUBSTITUTE(SUBSTITUTE(SUBSTITUTE(SUBSTITUTE(AP45,"’"," "),"`"," "),"–"," "),"—"," "),"-"," "),"'"," "),"/"," "),"_"," "),","," "),"."," "),"("," "),")"," "),";"," "),":"," "),"")</f>
        <v xml:space="preserve">6  versez cette preparation sur les pommes  parsemez d amandes effilees et </v>
      </c>
      <c r="AR45" s="127" t="str">
        <f>IF(34=34,SUBSTITUTE(SUBSTITUTE(SUBSTITUTE(SUBSTITUTE(SUBSTITUTE(SUBSTITUTE(SUBSTITUTE(SUBSTITUTE(SUBSTITUTE(SUBSTITUTE(SUBSTITUTE(SUBSTITUTE(SUBSTITUTE(SUBSTITUTE(SUBSTITUTE(AQ45,"!"," "),"?"," "),"+"," "),"*"," "),"&amp;"," "),"["," "),"]"," "),"{"," "),"}"," "),"%"," "),"="," "),"\"," "),"|"," "),"&lt;"," "),"&gt;"," "),"")</f>
        <v xml:space="preserve">6  versez cette preparation sur les pommes  parsemez d amandes effilees et </v>
      </c>
      <c r="AS45" s="127" t="str">
        <f>IF(34=34," "&amp;TRIM(SUBSTITUTE(SUBSTITUTE(SUBSTITUTE(SUBSTITUTE(SUBSTITUTE(SUBSTITUTE(AR45,CHAR(34)," "),"  "," "),"  "," "),"  "," "),"  "," "),"  "," "))&amp;" ","")</f>
        <v xml:space="preserve"> 6 versez cette preparation sur les pommes parsemez d amandes effilees et </v>
      </c>
      <c r="AT45" s="127" cm="1">
        <f t="array" ref="AT45">IF(34=34,IF(AM45="","",SUMPRODUCT(--ISNUMBER(SEARCH(" "&amp;DJ13:DJ112&amp;" ",AV45)))),"")</f>
        <v>0</v>
      </c>
      <c r="AU45" s="127" cm="1">
        <f t="array" ref="AU45">IF(34=34,IF(AM45="","",SUMPRODUCT(--ISNUMBER(SEARCH(" "&amp;DJ113:DJ162&amp;" ",AV45)))),"")</f>
        <v>0</v>
      </c>
      <c r="AV45" s="127" t="str">
        <f>IF(AM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6 versez cette preparation sur les pommes parsemez d amandes effilees et </v>
      </c>
      <c r="AW45" s="127" cm="1">
        <f t="array" ref="AW45">IF(AM45="","",SUMPRODUCT(--ISNUMBER(SEARCH(" "&amp;DJ195:DJ216&amp;" ",AV45)))+--ISNUMBER(SEARCH(" "&amp;DJ2465&amp;" ",AV45)))</f>
        <v>0</v>
      </c>
      <c r="AX45" s="127" t="str" cm="1">
        <f t="array" ref="AX45">IF(34=34,IF(AM45="","",IF(SUM(AT45:AU45)+SUMPRODUCT(--ISNUMBER(SEARCH(" "&amp;DJ2429:DJ2431&amp;" ",AV45)))&gt;0,"X",IF(AW45&gt;0,"?",""))),"")</f>
        <v/>
      </c>
      <c r="AY45" s="127" cm="1">
        <f t="array" ref="AY45">IF(34=34,IF(AM45="","",SUMPRODUCT(--ISNUMBER(SEARCH(" "&amp;DJ217:DJ316&amp;" ",AS45)))),"")</f>
        <v>0</v>
      </c>
      <c r="AZ45" s="127" cm="1">
        <f t="array" ref="AZ45">IF(34=34,IF(AM45="","",SUMPRODUCT(--ISNUMBER(SEARCH(" "&amp;DJ317:DJ351&amp;" ",AS45)))),"")</f>
        <v>0</v>
      </c>
      <c r="BA45" s="127" t="str">
        <f>IF(34=34,IF(AM45="","",IF((SUM(AY45:AZ45))-(0)&gt;0,"X",IF((0)-(0)&gt;0,"?",""))),"")</f>
        <v/>
      </c>
      <c r="BB45" s="127" cm="1">
        <f t="array" ref="BB45">IF(34=34,IF(AM45="","",SUMPRODUCT(--ISNUMBER(SEARCH(" "&amp;DJ352:DJ409&amp;" ",AS45)))),"")</f>
        <v>0</v>
      </c>
      <c r="BC45" s="127" cm="1">
        <f t="array" ref="BC45">IF(34=34,IF(AM45="","",SUMPRODUCT(--ISNUMBER(SEARCH(" "&amp;DJ410:DJ437&amp;" ",BD45)))+SUMPRODUCT(--ISNUMBER(SEARCH(" "&amp;DJ2451:DJ2464&amp;" ",BD45)))),"")</f>
        <v>0</v>
      </c>
      <c r="BD45" s="127" t="str">
        <f>IF(34=34,IF(AM45="","",SUBSTITUTE(SUBSTITUTE(SUBSTITUTE(SUBSTITUTE(SUBSTITUTE(SUBSTITUTE(SUBSTITUTE(SUBSTITUTE(SUBSTITUTE(SUBSTITUTE(SUBSTITUTE(SUBSTITUTE(SUBSTITUTE(SUBSTITUTE(AS45," "&amp;DJ2466&amp;" "," ")," "&amp;DJ444&amp;" "," ")," "&amp;DJ442&amp;" "," ")," "&amp;DJ2449&amp;" "," ")," "&amp;DJ2450&amp;" "," ")," "&amp;DJ439&amp;" "," ")," "&amp;DJ443&amp;" "," ")," "&amp;DJ445&amp;" "," ")," "&amp;DJ440&amp;" "," ")," "&amp;DJ438&amp;" "," ")," "&amp;DJ1378&amp;" "," ")," "&amp;DJ446&amp;" "," ")," "&amp;DJ1377&amp;" "," ")," "&amp;DJ441&amp;" "," ")),"")</f>
        <v xml:space="preserve"> 6 versez cette preparation sur les pommes parsemez d amandes effilees et </v>
      </c>
      <c r="BE45" s="127" t="str">
        <f>IF(34=34,IF(AM45="","",IF(BB45&gt;0,"X",IF(BC45&gt;0,"?",""))),"")</f>
        <v/>
      </c>
      <c r="BF45" s="127" cm="1">
        <f t="array" ref="BF45">IF(34=34,IF(AM45="","",SUMPRODUCT(--ISNUMBER(SEARCH(" "&amp;DJ447:DJ546&amp;" ",BP45)))),"")</f>
        <v>0</v>
      </c>
      <c r="BG45" s="127" cm="1">
        <f t="array" ref="BG45">IF(34=34,IF(AM45="","",SUMPRODUCT(--ISNUMBER(SEARCH(" "&amp;DJ547:DJ646&amp;" ",BP45)))),"")</f>
        <v>0</v>
      </c>
      <c r="BH45" s="127" cm="1">
        <f t="array" ref="BH45">IF(34=34,IF(AM45="","",SUMPRODUCT(--ISNUMBER(SEARCH(" "&amp;DJ647:DJ746&amp;" ",BP45)))),"")</f>
        <v>0</v>
      </c>
      <c r="BI45" s="127" cm="1">
        <f t="array" ref="BI45">IF(34=34,IF(AM45="","",SUMPRODUCT(--ISNUMBER(SEARCH(" "&amp;DJ747:DJ846&amp;" ",BP45)))),"")</f>
        <v>0</v>
      </c>
      <c r="BJ45" s="127" cm="1">
        <f t="array" ref="BJ45">IF(34=34,IF(AM45="","",SUMPRODUCT(--ISNUMBER(SEARCH(" "&amp;DJ847:DJ946&amp;" ",BP45)))),"")</f>
        <v>0</v>
      </c>
      <c r="BK45" s="127" cm="1">
        <f t="array" ref="BK45">IF(34=34,IF(AM45="","",SUMPRODUCT(--ISNUMBER(SEARCH(" "&amp;DJ947:DJ1046&amp;" ",BP45)))),"")</f>
        <v>0</v>
      </c>
      <c r="BL45" s="127" cm="1">
        <f t="array" ref="BL45">IF(34=34,IF(AM45="","",SUMPRODUCT(--ISNUMBER(SEARCH(" "&amp;DJ1047:DJ1146&amp;" ",BP45)))),"")</f>
        <v>0</v>
      </c>
      <c r="BM45" s="127" cm="1">
        <f t="array" ref="BM45">IF(34=34,IF(AM45="","",SUMPRODUCT(--ISNUMBER(SEARCH(" "&amp;DJ1147:DJ1246&amp;" ",BP45)))),"")</f>
        <v>0</v>
      </c>
      <c r="BN45" s="127" cm="1">
        <f t="array" ref="BN45">IF(34=34,IF(AM45="","",SUMPRODUCT(--ISNUMBER(SEARCH(" "&amp;DJ1247:DJ1346&amp;" ",BP45)))),"")</f>
        <v>0</v>
      </c>
      <c r="BO45" s="127" cm="1">
        <f t="array" ref="BO45">IF(34=34,IF(AM45="","",SUMPRODUCT(--ISNUMBER(SEARCH(" "&amp;DJ1347:DJ1374&amp;" ",BP45)))),"")</f>
        <v>0</v>
      </c>
      <c r="BP45" s="127" t="str">
        <f>IF(34=34,IF(AM45="","",SUBSTITUTE(SUBSTITUTE(SUBSTITUTE(SUBSTITUTE(SUBSTITUTE(SUBSTITUTE(SUBSTITUTE(SUBSTITUTE(SUBSTITUTE(AS45," "&amp;DJ1376&amp;" "," ")," "&amp;DJ1375&amp;" "," ")," "&amp;DJ1381&amp;" "," ")," "&amp;DJ1382&amp;" "," ")," "&amp;DJ1378&amp;" "," ")," "&amp;DJ1380&amp;" "," ")," "&amp;DJ1377&amp;" "," ")," "&amp;DJ1379&amp;" "," ")," "&amp;DJ1383&amp;" "," ")),"")</f>
        <v xml:space="preserve"> 6 versez cette preparation sur les pommes parsemez d amandes effilees et </v>
      </c>
      <c r="BQ45" s="127" cm="1">
        <f t="array" ref="BQ45">IF(34=34,IF(AM45="","",SUMPRODUCT(--ISNUMBER(SEARCH(" "&amp;DJ1384:DJ1394&amp;" ",BP45)))),"")</f>
        <v>0</v>
      </c>
      <c r="BR45" s="127" t="str" cm="1">
        <f t="array" ref="BR45">IF(34=34,IF(AM45="","",IF(SUM(BF45:BO45)+SUMPRODUCT(--ISNUMBER(SEARCH(" "&amp;DJ2432:DJ2433&amp;" ",BP45)))&gt;0,"X",IF(BQ45&gt;0,"?",""))),"")</f>
        <v/>
      </c>
      <c r="BS45" s="127" cm="1">
        <f t="array" ref="BS45">IF(34=34,IF(AM45="","",SUMPRODUCT(--ISNUMBER(SEARCH(" "&amp;DJ1395:DJ1415&amp;" ",AS45)))),"")</f>
        <v>0</v>
      </c>
      <c r="BT45" s="127" t="str">
        <f>IF(34=34,IF(AM45="","",IF((BS45)-(0)&gt;0,"X",IF((0)-(0)&gt;0,"?",""))),"")</f>
        <v/>
      </c>
      <c r="BU45" s="127" cm="1">
        <f t="array" ref="BU45">IF(34=34,IF(AM45="","",SUMPRODUCT(--ISNUMBER(SEARCH(" "&amp;DJ1416:DJ1453&amp;" ",BV45)))),"")</f>
        <v>0</v>
      </c>
      <c r="BV45" s="127" t="str">
        <f>IF(34=34,IF(AM45="","",SUBSTITUTE(SUBSTITUTE(AS45," "&amp;DJ1454&amp;" "," ")," "&amp;DJ1455&amp;" "," ")),"")</f>
        <v xml:space="preserve"> 6 versez cette preparation sur les pommes parsemez d amandes effilees et </v>
      </c>
      <c r="BW45" s="127" cm="1">
        <f t="array" ref="BW45">IF(34=34,IF(AM45="","",SUMPRODUCT(--ISNUMBER(SEARCH(" "&amp;DJ1456:DJ1466&amp;" ",BV45)))),"")</f>
        <v>0</v>
      </c>
      <c r="BX45" s="127" t="str">
        <f>IF(34=34,IF(AM45="","",IF(BU45&gt;0,"X",IF(BW45&gt;0,"?",""))),"")</f>
        <v/>
      </c>
      <c r="BY45" s="127" cm="1">
        <f t="array" ref="BY45">IF(34=34,IF(AM45="","",SUMPRODUCT(--ISNUMBER(SEARCH(" "&amp;DJ1467:DJ1566&amp;" ",CB45)))),"")</f>
        <v>0</v>
      </c>
      <c r="BZ45" s="127" cm="1">
        <f t="array" ref="BZ45">IF(34=34,IF(AM45="","",SUMPRODUCT(--ISNUMBER(SEARCH(" "&amp;DJ1567:DJ1666&amp;" ",CB45)))),"")</f>
        <v>0</v>
      </c>
      <c r="CA45" s="127" cm="1">
        <f t="array" ref="CA45">IF(34=34,IF(AM45="","",SUMPRODUCT(--ISNUMBER(SEARCH(" "&amp;DJ1667:DJ1750&amp;" ",CB45)))),"")</f>
        <v>0</v>
      </c>
      <c r="CB45" s="127" t="str">
        <f>IF(34=34,IF(AM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6 versez cette preparation sur les pommes parsemez d amandes effilees et </v>
      </c>
      <c r="CC45" s="127" cm="1">
        <f t="array" ref="CC45">IF(34=34,IF(AM45="","",SUMPRODUCT(--ISNUMBER(SEARCH(" "&amp;DJ1801:DJ1880&amp;" ",CD45)))+SUMPRODUCT(--ISNUMBER(SEARCH(" "&amp;DJ2451:DJ2464&amp;" ",CD45)))),"")</f>
        <v>0</v>
      </c>
      <c r="CD45" s="127" t="str">
        <f>IF(34=34,IF(AM45="","",SUBSTITUTE(SUBSTITUTE(SUBSTITUTE(SUBSTITUTE(SUBSTITUTE(SUBSTITUTE(SUBSTITUTE(SUBSTITUTE(SUBSTITUTE(SUBSTITUTE(SUBSTITUTE(SUBSTITUTE(SUBSTITUTE(CB45," "&amp;DJ1887&amp;" "," ")," "&amp;DJ1885&amp;" "," ")," "&amp;DJ2449&amp;" "," ")," "&amp;DJ2450&amp;" "," ")," "&amp;DJ1882&amp;" "," ")," "&amp;DJ1886&amp;" "," ")," "&amp;DJ1888&amp;" "," ")," "&amp;DJ1883&amp;" "," ")," "&amp;DJ1881&amp;" "," ")," "&amp;DJ1378&amp;" "," ")," "&amp;DJ1889&amp;" "," ")," "&amp;DJ1377&amp;" "," ")," "&amp;DJ1884&amp;" "," ")),"")</f>
        <v xml:space="preserve"> 6 versez cette preparation sur les pommes parsemez d amandes effilees et </v>
      </c>
      <c r="CE45" s="127" t="str" cm="1">
        <f t="array" ref="CE45">IF(34=34,IF(AM45="","",IF(SUM(BY45:CA45)+SUMPRODUCT(--ISNUMBER(SEARCH(" "&amp;DJ2434:DJ2435&amp;" ",CB45)))&gt;0,"X",IF(CC45&gt;0,"?",""))),"")</f>
        <v/>
      </c>
      <c r="CF45" s="127" cm="1">
        <f t="array" ref="CF45">IF(34=34,IF(AM45="","",SUMPRODUCT(--ISNUMBER(SEARCH(" "&amp;DJ1890:DJ1947&amp;" ",CG45)))),"")</f>
        <v>1</v>
      </c>
      <c r="CG45" s="127" t="str">
        <f>IF(34=34,IF(AM45="","",SUBSTITUTE(SUBSTITUTE(SUBSTITUTE(SUBSTITUTE(SUBSTITUTE(SUBSTITUTE(SUBSTITUTE(SUBSTITUTE(SUBSTITUTE(SUBSTITUTE(SUBSTITUTE(SUBSTITUTE(SUBSTITUTE(SUBSTITUTE(SUBSTITUTE(SUBSTITUTE(SUBSTITUTE(SUBSTITUTE(SUBSTITUTE(SUBSTITUTE(SUBSTITUTE(SUBSTITUTE(SUBSTITUTE(AS45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6 versez cette preparation sur les pommes parsemez d amandes effilees et </v>
      </c>
      <c r="CH45" s="127" cm="1">
        <f t="array" ref="CH45">IF(34=34,IF(AM45="","",SUMPRODUCT(--ISNUMBER(SEARCH(" "&amp;DJ1971:DJ1987&amp;" ",CG45)))),"")</f>
        <v>0</v>
      </c>
      <c r="CI45" s="127" t="str">
        <f>IF(34=34,IF(AM45="","",IF(CF45&gt;0,"X",IF(CH45&gt;0,"?",""))),"")</f>
        <v>X</v>
      </c>
      <c r="CJ45" s="127" cm="1">
        <f t="array" ref="CJ45">IF(34=34,IF(AM45="","",SUMPRODUCT(--ISNUMBER(SEARCH(" "&amp;DJ1988:DJ2001&amp;" ",AS45)))),"")</f>
        <v>0</v>
      </c>
      <c r="CK45" s="127" cm="1">
        <f t="array" ref="CK45">IF(34=34,IF(AM45="","",SUMPRODUCT(--ISNUMBER(SEARCH(" "&amp;DJ2002:DJ2016&amp;" ",AS45)))),"")</f>
        <v>0</v>
      </c>
      <c r="CL45" s="127" t="str">
        <f>IF(34=34,IF(AM45="","",IF((CJ45)-(0)&gt;0,"X",IF((CK45)-(0)&gt;0,"?",""))),"")</f>
        <v/>
      </c>
      <c r="CM45" s="127" cm="1">
        <f t="array" ref="CM45">IF(34=34,IF(AM45="","",SUMPRODUCT(--ISNUMBER(SEARCH(" "&amp;DJ2017:DJ2034&amp;" ",AS45)))),"")</f>
        <v>0</v>
      </c>
      <c r="CN45" s="127" cm="1">
        <f t="array" ref="CN45">IF(34=34,IF(AM45="","",SUMPRODUCT(--ISNUMBER(SEARCH(" "&amp;DJ2035:DJ2049&amp;" ",AS45)))),"")</f>
        <v>0</v>
      </c>
      <c r="CO45" s="127" t="str">
        <f>IF(34=34,IF(AM45="","",IF((CM45)-(0)&gt;0,"X",IF((CN45)-(0)&gt;0,"?",""))),"")</f>
        <v/>
      </c>
      <c r="CP45" s="127" cm="1">
        <f t="array" ref="CP45">IF(34=34,IF(AM45="","",SUMPRODUCT(--ISNUMBER(SEARCH(" "&amp;DJ2050:DJ2068&amp;" ",AS45)))),"")</f>
        <v>0</v>
      </c>
      <c r="CQ45" s="127" cm="1">
        <f t="array" ref="CQ45">IF(34=34,IF(AM45="","",SUMPRODUCT(--ISNUMBER(SEARCH(" "&amp;DJ2069:DJ2083&amp;" ",AS45)))),"")</f>
        <v>0</v>
      </c>
      <c r="CR45" s="127" t="str">
        <f>IF(34=34,IF(AM45="","",IF((CP45)-(0)&gt;0,"X",IF((CQ45)-(0)&gt;0,"?",""))),"")</f>
        <v/>
      </c>
      <c r="CS45" s="127" cm="1">
        <f t="array" ref="CS45">IF(34=34,IF(AM45="","",SUMPRODUCT(--ISNUMBER(SEARCH(" "&amp;DJ2084:DJ2104&amp;" ",AS45)))),"")</f>
        <v>0</v>
      </c>
      <c r="CT45" s="127" cm="1">
        <f t="array" ref="CT45">IF(34=34,IF(AM45="","",SUMPRODUCT(--ISNUMBER(SEARCH(" "&amp;DJ2105:DJ2144&amp;" ",SUBSTITUTE(SUBSTITUTE(AS45," "&amp;DJ1378&amp;" "," ")," "&amp;DJ1377&amp;" "," "))))+--ISNUMBER(SEARCH("poiré",AN45))),"")</f>
        <v>0</v>
      </c>
      <c r="CU45" s="127" t="str">
        <f>IF(34=34,IF(AM45="","",IF(OR(CS45&gt;0,ISNUMBER(SEARCH(" vinaigre de vin ",AS45)),ISNUMBER(SEARCH(" vinaigre au vin ",AS45))),"X",IF(CT45&gt;0,"?",""))),"")</f>
        <v/>
      </c>
      <c r="CV45" s="127" cm="1">
        <f t="array" ref="CV45">IF(34=34,IF(AM45="","",SUMPRODUCT(--ISNUMBER(SEARCH(" "&amp;DJ2145:DJ2157&amp;" ",AS45)))),"")</f>
        <v>0</v>
      </c>
      <c r="CW45" s="127" cm="1">
        <f t="array" ref="CW45">IF(34=34,IF(AM45="","",SUMPRODUCT(--ISNUMBER(SEARCH(" "&amp;DJ2158:DJ2163&amp;" ",AS45)))),"")</f>
        <v>0</v>
      </c>
      <c r="CX45" s="127" t="str">
        <f>IF(34=34,IF(AM45="","",IF((CV45)-(0)&gt;0,"X",IF((CW45)-(0)&gt;0,"?",""))),"")</f>
        <v/>
      </c>
      <c r="CY45" s="127" cm="1">
        <f t="array" ref="CY45">IF(34=34,IF(AM45="","",SUMPRODUCT(--ISNUMBER(SEARCH(" "&amp;DJ2164:DJ2263&amp;" ",DB45)))),"")</f>
        <v>0</v>
      </c>
      <c r="CZ45" s="127" cm="1">
        <f t="array" ref="CZ45">IF(34=34,IF(AM45="","",SUMPRODUCT(--ISNUMBER(SEARCH(" "&amp;DJ2264:DJ2363&amp;" ",DB45)))),"")</f>
        <v>0</v>
      </c>
      <c r="DA45" s="127" cm="1">
        <f t="array" ref="DA45">IF(34=34,IF(AM45="","",SUMPRODUCT(--ISNUMBER(SEARCH(" "&amp;DJ2364:DJ2406&amp;" ",DB45)))),"")</f>
        <v>0</v>
      </c>
      <c r="DB45" s="127" t="str">
        <f>IF(34=34,IF(AM45="","",SUBSTITUTE(SUBSTITUTE(SUBSTITUTE(SUBSTITUTE(SUBSTITUTE(SUBSTITUTE(SUBSTITUTE(SUBSTITUTE(SUBSTITUTE(SUBSTITUTE(SUBSTITUTE(SUBSTITUTE(SUBSTITUTE(SUBSTITUTE(SUBSTITUTE(SUBSTITUTE(AS45," "&amp;DJ2412&amp;" "," ")," "&amp;DJ2411&amp;" "," ")," "&amp;DJ2410&amp;" "," ")," "&amp;DJ2417&amp;" "," ")," "&amp;DJ2409&amp;" "," ")," "&amp;DJ2421&amp;" "," ")," "&amp;DJ2408&amp;" "," ")," "&amp;DJ2413&amp;" "," ")," "&amp;DJ2416&amp;" "," ")," "&amp;DJ2407&amp;" "," ")," "&amp;DJ2415&amp;" "," ")," "&amp;DJ2422&amp;" "," ")," "&amp;DJ2419&amp;" "," ")," "&amp;DJ2414&amp;" "," ")," "&amp;DJ2418&amp;" "," ")," "&amp;DJ2420&amp;" "," ")),"")</f>
        <v xml:space="preserve"> 6 versez cette preparation sur les pommes parsemez d amandes effilees et </v>
      </c>
      <c r="DC45" s="127" cm="1">
        <f t="array" ref="DC45">IF(34=34,IF(AM45="","",SUMPRODUCT(--ISNUMBER(SEARCH(" "&amp;DJ2423:DJ2427&amp;" ",DB45)))),"")</f>
        <v>0</v>
      </c>
      <c r="DD45" s="127" t="str">
        <f>IF(34=34,IF(AM45="","",IF(SUM(CY45:DA45)&gt;0,"X",IF(DC45&gt;0,"?",""))),"")</f>
        <v/>
      </c>
      <c r="DE45" s="152"/>
      <c r="DF45" s="160" t="s">
        <v>721</v>
      </c>
      <c r="DG45" s="160" t="s">
        <v>584</v>
      </c>
      <c r="DH45" s="160" t="s">
        <v>125</v>
      </c>
      <c r="DI45" s="160" t="s">
        <v>722</v>
      </c>
      <c r="DJ45" s="160" t="s">
        <v>723</v>
      </c>
      <c r="DK45" s="160" t="s">
        <v>588</v>
      </c>
      <c r="DL45" s="160" t="s">
        <v>589</v>
      </c>
      <c r="DM45" s="160" t="s">
        <v>590</v>
      </c>
      <c r="DN45" s="161" t="s">
        <v>591</v>
      </c>
      <c r="DP45" s="130">
        <v>1</v>
      </c>
    </row>
    <row r="46" spans="2:120" ht="30" customHeight="1">
      <c r="B46" s="165" t="str">
        <f t="shared" si="0"/>
        <v>FAITES UN ESSAIS</v>
      </c>
      <c r="C46" s="165" t="str">
        <f t="shared" si="1"/>
        <v>FAITES UN ESSAIS</v>
      </c>
      <c r="D46" s="165" t="str">
        <f>IF(UPPER(TRIM(N11))="X",C46,B46)</f>
        <v>FAITES UN ESSAIS</v>
      </c>
      <c r="E46" s="165" cm="1">
        <f t="array" ref="E46">IF(H45&lt;&gt;"",E45,IF(E45="","",IFERROR(MATCH(TRUE(),INDEX(INDEX(K:K,E45+1):K203&lt;&gt;"",0),0)+E45,"")))</f>
        <v>38</v>
      </c>
      <c r="F46" s="165" t="str" cm="1">
        <f t="array" ref="F46">IF(E46="","",IF(H45&lt;&gt;"",H45,INDEX(D:D,E46)))</f>
        <v>ajoutez quelques noisettes de beurre.</v>
      </c>
      <c r="G46" s="165" t="str">
        <f t="shared" si="2"/>
        <v>ajoutez quelques noisettes de beurre.</v>
      </c>
      <c r="H46" s="174" t="str">
        <f t="shared" si="3"/>
        <v/>
      </c>
      <c r="I46" s="184" t="str">
        <f>IF(AND(F46&lt;&gt;"",N10&gt;0,M46&gt;N10),"Mot &gt; limite","")</f>
        <v/>
      </c>
      <c r="J46" s="175">
        <f>IF(K46="","",COUNTIF(K18:K46,"&lt;&gt;"))</f>
        <v>29</v>
      </c>
      <c r="K46" s="111" t="s">
        <v>54</v>
      </c>
      <c r="L46" s="175">
        <f t="shared" si="4"/>
        <v>16</v>
      </c>
      <c r="M46" s="135">
        <f>IF(OR(F46="",N10="",N10&lt;=0),"",IF(LEN(F46)&lt;=N10,LEN(F46),IFERROR(FIND("♦",SUBSTITUTE(LEFT(F46,N10)," ","♦",LEN(LEFT(F46,N10))-LEN(SUBSTITUTE(LEFT(F46,N10)," ","")))),FIND(" ",F46&amp;" ",N10+1)-1)))</f>
        <v>37</v>
      </c>
      <c r="N46" s="176">
        <f t="shared" si="5"/>
        <v>29</v>
      </c>
      <c r="O46" s="177" t="str">
        <f t="shared" si="6"/>
        <v>ajoutez quelques noisettes de beurre.</v>
      </c>
      <c r="P46" s="176">
        <f t="shared" si="7"/>
        <v>5</v>
      </c>
      <c r="Q46" s="176">
        <f t="shared" si="8"/>
        <v>37</v>
      </c>
      <c r="S46" s="178">
        <v>29</v>
      </c>
      <c r="T46" s="179" t="str">
        <f t="shared" si="10"/>
        <v>ajoutez quelques noisettes de beurre.</v>
      </c>
      <c r="U46" s="180" t="str">
        <f t="shared" si="9"/>
        <v>ajoutez quelques noisettes de beurre. *</v>
      </c>
      <c r="V46" s="181" t="str">
        <f>IF(35=35,IF(T46="","",IF(W46="X",""&amp;"Céréales contenant du gluten","")&amp;IF(X46="X",IF(COUNTIF(W46:W46,"X")&gt;0,", ","")&amp;"Crustacés","")&amp;IF(Y46="X",IF(COUNTIF(W46:X46,"X")&gt;0,", ","")&amp;"Œufs","")&amp;IF(Z46="X",IF(COUNTIF(W46:Y46,"X")&gt;0,", ","")&amp;"Poissons","")&amp;IF(AA46="X",IF(COUNTIF(W46:Z46,"X")&gt;0,", ","")&amp;"Arachides","")&amp;IF(AB46="X",IF(COUNTIF(W46:AA46,"X")&gt;0,", ","")&amp;"Soja","")&amp;IF(AC46="X",IF(COUNTIF(W46:AB46,"X")&gt;0,", ","")&amp;"Lait","")&amp;IF(AD46="X",IF(COUNTIF(W46:AC46,"X")&gt;0,", ","")&amp;"Fruits à coque","")&amp;IF(AE46="X",IF(COUNTIF(W46:AD46,"X")&gt;0,", ","")&amp;"Céleri","")&amp;IF(AF46="X",IF(COUNTIF(W46:AE46,"X")&gt;0,", ","")&amp;"Moutarde","")&amp;IF(AG46="X",IF(COUNTIF(W46:AF46,"X")&gt;0,", ","")&amp;"Sésame","")&amp;IF(AH46="X",IF(COUNTIF(W46:AG46,"X")&gt;0,", ","")&amp;"Sulfites","")&amp;IF(AI46="X",IF(COUNTIF(W46:AH46,"X")&gt;0,", ","")&amp;"Lupin","")&amp;IF(AJ46="X",IF(COUNTIF(W46:AI46,"X")&gt;0,", ","")&amp;"Mollusques","")),"")</f>
        <v>Lait, Fruits à coque</v>
      </c>
      <c r="W46" s="182" t="str">
        <f>IF(35=35,IF(T46="","",AX46),"")</f>
        <v/>
      </c>
      <c r="X46" s="182" t="str">
        <f>IF(35=35,IF(T46="","",BA46),"")</f>
        <v/>
      </c>
      <c r="Y46" s="182" t="str">
        <f>IF(35=35,IF(T46="","",BE46),"")</f>
        <v/>
      </c>
      <c r="Z46" s="182" t="str">
        <f>IF(35=35,IF(T46="","",IF(ISNUMBER(SEARCH(" colin ",AS46)),"X",BR46)),"")</f>
        <v/>
      </c>
      <c r="AA46" s="182" t="str">
        <f>IF(35=35,IF(T46="","",BT46),"")</f>
        <v/>
      </c>
      <c r="AB46" s="182" t="str">
        <f>IF(35=35,IF(T46="","",BX46),"")</f>
        <v/>
      </c>
      <c r="AC46" s="182" t="str">
        <f>IF(35=35,IF(T46="","",CE46),"")</f>
        <v>X</v>
      </c>
      <c r="AD46" s="182" t="str">
        <f>IF(35=35,IF(T46="","",CI46),"")</f>
        <v>X</v>
      </c>
      <c r="AE46" s="182" t="str">
        <f>IF(35=35,IF(T46="","",CL46),"")</f>
        <v/>
      </c>
      <c r="AF46" s="182" t="str">
        <f>IF(35=35,IF(T46="","",CO46),"")</f>
        <v/>
      </c>
      <c r="AG46" s="182" t="str">
        <f>IF(35=35,IF(T46="","",CR46),"")</f>
        <v/>
      </c>
      <c r="AH46" s="182" t="str">
        <f>IF(35=35,IF(T46="","",CU46),"")</f>
        <v/>
      </c>
      <c r="AI46" s="182" t="str">
        <f>IF(35=35,IF(T46="","",CX46),"")</f>
        <v/>
      </c>
      <c r="AJ46" s="182" t="str">
        <f>IF(35=35,IF(T46="","",DD46),"")</f>
        <v/>
      </c>
      <c r="AK46" s="183" t="str">
        <f>IF(35=35,IF(T46="","",IF(W46="?",""&amp;"Céréales contenant du gluten","")&amp;IF(X46="?",IF(COUNTIF(W46:W46,"~?")&gt;0,", ","")&amp;"Crustacés","")&amp;IF(Y46="?",IF(COUNTIF(W46:X46,"~?")&gt;0,", ","")&amp;"Œufs","")&amp;IF(Z46="?",IF(COUNTIF(W46:Y46,"~?")&gt;0,", ","")&amp;"Poissons","")&amp;IF(AA46="?",IF(COUNTIF(W46:Z46,"~?")&gt;0,", ","")&amp;"Arachides","")&amp;IF(AB46="?",IF(COUNTIF(W46:AA46,"~?")&gt;0,", ","")&amp;"Soja","")&amp;IF(AC46="?",IF(COUNTIF(W46:AB46,"~?")&gt;0,", ","")&amp;"Lait","")&amp;IF(AD46="?",IF(COUNTIF(W46:AC46,"~?")&gt;0,", ","")&amp;"Fruits à coque","")&amp;IF(AE46="?",IF(COUNTIF(W46:AD46,"~?")&gt;0,", ","")&amp;"Céleri","")&amp;IF(AF46="?",IF(COUNTIF(W46:AE46,"~?")&gt;0,", ","")&amp;"Moutarde","")&amp;IF(AG46="?",IF(COUNTIF(W46:AF46,"~?")&gt;0,", ","")&amp;"Sésame","")&amp;IF(AH46="?",IF(COUNTIF(W46:AG46,"~?")&gt;0,", ","")&amp;"Sulfites","")&amp;IF(AI46="?",IF(COUNTIF(W46:AH46,"~?")&gt;0,", ","")&amp;"Lupin","")&amp;IF(AJ46="?",IF(COUNTIF(W46:AI46,"~?")&gt;0,", ","")&amp;"Mollusques","")),"")</f>
        <v/>
      </c>
      <c r="AM46" s="127" t="str">
        <f>IF(35=35,IF(T46="","",T46),"")</f>
        <v>ajoutez quelques noisettes de beurre.</v>
      </c>
      <c r="AN46" s="127" t="str">
        <f>IF(35=35,LOWER(CLEAN(SUBSTITUTE(SUBSTITUTE(SUBSTITUTE(SUBSTITUTE(AM46,CHAR(160)," ")," "," "),CHAR(10)," "),CHAR(13)," "))),"")</f>
        <v>ajoutez quelques noisettes de beurre.</v>
      </c>
      <c r="AO46" s="127" t="str">
        <f>IF(35=35,SUBSTITUTE(SUBSTITUTE(SUBSTITUTE(SUBSTITUTE(SUBSTITUTE(SUBSTITUTE(SUBSTITUTE(SUBSTITUTE(SUBSTITUTE(SUBSTITUTE(SUBSTITUTE(SUBSTITUTE(AN46,"œ","oe"),"æ","ae"),"à","a"),"á","a"),"â","a"),"ä","a"),"ã","a"),"ç","c"),"è","e"),"é","e"),"ê","e"),"ë","e"),"")</f>
        <v>ajoutez quelques noisettes de beurre.</v>
      </c>
      <c r="AP46" s="127" t="str">
        <f>IF(35=35,SUBSTITUTE(SUBSTITUTE(SUBSTITUTE(SUBSTITUTE(SUBSTITUTE(SUBSTITUTE(SUBSTITUTE(SUBSTITUTE(SUBSTITUTE(SUBSTITUTE(SUBSTITUTE(SUBSTITUTE(SUBSTITUTE(SUBSTITUTE(SUBSTITUTE(SUBSTITUTE(AO46,"ì","i"),"í","i"),"î","i"),"ï","i"),"ñ","n"),"ò","o"),"ó","o"),"ô","o"),"ö","o"),"õ","o"),"ù","u"),"ú","u"),"û","u"),"ü","u"),"ý","y"),"ÿ","y"),"")</f>
        <v>ajoutez quelques noisettes de beurre.</v>
      </c>
      <c r="AQ46" s="127" t="str">
        <f>IF(35=35,SUBSTITUTE(SUBSTITUTE(SUBSTITUTE(SUBSTITUTE(SUBSTITUTE(SUBSTITUTE(SUBSTITUTE(SUBSTITUTE(SUBSTITUTE(SUBSTITUTE(SUBSTITUTE(SUBSTITUTE(SUBSTITUTE(SUBSTITUTE(AP46,"’"," "),"`"," "),"–"," "),"—"," "),"-"," "),"'"," "),"/"," "),"_"," "),","," "),"."," "),"("," "),")"," "),";"," "),":"," "),"")</f>
        <v xml:space="preserve">ajoutez quelques noisettes de beurre </v>
      </c>
      <c r="AR46" s="127" t="str">
        <f>IF(35=35,SUBSTITUTE(SUBSTITUTE(SUBSTITUTE(SUBSTITUTE(SUBSTITUTE(SUBSTITUTE(SUBSTITUTE(SUBSTITUTE(SUBSTITUTE(SUBSTITUTE(SUBSTITUTE(SUBSTITUTE(SUBSTITUTE(SUBSTITUTE(SUBSTITUTE(AQ46,"!"," "),"?"," "),"+"," "),"*"," "),"&amp;"," "),"["," "),"]"," "),"{"," "),"}"," "),"%"," "),"="," "),"\"," "),"|"," "),"&lt;"," "),"&gt;"," "),"")</f>
        <v xml:space="preserve">ajoutez quelques noisettes de beurre </v>
      </c>
      <c r="AS46" s="127" t="str">
        <f>IF(35=35," "&amp;TRIM(SUBSTITUTE(SUBSTITUTE(SUBSTITUTE(SUBSTITUTE(SUBSTITUTE(SUBSTITUTE(AR46,CHAR(34)," "),"  "," "),"  "," "),"  "," "),"  "," "),"  "," "))&amp;" ","")</f>
        <v xml:space="preserve"> ajoutez quelques noisettes de beurre </v>
      </c>
      <c r="AT46" s="127" cm="1">
        <f t="array" ref="AT46">IF(35=35,IF(AM46="","",SUMPRODUCT(--ISNUMBER(SEARCH(" "&amp;DJ13:DJ112&amp;" ",AV46)))),"")</f>
        <v>0</v>
      </c>
      <c r="AU46" s="127" cm="1">
        <f t="array" ref="AU46">IF(35=35,IF(AM46="","",SUMPRODUCT(--ISNUMBER(SEARCH(" "&amp;DJ113:DJ162&amp;" ",AV46)))),"")</f>
        <v>0</v>
      </c>
      <c r="AV46" s="127" t="str">
        <f>IF(AM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ajoutez quelques noisettes de beurre </v>
      </c>
      <c r="AW46" s="127" cm="1">
        <f t="array" ref="AW46">IF(AM46="","",SUMPRODUCT(--ISNUMBER(SEARCH(" "&amp;DJ195:DJ216&amp;" ",AV46)))+--ISNUMBER(SEARCH(" "&amp;DJ2465&amp;" ",AV46)))</f>
        <v>0</v>
      </c>
      <c r="AX46" s="127" t="str" cm="1">
        <f t="array" ref="AX46">IF(35=35,IF(AM46="","",IF(SUM(AT46:AU46)+SUMPRODUCT(--ISNUMBER(SEARCH(" "&amp;DJ2429:DJ2431&amp;" ",AV46)))&gt;0,"X",IF(AW46&gt;0,"?",""))),"")</f>
        <v/>
      </c>
      <c r="AY46" s="127" cm="1">
        <f t="array" ref="AY46">IF(35=35,IF(AM46="","",SUMPRODUCT(--ISNUMBER(SEARCH(" "&amp;DJ217:DJ316&amp;" ",AS46)))),"")</f>
        <v>0</v>
      </c>
      <c r="AZ46" s="127" cm="1">
        <f t="array" ref="AZ46">IF(35=35,IF(AM46="","",SUMPRODUCT(--ISNUMBER(SEARCH(" "&amp;DJ317:DJ351&amp;" ",AS46)))),"")</f>
        <v>0</v>
      </c>
      <c r="BA46" s="127" t="str">
        <f>IF(35=35,IF(AM46="","",IF((SUM(AY46:AZ46))-(0)&gt;0,"X",IF((0)-(0)&gt;0,"?",""))),"")</f>
        <v/>
      </c>
      <c r="BB46" s="127" cm="1">
        <f t="array" ref="BB46">IF(35=35,IF(AM46="","",SUMPRODUCT(--ISNUMBER(SEARCH(" "&amp;DJ352:DJ409&amp;" ",AS46)))),"")</f>
        <v>0</v>
      </c>
      <c r="BC46" s="127" cm="1">
        <f t="array" ref="BC46">IF(35=35,IF(AM46="","",SUMPRODUCT(--ISNUMBER(SEARCH(" "&amp;DJ410:DJ437&amp;" ",BD46)))+SUMPRODUCT(--ISNUMBER(SEARCH(" "&amp;DJ2451:DJ2464&amp;" ",BD46)))),"")</f>
        <v>0</v>
      </c>
      <c r="BD46" s="127" t="str">
        <f>IF(35=35,IF(AM46="","",SUBSTITUTE(SUBSTITUTE(SUBSTITUTE(SUBSTITUTE(SUBSTITUTE(SUBSTITUTE(SUBSTITUTE(SUBSTITUTE(SUBSTITUTE(SUBSTITUTE(SUBSTITUTE(SUBSTITUTE(SUBSTITUTE(SUBSTITUTE(AS46," "&amp;DJ2466&amp;" "," ")," "&amp;DJ444&amp;" "," ")," "&amp;DJ442&amp;" "," ")," "&amp;DJ2449&amp;" "," ")," "&amp;DJ2450&amp;" "," ")," "&amp;DJ439&amp;" "," ")," "&amp;DJ443&amp;" "," ")," "&amp;DJ445&amp;" "," ")," "&amp;DJ440&amp;" "," ")," "&amp;DJ438&amp;" "," ")," "&amp;DJ1378&amp;" "," ")," "&amp;DJ446&amp;" "," ")," "&amp;DJ1377&amp;" "," ")," "&amp;DJ441&amp;" "," ")),"")</f>
        <v xml:space="preserve"> ajoutez quelques noisettes de beurre </v>
      </c>
      <c r="BE46" s="127" t="str">
        <f>IF(35=35,IF(AM46="","",IF(BB46&gt;0,"X",IF(BC46&gt;0,"?",""))),"")</f>
        <v/>
      </c>
      <c r="BF46" s="127" cm="1">
        <f t="array" ref="BF46">IF(35=35,IF(AM46="","",SUMPRODUCT(--ISNUMBER(SEARCH(" "&amp;DJ447:DJ546&amp;" ",BP46)))),"")</f>
        <v>0</v>
      </c>
      <c r="BG46" s="127" cm="1">
        <f t="array" ref="BG46">IF(35=35,IF(AM46="","",SUMPRODUCT(--ISNUMBER(SEARCH(" "&amp;DJ547:DJ646&amp;" ",BP46)))),"")</f>
        <v>0</v>
      </c>
      <c r="BH46" s="127" cm="1">
        <f t="array" ref="BH46">IF(35=35,IF(AM46="","",SUMPRODUCT(--ISNUMBER(SEARCH(" "&amp;DJ647:DJ746&amp;" ",BP46)))),"")</f>
        <v>0</v>
      </c>
      <c r="BI46" s="127" cm="1">
        <f t="array" ref="BI46">IF(35=35,IF(AM46="","",SUMPRODUCT(--ISNUMBER(SEARCH(" "&amp;DJ747:DJ846&amp;" ",BP46)))),"")</f>
        <v>0</v>
      </c>
      <c r="BJ46" s="127" cm="1">
        <f t="array" ref="BJ46">IF(35=35,IF(AM46="","",SUMPRODUCT(--ISNUMBER(SEARCH(" "&amp;DJ847:DJ946&amp;" ",BP46)))),"")</f>
        <v>0</v>
      </c>
      <c r="BK46" s="127" cm="1">
        <f t="array" ref="BK46">IF(35=35,IF(AM46="","",SUMPRODUCT(--ISNUMBER(SEARCH(" "&amp;DJ947:DJ1046&amp;" ",BP46)))),"")</f>
        <v>0</v>
      </c>
      <c r="BL46" s="127" cm="1">
        <f t="array" ref="BL46">IF(35=35,IF(AM46="","",SUMPRODUCT(--ISNUMBER(SEARCH(" "&amp;DJ1047:DJ1146&amp;" ",BP46)))),"")</f>
        <v>0</v>
      </c>
      <c r="BM46" s="127" cm="1">
        <f t="array" ref="BM46">IF(35=35,IF(AM46="","",SUMPRODUCT(--ISNUMBER(SEARCH(" "&amp;DJ1147:DJ1246&amp;" ",BP46)))),"")</f>
        <v>0</v>
      </c>
      <c r="BN46" s="127" cm="1">
        <f t="array" ref="BN46">IF(35=35,IF(AM46="","",SUMPRODUCT(--ISNUMBER(SEARCH(" "&amp;DJ1247:DJ1346&amp;" ",BP46)))),"")</f>
        <v>0</v>
      </c>
      <c r="BO46" s="127" cm="1">
        <f t="array" ref="BO46">IF(35=35,IF(AM46="","",SUMPRODUCT(--ISNUMBER(SEARCH(" "&amp;DJ1347:DJ1374&amp;" ",BP46)))),"")</f>
        <v>0</v>
      </c>
      <c r="BP46" s="127" t="str">
        <f>IF(35=35,IF(AM46="","",SUBSTITUTE(SUBSTITUTE(SUBSTITUTE(SUBSTITUTE(SUBSTITUTE(SUBSTITUTE(SUBSTITUTE(SUBSTITUTE(SUBSTITUTE(AS46," "&amp;DJ1376&amp;" "," ")," "&amp;DJ1375&amp;" "," ")," "&amp;DJ1381&amp;" "," ")," "&amp;DJ1382&amp;" "," ")," "&amp;DJ1378&amp;" "," ")," "&amp;DJ1380&amp;" "," ")," "&amp;DJ1377&amp;" "," ")," "&amp;DJ1379&amp;" "," ")," "&amp;DJ1383&amp;" "," ")),"")</f>
        <v xml:space="preserve"> ajoutez quelques noisettes de beurre </v>
      </c>
      <c r="BQ46" s="127" cm="1">
        <f t="array" ref="BQ46">IF(35=35,IF(AM46="","",SUMPRODUCT(--ISNUMBER(SEARCH(" "&amp;DJ1384:DJ1394&amp;" ",BP46)))),"")</f>
        <v>0</v>
      </c>
      <c r="BR46" s="127" t="str" cm="1">
        <f t="array" ref="BR46">IF(35=35,IF(AM46="","",IF(SUM(BF46:BO46)+SUMPRODUCT(--ISNUMBER(SEARCH(" "&amp;DJ2432:DJ2433&amp;" ",BP46)))&gt;0,"X",IF(BQ46&gt;0,"?",""))),"")</f>
        <v/>
      </c>
      <c r="BS46" s="127" cm="1">
        <f t="array" ref="BS46">IF(35=35,IF(AM46="","",SUMPRODUCT(--ISNUMBER(SEARCH(" "&amp;DJ1395:DJ1415&amp;" ",AS46)))),"")</f>
        <v>0</v>
      </c>
      <c r="BT46" s="127" t="str">
        <f>IF(35=35,IF(AM46="","",IF((BS46)-(0)&gt;0,"X",IF((0)-(0)&gt;0,"?",""))),"")</f>
        <v/>
      </c>
      <c r="BU46" s="127" cm="1">
        <f t="array" ref="BU46">IF(35=35,IF(AM46="","",SUMPRODUCT(--ISNUMBER(SEARCH(" "&amp;DJ1416:DJ1453&amp;" ",BV46)))),"")</f>
        <v>0</v>
      </c>
      <c r="BV46" s="127" t="str">
        <f>IF(35=35,IF(AM46="","",SUBSTITUTE(SUBSTITUTE(AS46," "&amp;DJ1454&amp;" "," ")," "&amp;DJ1455&amp;" "," ")),"")</f>
        <v xml:space="preserve"> ajoutez quelques noisettes de beurre </v>
      </c>
      <c r="BW46" s="127" cm="1">
        <f t="array" ref="BW46">IF(35=35,IF(AM46="","",SUMPRODUCT(--ISNUMBER(SEARCH(" "&amp;DJ1456:DJ1466&amp;" ",BV46)))),"")</f>
        <v>0</v>
      </c>
      <c r="BX46" s="127" t="str">
        <f>IF(35=35,IF(AM46="","",IF(BU46&gt;0,"X",IF(BW46&gt;0,"?",""))),"")</f>
        <v/>
      </c>
      <c r="BY46" s="127" cm="1">
        <f t="array" ref="BY46">IF(35=35,IF(AM46="","",SUMPRODUCT(--ISNUMBER(SEARCH(" "&amp;DJ1467:DJ1566&amp;" ",CB46)))),"")</f>
        <v>1</v>
      </c>
      <c r="BZ46" s="127" cm="1">
        <f t="array" ref="BZ46">IF(35=35,IF(AM46="","",SUMPRODUCT(--ISNUMBER(SEARCH(" "&amp;DJ1567:DJ1666&amp;" ",CB46)))),"")</f>
        <v>0</v>
      </c>
      <c r="CA46" s="127" cm="1">
        <f t="array" ref="CA46">IF(35=35,IF(AM46="","",SUMPRODUCT(--ISNUMBER(SEARCH(" "&amp;DJ1667:DJ1750&amp;" ",CB46)))),"")</f>
        <v>0</v>
      </c>
      <c r="CB46" s="127" t="str">
        <f>IF(35=35,IF(AM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ajoutez quelques noisettes de beurre </v>
      </c>
      <c r="CC46" s="127" cm="1">
        <f t="array" ref="CC46">IF(35=35,IF(AM46="","",SUMPRODUCT(--ISNUMBER(SEARCH(" "&amp;DJ1801:DJ1880&amp;" ",CD46)))+SUMPRODUCT(--ISNUMBER(SEARCH(" "&amp;DJ2451:DJ2464&amp;" ",CD46)))),"")</f>
        <v>0</v>
      </c>
      <c r="CD46" s="127" t="str">
        <f>IF(35=35,IF(AM46="","",SUBSTITUTE(SUBSTITUTE(SUBSTITUTE(SUBSTITUTE(SUBSTITUTE(SUBSTITUTE(SUBSTITUTE(SUBSTITUTE(SUBSTITUTE(SUBSTITUTE(SUBSTITUTE(SUBSTITUTE(SUBSTITUTE(CB46," "&amp;DJ1887&amp;" "," ")," "&amp;DJ1885&amp;" "," ")," "&amp;DJ2449&amp;" "," ")," "&amp;DJ2450&amp;" "," ")," "&amp;DJ1882&amp;" "," ")," "&amp;DJ1886&amp;" "," ")," "&amp;DJ1888&amp;" "," ")," "&amp;DJ1883&amp;" "," ")," "&amp;DJ1881&amp;" "," ")," "&amp;DJ1378&amp;" "," ")," "&amp;DJ1889&amp;" "," ")," "&amp;DJ1377&amp;" "," ")," "&amp;DJ1884&amp;" "," ")),"")</f>
        <v xml:space="preserve"> ajoutez quelques noisettes de beurre </v>
      </c>
      <c r="CE46" s="127" t="str" cm="1">
        <f t="array" ref="CE46">IF(35=35,IF(AM46="","",IF(SUM(BY46:CA46)+SUMPRODUCT(--ISNUMBER(SEARCH(" "&amp;DJ2434:DJ2435&amp;" ",CB46)))&gt;0,"X",IF(CC46&gt;0,"?",""))),"")</f>
        <v>X</v>
      </c>
      <c r="CF46" s="127" cm="1">
        <f t="array" ref="CF46">IF(35=35,IF(AM46="","",SUMPRODUCT(--ISNUMBER(SEARCH(" "&amp;DJ1890:DJ1947&amp;" ",CG46)))),"")</f>
        <v>1</v>
      </c>
      <c r="CG46" s="127" t="str">
        <f>IF(35=35,IF(AM46="","",SUBSTITUTE(SUBSTITUTE(SUBSTITUTE(SUBSTITUTE(SUBSTITUTE(SUBSTITUTE(SUBSTITUTE(SUBSTITUTE(SUBSTITUTE(SUBSTITUTE(SUBSTITUTE(SUBSTITUTE(SUBSTITUTE(SUBSTITUTE(SUBSTITUTE(SUBSTITUTE(SUBSTITUTE(SUBSTITUTE(SUBSTITUTE(SUBSTITUTE(SUBSTITUTE(SUBSTITUTE(SUBSTITUTE(AS46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ajoutez quelques noisettes de beurre </v>
      </c>
      <c r="CH46" s="127" cm="1">
        <f t="array" ref="CH46">IF(35=35,IF(AM46="","",SUMPRODUCT(--ISNUMBER(SEARCH(" "&amp;DJ1971:DJ1987&amp;" ",CG46)))),"")</f>
        <v>0</v>
      </c>
      <c r="CI46" s="127" t="str">
        <f>IF(35=35,IF(AM46="","",IF(CF46&gt;0,"X",IF(CH46&gt;0,"?",""))),"")</f>
        <v>X</v>
      </c>
      <c r="CJ46" s="127" cm="1">
        <f t="array" ref="CJ46">IF(35=35,IF(AM46="","",SUMPRODUCT(--ISNUMBER(SEARCH(" "&amp;DJ1988:DJ2001&amp;" ",AS46)))),"")</f>
        <v>0</v>
      </c>
      <c r="CK46" s="127" cm="1">
        <f t="array" ref="CK46">IF(35=35,IF(AM46="","",SUMPRODUCT(--ISNUMBER(SEARCH(" "&amp;DJ2002:DJ2016&amp;" ",AS46)))),"")</f>
        <v>0</v>
      </c>
      <c r="CL46" s="127" t="str">
        <f>IF(35=35,IF(AM46="","",IF((CJ46)-(0)&gt;0,"X",IF((CK46)-(0)&gt;0,"?",""))),"")</f>
        <v/>
      </c>
      <c r="CM46" s="127" cm="1">
        <f t="array" ref="CM46">IF(35=35,IF(AM46="","",SUMPRODUCT(--ISNUMBER(SEARCH(" "&amp;DJ2017:DJ2034&amp;" ",AS46)))),"")</f>
        <v>0</v>
      </c>
      <c r="CN46" s="127" cm="1">
        <f t="array" ref="CN46">IF(35=35,IF(AM46="","",SUMPRODUCT(--ISNUMBER(SEARCH(" "&amp;DJ2035:DJ2049&amp;" ",AS46)))),"")</f>
        <v>0</v>
      </c>
      <c r="CO46" s="127" t="str">
        <f>IF(35=35,IF(AM46="","",IF((CM46)-(0)&gt;0,"X",IF((CN46)-(0)&gt;0,"?",""))),"")</f>
        <v/>
      </c>
      <c r="CP46" s="127" cm="1">
        <f t="array" ref="CP46">IF(35=35,IF(AM46="","",SUMPRODUCT(--ISNUMBER(SEARCH(" "&amp;DJ2050:DJ2068&amp;" ",AS46)))),"")</f>
        <v>0</v>
      </c>
      <c r="CQ46" s="127" cm="1">
        <f t="array" ref="CQ46">IF(35=35,IF(AM46="","",SUMPRODUCT(--ISNUMBER(SEARCH(" "&amp;DJ2069:DJ2083&amp;" ",AS46)))),"")</f>
        <v>0</v>
      </c>
      <c r="CR46" s="127" t="str">
        <f>IF(35=35,IF(AM46="","",IF((CP46)-(0)&gt;0,"X",IF((CQ46)-(0)&gt;0,"?",""))),"")</f>
        <v/>
      </c>
      <c r="CS46" s="127" cm="1">
        <f t="array" ref="CS46">IF(35=35,IF(AM46="","",SUMPRODUCT(--ISNUMBER(SEARCH(" "&amp;DJ2084:DJ2104&amp;" ",AS46)))),"")</f>
        <v>0</v>
      </c>
      <c r="CT46" s="127" cm="1">
        <f t="array" ref="CT46">IF(35=35,IF(AM46="","",SUMPRODUCT(--ISNUMBER(SEARCH(" "&amp;DJ2105:DJ2144&amp;" ",SUBSTITUTE(SUBSTITUTE(AS46," "&amp;DJ1378&amp;" "," ")," "&amp;DJ1377&amp;" "," "))))+--ISNUMBER(SEARCH("poiré",AN46))),"")</f>
        <v>0</v>
      </c>
      <c r="CU46" s="127" t="str">
        <f>IF(35=35,IF(AM46="","",IF(OR(CS46&gt;0,ISNUMBER(SEARCH(" vinaigre de vin ",AS46)),ISNUMBER(SEARCH(" vinaigre au vin ",AS46))),"X",IF(CT46&gt;0,"?",""))),"")</f>
        <v/>
      </c>
      <c r="CV46" s="127" cm="1">
        <f t="array" ref="CV46">IF(35=35,IF(AM46="","",SUMPRODUCT(--ISNUMBER(SEARCH(" "&amp;DJ2145:DJ2157&amp;" ",AS46)))),"")</f>
        <v>0</v>
      </c>
      <c r="CW46" s="127" cm="1">
        <f t="array" ref="CW46">IF(35=35,IF(AM46="","",SUMPRODUCT(--ISNUMBER(SEARCH(" "&amp;DJ2158:DJ2163&amp;" ",AS46)))),"")</f>
        <v>0</v>
      </c>
      <c r="CX46" s="127" t="str">
        <f>IF(35=35,IF(AM46="","",IF((CV46)-(0)&gt;0,"X",IF((CW46)-(0)&gt;0,"?",""))),"")</f>
        <v/>
      </c>
      <c r="CY46" s="127" cm="1">
        <f t="array" ref="CY46">IF(35=35,IF(AM46="","",SUMPRODUCT(--ISNUMBER(SEARCH(" "&amp;DJ2164:DJ2263&amp;" ",DB46)))),"")</f>
        <v>0</v>
      </c>
      <c r="CZ46" s="127" cm="1">
        <f t="array" ref="CZ46">IF(35=35,IF(AM46="","",SUMPRODUCT(--ISNUMBER(SEARCH(" "&amp;DJ2264:DJ2363&amp;" ",DB46)))),"")</f>
        <v>0</v>
      </c>
      <c r="DA46" s="127" cm="1">
        <f t="array" ref="DA46">IF(35=35,IF(AM46="","",SUMPRODUCT(--ISNUMBER(SEARCH(" "&amp;DJ2364:DJ2406&amp;" ",DB46)))),"")</f>
        <v>0</v>
      </c>
      <c r="DB46" s="127" t="str">
        <f>IF(35=35,IF(AM46="","",SUBSTITUTE(SUBSTITUTE(SUBSTITUTE(SUBSTITUTE(SUBSTITUTE(SUBSTITUTE(SUBSTITUTE(SUBSTITUTE(SUBSTITUTE(SUBSTITUTE(SUBSTITUTE(SUBSTITUTE(SUBSTITUTE(SUBSTITUTE(SUBSTITUTE(SUBSTITUTE(AS46," "&amp;DJ2412&amp;" "," ")," "&amp;DJ2411&amp;" "," ")," "&amp;DJ2410&amp;" "," ")," "&amp;DJ2417&amp;" "," ")," "&amp;DJ2409&amp;" "," ")," "&amp;DJ2421&amp;" "," ")," "&amp;DJ2408&amp;" "," ")," "&amp;DJ2413&amp;" "," ")," "&amp;DJ2416&amp;" "," ")," "&amp;DJ2407&amp;" "," ")," "&amp;DJ2415&amp;" "," ")," "&amp;DJ2422&amp;" "," ")," "&amp;DJ2419&amp;" "," ")," "&amp;DJ2414&amp;" "," ")," "&amp;DJ2418&amp;" "," ")," "&amp;DJ2420&amp;" "," ")),"")</f>
        <v xml:space="preserve"> ajoutez quelques noisettes de beurre </v>
      </c>
      <c r="DC46" s="127" cm="1">
        <f t="array" ref="DC46">IF(35=35,IF(AM46="","",SUMPRODUCT(--ISNUMBER(SEARCH(" "&amp;DJ2423:DJ2427&amp;" ",DB46)))),"")</f>
        <v>0</v>
      </c>
      <c r="DD46" s="127" t="str">
        <f>IF(35=35,IF(AM46="","",IF(SUM(CY46:DA46)&gt;0,"X",IF(DC46&gt;0,"?",""))),"")</f>
        <v/>
      </c>
      <c r="DE46" s="152"/>
      <c r="DF46" s="160" t="s">
        <v>724</v>
      </c>
      <c r="DG46" s="160" t="s">
        <v>584</v>
      </c>
      <c r="DH46" s="160" t="s">
        <v>125</v>
      </c>
      <c r="DI46" s="160" t="s">
        <v>459</v>
      </c>
      <c r="DJ46" s="160" t="s">
        <v>459</v>
      </c>
      <c r="DK46" s="160" t="s">
        <v>588</v>
      </c>
      <c r="DL46" s="160" t="s">
        <v>589</v>
      </c>
      <c r="DM46" s="160" t="s">
        <v>590</v>
      </c>
      <c r="DN46" s="161" t="s">
        <v>591</v>
      </c>
      <c r="DP46" s="130">
        <v>1</v>
      </c>
    </row>
    <row r="47" spans="2:120" ht="30" customHeight="1">
      <c r="B47" s="165" t="str">
        <f t="shared" si="0"/>
        <v>▼</v>
      </c>
      <c r="C47" s="165" t="str">
        <f t="shared" si="1"/>
        <v>▼</v>
      </c>
      <c r="D47" s="165" t="str">
        <f>IF(UPPER(TRIM(N11))="X",C47,B47)</f>
        <v>▼</v>
      </c>
      <c r="E47" s="165" cm="1">
        <f t="array" ref="E47">IF(H46&lt;&gt;"",E46,IF(E46="","",IFERROR(MATCH(TRUE(),INDEX(INDEX(K:K,E46+1):K203&lt;&gt;"",0),0)+E46,"")))</f>
        <v>39</v>
      </c>
      <c r="F47" s="165" t="str" cm="1">
        <f t="array" ref="F47">IF(E47="","",IF(H46&lt;&gt;"",H46,INDEX(D:D,E47)))</f>
        <v>7. Enfournez pendant 30 minutes jusqu’à ce que la tarte soit dorée.</v>
      </c>
      <c r="G47" s="165" t="str">
        <f t="shared" si="2"/>
        <v>7. Enfournez pendant 30 minutes jusqu’à ce que la tarte soit dorée.</v>
      </c>
      <c r="H47" s="174" t="str">
        <f t="shared" si="3"/>
        <v/>
      </c>
      <c r="I47" s="184" t="str">
        <f>IF(AND(F47&lt;&gt;"",N10&gt;0,M47&gt;N10),"Mot &gt; limite","")</f>
        <v/>
      </c>
      <c r="J47" s="175">
        <f>IF(K47="","",COUNTIF(K18:K47,"&lt;&gt;"))</f>
        <v>30</v>
      </c>
      <c r="K47" s="111" t="s">
        <v>15</v>
      </c>
      <c r="L47" s="175">
        <f t="shared" si="4"/>
        <v>1</v>
      </c>
      <c r="M47" s="135">
        <f>IF(OR(F47="",N10="",N10&lt;=0),"",IF(LEN(F47)&lt;=N10,LEN(F47),IFERROR(FIND("♦",SUBSTITUTE(LEFT(F47,N10)," ","♦",LEN(LEFT(F47,N10))-LEN(SUBSTITUTE(LEFT(F47,N10)," ","")))),FIND(" ",F47&amp;" ",N10+1)-1)))</f>
        <v>67</v>
      </c>
      <c r="N47" s="176">
        <f t="shared" si="5"/>
        <v>30</v>
      </c>
      <c r="O47" s="177" t="str">
        <f t="shared" si="6"/>
        <v>7. Enfournez pendant 30 minutes jusqu’à ce que la tarte soit dorée.</v>
      </c>
      <c r="P47" s="176">
        <f t="shared" si="7"/>
        <v>12</v>
      </c>
      <c r="Q47" s="176">
        <f t="shared" si="8"/>
        <v>67</v>
      </c>
      <c r="S47" s="178">
        <v>30</v>
      </c>
      <c r="T47" s="179" t="str">
        <f t="shared" si="10"/>
        <v>7. Enfournez pendant 30 minutes jusqu’à ce que la tarte soit dorée.</v>
      </c>
      <c r="U47" s="180" t="str">
        <f t="shared" si="9"/>
        <v>7. Enfournez pendant 30 minutes jusqu’à ce que la tarte soit dorée.</v>
      </c>
      <c r="V47" s="181" t="str">
        <f>IF(36=36,IF(T47="","",IF(W47="X",""&amp;"Céréales contenant du gluten","")&amp;IF(X47="X",IF(COUNTIF(W47:W47,"X")&gt;0,", ","")&amp;"Crustacés","")&amp;IF(Y47="X",IF(COUNTIF(W47:X47,"X")&gt;0,", ","")&amp;"Œufs","")&amp;IF(Z47="X",IF(COUNTIF(W47:Y47,"X")&gt;0,", ","")&amp;"Poissons","")&amp;IF(AA47="X",IF(COUNTIF(W47:Z47,"X")&gt;0,", ","")&amp;"Arachides","")&amp;IF(AB47="X",IF(COUNTIF(W47:AA47,"X")&gt;0,", ","")&amp;"Soja","")&amp;IF(AC47="X",IF(COUNTIF(W47:AB47,"X")&gt;0,", ","")&amp;"Lait","")&amp;IF(AD47="X",IF(COUNTIF(W47:AC47,"X")&gt;0,", ","")&amp;"Fruits à coque","")&amp;IF(AE47="X",IF(COUNTIF(W47:AD47,"X")&gt;0,", ","")&amp;"Céleri","")&amp;IF(AF47="X",IF(COUNTIF(W47:AE47,"X")&gt;0,", ","")&amp;"Moutarde","")&amp;IF(AG47="X",IF(COUNTIF(W47:AF47,"X")&gt;0,", ","")&amp;"Sésame","")&amp;IF(AH47="X",IF(COUNTIF(W47:AG47,"X")&gt;0,", ","")&amp;"Sulfites","")&amp;IF(AI47="X",IF(COUNTIF(W47:AH47,"X")&gt;0,", ","")&amp;"Lupin","")&amp;IF(AJ47="X",IF(COUNTIF(W47:AI47,"X")&gt;0,", ","")&amp;"Mollusques","")),"")</f>
        <v/>
      </c>
      <c r="W47" s="182" t="str">
        <f>IF(36=36,IF(T47="","",AX47),"")</f>
        <v/>
      </c>
      <c r="X47" s="182" t="str">
        <f>IF(36=36,IF(T47="","",BA47),"")</f>
        <v/>
      </c>
      <c r="Y47" s="182" t="str">
        <f>IF(36=36,IF(T47="","",BE47),"")</f>
        <v/>
      </c>
      <c r="Z47" s="182" t="str">
        <f>IF(36=36,IF(T47="","",IF(ISNUMBER(SEARCH(" colin ",AS47)),"X",BR47)),"")</f>
        <v/>
      </c>
      <c r="AA47" s="182" t="str">
        <f>IF(36=36,IF(T47="","",BT47),"")</f>
        <v/>
      </c>
      <c r="AB47" s="182" t="str">
        <f>IF(36=36,IF(T47="","",BX47),"")</f>
        <v/>
      </c>
      <c r="AC47" s="182" t="str">
        <f>IF(36=36,IF(T47="","",CE47),"")</f>
        <v/>
      </c>
      <c r="AD47" s="182" t="str">
        <f>IF(36=36,IF(T47="","",CI47),"")</f>
        <v/>
      </c>
      <c r="AE47" s="182" t="str">
        <f>IF(36=36,IF(T47="","",CL47),"")</f>
        <v/>
      </c>
      <c r="AF47" s="182" t="str">
        <f>IF(36=36,IF(T47="","",CO47),"")</f>
        <v/>
      </c>
      <c r="AG47" s="182" t="str">
        <f>IF(36=36,IF(T47="","",CR47),"")</f>
        <v/>
      </c>
      <c r="AH47" s="182" t="str">
        <f>IF(36=36,IF(T47="","",CU47),"")</f>
        <v/>
      </c>
      <c r="AI47" s="182" t="str">
        <f>IF(36=36,IF(T47="","",CX47),"")</f>
        <v/>
      </c>
      <c r="AJ47" s="182" t="str">
        <f>IF(36=36,IF(T47="","",DD47),"")</f>
        <v/>
      </c>
      <c r="AK47" s="183" t="str">
        <f>IF(36=36,IF(T47="","",IF(W47="?",""&amp;"Céréales contenant du gluten","")&amp;IF(X47="?",IF(COUNTIF(W47:W47,"~?")&gt;0,", ","")&amp;"Crustacés","")&amp;IF(Y47="?",IF(COUNTIF(W47:X47,"~?")&gt;0,", ","")&amp;"Œufs","")&amp;IF(Z47="?",IF(COUNTIF(W47:Y47,"~?")&gt;0,", ","")&amp;"Poissons","")&amp;IF(AA47="?",IF(COUNTIF(W47:Z47,"~?")&gt;0,", ","")&amp;"Arachides","")&amp;IF(AB47="?",IF(COUNTIF(W47:AA47,"~?")&gt;0,", ","")&amp;"Soja","")&amp;IF(AC47="?",IF(COUNTIF(W47:AB47,"~?")&gt;0,", ","")&amp;"Lait","")&amp;IF(AD47="?",IF(COUNTIF(W47:AC47,"~?")&gt;0,", ","")&amp;"Fruits à coque","")&amp;IF(AE47="?",IF(COUNTIF(W47:AD47,"~?")&gt;0,", ","")&amp;"Céleri","")&amp;IF(AF47="?",IF(COUNTIF(W47:AE47,"~?")&gt;0,", ","")&amp;"Moutarde","")&amp;IF(AG47="?",IF(COUNTIF(W47:AF47,"~?")&gt;0,", ","")&amp;"Sésame","")&amp;IF(AH47="?",IF(COUNTIF(W47:AG47,"~?")&gt;0,", ","")&amp;"Sulfites","")&amp;IF(AI47="?",IF(COUNTIF(W47:AH47,"~?")&gt;0,", ","")&amp;"Lupin","")&amp;IF(AJ47="?",IF(COUNTIF(W47:AI47,"~?")&gt;0,", ","")&amp;"Mollusques","")),"")</f>
        <v/>
      </c>
      <c r="AM47" s="127" t="str">
        <f>IF(36=36,IF(T47="","",T47),"")</f>
        <v>7. Enfournez pendant 30 minutes jusqu’à ce que la tarte soit dorée.</v>
      </c>
      <c r="AN47" s="127" t="str">
        <f>IF(36=36,LOWER(CLEAN(SUBSTITUTE(SUBSTITUTE(SUBSTITUTE(SUBSTITUTE(AM47,CHAR(160)," ")," "," "),CHAR(10)," "),CHAR(13)," "))),"")</f>
        <v>7. enfournez pendant 30 minutes jusqu’à ce que la tarte soit dorée.</v>
      </c>
      <c r="AO47" s="127" t="str">
        <f>IF(36=36,SUBSTITUTE(SUBSTITUTE(SUBSTITUTE(SUBSTITUTE(SUBSTITUTE(SUBSTITUTE(SUBSTITUTE(SUBSTITUTE(SUBSTITUTE(SUBSTITUTE(SUBSTITUTE(SUBSTITUTE(AN47,"œ","oe"),"æ","ae"),"à","a"),"á","a"),"â","a"),"ä","a"),"ã","a"),"ç","c"),"è","e"),"é","e"),"ê","e"),"ë","e"),"")</f>
        <v>7. enfournez pendant 30 minutes jusqu’a ce que la tarte soit doree.</v>
      </c>
      <c r="AP47" s="127" t="str">
        <f>IF(36=36,SUBSTITUTE(SUBSTITUTE(SUBSTITUTE(SUBSTITUTE(SUBSTITUTE(SUBSTITUTE(SUBSTITUTE(SUBSTITUTE(SUBSTITUTE(SUBSTITUTE(SUBSTITUTE(SUBSTITUTE(SUBSTITUTE(SUBSTITUTE(SUBSTITUTE(SUBSTITUTE(AO47,"ì","i"),"í","i"),"î","i"),"ï","i"),"ñ","n"),"ò","o"),"ó","o"),"ô","o"),"ö","o"),"õ","o"),"ù","u"),"ú","u"),"û","u"),"ü","u"),"ý","y"),"ÿ","y"),"")</f>
        <v>7. enfournez pendant 30 minutes jusqu’a ce que la tarte soit doree.</v>
      </c>
      <c r="AQ47" s="127" t="str">
        <f>IF(36=36,SUBSTITUTE(SUBSTITUTE(SUBSTITUTE(SUBSTITUTE(SUBSTITUTE(SUBSTITUTE(SUBSTITUTE(SUBSTITUTE(SUBSTITUTE(SUBSTITUTE(SUBSTITUTE(SUBSTITUTE(SUBSTITUTE(SUBSTITUTE(AP47,"’"," "),"`"," "),"–"," "),"—"," "),"-"," "),"'"," "),"/"," "),"_"," "),","," "),"."," "),"("," "),")"," "),";"," "),":"," "),"")</f>
        <v xml:space="preserve">7  enfournez pendant 30 minutes jusqu a ce que la tarte soit doree </v>
      </c>
      <c r="AR47" s="127" t="str">
        <f>IF(36=36,SUBSTITUTE(SUBSTITUTE(SUBSTITUTE(SUBSTITUTE(SUBSTITUTE(SUBSTITUTE(SUBSTITUTE(SUBSTITUTE(SUBSTITUTE(SUBSTITUTE(SUBSTITUTE(SUBSTITUTE(SUBSTITUTE(SUBSTITUTE(SUBSTITUTE(AQ47,"!"," "),"?"," "),"+"," "),"*"," "),"&amp;"," "),"["," "),"]"," "),"{"," "),"}"," "),"%"," "),"="," "),"\"," "),"|"," "),"&lt;"," "),"&gt;"," "),"")</f>
        <v xml:space="preserve">7  enfournez pendant 30 minutes jusqu a ce que la tarte soit doree </v>
      </c>
      <c r="AS47" s="127" t="str">
        <f>IF(36=36," "&amp;TRIM(SUBSTITUTE(SUBSTITUTE(SUBSTITUTE(SUBSTITUTE(SUBSTITUTE(SUBSTITUTE(AR47,CHAR(34)," "),"  "," "),"  "," "),"  "," "),"  "," "),"  "," "))&amp;" ","")</f>
        <v xml:space="preserve"> 7 enfournez pendant 30 minutes jusqu a ce que la tarte soit doree </v>
      </c>
      <c r="AT47" s="127" cm="1">
        <f t="array" ref="AT47">IF(36=36,IF(AM47="","",SUMPRODUCT(--ISNUMBER(SEARCH(" "&amp;DJ13:DJ112&amp;" ",AV47)))),"")</f>
        <v>0</v>
      </c>
      <c r="AU47" s="127" cm="1">
        <f t="array" ref="AU47">IF(36=36,IF(AM47="","",SUMPRODUCT(--ISNUMBER(SEARCH(" "&amp;DJ113:DJ162&amp;" ",AV47)))),"")</f>
        <v>0</v>
      </c>
      <c r="AV47" s="127" t="str">
        <f>IF(AM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7 enfournez pendant 30 minutes jusqu a ce que la tarte soit doree </v>
      </c>
      <c r="AW47" s="127" cm="1">
        <f t="array" ref="AW47">IF(AM47="","",SUMPRODUCT(--ISNUMBER(SEARCH(" "&amp;DJ195:DJ216&amp;" ",AV47)))+--ISNUMBER(SEARCH(" "&amp;DJ2465&amp;" ",AV47)))</f>
        <v>0</v>
      </c>
      <c r="AX47" s="127" t="str" cm="1">
        <f t="array" ref="AX47">IF(36=36,IF(AM47="","",IF(SUM(AT47:AU47)+SUMPRODUCT(--ISNUMBER(SEARCH(" "&amp;DJ2429:DJ2431&amp;" ",AV47)))&gt;0,"X",IF(AW47&gt;0,"?",""))),"")</f>
        <v/>
      </c>
      <c r="AY47" s="127" cm="1">
        <f t="array" ref="AY47">IF(36=36,IF(AM47="","",SUMPRODUCT(--ISNUMBER(SEARCH(" "&amp;DJ217:DJ316&amp;" ",AS47)))),"")</f>
        <v>0</v>
      </c>
      <c r="AZ47" s="127" cm="1">
        <f t="array" ref="AZ47">IF(36=36,IF(AM47="","",SUMPRODUCT(--ISNUMBER(SEARCH(" "&amp;DJ317:DJ351&amp;" ",AS47)))),"")</f>
        <v>0</v>
      </c>
      <c r="BA47" s="127" t="str">
        <f>IF(36=36,IF(AM47="","",IF((SUM(AY47:AZ47))-(0)&gt;0,"X",IF((0)-(0)&gt;0,"?",""))),"")</f>
        <v/>
      </c>
      <c r="BB47" s="127" cm="1">
        <f t="array" ref="BB47">IF(36=36,IF(AM47="","",SUMPRODUCT(--ISNUMBER(SEARCH(" "&amp;DJ352:DJ409&amp;" ",AS47)))),"")</f>
        <v>0</v>
      </c>
      <c r="BC47" s="127" cm="1">
        <f t="array" ref="BC47">IF(36=36,IF(AM47="","",SUMPRODUCT(--ISNUMBER(SEARCH(" "&amp;DJ410:DJ437&amp;" ",BD47)))+SUMPRODUCT(--ISNUMBER(SEARCH(" "&amp;DJ2451:DJ2464&amp;" ",BD47)))),"")</f>
        <v>0</v>
      </c>
      <c r="BD47" s="127" t="str">
        <f>IF(36=36,IF(AM47="","",SUBSTITUTE(SUBSTITUTE(SUBSTITUTE(SUBSTITUTE(SUBSTITUTE(SUBSTITUTE(SUBSTITUTE(SUBSTITUTE(SUBSTITUTE(SUBSTITUTE(SUBSTITUTE(SUBSTITUTE(SUBSTITUTE(SUBSTITUTE(AS47," "&amp;DJ2466&amp;" "," ")," "&amp;DJ444&amp;" "," ")," "&amp;DJ442&amp;" "," ")," "&amp;DJ2449&amp;" "," ")," "&amp;DJ2450&amp;" "," ")," "&amp;DJ439&amp;" "," ")," "&amp;DJ443&amp;" "," ")," "&amp;DJ445&amp;" "," ")," "&amp;DJ440&amp;" "," ")," "&amp;DJ438&amp;" "," ")," "&amp;DJ1378&amp;" "," ")," "&amp;DJ446&amp;" "," ")," "&amp;DJ1377&amp;" "," ")," "&amp;DJ441&amp;" "," ")),"")</f>
        <v xml:space="preserve"> 7 enfournez pendant 30 minutes jusqu a ce que la tarte soit doree </v>
      </c>
      <c r="BE47" s="127" t="str">
        <f>IF(36=36,IF(AM47="","",IF(BB47&gt;0,"X",IF(BC47&gt;0,"?",""))),"")</f>
        <v/>
      </c>
      <c r="BF47" s="127" cm="1">
        <f t="array" ref="BF47">IF(36=36,IF(AM47="","",SUMPRODUCT(--ISNUMBER(SEARCH(" "&amp;DJ447:DJ546&amp;" ",BP47)))),"")</f>
        <v>0</v>
      </c>
      <c r="BG47" s="127" cm="1">
        <f t="array" ref="BG47">IF(36=36,IF(AM47="","",SUMPRODUCT(--ISNUMBER(SEARCH(" "&amp;DJ547:DJ646&amp;" ",BP47)))),"")</f>
        <v>0</v>
      </c>
      <c r="BH47" s="127" cm="1">
        <f t="array" ref="BH47">IF(36=36,IF(AM47="","",SUMPRODUCT(--ISNUMBER(SEARCH(" "&amp;DJ647:DJ746&amp;" ",BP47)))),"")</f>
        <v>0</v>
      </c>
      <c r="BI47" s="127" cm="1">
        <f t="array" ref="BI47">IF(36=36,IF(AM47="","",SUMPRODUCT(--ISNUMBER(SEARCH(" "&amp;DJ747:DJ846&amp;" ",BP47)))),"")</f>
        <v>0</v>
      </c>
      <c r="BJ47" s="127" cm="1">
        <f t="array" ref="BJ47">IF(36=36,IF(AM47="","",SUMPRODUCT(--ISNUMBER(SEARCH(" "&amp;DJ847:DJ946&amp;" ",BP47)))),"")</f>
        <v>0</v>
      </c>
      <c r="BK47" s="127" cm="1">
        <f t="array" ref="BK47">IF(36=36,IF(AM47="","",SUMPRODUCT(--ISNUMBER(SEARCH(" "&amp;DJ947:DJ1046&amp;" ",BP47)))),"")</f>
        <v>0</v>
      </c>
      <c r="BL47" s="127" cm="1">
        <f t="array" ref="BL47">IF(36=36,IF(AM47="","",SUMPRODUCT(--ISNUMBER(SEARCH(" "&amp;DJ1047:DJ1146&amp;" ",BP47)))),"")</f>
        <v>0</v>
      </c>
      <c r="BM47" s="127" cm="1">
        <f t="array" ref="BM47">IF(36=36,IF(AM47="","",SUMPRODUCT(--ISNUMBER(SEARCH(" "&amp;DJ1147:DJ1246&amp;" ",BP47)))),"")</f>
        <v>0</v>
      </c>
      <c r="BN47" s="127" cm="1">
        <f t="array" ref="BN47">IF(36=36,IF(AM47="","",SUMPRODUCT(--ISNUMBER(SEARCH(" "&amp;DJ1247:DJ1346&amp;" ",BP47)))),"")</f>
        <v>0</v>
      </c>
      <c r="BO47" s="127" cm="1">
        <f t="array" ref="BO47">IF(36=36,IF(AM47="","",SUMPRODUCT(--ISNUMBER(SEARCH(" "&amp;DJ1347:DJ1374&amp;" ",BP47)))),"")</f>
        <v>0</v>
      </c>
      <c r="BP47" s="127" t="str">
        <f>IF(36=36,IF(AM47="","",SUBSTITUTE(SUBSTITUTE(SUBSTITUTE(SUBSTITUTE(SUBSTITUTE(SUBSTITUTE(SUBSTITUTE(SUBSTITUTE(SUBSTITUTE(AS47," "&amp;DJ1376&amp;" "," ")," "&amp;DJ1375&amp;" "," ")," "&amp;DJ1381&amp;" "," ")," "&amp;DJ1382&amp;" "," ")," "&amp;DJ1378&amp;" "," ")," "&amp;DJ1380&amp;" "," ")," "&amp;DJ1377&amp;" "," ")," "&amp;DJ1379&amp;" "," ")," "&amp;DJ1383&amp;" "," ")),"")</f>
        <v xml:space="preserve"> 7 enfournez pendant 30 minutes jusqu a ce que la tarte soit doree </v>
      </c>
      <c r="BQ47" s="127" cm="1">
        <f t="array" ref="BQ47">IF(36=36,IF(AM47="","",SUMPRODUCT(--ISNUMBER(SEARCH(" "&amp;DJ1384:DJ1394&amp;" ",BP47)))),"")</f>
        <v>0</v>
      </c>
      <c r="BR47" s="127" t="str" cm="1">
        <f t="array" ref="BR47">IF(36=36,IF(AM47="","",IF(SUM(BF47:BO47)+SUMPRODUCT(--ISNUMBER(SEARCH(" "&amp;DJ2432:DJ2433&amp;" ",BP47)))&gt;0,"X",IF(BQ47&gt;0,"?",""))),"")</f>
        <v/>
      </c>
      <c r="BS47" s="127" cm="1">
        <f t="array" ref="BS47">IF(36=36,IF(AM47="","",SUMPRODUCT(--ISNUMBER(SEARCH(" "&amp;DJ1395:DJ1415&amp;" ",AS47)))),"")</f>
        <v>0</v>
      </c>
      <c r="BT47" s="127" t="str">
        <f>IF(36=36,IF(AM47="","",IF((BS47)-(0)&gt;0,"X",IF((0)-(0)&gt;0,"?",""))),"")</f>
        <v/>
      </c>
      <c r="BU47" s="127" cm="1">
        <f t="array" ref="BU47">IF(36=36,IF(AM47="","",SUMPRODUCT(--ISNUMBER(SEARCH(" "&amp;DJ1416:DJ1453&amp;" ",BV47)))),"")</f>
        <v>0</v>
      </c>
      <c r="BV47" s="127" t="str">
        <f>IF(36=36,IF(AM47="","",SUBSTITUTE(SUBSTITUTE(AS47," "&amp;DJ1454&amp;" "," ")," "&amp;DJ1455&amp;" "," ")),"")</f>
        <v xml:space="preserve"> 7 enfournez pendant 30 minutes jusqu a ce que la tarte soit doree </v>
      </c>
      <c r="BW47" s="127" cm="1">
        <f t="array" ref="BW47">IF(36=36,IF(AM47="","",SUMPRODUCT(--ISNUMBER(SEARCH(" "&amp;DJ1456:DJ1466&amp;" ",BV47)))),"")</f>
        <v>0</v>
      </c>
      <c r="BX47" s="127" t="str">
        <f>IF(36=36,IF(AM47="","",IF(BU47&gt;0,"X",IF(BW47&gt;0,"?",""))),"")</f>
        <v/>
      </c>
      <c r="BY47" s="127" cm="1">
        <f t="array" ref="BY47">IF(36=36,IF(AM47="","",SUMPRODUCT(--ISNUMBER(SEARCH(" "&amp;DJ1467:DJ1566&amp;" ",CB47)))),"")</f>
        <v>0</v>
      </c>
      <c r="BZ47" s="127" cm="1">
        <f t="array" ref="BZ47">IF(36=36,IF(AM47="","",SUMPRODUCT(--ISNUMBER(SEARCH(" "&amp;DJ1567:DJ1666&amp;" ",CB47)))),"")</f>
        <v>0</v>
      </c>
      <c r="CA47" s="127" cm="1">
        <f t="array" ref="CA47">IF(36=36,IF(AM47="","",SUMPRODUCT(--ISNUMBER(SEARCH(" "&amp;DJ1667:DJ1750&amp;" ",CB47)))),"")</f>
        <v>0</v>
      </c>
      <c r="CB47" s="127" t="str">
        <f>IF(36=36,IF(AM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7 enfournez pendant 30 minutes jusqu a ce que la tarte soit doree </v>
      </c>
      <c r="CC47" s="127" cm="1">
        <f t="array" ref="CC47">IF(36=36,IF(AM47="","",SUMPRODUCT(--ISNUMBER(SEARCH(" "&amp;DJ1801:DJ1880&amp;" ",CD47)))+SUMPRODUCT(--ISNUMBER(SEARCH(" "&amp;DJ2451:DJ2464&amp;" ",CD47)))),"")</f>
        <v>0</v>
      </c>
      <c r="CD47" s="127" t="str">
        <f>IF(36=36,IF(AM47="","",SUBSTITUTE(SUBSTITUTE(SUBSTITUTE(SUBSTITUTE(SUBSTITUTE(SUBSTITUTE(SUBSTITUTE(SUBSTITUTE(SUBSTITUTE(SUBSTITUTE(SUBSTITUTE(SUBSTITUTE(SUBSTITUTE(CB47," "&amp;DJ1887&amp;" "," ")," "&amp;DJ1885&amp;" "," ")," "&amp;DJ2449&amp;" "," ")," "&amp;DJ2450&amp;" "," ")," "&amp;DJ1882&amp;" "," ")," "&amp;DJ1886&amp;" "," ")," "&amp;DJ1888&amp;" "," ")," "&amp;DJ1883&amp;" "," ")," "&amp;DJ1881&amp;" "," ")," "&amp;DJ1378&amp;" "," ")," "&amp;DJ1889&amp;" "," ")," "&amp;DJ1377&amp;" "," ")," "&amp;DJ1884&amp;" "," ")),"")</f>
        <v xml:space="preserve"> 7 enfournez pendant 30 minutes jusqu a ce que la tarte soit doree </v>
      </c>
      <c r="CE47" s="127" t="str" cm="1">
        <f t="array" ref="CE47">IF(36=36,IF(AM47="","",IF(SUM(BY47:CA47)+SUMPRODUCT(--ISNUMBER(SEARCH(" "&amp;DJ2434:DJ2435&amp;" ",CB47)))&gt;0,"X",IF(CC47&gt;0,"?",""))),"")</f>
        <v/>
      </c>
      <c r="CF47" s="127" cm="1">
        <f t="array" ref="CF47">IF(36=36,IF(AM47="","",SUMPRODUCT(--ISNUMBER(SEARCH(" "&amp;DJ1890:DJ1947&amp;" ",CG47)))),"")</f>
        <v>0</v>
      </c>
      <c r="CG47" s="127" t="str">
        <f>IF(36=36,IF(AM47="","",SUBSTITUTE(SUBSTITUTE(SUBSTITUTE(SUBSTITUTE(SUBSTITUTE(SUBSTITUTE(SUBSTITUTE(SUBSTITUTE(SUBSTITUTE(SUBSTITUTE(SUBSTITUTE(SUBSTITUTE(SUBSTITUTE(SUBSTITUTE(SUBSTITUTE(SUBSTITUTE(SUBSTITUTE(SUBSTITUTE(SUBSTITUTE(SUBSTITUTE(SUBSTITUTE(SUBSTITUTE(SUBSTITUTE(AS47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7 enfournez pendant 30 minutes jusqu a ce que la tarte soit doree </v>
      </c>
      <c r="CH47" s="127" cm="1">
        <f t="array" ref="CH47">IF(36=36,IF(AM47="","",SUMPRODUCT(--ISNUMBER(SEARCH(" "&amp;DJ1971:DJ1987&amp;" ",CG47)))),"")</f>
        <v>0</v>
      </c>
      <c r="CI47" s="127" t="str">
        <f>IF(36=36,IF(AM47="","",IF(CF47&gt;0,"X",IF(CH47&gt;0,"?",""))),"")</f>
        <v/>
      </c>
      <c r="CJ47" s="127" cm="1">
        <f t="array" ref="CJ47">IF(36=36,IF(AM47="","",SUMPRODUCT(--ISNUMBER(SEARCH(" "&amp;DJ1988:DJ2001&amp;" ",AS47)))),"")</f>
        <v>0</v>
      </c>
      <c r="CK47" s="127" cm="1">
        <f t="array" ref="CK47">IF(36=36,IF(AM47="","",SUMPRODUCT(--ISNUMBER(SEARCH(" "&amp;DJ2002:DJ2016&amp;" ",AS47)))),"")</f>
        <v>0</v>
      </c>
      <c r="CL47" s="127" t="str">
        <f>IF(36=36,IF(AM47="","",IF((CJ47)-(0)&gt;0,"X",IF((CK47)-(0)&gt;0,"?",""))),"")</f>
        <v/>
      </c>
      <c r="CM47" s="127" cm="1">
        <f t="array" ref="CM47">IF(36=36,IF(AM47="","",SUMPRODUCT(--ISNUMBER(SEARCH(" "&amp;DJ2017:DJ2034&amp;" ",AS47)))),"")</f>
        <v>0</v>
      </c>
      <c r="CN47" s="127" cm="1">
        <f t="array" ref="CN47">IF(36=36,IF(AM47="","",SUMPRODUCT(--ISNUMBER(SEARCH(" "&amp;DJ2035:DJ2049&amp;" ",AS47)))),"")</f>
        <v>0</v>
      </c>
      <c r="CO47" s="127" t="str">
        <f>IF(36=36,IF(AM47="","",IF((CM47)-(0)&gt;0,"X",IF((CN47)-(0)&gt;0,"?",""))),"")</f>
        <v/>
      </c>
      <c r="CP47" s="127" cm="1">
        <f t="array" ref="CP47">IF(36=36,IF(AM47="","",SUMPRODUCT(--ISNUMBER(SEARCH(" "&amp;DJ2050:DJ2068&amp;" ",AS47)))),"")</f>
        <v>0</v>
      </c>
      <c r="CQ47" s="127" cm="1">
        <f t="array" ref="CQ47">IF(36=36,IF(AM47="","",SUMPRODUCT(--ISNUMBER(SEARCH(" "&amp;DJ2069:DJ2083&amp;" ",AS47)))),"")</f>
        <v>0</v>
      </c>
      <c r="CR47" s="127" t="str">
        <f>IF(36=36,IF(AM47="","",IF((CP47)-(0)&gt;0,"X",IF((CQ47)-(0)&gt;0,"?",""))),"")</f>
        <v/>
      </c>
      <c r="CS47" s="127" cm="1">
        <f t="array" ref="CS47">IF(36=36,IF(AM47="","",SUMPRODUCT(--ISNUMBER(SEARCH(" "&amp;DJ2084:DJ2104&amp;" ",AS47)))),"")</f>
        <v>0</v>
      </c>
      <c r="CT47" s="127" cm="1">
        <f t="array" ref="CT47">IF(36=36,IF(AM47="","",SUMPRODUCT(--ISNUMBER(SEARCH(" "&amp;DJ2105:DJ2144&amp;" ",SUBSTITUTE(SUBSTITUTE(AS47," "&amp;DJ1378&amp;" "," ")," "&amp;DJ1377&amp;" "," "))))+--ISNUMBER(SEARCH("poiré",AN47))),"")</f>
        <v>0</v>
      </c>
      <c r="CU47" s="127" t="str">
        <f>IF(36=36,IF(AM47="","",IF(OR(CS47&gt;0,ISNUMBER(SEARCH(" vinaigre de vin ",AS47)),ISNUMBER(SEARCH(" vinaigre au vin ",AS47))),"X",IF(CT47&gt;0,"?",""))),"")</f>
        <v/>
      </c>
      <c r="CV47" s="127" cm="1">
        <f t="array" ref="CV47">IF(36=36,IF(AM47="","",SUMPRODUCT(--ISNUMBER(SEARCH(" "&amp;DJ2145:DJ2157&amp;" ",AS47)))),"")</f>
        <v>0</v>
      </c>
      <c r="CW47" s="127" cm="1">
        <f t="array" ref="CW47">IF(36=36,IF(AM47="","",SUMPRODUCT(--ISNUMBER(SEARCH(" "&amp;DJ2158:DJ2163&amp;" ",AS47)))),"")</f>
        <v>0</v>
      </c>
      <c r="CX47" s="127" t="str">
        <f>IF(36=36,IF(AM47="","",IF((CV47)-(0)&gt;0,"X",IF((CW47)-(0)&gt;0,"?",""))),"")</f>
        <v/>
      </c>
      <c r="CY47" s="127" cm="1">
        <f t="array" ref="CY47">IF(36=36,IF(AM47="","",SUMPRODUCT(--ISNUMBER(SEARCH(" "&amp;DJ2164:DJ2263&amp;" ",DB47)))),"")</f>
        <v>0</v>
      </c>
      <c r="CZ47" s="127" cm="1">
        <f t="array" ref="CZ47">IF(36=36,IF(AM47="","",SUMPRODUCT(--ISNUMBER(SEARCH(" "&amp;DJ2264:DJ2363&amp;" ",DB47)))),"")</f>
        <v>0</v>
      </c>
      <c r="DA47" s="127" cm="1">
        <f t="array" ref="DA47">IF(36=36,IF(AM47="","",SUMPRODUCT(--ISNUMBER(SEARCH(" "&amp;DJ2364:DJ2406&amp;" ",DB47)))),"")</f>
        <v>0</v>
      </c>
      <c r="DB47" s="127" t="str">
        <f>IF(36=36,IF(AM47="","",SUBSTITUTE(SUBSTITUTE(SUBSTITUTE(SUBSTITUTE(SUBSTITUTE(SUBSTITUTE(SUBSTITUTE(SUBSTITUTE(SUBSTITUTE(SUBSTITUTE(SUBSTITUTE(SUBSTITUTE(SUBSTITUTE(SUBSTITUTE(SUBSTITUTE(SUBSTITUTE(AS47," "&amp;DJ2412&amp;" "," ")," "&amp;DJ2411&amp;" "," ")," "&amp;DJ2410&amp;" "," ")," "&amp;DJ2417&amp;" "," ")," "&amp;DJ2409&amp;" "," ")," "&amp;DJ2421&amp;" "," ")," "&amp;DJ2408&amp;" "," ")," "&amp;DJ2413&amp;" "," ")," "&amp;DJ2416&amp;" "," ")," "&amp;DJ2407&amp;" "," ")," "&amp;DJ2415&amp;" "," ")," "&amp;DJ2422&amp;" "," ")," "&amp;DJ2419&amp;" "," ")," "&amp;DJ2414&amp;" "," ")," "&amp;DJ2418&amp;" "," ")," "&amp;DJ2420&amp;" "," ")),"")</f>
        <v xml:space="preserve"> 7 enfournez pendant 30 minutes jusqu a ce que la tarte soit doree </v>
      </c>
      <c r="DC47" s="127" cm="1">
        <f t="array" ref="DC47">IF(36=36,IF(AM47="","",SUMPRODUCT(--ISNUMBER(SEARCH(" "&amp;DJ2423:DJ2427&amp;" ",DB47)))),"")</f>
        <v>0</v>
      </c>
      <c r="DD47" s="127" t="str">
        <f>IF(36=36,IF(AM47="","",IF(SUM(CY47:DA47)&gt;0,"X",IF(DC47&gt;0,"?",""))),"")</f>
        <v/>
      </c>
      <c r="DE47" s="152"/>
      <c r="DF47" s="160" t="s">
        <v>725</v>
      </c>
      <c r="DG47" s="160" t="s">
        <v>584</v>
      </c>
      <c r="DH47" s="160" t="s">
        <v>125</v>
      </c>
      <c r="DI47" s="160" t="s">
        <v>726</v>
      </c>
      <c r="DJ47" s="160" t="s">
        <v>727</v>
      </c>
      <c r="DK47" s="160" t="s">
        <v>588</v>
      </c>
      <c r="DL47" s="160" t="s">
        <v>589</v>
      </c>
      <c r="DM47" s="160" t="s">
        <v>590</v>
      </c>
      <c r="DN47" s="161" t="s">
        <v>591</v>
      </c>
      <c r="DP47" s="130">
        <v>1</v>
      </c>
    </row>
    <row r="48" spans="2:120" ht="30" customHeight="1">
      <c r="B48" s="165" t="str">
        <f t="shared" si="0"/>
        <v>►collez votre texte colonne 1️⃣</v>
      </c>
      <c r="C48" s="165" t="str">
        <f t="shared" si="1"/>
        <v>►collez votre texte colonne 1️⃣</v>
      </c>
      <c r="D48" s="165" t="str">
        <f>IF(UPPER(TRIM(N11))="X",C48,B48)</f>
        <v>►collez votre texte colonne 1️⃣</v>
      </c>
      <c r="E48" s="165" cm="1">
        <f t="array" ref="E48">IF(H47&lt;&gt;"",E47,IF(E47="","",IFERROR(MATCH(TRUE(),INDEX(INDEX(K:K,E47+1):K203&lt;&gt;"",0),0)+E47,"")))</f>
        <v>40</v>
      </c>
      <c r="F48" s="165" t="str" cm="1">
        <f t="array" ref="F48">IF(E48="","",IF(H47&lt;&gt;"",H47,INDEX(D:D,E48)))</f>
        <v>8. Laissez tiédir, saupoudrez de sucre glace et servez avec une touche de crème fraîche.</v>
      </c>
      <c r="G48" s="165" t="str">
        <f t="shared" si="2"/>
        <v xml:space="preserve">8. Laissez tiédir, saupoudrez de sucre glace et servez avec une touche de crème </v>
      </c>
      <c r="H48" s="174" t="str">
        <f t="shared" si="3"/>
        <v>fraîche.</v>
      </c>
      <c r="I48" s="184" t="str">
        <f>IF(AND(F48&lt;&gt;"",N10&gt;0,M48&gt;N10),"Mot &gt; limite","")</f>
        <v/>
      </c>
      <c r="J48" s="175">
        <f>IF(K48="","",COUNTIF(K18:K48,"&lt;&gt;"))</f>
        <v>31</v>
      </c>
      <c r="K48" s="111" t="s">
        <v>55</v>
      </c>
      <c r="L48" s="175">
        <f t="shared" si="4"/>
        <v>32</v>
      </c>
      <c r="M48" s="135">
        <f>IF(OR(F48="",N10="",N10&lt;=0),"",IF(LEN(F48)&lt;=N10,LEN(F48),IFERROR(FIND("♦",SUBSTITUTE(LEFT(F48,N10)," ","♦",LEN(LEFT(F48,N10))-LEN(SUBSTITUTE(LEFT(F48,N10)," ","")))),FIND(" ",F48&amp;" ",N10+1)-1)))</f>
        <v>80</v>
      </c>
      <c r="N48" s="176">
        <f t="shared" si="5"/>
        <v>31</v>
      </c>
      <c r="O48" s="177" t="str">
        <f t="shared" si="6"/>
        <v xml:space="preserve">8. Laissez tiédir, saupoudrez de sucre glace et servez avec une touche de crème </v>
      </c>
      <c r="P48" s="176">
        <f t="shared" si="7"/>
        <v>14</v>
      </c>
      <c r="Q48" s="176">
        <f t="shared" si="8"/>
        <v>80</v>
      </c>
      <c r="S48" s="178">
        <v>31</v>
      </c>
      <c r="T48" s="179" t="str">
        <f t="shared" si="10"/>
        <v xml:space="preserve">8. Laissez tiédir, saupoudrez de sucre glace et servez avec une touche de crème </v>
      </c>
      <c r="U48" s="180" t="str">
        <f t="shared" si="9"/>
        <v>8. Laissez tiédir, saupoudrez de sucre glace et servez avec une touche de crème *</v>
      </c>
      <c r="V48" s="181" t="str">
        <f>IF(37=37,IF(T48="","",IF(W48="X",""&amp;"Céréales contenant du gluten","")&amp;IF(X48="X",IF(COUNTIF(W48:W48,"X")&gt;0,", ","")&amp;"Crustacés","")&amp;IF(Y48="X",IF(COUNTIF(W48:X48,"X")&gt;0,", ","")&amp;"Œufs","")&amp;IF(Z48="X",IF(COUNTIF(W48:Y48,"X")&gt;0,", ","")&amp;"Poissons","")&amp;IF(AA48="X",IF(COUNTIF(W48:Z48,"X")&gt;0,", ","")&amp;"Arachides","")&amp;IF(AB48="X",IF(COUNTIF(W48:AA48,"X")&gt;0,", ","")&amp;"Soja","")&amp;IF(AC48="X",IF(COUNTIF(W48:AB48,"X")&gt;0,", ","")&amp;"Lait","")&amp;IF(AD48="X",IF(COUNTIF(W48:AC48,"X")&gt;0,", ","")&amp;"Fruits à coque","")&amp;IF(AE48="X",IF(COUNTIF(W48:AD48,"X")&gt;0,", ","")&amp;"Céleri","")&amp;IF(AF48="X",IF(COUNTIF(W48:AE48,"X")&gt;0,", ","")&amp;"Moutarde","")&amp;IF(AG48="X",IF(COUNTIF(W48:AF48,"X")&gt;0,", ","")&amp;"Sésame","")&amp;IF(AH48="X",IF(COUNTIF(W48:AG48,"X")&gt;0,", ","")&amp;"Sulfites","")&amp;IF(AI48="X",IF(COUNTIF(W48:AH48,"X")&gt;0,", ","")&amp;"Lupin","")&amp;IF(AJ48="X",IF(COUNTIF(W48:AI48,"X")&gt;0,", ","")&amp;"Mollusques","")),"")</f>
        <v>Lait</v>
      </c>
      <c r="W48" s="182" t="str">
        <f>IF(37=37,IF(T48="","",AX48),"")</f>
        <v/>
      </c>
      <c r="X48" s="182" t="str">
        <f>IF(37=37,IF(T48="","",BA48),"")</f>
        <v/>
      </c>
      <c r="Y48" s="182" t="str">
        <f>IF(37=37,IF(T48="","",BE48),"")</f>
        <v/>
      </c>
      <c r="Z48" s="182" t="str">
        <f>IF(37=37,IF(T48="","",IF(ISNUMBER(SEARCH(" colin ",AS48)),"X",BR48)),"")</f>
        <v/>
      </c>
      <c r="AA48" s="182" t="str">
        <f>IF(37=37,IF(T48="","",BT48),"")</f>
        <v/>
      </c>
      <c r="AB48" s="182" t="str">
        <f>IF(37=37,IF(T48="","",BX48),"")</f>
        <v/>
      </c>
      <c r="AC48" s="182" t="str">
        <f>IF(37=37,IF(T48="","",CE48),"")</f>
        <v>X</v>
      </c>
      <c r="AD48" s="182" t="str">
        <f>IF(37=37,IF(T48="","",CI48),"")</f>
        <v/>
      </c>
      <c r="AE48" s="182" t="str">
        <f>IF(37=37,IF(T48="","",CL48),"")</f>
        <v/>
      </c>
      <c r="AF48" s="182" t="str">
        <f>IF(37=37,IF(T48="","",CO48),"")</f>
        <v/>
      </c>
      <c r="AG48" s="182" t="str">
        <f>IF(37=37,IF(T48="","",CR48),"")</f>
        <v/>
      </c>
      <c r="AH48" s="182" t="str">
        <f>IF(37=37,IF(T48="","",CU48),"")</f>
        <v/>
      </c>
      <c r="AI48" s="182" t="str">
        <f>IF(37=37,IF(T48="","",CX48),"")</f>
        <v/>
      </c>
      <c r="AJ48" s="182" t="str">
        <f>IF(37=37,IF(T48="","",DD48),"")</f>
        <v/>
      </c>
      <c r="AK48" s="183" t="str">
        <f>IF(37=37,IF(T48="","",IF(W48="?",""&amp;"Céréales contenant du gluten","")&amp;IF(X48="?",IF(COUNTIF(W48:W48,"~?")&gt;0,", ","")&amp;"Crustacés","")&amp;IF(Y48="?",IF(COUNTIF(W48:X48,"~?")&gt;0,", ","")&amp;"Œufs","")&amp;IF(Z48="?",IF(COUNTIF(W48:Y48,"~?")&gt;0,", ","")&amp;"Poissons","")&amp;IF(AA48="?",IF(COUNTIF(W48:Z48,"~?")&gt;0,", ","")&amp;"Arachides","")&amp;IF(AB48="?",IF(COUNTIF(W48:AA48,"~?")&gt;0,", ","")&amp;"Soja","")&amp;IF(AC48="?",IF(COUNTIF(W48:AB48,"~?")&gt;0,", ","")&amp;"Lait","")&amp;IF(AD48="?",IF(COUNTIF(W48:AC48,"~?")&gt;0,", ","")&amp;"Fruits à coque","")&amp;IF(AE48="?",IF(COUNTIF(W48:AD48,"~?")&gt;0,", ","")&amp;"Céleri","")&amp;IF(AF48="?",IF(COUNTIF(W48:AE48,"~?")&gt;0,", ","")&amp;"Moutarde","")&amp;IF(AG48="?",IF(COUNTIF(W48:AF48,"~?")&gt;0,", ","")&amp;"Sésame","")&amp;IF(AH48="?",IF(COUNTIF(W48:AG48,"~?")&gt;0,", ","")&amp;"Sulfites","")&amp;IF(AI48="?",IF(COUNTIF(W48:AH48,"~?")&gt;0,", ","")&amp;"Lupin","")&amp;IF(AJ48="?",IF(COUNTIF(W48:AI48,"~?")&gt;0,", ","")&amp;"Mollusques","")),"")</f>
        <v/>
      </c>
      <c r="AM48" s="127" t="str">
        <f>IF(37=37,IF(T48="","",T48),"")</f>
        <v xml:space="preserve">8. Laissez tiédir, saupoudrez de sucre glace et servez avec une touche de crème </v>
      </c>
      <c r="AN48" s="127" t="str">
        <f>IF(37=37,LOWER(CLEAN(SUBSTITUTE(SUBSTITUTE(SUBSTITUTE(SUBSTITUTE(AM48,CHAR(160)," ")," "," "),CHAR(10)," "),CHAR(13)," "))),"")</f>
        <v xml:space="preserve">8. laissez tiédir, saupoudrez de sucre glace et servez avec une touche de crème </v>
      </c>
      <c r="AO48" s="127" t="str">
        <f>IF(37=37,SUBSTITUTE(SUBSTITUTE(SUBSTITUTE(SUBSTITUTE(SUBSTITUTE(SUBSTITUTE(SUBSTITUTE(SUBSTITUTE(SUBSTITUTE(SUBSTITUTE(SUBSTITUTE(SUBSTITUTE(AN48,"œ","oe"),"æ","ae"),"à","a"),"á","a"),"â","a"),"ä","a"),"ã","a"),"ç","c"),"è","e"),"é","e"),"ê","e"),"ë","e"),"")</f>
        <v xml:space="preserve">8. laissez tiedir, saupoudrez de sucre glace et servez avec une touche de creme </v>
      </c>
      <c r="AP48" s="127" t="str">
        <f>IF(37=37,SUBSTITUTE(SUBSTITUTE(SUBSTITUTE(SUBSTITUTE(SUBSTITUTE(SUBSTITUTE(SUBSTITUTE(SUBSTITUTE(SUBSTITUTE(SUBSTITUTE(SUBSTITUTE(SUBSTITUTE(SUBSTITUTE(SUBSTITUTE(SUBSTITUTE(SUBSTITUTE(AO48,"ì","i"),"í","i"),"î","i"),"ï","i"),"ñ","n"),"ò","o"),"ó","o"),"ô","o"),"ö","o"),"õ","o"),"ù","u"),"ú","u"),"û","u"),"ü","u"),"ý","y"),"ÿ","y"),"")</f>
        <v xml:space="preserve">8. laissez tiedir, saupoudrez de sucre glace et servez avec une touche de creme </v>
      </c>
      <c r="AQ48" s="127" t="str">
        <f>IF(37=37,SUBSTITUTE(SUBSTITUTE(SUBSTITUTE(SUBSTITUTE(SUBSTITUTE(SUBSTITUTE(SUBSTITUTE(SUBSTITUTE(SUBSTITUTE(SUBSTITUTE(SUBSTITUTE(SUBSTITUTE(SUBSTITUTE(SUBSTITUTE(AP48,"’"," "),"`"," "),"–"," "),"—"," "),"-"," "),"'"," "),"/"," "),"_"," "),","," "),"."," "),"("," "),")"," "),";"," "),":"," "),"")</f>
        <v xml:space="preserve">8  laissez tiedir  saupoudrez de sucre glace et servez avec une touche de creme </v>
      </c>
      <c r="AR48" s="127" t="str">
        <f>IF(37=37,SUBSTITUTE(SUBSTITUTE(SUBSTITUTE(SUBSTITUTE(SUBSTITUTE(SUBSTITUTE(SUBSTITUTE(SUBSTITUTE(SUBSTITUTE(SUBSTITUTE(SUBSTITUTE(SUBSTITUTE(SUBSTITUTE(SUBSTITUTE(SUBSTITUTE(AQ48,"!"," "),"?"," "),"+"," "),"*"," "),"&amp;"," "),"["," "),"]"," "),"{"," "),"}"," "),"%"," "),"="," "),"\"," "),"|"," "),"&lt;"," "),"&gt;"," "),"")</f>
        <v xml:space="preserve">8  laissez tiedir  saupoudrez de sucre glace et servez avec une touche de creme </v>
      </c>
      <c r="AS48" s="127" t="str">
        <f>IF(37=37," "&amp;TRIM(SUBSTITUTE(SUBSTITUTE(SUBSTITUTE(SUBSTITUTE(SUBSTITUTE(SUBSTITUTE(AR48,CHAR(34)," "),"  "," "),"  "," "),"  "," "),"  "," "),"  "," "))&amp;" ","")</f>
        <v xml:space="preserve"> 8 laissez tiedir saupoudrez de sucre glace et servez avec une touche de creme </v>
      </c>
      <c r="AT48" s="127" cm="1">
        <f t="array" ref="AT48">IF(37=37,IF(AM48="","",SUMPRODUCT(--ISNUMBER(SEARCH(" "&amp;DJ13:DJ112&amp;" ",AV48)))),"")</f>
        <v>0</v>
      </c>
      <c r="AU48" s="127" cm="1">
        <f t="array" ref="AU48">IF(37=37,IF(AM48="","",SUMPRODUCT(--ISNUMBER(SEARCH(" "&amp;DJ113:DJ162&amp;" ",AV48)))),"")</f>
        <v>0</v>
      </c>
      <c r="AV48" s="127" t="str">
        <f>IF(AM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8 laissez tiedir saupoudrez de sucre glace et servez avec une touche de creme </v>
      </c>
      <c r="AW48" s="127" cm="1">
        <f t="array" ref="AW48">IF(AM48="","",SUMPRODUCT(--ISNUMBER(SEARCH(" "&amp;DJ195:DJ216&amp;" ",AV48)))+--ISNUMBER(SEARCH(" "&amp;DJ2465&amp;" ",AV48)))</f>
        <v>0</v>
      </c>
      <c r="AX48" s="127" t="str" cm="1">
        <f t="array" ref="AX48">IF(37=37,IF(AM48="","",IF(SUM(AT48:AU48)+SUMPRODUCT(--ISNUMBER(SEARCH(" "&amp;DJ2429:DJ2431&amp;" ",AV48)))&gt;0,"X",IF(AW48&gt;0,"?",""))),"")</f>
        <v/>
      </c>
      <c r="AY48" s="127" cm="1">
        <f t="array" ref="AY48">IF(37=37,IF(AM48="","",SUMPRODUCT(--ISNUMBER(SEARCH(" "&amp;DJ217:DJ316&amp;" ",AS48)))),"")</f>
        <v>0</v>
      </c>
      <c r="AZ48" s="127" cm="1">
        <f t="array" ref="AZ48">IF(37=37,IF(AM48="","",SUMPRODUCT(--ISNUMBER(SEARCH(" "&amp;DJ317:DJ351&amp;" ",AS48)))),"")</f>
        <v>0</v>
      </c>
      <c r="BA48" s="127" t="str">
        <f>IF(37=37,IF(AM48="","",IF((SUM(AY48:AZ48))-(0)&gt;0,"X",IF((0)-(0)&gt;0,"?",""))),"")</f>
        <v/>
      </c>
      <c r="BB48" s="127" cm="1">
        <f t="array" ref="BB48">IF(37=37,IF(AM48="","",SUMPRODUCT(--ISNUMBER(SEARCH(" "&amp;DJ352:DJ409&amp;" ",AS48)))),"")</f>
        <v>0</v>
      </c>
      <c r="BC48" s="127" cm="1">
        <f t="array" ref="BC48">IF(37=37,IF(AM48="","",SUMPRODUCT(--ISNUMBER(SEARCH(" "&amp;DJ410:DJ437&amp;" ",BD48)))+SUMPRODUCT(--ISNUMBER(SEARCH(" "&amp;DJ2451:DJ2464&amp;" ",BD48)))),"")</f>
        <v>0</v>
      </c>
      <c r="BD48" s="127" t="str">
        <f>IF(37=37,IF(AM48="","",SUBSTITUTE(SUBSTITUTE(SUBSTITUTE(SUBSTITUTE(SUBSTITUTE(SUBSTITUTE(SUBSTITUTE(SUBSTITUTE(SUBSTITUTE(SUBSTITUTE(SUBSTITUTE(SUBSTITUTE(SUBSTITUTE(SUBSTITUTE(AS48," "&amp;DJ2466&amp;" "," ")," "&amp;DJ444&amp;" "," ")," "&amp;DJ442&amp;" "," ")," "&amp;DJ2449&amp;" "," ")," "&amp;DJ2450&amp;" "," ")," "&amp;DJ439&amp;" "," ")," "&amp;DJ443&amp;" "," ")," "&amp;DJ445&amp;" "," ")," "&amp;DJ440&amp;" "," ")," "&amp;DJ438&amp;" "," ")," "&amp;DJ1378&amp;" "," ")," "&amp;DJ446&amp;" "," ")," "&amp;DJ1377&amp;" "," ")," "&amp;DJ441&amp;" "," ")),"")</f>
        <v xml:space="preserve"> 8 laissez tiedir saupoudrez de et servez avec une touche de creme </v>
      </c>
      <c r="BE48" s="127" t="str">
        <f>IF(37=37,IF(AM48="","",IF(BB48&gt;0,"X",IF(BC48&gt;0,"?",""))),"")</f>
        <v/>
      </c>
      <c r="BF48" s="127" cm="1">
        <f t="array" ref="BF48">IF(37=37,IF(AM48="","",SUMPRODUCT(--ISNUMBER(SEARCH(" "&amp;DJ447:DJ546&amp;" ",BP48)))),"")</f>
        <v>0</v>
      </c>
      <c r="BG48" s="127" cm="1">
        <f t="array" ref="BG48">IF(37=37,IF(AM48="","",SUMPRODUCT(--ISNUMBER(SEARCH(" "&amp;DJ547:DJ646&amp;" ",BP48)))),"")</f>
        <v>0</v>
      </c>
      <c r="BH48" s="127" cm="1">
        <f t="array" ref="BH48">IF(37=37,IF(AM48="","",SUMPRODUCT(--ISNUMBER(SEARCH(" "&amp;DJ647:DJ746&amp;" ",BP48)))),"")</f>
        <v>0</v>
      </c>
      <c r="BI48" s="127" cm="1">
        <f t="array" ref="BI48">IF(37=37,IF(AM48="","",SUMPRODUCT(--ISNUMBER(SEARCH(" "&amp;DJ747:DJ846&amp;" ",BP48)))),"")</f>
        <v>0</v>
      </c>
      <c r="BJ48" s="127" cm="1">
        <f t="array" ref="BJ48">IF(37=37,IF(AM48="","",SUMPRODUCT(--ISNUMBER(SEARCH(" "&amp;DJ847:DJ946&amp;" ",BP48)))),"")</f>
        <v>0</v>
      </c>
      <c r="BK48" s="127" cm="1">
        <f t="array" ref="BK48">IF(37=37,IF(AM48="","",SUMPRODUCT(--ISNUMBER(SEARCH(" "&amp;DJ947:DJ1046&amp;" ",BP48)))),"")</f>
        <v>0</v>
      </c>
      <c r="BL48" s="127" cm="1">
        <f t="array" ref="BL48">IF(37=37,IF(AM48="","",SUMPRODUCT(--ISNUMBER(SEARCH(" "&amp;DJ1047:DJ1146&amp;" ",BP48)))),"")</f>
        <v>0</v>
      </c>
      <c r="BM48" s="127" cm="1">
        <f t="array" ref="BM48">IF(37=37,IF(AM48="","",SUMPRODUCT(--ISNUMBER(SEARCH(" "&amp;DJ1147:DJ1246&amp;" ",BP48)))),"")</f>
        <v>0</v>
      </c>
      <c r="BN48" s="127" cm="1">
        <f t="array" ref="BN48">IF(37=37,IF(AM48="","",SUMPRODUCT(--ISNUMBER(SEARCH(" "&amp;DJ1247:DJ1346&amp;" ",BP48)))),"")</f>
        <v>0</v>
      </c>
      <c r="BO48" s="127" cm="1">
        <f t="array" ref="BO48">IF(37=37,IF(AM48="","",SUMPRODUCT(--ISNUMBER(SEARCH(" "&amp;DJ1347:DJ1374&amp;" ",BP48)))),"")</f>
        <v>0</v>
      </c>
      <c r="BP48" s="127" t="str">
        <f>IF(37=37,IF(AM48="","",SUBSTITUTE(SUBSTITUTE(SUBSTITUTE(SUBSTITUTE(SUBSTITUTE(SUBSTITUTE(SUBSTITUTE(SUBSTITUTE(SUBSTITUTE(AS48," "&amp;DJ1376&amp;" "," ")," "&amp;DJ1375&amp;" "," ")," "&amp;DJ1381&amp;" "," ")," "&amp;DJ1382&amp;" "," ")," "&amp;DJ1378&amp;" "," ")," "&amp;DJ1380&amp;" "," ")," "&amp;DJ1377&amp;" "," ")," "&amp;DJ1379&amp;" "," ")," "&amp;DJ1383&amp;" "," ")),"")</f>
        <v xml:space="preserve"> 8 laissez tiedir saupoudrez de sucre glace et servez avec une touche de creme </v>
      </c>
      <c r="BQ48" s="127" cm="1">
        <f t="array" ref="BQ48">IF(37=37,IF(AM48="","",SUMPRODUCT(--ISNUMBER(SEARCH(" "&amp;DJ1384:DJ1394&amp;" ",BP48)))),"")</f>
        <v>0</v>
      </c>
      <c r="BR48" s="127" t="str" cm="1">
        <f t="array" ref="BR48">IF(37=37,IF(AM48="","",IF(SUM(BF48:BO48)+SUMPRODUCT(--ISNUMBER(SEARCH(" "&amp;DJ2432:DJ2433&amp;" ",BP48)))&gt;0,"X",IF(BQ48&gt;0,"?",""))),"")</f>
        <v/>
      </c>
      <c r="BS48" s="127" cm="1">
        <f t="array" ref="BS48">IF(37=37,IF(AM48="","",SUMPRODUCT(--ISNUMBER(SEARCH(" "&amp;DJ1395:DJ1415&amp;" ",AS48)))),"")</f>
        <v>0</v>
      </c>
      <c r="BT48" s="127" t="str">
        <f>IF(37=37,IF(AM48="","",IF((BS48)-(0)&gt;0,"X",IF((0)-(0)&gt;0,"?",""))),"")</f>
        <v/>
      </c>
      <c r="BU48" s="127" cm="1">
        <f t="array" ref="BU48">IF(37=37,IF(AM48="","",SUMPRODUCT(--ISNUMBER(SEARCH(" "&amp;DJ1416:DJ1453&amp;" ",BV48)))),"")</f>
        <v>0</v>
      </c>
      <c r="BV48" s="127" t="str">
        <f>IF(37=37,IF(AM48="","",SUBSTITUTE(SUBSTITUTE(AS48," "&amp;DJ1454&amp;" "," ")," "&amp;DJ1455&amp;" "," ")),"")</f>
        <v xml:space="preserve"> 8 laissez tiedir saupoudrez de sucre glace et servez avec une touche de creme </v>
      </c>
      <c r="BW48" s="127" cm="1">
        <f t="array" ref="BW48">IF(37=37,IF(AM48="","",SUMPRODUCT(--ISNUMBER(SEARCH(" "&amp;DJ1456:DJ1466&amp;" ",BV48)))),"")</f>
        <v>0</v>
      </c>
      <c r="BX48" s="127" t="str">
        <f>IF(37=37,IF(AM48="","",IF(BU48&gt;0,"X",IF(BW48&gt;0,"?",""))),"")</f>
        <v/>
      </c>
      <c r="BY48" s="127" cm="1">
        <f t="array" ref="BY48">IF(37=37,IF(AM48="","",SUMPRODUCT(--ISNUMBER(SEARCH(" "&amp;DJ1467:DJ1566&amp;" ",CB48)))),"")</f>
        <v>1</v>
      </c>
      <c r="BZ48" s="127" cm="1">
        <f t="array" ref="BZ48">IF(37=37,IF(AM48="","",SUMPRODUCT(--ISNUMBER(SEARCH(" "&amp;DJ1567:DJ1666&amp;" ",CB48)))),"")</f>
        <v>0</v>
      </c>
      <c r="CA48" s="127" cm="1">
        <f t="array" ref="CA48">IF(37=37,IF(AM48="","",SUMPRODUCT(--ISNUMBER(SEARCH(" "&amp;DJ1667:DJ1750&amp;" ",CB48)))),"")</f>
        <v>0</v>
      </c>
      <c r="CB48" s="127" t="str">
        <f>IF(37=37,IF(AM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8 laissez tiedir saupoudrez de et servez avec une touche de creme </v>
      </c>
      <c r="CC48" s="127" cm="1">
        <f t="array" ref="CC48">IF(37=37,IF(AM48="","",SUMPRODUCT(--ISNUMBER(SEARCH(" "&amp;DJ1801:DJ1880&amp;" ",CD48)))+SUMPRODUCT(--ISNUMBER(SEARCH(" "&amp;DJ2451:DJ2464&amp;" ",CD48)))),"")</f>
        <v>0</v>
      </c>
      <c r="CD48" s="127" t="str">
        <f>IF(37=37,IF(AM48="","",SUBSTITUTE(SUBSTITUTE(SUBSTITUTE(SUBSTITUTE(SUBSTITUTE(SUBSTITUTE(SUBSTITUTE(SUBSTITUTE(SUBSTITUTE(SUBSTITUTE(SUBSTITUTE(SUBSTITUTE(SUBSTITUTE(CB48," "&amp;DJ1887&amp;" "," ")," "&amp;DJ1885&amp;" "," ")," "&amp;DJ2449&amp;" "," ")," "&amp;DJ2450&amp;" "," ")," "&amp;DJ1882&amp;" "," ")," "&amp;DJ1886&amp;" "," ")," "&amp;DJ1888&amp;" "," ")," "&amp;DJ1883&amp;" "," ")," "&amp;DJ1881&amp;" "," ")," "&amp;DJ1378&amp;" "," ")," "&amp;DJ1889&amp;" "," ")," "&amp;DJ1377&amp;" "," ")," "&amp;DJ1884&amp;" "," ")),"")</f>
        <v xml:space="preserve"> 8 laissez tiedir saupoudrez de et servez avec une touche de creme </v>
      </c>
      <c r="CE48" s="127" t="str" cm="1">
        <f t="array" ref="CE48">IF(37=37,IF(AM48="","",IF(SUM(BY48:CA48)+SUMPRODUCT(--ISNUMBER(SEARCH(" "&amp;DJ2434:DJ2435&amp;" ",CB48)))&gt;0,"X",IF(CC48&gt;0,"?",""))),"")</f>
        <v>X</v>
      </c>
      <c r="CF48" s="127" cm="1">
        <f t="array" ref="CF48">IF(37=37,IF(AM48="","",SUMPRODUCT(--ISNUMBER(SEARCH(" "&amp;DJ1890:DJ1947&amp;" ",CG48)))),"")</f>
        <v>0</v>
      </c>
      <c r="CG48" s="127" t="str">
        <f>IF(37=37,IF(AM48="","",SUBSTITUTE(SUBSTITUTE(SUBSTITUTE(SUBSTITUTE(SUBSTITUTE(SUBSTITUTE(SUBSTITUTE(SUBSTITUTE(SUBSTITUTE(SUBSTITUTE(SUBSTITUTE(SUBSTITUTE(SUBSTITUTE(SUBSTITUTE(SUBSTITUTE(SUBSTITUTE(SUBSTITUTE(SUBSTITUTE(SUBSTITUTE(SUBSTITUTE(SUBSTITUTE(SUBSTITUTE(SUBSTITUTE(AS48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8 laissez tiedir saupoudrez de sucre glace et servez avec une touche de creme </v>
      </c>
      <c r="CH48" s="127" cm="1">
        <f t="array" ref="CH48">IF(37=37,IF(AM48="","",SUMPRODUCT(--ISNUMBER(SEARCH(" "&amp;DJ1971:DJ1987&amp;" ",CG48)))),"")</f>
        <v>0</v>
      </c>
      <c r="CI48" s="127" t="str">
        <f>IF(37=37,IF(AM48="","",IF(CF48&gt;0,"X",IF(CH48&gt;0,"?",""))),"")</f>
        <v/>
      </c>
      <c r="CJ48" s="127" cm="1">
        <f t="array" ref="CJ48">IF(37=37,IF(AM48="","",SUMPRODUCT(--ISNUMBER(SEARCH(" "&amp;DJ1988:DJ2001&amp;" ",AS48)))),"")</f>
        <v>0</v>
      </c>
      <c r="CK48" s="127" cm="1">
        <f t="array" ref="CK48">IF(37=37,IF(AM48="","",SUMPRODUCT(--ISNUMBER(SEARCH(" "&amp;DJ2002:DJ2016&amp;" ",AS48)))),"")</f>
        <v>0</v>
      </c>
      <c r="CL48" s="127" t="str">
        <f>IF(37=37,IF(AM48="","",IF((CJ48)-(0)&gt;0,"X",IF((CK48)-(0)&gt;0,"?",""))),"")</f>
        <v/>
      </c>
      <c r="CM48" s="127" cm="1">
        <f t="array" ref="CM48">IF(37=37,IF(AM48="","",SUMPRODUCT(--ISNUMBER(SEARCH(" "&amp;DJ2017:DJ2034&amp;" ",AS48)))),"")</f>
        <v>0</v>
      </c>
      <c r="CN48" s="127" cm="1">
        <f t="array" ref="CN48">IF(37=37,IF(AM48="","",SUMPRODUCT(--ISNUMBER(SEARCH(" "&amp;DJ2035:DJ2049&amp;" ",AS48)))),"")</f>
        <v>0</v>
      </c>
      <c r="CO48" s="127" t="str">
        <f>IF(37=37,IF(AM48="","",IF((CM48)-(0)&gt;0,"X",IF((CN48)-(0)&gt;0,"?",""))),"")</f>
        <v/>
      </c>
      <c r="CP48" s="127" cm="1">
        <f t="array" ref="CP48">IF(37=37,IF(AM48="","",SUMPRODUCT(--ISNUMBER(SEARCH(" "&amp;DJ2050:DJ2068&amp;" ",AS48)))),"")</f>
        <v>0</v>
      </c>
      <c r="CQ48" s="127" cm="1">
        <f t="array" ref="CQ48">IF(37=37,IF(AM48="","",SUMPRODUCT(--ISNUMBER(SEARCH(" "&amp;DJ2069:DJ2083&amp;" ",AS48)))),"")</f>
        <v>0</v>
      </c>
      <c r="CR48" s="127" t="str">
        <f>IF(37=37,IF(AM48="","",IF((CP48)-(0)&gt;0,"X",IF((CQ48)-(0)&gt;0,"?",""))),"")</f>
        <v/>
      </c>
      <c r="CS48" s="127" cm="1">
        <f t="array" ref="CS48">IF(37=37,IF(AM48="","",SUMPRODUCT(--ISNUMBER(SEARCH(" "&amp;DJ2084:DJ2104&amp;" ",AS48)))),"")</f>
        <v>0</v>
      </c>
      <c r="CT48" s="127" cm="1">
        <f t="array" ref="CT48">IF(37=37,IF(AM48="","",SUMPRODUCT(--ISNUMBER(SEARCH(" "&amp;DJ2105:DJ2144&amp;" ",SUBSTITUTE(SUBSTITUTE(AS48," "&amp;DJ1378&amp;" "," ")," "&amp;DJ1377&amp;" "," "))))+--ISNUMBER(SEARCH("poiré",AN48))),"")</f>
        <v>0</v>
      </c>
      <c r="CU48" s="127" t="str">
        <f>IF(37=37,IF(AM48="","",IF(OR(CS48&gt;0,ISNUMBER(SEARCH(" vinaigre de vin ",AS48)),ISNUMBER(SEARCH(" vinaigre au vin ",AS48))),"X",IF(CT48&gt;0,"?",""))),"")</f>
        <v/>
      </c>
      <c r="CV48" s="127" cm="1">
        <f t="array" ref="CV48">IF(37=37,IF(AM48="","",SUMPRODUCT(--ISNUMBER(SEARCH(" "&amp;DJ2145:DJ2157&amp;" ",AS48)))),"")</f>
        <v>0</v>
      </c>
      <c r="CW48" s="127" cm="1">
        <f t="array" ref="CW48">IF(37=37,IF(AM48="","",SUMPRODUCT(--ISNUMBER(SEARCH(" "&amp;DJ2158:DJ2163&amp;" ",AS48)))),"")</f>
        <v>0</v>
      </c>
      <c r="CX48" s="127" t="str">
        <f>IF(37=37,IF(AM48="","",IF((CV48)-(0)&gt;0,"X",IF((CW48)-(0)&gt;0,"?",""))),"")</f>
        <v/>
      </c>
      <c r="CY48" s="127" cm="1">
        <f t="array" ref="CY48">IF(37=37,IF(AM48="","",SUMPRODUCT(--ISNUMBER(SEARCH(" "&amp;DJ2164:DJ2263&amp;" ",DB48)))),"")</f>
        <v>0</v>
      </c>
      <c r="CZ48" s="127" cm="1">
        <f t="array" ref="CZ48">IF(37=37,IF(AM48="","",SUMPRODUCT(--ISNUMBER(SEARCH(" "&amp;DJ2264:DJ2363&amp;" ",DB48)))),"")</f>
        <v>0</v>
      </c>
      <c r="DA48" s="127" cm="1">
        <f t="array" ref="DA48">IF(37=37,IF(AM48="","",SUMPRODUCT(--ISNUMBER(SEARCH(" "&amp;DJ2364:DJ2406&amp;" ",DB48)))),"")</f>
        <v>0</v>
      </c>
      <c r="DB48" s="127" t="str">
        <f>IF(37=37,IF(AM48="","",SUBSTITUTE(SUBSTITUTE(SUBSTITUTE(SUBSTITUTE(SUBSTITUTE(SUBSTITUTE(SUBSTITUTE(SUBSTITUTE(SUBSTITUTE(SUBSTITUTE(SUBSTITUTE(SUBSTITUTE(SUBSTITUTE(SUBSTITUTE(SUBSTITUTE(SUBSTITUTE(AS48," "&amp;DJ2412&amp;" "," ")," "&amp;DJ2411&amp;" "," ")," "&amp;DJ2410&amp;" "," ")," "&amp;DJ2417&amp;" "," ")," "&amp;DJ2409&amp;" "," ")," "&amp;DJ2421&amp;" "," ")," "&amp;DJ2408&amp;" "," ")," "&amp;DJ2413&amp;" "," ")," "&amp;DJ2416&amp;" "," ")," "&amp;DJ2407&amp;" "," ")," "&amp;DJ2415&amp;" "," ")," "&amp;DJ2422&amp;" "," ")," "&amp;DJ2419&amp;" "," ")," "&amp;DJ2414&amp;" "," ")," "&amp;DJ2418&amp;" "," ")," "&amp;DJ2420&amp;" "," ")),"")</f>
        <v xml:space="preserve"> 8 laissez tiedir saupoudrez de sucre glace et servez avec une touche de creme </v>
      </c>
      <c r="DC48" s="127" cm="1">
        <f t="array" ref="DC48">IF(37=37,IF(AM48="","",SUMPRODUCT(--ISNUMBER(SEARCH(" "&amp;DJ2423:DJ2427&amp;" ",DB48)))),"")</f>
        <v>0</v>
      </c>
      <c r="DD48" s="127" t="str">
        <f>IF(37=37,IF(AM48="","",IF(SUM(CY48:DA48)&gt;0,"X",IF(DC48&gt;0,"?",""))),"")</f>
        <v/>
      </c>
      <c r="DE48" s="152"/>
      <c r="DF48" s="160" t="s">
        <v>728</v>
      </c>
      <c r="DG48" s="160" t="s">
        <v>584</v>
      </c>
      <c r="DH48" s="160" t="s">
        <v>125</v>
      </c>
      <c r="DI48" s="160" t="s">
        <v>729</v>
      </c>
      <c r="DJ48" s="160" t="s">
        <v>377</v>
      </c>
      <c r="DK48" s="160" t="s">
        <v>588</v>
      </c>
      <c r="DL48" s="160" t="s">
        <v>589</v>
      </c>
      <c r="DM48" s="160" t="s">
        <v>590</v>
      </c>
      <c r="DN48" s="161" t="s">
        <v>591</v>
      </c>
      <c r="DP48" s="130">
        <v>1</v>
      </c>
    </row>
    <row r="49" spans="2:120" ht="30" customHeight="1">
      <c r="B49" s="165" t="str">
        <f t="shared" si="0"/>
        <v/>
      </c>
      <c r="C49" s="165" t="str">
        <f t="shared" si="1"/>
        <v/>
      </c>
      <c r="D49" s="165" t="str">
        <f>IF(UPPER(TRIM(N11))="X",C49,B49)</f>
        <v/>
      </c>
      <c r="E49" s="165" cm="1">
        <f t="array" ref="E49">IF(H48&lt;&gt;"",E48,IF(E48="","",IFERROR(MATCH(TRUE(),INDEX(INDEX(K:K,E48+1):K203&lt;&gt;"",0),0)+E48,"")))</f>
        <v>40</v>
      </c>
      <c r="F49" s="165" t="str" cm="1">
        <f t="array" ref="F49">IF(E49="","",IF(H48&lt;&gt;"",H48,INDEX(D:D,E49)))</f>
        <v>fraîche.</v>
      </c>
      <c r="G49" s="165" t="str">
        <f t="shared" si="2"/>
        <v>fraîche.</v>
      </c>
      <c r="H49" s="174" t="str">
        <f t="shared" si="3"/>
        <v/>
      </c>
      <c r="I49" s="184" t="str">
        <f>IF(AND(F49&lt;&gt;"",N10&gt;0,M49&gt;N10),"Mot &gt; limite","")</f>
        <v/>
      </c>
      <c r="J49" s="175" t="str">
        <f>IF(K49="","",COUNTIF(K18:K49,"&lt;&gt;"))</f>
        <v/>
      </c>
      <c r="K49" s="111"/>
      <c r="L49" s="175" t="str">
        <f t="shared" si="4"/>
        <v/>
      </c>
      <c r="M49" s="135">
        <f>IF(OR(F49="",N10="",N10&lt;=0),"",IF(LEN(F49)&lt;=N10,LEN(F49),IFERROR(FIND("♦",SUBSTITUTE(LEFT(F49,N10)," ","♦",LEN(LEFT(F49,N10))-LEN(SUBSTITUTE(LEFT(F49,N10)," ","")))),FIND(" ",F49&amp;" ",N10+1)-1)))</f>
        <v>8</v>
      </c>
      <c r="N49" s="176">
        <f t="shared" si="5"/>
        <v>32</v>
      </c>
      <c r="O49" s="177" t="str">
        <f t="shared" si="6"/>
        <v>fraîche.</v>
      </c>
      <c r="P49" s="176">
        <f t="shared" si="7"/>
        <v>1</v>
      </c>
      <c r="Q49" s="176">
        <f t="shared" si="8"/>
        <v>8</v>
      </c>
      <c r="S49" s="178">
        <v>32</v>
      </c>
      <c r="T49" s="179" t="str">
        <f t="shared" si="10"/>
        <v>fraîche.</v>
      </c>
      <c r="U49" s="180" t="str">
        <f t="shared" si="9"/>
        <v>fraîche.</v>
      </c>
      <c r="V49" s="181" t="str">
        <f>IF(38=38,IF(T49="","",IF(W49="X",""&amp;"Céréales contenant du gluten","")&amp;IF(X49="X",IF(COUNTIF(W49:W49,"X")&gt;0,", ","")&amp;"Crustacés","")&amp;IF(Y49="X",IF(COUNTIF(W49:X49,"X")&gt;0,", ","")&amp;"Œufs","")&amp;IF(Z49="X",IF(COUNTIF(W49:Y49,"X")&gt;0,", ","")&amp;"Poissons","")&amp;IF(AA49="X",IF(COUNTIF(W49:Z49,"X")&gt;0,", ","")&amp;"Arachides","")&amp;IF(AB49="X",IF(COUNTIF(W49:AA49,"X")&gt;0,", ","")&amp;"Soja","")&amp;IF(AC49="X",IF(COUNTIF(W49:AB49,"X")&gt;0,", ","")&amp;"Lait","")&amp;IF(AD49="X",IF(COUNTIF(W49:AC49,"X")&gt;0,", ","")&amp;"Fruits à coque","")&amp;IF(AE49="X",IF(COUNTIF(W49:AD49,"X")&gt;0,", ","")&amp;"Céleri","")&amp;IF(AF49="X",IF(COUNTIF(W49:AE49,"X")&gt;0,", ","")&amp;"Moutarde","")&amp;IF(AG49="X",IF(COUNTIF(W49:AF49,"X")&gt;0,", ","")&amp;"Sésame","")&amp;IF(AH49="X",IF(COUNTIF(W49:AG49,"X")&gt;0,", ","")&amp;"Sulfites","")&amp;IF(AI49="X",IF(COUNTIF(W49:AH49,"X")&gt;0,", ","")&amp;"Lupin","")&amp;IF(AJ49="X",IF(COUNTIF(W49:AI49,"X")&gt;0,", ","")&amp;"Mollusques","")),"")</f>
        <v/>
      </c>
      <c r="W49" s="182" t="str">
        <f>IF(38=38,IF(T49="","",AX49),"")</f>
        <v/>
      </c>
      <c r="X49" s="182" t="str">
        <f>IF(38=38,IF(T49="","",BA49),"")</f>
        <v/>
      </c>
      <c r="Y49" s="182" t="str">
        <f>IF(38=38,IF(T49="","",BE49),"")</f>
        <v/>
      </c>
      <c r="Z49" s="182" t="str">
        <f>IF(38=38,IF(T49="","",IF(ISNUMBER(SEARCH(" colin ",AS49)),"X",BR49)),"")</f>
        <v/>
      </c>
      <c r="AA49" s="182" t="str">
        <f>IF(38=38,IF(T49="","",BT49),"")</f>
        <v/>
      </c>
      <c r="AB49" s="182" t="str">
        <f>IF(38=38,IF(T49="","",BX49),"")</f>
        <v/>
      </c>
      <c r="AC49" s="182" t="str">
        <f>IF(38=38,IF(T49="","",CE49),"")</f>
        <v/>
      </c>
      <c r="AD49" s="182" t="str">
        <f>IF(38=38,IF(T49="","",CI49),"")</f>
        <v/>
      </c>
      <c r="AE49" s="182" t="str">
        <f>IF(38=38,IF(T49="","",CL49),"")</f>
        <v/>
      </c>
      <c r="AF49" s="182" t="str">
        <f>IF(38=38,IF(T49="","",CO49),"")</f>
        <v/>
      </c>
      <c r="AG49" s="182" t="str">
        <f>IF(38=38,IF(T49="","",CR49),"")</f>
        <v/>
      </c>
      <c r="AH49" s="182" t="str">
        <f>IF(38=38,IF(T49="","",CU49),"")</f>
        <v/>
      </c>
      <c r="AI49" s="182" t="str">
        <f>IF(38=38,IF(T49="","",CX49),"")</f>
        <v/>
      </c>
      <c r="AJ49" s="182" t="str">
        <f>IF(38=38,IF(T49="","",DD49),"")</f>
        <v/>
      </c>
      <c r="AK49" s="183" t="str">
        <f>IF(38=38,IF(T49="","",IF(W49="?",""&amp;"Céréales contenant du gluten","")&amp;IF(X49="?",IF(COUNTIF(W49:W49,"~?")&gt;0,", ","")&amp;"Crustacés","")&amp;IF(Y49="?",IF(COUNTIF(W49:X49,"~?")&gt;0,", ","")&amp;"Œufs","")&amp;IF(Z49="?",IF(COUNTIF(W49:Y49,"~?")&gt;0,", ","")&amp;"Poissons","")&amp;IF(AA49="?",IF(COUNTIF(W49:Z49,"~?")&gt;0,", ","")&amp;"Arachides","")&amp;IF(AB49="?",IF(COUNTIF(W49:AA49,"~?")&gt;0,", ","")&amp;"Soja","")&amp;IF(AC49="?",IF(COUNTIF(W49:AB49,"~?")&gt;0,", ","")&amp;"Lait","")&amp;IF(AD49="?",IF(COUNTIF(W49:AC49,"~?")&gt;0,", ","")&amp;"Fruits à coque","")&amp;IF(AE49="?",IF(COUNTIF(W49:AD49,"~?")&gt;0,", ","")&amp;"Céleri","")&amp;IF(AF49="?",IF(COUNTIF(W49:AE49,"~?")&gt;0,", ","")&amp;"Moutarde","")&amp;IF(AG49="?",IF(COUNTIF(W49:AF49,"~?")&gt;0,", ","")&amp;"Sésame","")&amp;IF(AH49="?",IF(COUNTIF(W49:AG49,"~?")&gt;0,", ","")&amp;"Sulfites","")&amp;IF(AI49="?",IF(COUNTIF(W49:AH49,"~?")&gt;0,", ","")&amp;"Lupin","")&amp;IF(AJ49="?",IF(COUNTIF(W49:AI49,"~?")&gt;0,", ","")&amp;"Mollusques","")),"")</f>
        <v/>
      </c>
      <c r="AM49" s="127" t="str">
        <f>IF(38=38,IF(T49="","",T49),"")</f>
        <v>fraîche.</v>
      </c>
      <c r="AN49" s="127" t="str">
        <f>IF(38=38,LOWER(CLEAN(SUBSTITUTE(SUBSTITUTE(SUBSTITUTE(SUBSTITUTE(AM49,CHAR(160)," ")," "," "),CHAR(10)," "),CHAR(13)," "))),"")</f>
        <v>fraîche.</v>
      </c>
      <c r="AO49" s="127" t="str">
        <f>IF(38=38,SUBSTITUTE(SUBSTITUTE(SUBSTITUTE(SUBSTITUTE(SUBSTITUTE(SUBSTITUTE(SUBSTITUTE(SUBSTITUTE(SUBSTITUTE(SUBSTITUTE(SUBSTITUTE(SUBSTITUTE(AN49,"œ","oe"),"æ","ae"),"à","a"),"á","a"),"â","a"),"ä","a"),"ã","a"),"ç","c"),"è","e"),"é","e"),"ê","e"),"ë","e"),"")</f>
        <v>fraîche.</v>
      </c>
      <c r="AP49" s="127" t="str">
        <f>IF(38=38,SUBSTITUTE(SUBSTITUTE(SUBSTITUTE(SUBSTITUTE(SUBSTITUTE(SUBSTITUTE(SUBSTITUTE(SUBSTITUTE(SUBSTITUTE(SUBSTITUTE(SUBSTITUTE(SUBSTITUTE(SUBSTITUTE(SUBSTITUTE(SUBSTITUTE(SUBSTITUTE(AO49,"ì","i"),"í","i"),"î","i"),"ï","i"),"ñ","n"),"ò","o"),"ó","o"),"ô","o"),"ö","o"),"õ","o"),"ù","u"),"ú","u"),"û","u"),"ü","u"),"ý","y"),"ÿ","y"),"")</f>
        <v>fraiche.</v>
      </c>
      <c r="AQ49" s="127" t="str">
        <f>IF(38=38,SUBSTITUTE(SUBSTITUTE(SUBSTITUTE(SUBSTITUTE(SUBSTITUTE(SUBSTITUTE(SUBSTITUTE(SUBSTITUTE(SUBSTITUTE(SUBSTITUTE(SUBSTITUTE(SUBSTITUTE(SUBSTITUTE(SUBSTITUTE(AP49,"’"," "),"`"," "),"–"," "),"—"," "),"-"," "),"'"," "),"/"," "),"_"," "),","," "),"."," "),"("," "),")"," "),";"," "),":"," "),"")</f>
        <v xml:space="preserve">fraiche </v>
      </c>
      <c r="AR49" s="127" t="str">
        <f>IF(38=38,SUBSTITUTE(SUBSTITUTE(SUBSTITUTE(SUBSTITUTE(SUBSTITUTE(SUBSTITUTE(SUBSTITUTE(SUBSTITUTE(SUBSTITUTE(SUBSTITUTE(SUBSTITUTE(SUBSTITUTE(SUBSTITUTE(SUBSTITUTE(SUBSTITUTE(AQ49,"!"," "),"?"," "),"+"," "),"*"," "),"&amp;"," "),"["," "),"]"," "),"{"," "),"}"," "),"%"," "),"="," "),"\"," "),"|"," "),"&lt;"," "),"&gt;"," "),"")</f>
        <v xml:space="preserve">fraiche </v>
      </c>
      <c r="AS49" s="127" t="str">
        <f>IF(38=38," "&amp;TRIM(SUBSTITUTE(SUBSTITUTE(SUBSTITUTE(SUBSTITUTE(SUBSTITUTE(SUBSTITUTE(AR49,CHAR(34)," "),"  "," "),"  "," "),"  "," "),"  "," "),"  "," "))&amp;" ","")</f>
        <v xml:space="preserve"> fraiche </v>
      </c>
      <c r="AT49" s="127" cm="1">
        <f t="array" ref="AT49">IF(38=38,IF(AM49="","",SUMPRODUCT(--ISNUMBER(SEARCH(" "&amp;DJ13:DJ112&amp;" ",AV49)))),"")</f>
        <v>0</v>
      </c>
      <c r="AU49" s="127" cm="1">
        <f t="array" ref="AU49">IF(38=38,IF(AM49="","",SUMPRODUCT(--ISNUMBER(SEARCH(" "&amp;DJ113:DJ162&amp;" ",AV49)))),"")</f>
        <v>0</v>
      </c>
      <c r="AV49" s="127" t="str">
        <f>IF(AM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fraiche </v>
      </c>
      <c r="AW49" s="127" cm="1">
        <f t="array" ref="AW49">IF(AM49="","",SUMPRODUCT(--ISNUMBER(SEARCH(" "&amp;DJ195:DJ216&amp;" ",AV49)))+--ISNUMBER(SEARCH(" "&amp;DJ2465&amp;" ",AV49)))</f>
        <v>0</v>
      </c>
      <c r="AX49" s="127" t="str" cm="1">
        <f t="array" ref="AX49">IF(38=38,IF(AM49="","",IF(SUM(AT49:AU49)+SUMPRODUCT(--ISNUMBER(SEARCH(" "&amp;DJ2429:DJ2431&amp;" ",AV49)))&gt;0,"X",IF(AW49&gt;0,"?",""))),"")</f>
        <v/>
      </c>
      <c r="AY49" s="127" cm="1">
        <f t="array" ref="AY49">IF(38=38,IF(AM49="","",SUMPRODUCT(--ISNUMBER(SEARCH(" "&amp;DJ217:DJ316&amp;" ",AS49)))),"")</f>
        <v>0</v>
      </c>
      <c r="AZ49" s="127" cm="1">
        <f t="array" ref="AZ49">IF(38=38,IF(AM49="","",SUMPRODUCT(--ISNUMBER(SEARCH(" "&amp;DJ317:DJ351&amp;" ",AS49)))),"")</f>
        <v>0</v>
      </c>
      <c r="BA49" s="127" t="str">
        <f>IF(38=38,IF(AM49="","",IF((SUM(AY49:AZ49))-(0)&gt;0,"X",IF((0)-(0)&gt;0,"?",""))),"")</f>
        <v/>
      </c>
      <c r="BB49" s="127" cm="1">
        <f t="array" ref="BB49">IF(38=38,IF(AM49="","",SUMPRODUCT(--ISNUMBER(SEARCH(" "&amp;DJ352:DJ409&amp;" ",AS49)))),"")</f>
        <v>0</v>
      </c>
      <c r="BC49" s="127" cm="1">
        <f t="array" ref="BC49">IF(38=38,IF(AM49="","",SUMPRODUCT(--ISNUMBER(SEARCH(" "&amp;DJ410:DJ437&amp;" ",BD49)))+SUMPRODUCT(--ISNUMBER(SEARCH(" "&amp;DJ2451:DJ2464&amp;" ",BD49)))),"")</f>
        <v>0</v>
      </c>
      <c r="BD49" s="127" t="str">
        <f>IF(38=38,IF(AM49="","",SUBSTITUTE(SUBSTITUTE(SUBSTITUTE(SUBSTITUTE(SUBSTITUTE(SUBSTITUTE(SUBSTITUTE(SUBSTITUTE(SUBSTITUTE(SUBSTITUTE(SUBSTITUTE(SUBSTITUTE(SUBSTITUTE(SUBSTITUTE(AS49," "&amp;DJ2466&amp;" "," ")," "&amp;DJ444&amp;" "," ")," "&amp;DJ442&amp;" "," ")," "&amp;DJ2449&amp;" "," ")," "&amp;DJ2450&amp;" "," ")," "&amp;DJ439&amp;" "," ")," "&amp;DJ443&amp;" "," ")," "&amp;DJ445&amp;" "," ")," "&amp;DJ440&amp;" "," ")," "&amp;DJ438&amp;" "," ")," "&amp;DJ1378&amp;" "," ")," "&amp;DJ446&amp;" "," ")," "&amp;DJ1377&amp;" "," ")," "&amp;DJ441&amp;" "," ")),"")</f>
        <v xml:space="preserve"> fraiche </v>
      </c>
      <c r="BE49" s="127" t="str">
        <f>IF(38=38,IF(AM49="","",IF(BB49&gt;0,"X",IF(BC49&gt;0,"?",""))),"")</f>
        <v/>
      </c>
      <c r="BF49" s="127" cm="1">
        <f t="array" ref="BF49">IF(38=38,IF(AM49="","",SUMPRODUCT(--ISNUMBER(SEARCH(" "&amp;DJ447:DJ546&amp;" ",BP49)))),"")</f>
        <v>0</v>
      </c>
      <c r="BG49" s="127" cm="1">
        <f t="array" ref="BG49">IF(38=38,IF(AM49="","",SUMPRODUCT(--ISNUMBER(SEARCH(" "&amp;DJ547:DJ646&amp;" ",BP49)))),"")</f>
        <v>0</v>
      </c>
      <c r="BH49" s="127" cm="1">
        <f t="array" ref="BH49">IF(38=38,IF(AM49="","",SUMPRODUCT(--ISNUMBER(SEARCH(" "&amp;DJ647:DJ746&amp;" ",BP49)))),"")</f>
        <v>0</v>
      </c>
      <c r="BI49" s="127" cm="1">
        <f t="array" ref="BI49">IF(38=38,IF(AM49="","",SUMPRODUCT(--ISNUMBER(SEARCH(" "&amp;DJ747:DJ846&amp;" ",BP49)))),"")</f>
        <v>0</v>
      </c>
      <c r="BJ49" s="127" cm="1">
        <f t="array" ref="BJ49">IF(38=38,IF(AM49="","",SUMPRODUCT(--ISNUMBER(SEARCH(" "&amp;DJ847:DJ946&amp;" ",BP49)))),"")</f>
        <v>0</v>
      </c>
      <c r="BK49" s="127" cm="1">
        <f t="array" ref="BK49">IF(38=38,IF(AM49="","",SUMPRODUCT(--ISNUMBER(SEARCH(" "&amp;DJ947:DJ1046&amp;" ",BP49)))),"")</f>
        <v>0</v>
      </c>
      <c r="BL49" s="127" cm="1">
        <f t="array" ref="BL49">IF(38=38,IF(AM49="","",SUMPRODUCT(--ISNUMBER(SEARCH(" "&amp;DJ1047:DJ1146&amp;" ",BP49)))),"")</f>
        <v>0</v>
      </c>
      <c r="BM49" s="127" cm="1">
        <f t="array" ref="BM49">IF(38=38,IF(AM49="","",SUMPRODUCT(--ISNUMBER(SEARCH(" "&amp;DJ1147:DJ1246&amp;" ",BP49)))),"")</f>
        <v>0</v>
      </c>
      <c r="BN49" s="127" cm="1">
        <f t="array" ref="BN49">IF(38=38,IF(AM49="","",SUMPRODUCT(--ISNUMBER(SEARCH(" "&amp;DJ1247:DJ1346&amp;" ",BP49)))),"")</f>
        <v>0</v>
      </c>
      <c r="BO49" s="127" cm="1">
        <f t="array" ref="BO49">IF(38=38,IF(AM49="","",SUMPRODUCT(--ISNUMBER(SEARCH(" "&amp;DJ1347:DJ1374&amp;" ",BP49)))),"")</f>
        <v>0</v>
      </c>
      <c r="BP49" s="127" t="str">
        <f>IF(38=38,IF(AM49="","",SUBSTITUTE(SUBSTITUTE(SUBSTITUTE(SUBSTITUTE(SUBSTITUTE(SUBSTITUTE(SUBSTITUTE(SUBSTITUTE(SUBSTITUTE(AS49," "&amp;DJ1376&amp;" "," ")," "&amp;DJ1375&amp;" "," ")," "&amp;DJ1381&amp;" "," ")," "&amp;DJ1382&amp;" "," ")," "&amp;DJ1378&amp;" "," ")," "&amp;DJ1380&amp;" "," ")," "&amp;DJ1377&amp;" "," ")," "&amp;DJ1379&amp;" "," ")," "&amp;DJ1383&amp;" "," ")),"")</f>
        <v xml:space="preserve"> fraiche </v>
      </c>
      <c r="BQ49" s="127" cm="1">
        <f t="array" ref="BQ49">IF(38=38,IF(AM49="","",SUMPRODUCT(--ISNUMBER(SEARCH(" "&amp;DJ1384:DJ1394&amp;" ",BP49)))),"")</f>
        <v>0</v>
      </c>
      <c r="BR49" s="127" t="str" cm="1">
        <f t="array" ref="BR49">IF(38=38,IF(AM49="","",IF(SUM(BF49:BO49)+SUMPRODUCT(--ISNUMBER(SEARCH(" "&amp;DJ2432:DJ2433&amp;" ",BP49)))&gt;0,"X",IF(BQ49&gt;0,"?",""))),"")</f>
        <v/>
      </c>
      <c r="BS49" s="127" cm="1">
        <f t="array" ref="BS49">IF(38=38,IF(AM49="","",SUMPRODUCT(--ISNUMBER(SEARCH(" "&amp;DJ1395:DJ1415&amp;" ",AS49)))),"")</f>
        <v>0</v>
      </c>
      <c r="BT49" s="127" t="str">
        <f>IF(38=38,IF(AM49="","",IF((BS49)-(0)&gt;0,"X",IF((0)-(0)&gt;0,"?",""))),"")</f>
        <v/>
      </c>
      <c r="BU49" s="127" cm="1">
        <f t="array" ref="BU49">IF(38=38,IF(AM49="","",SUMPRODUCT(--ISNUMBER(SEARCH(" "&amp;DJ1416:DJ1453&amp;" ",BV49)))),"")</f>
        <v>0</v>
      </c>
      <c r="BV49" s="127" t="str">
        <f>IF(38=38,IF(AM49="","",SUBSTITUTE(SUBSTITUTE(AS49," "&amp;DJ1454&amp;" "," ")," "&amp;DJ1455&amp;" "," ")),"")</f>
        <v xml:space="preserve"> fraiche </v>
      </c>
      <c r="BW49" s="127" cm="1">
        <f t="array" ref="BW49">IF(38=38,IF(AM49="","",SUMPRODUCT(--ISNUMBER(SEARCH(" "&amp;DJ1456:DJ1466&amp;" ",BV49)))),"")</f>
        <v>0</v>
      </c>
      <c r="BX49" s="127" t="str">
        <f>IF(38=38,IF(AM49="","",IF(BU49&gt;0,"X",IF(BW49&gt;0,"?",""))),"")</f>
        <v/>
      </c>
      <c r="BY49" s="127" cm="1">
        <f t="array" ref="BY49">IF(38=38,IF(AM49="","",SUMPRODUCT(--ISNUMBER(SEARCH(" "&amp;DJ1467:DJ1566&amp;" ",CB49)))),"")</f>
        <v>0</v>
      </c>
      <c r="BZ49" s="127" cm="1">
        <f t="array" ref="BZ49">IF(38=38,IF(AM49="","",SUMPRODUCT(--ISNUMBER(SEARCH(" "&amp;DJ1567:DJ1666&amp;" ",CB49)))),"")</f>
        <v>0</v>
      </c>
      <c r="CA49" s="127" cm="1">
        <f t="array" ref="CA49">IF(38=38,IF(AM49="","",SUMPRODUCT(--ISNUMBER(SEARCH(" "&amp;DJ1667:DJ1750&amp;" ",CB49)))),"")</f>
        <v>0</v>
      </c>
      <c r="CB49" s="127" t="str">
        <f>IF(38=38,IF(AM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fraiche </v>
      </c>
      <c r="CC49" s="127" cm="1">
        <f t="array" ref="CC49">IF(38=38,IF(AM49="","",SUMPRODUCT(--ISNUMBER(SEARCH(" "&amp;DJ1801:DJ1880&amp;" ",CD49)))+SUMPRODUCT(--ISNUMBER(SEARCH(" "&amp;DJ2451:DJ2464&amp;" ",CD49)))),"")</f>
        <v>0</v>
      </c>
      <c r="CD49" s="127" t="str">
        <f>IF(38=38,IF(AM49="","",SUBSTITUTE(SUBSTITUTE(SUBSTITUTE(SUBSTITUTE(SUBSTITUTE(SUBSTITUTE(SUBSTITUTE(SUBSTITUTE(SUBSTITUTE(SUBSTITUTE(SUBSTITUTE(SUBSTITUTE(SUBSTITUTE(CB49," "&amp;DJ1887&amp;" "," ")," "&amp;DJ1885&amp;" "," ")," "&amp;DJ2449&amp;" "," ")," "&amp;DJ2450&amp;" "," ")," "&amp;DJ1882&amp;" "," ")," "&amp;DJ1886&amp;" "," ")," "&amp;DJ1888&amp;" "," ")," "&amp;DJ1883&amp;" "," ")," "&amp;DJ1881&amp;" "," ")," "&amp;DJ1378&amp;" "," ")," "&amp;DJ1889&amp;" "," ")," "&amp;DJ1377&amp;" "," ")," "&amp;DJ1884&amp;" "," ")),"")</f>
        <v xml:space="preserve"> fraiche </v>
      </c>
      <c r="CE49" s="127" t="str" cm="1">
        <f t="array" ref="CE49">IF(38=38,IF(AM49="","",IF(SUM(BY49:CA49)+SUMPRODUCT(--ISNUMBER(SEARCH(" "&amp;DJ2434:DJ2435&amp;" ",CB49)))&gt;0,"X",IF(CC49&gt;0,"?",""))),"")</f>
        <v/>
      </c>
      <c r="CF49" s="127" cm="1">
        <f t="array" ref="CF49">IF(38=38,IF(AM49="","",SUMPRODUCT(--ISNUMBER(SEARCH(" "&amp;DJ1890:DJ1947&amp;" ",CG49)))),"")</f>
        <v>0</v>
      </c>
      <c r="CG49" s="127" t="str">
        <f>IF(38=38,IF(AM49="","",SUBSTITUTE(SUBSTITUTE(SUBSTITUTE(SUBSTITUTE(SUBSTITUTE(SUBSTITUTE(SUBSTITUTE(SUBSTITUTE(SUBSTITUTE(SUBSTITUTE(SUBSTITUTE(SUBSTITUTE(SUBSTITUTE(SUBSTITUTE(SUBSTITUTE(SUBSTITUTE(SUBSTITUTE(SUBSTITUTE(SUBSTITUTE(SUBSTITUTE(SUBSTITUTE(SUBSTITUTE(SUBSTITUTE(AS49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fraiche </v>
      </c>
      <c r="CH49" s="127" cm="1">
        <f t="array" ref="CH49">IF(38=38,IF(AM49="","",SUMPRODUCT(--ISNUMBER(SEARCH(" "&amp;DJ1971:DJ1987&amp;" ",CG49)))),"")</f>
        <v>0</v>
      </c>
      <c r="CI49" s="127" t="str">
        <f>IF(38=38,IF(AM49="","",IF(CF49&gt;0,"X",IF(CH49&gt;0,"?",""))),"")</f>
        <v/>
      </c>
      <c r="CJ49" s="127" cm="1">
        <f t="array" ref="CJ49">IF(38=38,IF(AM49="","",SUMPRODUCT(--ISNUMBER(SEARCH(" "&amp;DJ1988:DJ2001&amp;" ",AS49)))),"")</f>
        <v>0</v>
      </c>
      <c r="CK49" s="127" cm="1">
        <f t="array" ref="CK49">IF(38=38,IF(AM49="","",SUMPRODUCT(--ISNUMBER(SEARCH(" "&amp;DJ2002:DJ2016&amp;" ",AS49)))),"")</f>
        <v>0</v>
      </c>
      <c r="CL49" s="127" t="str">
        <f>IF(38=38,IF(AM49="","",IF((CJ49)-(0)&gt;0,"X",IF((CK49)-(0)&gt;0,"?",""))),"")</f>
        <v/>
      </c>
      <c r="CM49" s="127" cm="1">
        <f t="array" ref="CM49">IF(38=38,IF(AM49="","",SUMPRODUCT(--ISNUMBER(SEARCH(" "&amp;DJ2017:DJ2034&amp;" ",AS49)))),"")</f>
        <v>0</v>
      </c>
      <c r="CN49" s="127" cm="1">
        <f t="array" ref="CN49">IF(38=38,IF(AM49="","",SUMPRODUCT(--ISNUMBER(SEARCH(" "&amp;DJ2035:DJ2049&amp;" ",AS49)))),"")</f>
        <v>0</v>
      </c>
      <c r="CO49" s="127" t="str">
        <f>IF(38=38,IF(AM49="","",IF((CM49)-(0)&gt;0,"X",IF((CN49)-(0)&gt;0,"?",""))),"")</f>
        <v/>
      </c>
      <c r="CP49" s="127" cm="1">
        <f t="array" ref="CP49">IF(38=38,IF(AM49="","",SUMPRODUCT(--ISNUMBER(SEARCH(" "&amp;DJ2050:DJ2068&amp;" ",AS49)))),"")</f>
        <v>0</v>
      </c>
      <c r="CQ49" s="127" cm="1">
        <f t="array" ref="CQ49">IF(38=38,IF(AM49="","",SUMPRODUCT(--ISNUMBER(SEARCH(" "&amp;DJ2069:DJ2083&amp;" ",AS49)))),"")</f>
        <v>0</v>
      </c>
      <c r="CR49" s="127" t="str">
        <f>IF(38=38,IF(AM49="","",IF((CP49)-(0)&gt;0,"X",IF((CQ49)-(0)&gt;0,"?",""))),"")</f>
        <v/>
      </c>
      <c r="CS49" s="127" cm="1">
        <f t="array" ref="CS49">IF(38=38,IF(AM49="","",SUMPRODUCT(--ISNUMBER(SEARCH(" "&amp;DJ2084:DJ2104&amp;" ",AS49)))),"")</f>
        <v>0</v>
      </c>
      <c r="CT49" s="127" cm="1">
        <f t="array" ref="CT49">IF(38=38,IF(AM49="","",SUMPRODUCT(--ISNUMBER(SEARCH(" "&amp;DJ2105:DJ2144&amp;" ",SUBSTITUTE(SUBSTITUTE(AS49," "&amp;DJ1378&amp;" "," ")," "&amp;DJ1377&amp;" "," "))))+--ISNUMBER(SEARCH("poiré",AN49))),"")</f>
        <v>0</v>
      </c>
      <c r="CU49" s="127" t="str">
        <f>IF(38=38,IF(AM49="","",IF(OR(CS49&gt;0,ISNUMBER(SEARCH(" vinaigre de vin ",AS49)),ISNUMBER(SEARCH(" vinaigre au vin ",AS49))),"X",IF(CT49&gt;0,"?",""))),"")</f>
        <v/>
      </c>
      <c r="CV49" s="127" cm="1">
        <f t="array" ref="CV49">IF(38=38,IF(AM49="","",SUMPRODUCT(--ISNUMBER(SEARCH(" "&amp;DJ2145:DJ2157&amp;" ",AS49)))),"")</f>
        <v>0</v>
      </c>
      <c r="CW49" s="127" cm="1">
        <f t="array" ref="CW49">IF(38=38,IF(AM49="","",SUMPRODUCT(--ISNUMBER(SEARCH(" "&amp;DJ2158:DJ2163&amp;" ",AS49)))),"")</f>
        <v>0</v>
      </c>
      <c r="CX49" s="127" t="str">
        <f>IF(38=38,IF(AM49="","",IF((CV49)-(0)&gt;0,"X",IF((CW49)-(0)&gt;0,"?",""))),"")</f>
        <v/>
      </c>
      <c r="CY49" s="127" cm="1">
        <f t="array" ref="CY49">IF(38=38,IF(AM49="","",SUMPRODUCT(--ISNUMBER(SEARCH(" "&amp;DJ2164:DJ2263&amp;" ",DB49)))),"")</f>
        <v>0</v>
      </c>
      <c r="CZ49" s="127" cm="1">
        <f t="array" ref="CZ49">IF(38=38,IF(AM49="","",SUMPRODUCT(--ISNUMBER(SEARCH(" "&amp;DJ2264:DJ2363&amp;" ",DB49)))),"")</f>
        <v>0</v>
      </c>
      <c r="DA49" s="127" cm="1">
        <f t="array" ref="DA49">IF(38=38,IF(AM49="","",SUMPRODUCT(--ISNUMBER(SEARCH(" "&amp;DJ2364:DJ2406&amp;" ",DB49)))),"")</f>
        <v>0</v>
      </c>
      <c r="DB49" s="127" t="str">
        <f>IF(38=38,IF(AM49="","",SUBSTITUTE(SUBSTITUTE(SUBSTITUTE(SUBSTITUTE(SUBSTITUTE(SUBSTITUTE(SUBSTITUTE(SUBSTITUTE(SUBSTITUTE(SUBSTITUTE(SUBSTITUTE(SUBSTITUTE(SUBSTITUTE(SUBSTITUTE(SUBSTITUTE(SUBSTITUTE(AS49," "&amp;DJ2412&amp;" "," ")," "&amp;DJ2411&amp;" "," ")," "&amp;DJ2410&amp;" "," ")," "&amp;DJ2417&amp;" "," ")," "&amp;DJ2409&amp;" "," ")," "&amp;DJ2421&amp;" "," ")," "&amp;DJ2408&amp;" "," ")," "&amp;DJ2413&amp;" "," ")," "&amp;DJ2416&amp;" "," ")," "&amp;DJ2407&amp;" "," ")," "&amp;DJ2415&amp;" "," ")," "&amp;DJ2422&amp;" "," ")," "&amp;DJ2419&amp;" "," ")," "&amp;DJ2414&amp;" "," ")," "&amp;DJ2418&amp;" "," ")," "&amp;DJ2420&amp;" "," ")),"")</f>
        <v xml:space="preserve"> fraiche </v>
      </c>
      <c r="DC49" s="127" cm="1">
        <f t="array" ref="DC49">IF(38=38,IF(AM49="","",SUMPRODUCT(--ISNUMBER(SEARCH(" "&amp;DJ2423:DJ2427&amp;" ",DB49)))),"")</f>
        <v>0</v>
      </c>
      <c r="DD49" s="127" t="str">
        <f>IF(38=38,IF(AM49="","",IF(SUM(CY49:DA49)&gt;0,"X",IF(DC49&gt;0,"?",""))),"")</f>
        <v/>
      </c>
      <c r="DE49" s="152"/>
      <c r="DF49" s="160" t="s">
        <v>730</v>
      </c>
      <c r="DG49" s="160" t="s">
        <v>584</v>
      </c>
      <c r="DH49" s="160" t="s">
        <v>125</v>
      </c>
      <c r="DI49" s="160" t="s">
        <v>731</v>
      </c>
      <c r="DJ49" s="160" t="s">
        <v>731</v>
      </c>
      <c r="DK49" s="160" t="s">
        <v>588</v>
      </c>
      <c r="DL49" s="160" t="s">
        <v>589</v>
      </c>
      <c r="DM49" s="160" t="s">
        <v>590</v>
      </c>
      <c r="DN49" s="161" t="s">
        <v>591</v>
      </c>
      <c r="DP49" s="130">
        <v>1</v>
      </c>
    </row>
    <row r="50" spans="2:120" ht="30" customHeight="1">
      <c r="B50" s="165" t="str">
        <f t="shared" si="0"/>
        <v>bœuf bourguignon de grand-mère</v>
      </c>
      <c r="C50" s="165" t="str">
        <f t="shared" si="1"/>
        <v>bœuf bourguignon de grand mère</v>
      </c>
      <c r="D50" s="165" t="str">
        <f>IF(UPPER(TRIM(N11))="X",C50,B50)</f>
        <v>bœuf bourguignon de grand-mère</v>
      </c>
      <c r="E50" s="165" cm="1">
        <f t="array" ref="E50">IF(H49&lt;&gt;"",E49,IF(E49="","",IFERROR(MATCH(TRUE(),INDEX(INDEX(K:K,E49+1):K203&lt;&gt;"",0),0)+E49,"")))</f>
        <v>41</v>
      </c>
      <c r="F50" s="165" t="str" cm="1">
        <f t="array" ref="F50">IF(E50="","",IF(H49&lt;&gt;"",H49,INDEX(D:D,E50)))</f>
        <v>Préparation : 20 min</v>
      </c>
      <c r="G50" s="165" t="str">
        <f t="shared" si="2"/>
        <v>Préparation : 20 min</v>
      </c>
      <c r="H50" s="174" t="str">
        <f t="shared" si="3"/>
        <v/>
      </c>
      <c r="I50" s="184" t="str">
        <f>IF(AND(F50&lt;&gt;"",N10&gt;0,M50&gt;N10),"Mot &gt; limite","")</f>
        <v/>
      </c>
      <c r="J50" s="175">
        <f>IF(K50="","",COUNTIF(K18:K50,"&lt;&gt;"))</f>
        <v>32</v>
      </c>
      <c r="K50" s="111" t="s">
        <v>22</v>
      </c>
      <c r="L50" s="175">
        <f t="shared" si="4"/>
        <v>30</v>
      </c>
      <c r="M50" s="135">
        <f>IF(OR(F50="",N10="",N10&lt;=0),"",IF(LEN(F50)&lt;=N10,LEN(F50),IFERROR(FIND("♦",SUBSTITUTE(LEFT(F50,N10)," ","♦",LEN(LEFT(F50,N10))-LEN(SUBSTITUTE(LEFT(F50,N10)," ","")))),FIND(" ",F50&amp;" ",N10+1)-1)))</f>
        <v>20</v>
      </c>
      <c r="N50" s="176">
        <f t="shared" si="5"/>
        <v>33</v>
      </c>
      <c r="O50" s="177" t="str">
        <f t="shared" si="6"/>
        <v>Préparation : 20 min</v>
      </c>
      <c r="P50" s="176">
        <f t="shared" si="7"/>
        <v>4</v>
      </c>
      <c r="Q50" s="176">
        <f t="shared" si="8"/>
        <v>20</v>
      </c>
      <c r="S50" s="178">
        <v>33</v>
      </c>
      <c r="T50" s="179" t="str">
        <f t="shared" si="10"/>
        <v>Préparation : 20 min</v>
      </c>
      <c r="U50" s="180" t="str">
        <f t="shared" ref="U50:U77" si="11">IF(7=7,IF(T50="","",TRIM(IF(RIGHT(TRIM(T50),1)="?",LEFT(TRIM(T50),LEN(TRIM(T50))-1),TRIM(T50)))&amp;IF(COUNTIF(W50:AJ50,"X")&gt;0," *",IF(OR(W50="?",X50="?",Y50="?",Z50="?",AA50="?",AB50="?",AC50="?",AD50="?",AE50="?",AF50="?",AG50="?",AH50="?",AI50="?",AJ50="?")," ?",""))),"")</f>
        <v>Préparation : 20 min</v>
      </c>
      <c r="V50" s="181" t="str">
        <f>IF(39=39,IF(T50="","",IF(W50="X",""&amp;"Céréales contenant du gluten","")&amp;IF(X50="X",IF(COUNTIF(W50:W50,"X")&gt;0,", ","")&amp;"Crustacés","")&amp;IF(Y50="X",IF(COUNTIF(W50:X50,"X")&gt;0,", ","")&amp;"Œufs","")&amp;IF(Z50="X",IF(COUNTIF(W50:Y50,"X")&gt;0,", ","")&amp;"Poissons","")&amp;IF(AA50="X",IF(COUNTIF(W50:Z50,"X")&gt;0,", ","")&amp;"Arachides","")&amp;IF(AB50="X",IF(COUNTIF(W50:AA50,"X")&gt;0,", ","")&amp;"Soja","")&amp;IF(AC50="X",IF(COUNTIF(W50:AB50,"X")&gt;0,", ","")&amp;"Lait","")&amp;IF(AD50="X",IF(COUNTIF(W50:AC50,"X")&gt;0,", ","")&amp;"Fruits à coque","")&amp;IF(AE50="X",IF(COUNTIF(W50:AD50,"X")&gt;0,", ","")&amp;"Céleri","")&amp;IF(AF50="X",IF(COUNTIF(W50:AE50,"X")&gt;0,", ","")&amp;"Moutarde","")&amp;IF(AG50="X",IF(COUNTIF(W50:AF50,"X")&gt;0,", ","")&amp;"Sésame","")&amp;IF(AH50="X",IF(COUNTIF(W50:AG50,"X")&gt;0,", ","")&amp;"Sulfites","")&amp;IF(AI50="X",IF(COUNTIF(W50:AH50,"X")&gt;0,", ","")&amp;"Lupin","")&amp;IF(AJ50="X",IF(COUNTIF(W50:AI50,"X")&gt;0,", ","")&amp;"Mollusques","")),"")</f>
        <v/>
      </c>
      <c r="W50" s="182" t="str">
        <f>IF(39=39,IF(T50="","",AX50),"")</f>
        <v/>
      </c>
      <c r="X50" s="182" t="str">
        <f>IF(39=39,IF(T50="","",BA50),"")</f>
        <v/>
      </c>
      <c r="Y50" s="182" t="str">
        <f>IF(39=39,IF(T50="","",BE50),"")</f>
        <v/>
      </c>
      <c r="Z50" s="182" t="str">
        <f>IF(39=39,IF(T50="","",IF(ISNUMBER(SEARCH(" colin ",AS50)),"X",BR50)),"")</f>
        <v/>
      </c>
      <c r="AA50" s="182" t="str">
        <f>IF(39=39,IF(T50="","",BT50),"")</f>
        <v/>
      </c>
      <c r="AB50" s="182" t="str">
        <f>IF(39=39,IF(T50="","",BX50),"")</f>
        <v/>
      </c>
      <c r="AC50" s="182" t="str">
        <f>IF(39=39,IF(T50="","",CE50),"")</f>
        <v/>
      </c>
      <c r="AD50" s="182" t="str">
        <f>IF(39=39,IF(T50="","",CI50),"")</f>
        <v/>
      </c>
      <c r="AE50" s="182" t="str">
        <f>IF(39=39,IF(T50="","",CL50),"")</f>
        <v/>
      </c>
      <c r="AF50" s="182" t="str">
        <f>IF(39=39,IF(T50="","",CO50),"")</f>
        <v/>
      </c>
      <c r="AG50" s="182" t="str">
        <f>IF(39=39,IF(T50="","",CR50),"")</f>
        <v/>
      </c>
      <c r="AH50" s="182" t="str">
        <f>IF(39=39,IF(T50="","",CU50),"")</f>
        <v/>
      </c>
      <c r="AI50" s="182" t="str">
        <f>IF(39=39,IF(T50="","",CX50),"")</f>
        <v/>
      </c>
      <c r="AJ50" s="182" t="str">
        <f>IF(39=39,IF(T50="","",DD50),"")</f>
        <v/>
      </c>
      <c r="AK50" s="183" t="str">
        <f>IF(39=39,IF(T50="","",IF(W50="?",""&amp;"Céréales contenant du gluten","")&amp;IF(X50="?",IF(COUNTIF(W50:W50,"~?")&gt;0,", ","")&amp;"Crustacés","")&amp;IF(Y50="?",IF(COUNTIF(W50:X50,"~?")&gt;0,", ","")&amp;"Œufs","")&amp;IF(Z50="?",IF(COUNTIF(W50:Y50,"~?")&gt;0,", ","")&amp;"Poissons","")&amp;IF(AA50="?",IF(COUNTIF(W50:Z50,"~?")&gt;0,", ","")&amp;"Arachides","")&amp;IF(AB50="?",IF(COUNTIF(W50:AA50,"~?")&gt;0,", ","")&amp;"Soja","")&amp;IF(AC50="?",IF(COUNTIF(W50:AB50,"~?")&gt;0,", ","")&amp;"Lait","")&amp;IF(AD50="?",IF(COUNTIF(W50:AC50,"~?")&gt;0,", ","")&amp;"Fruits à coque","")&amp;IF(AE50="?",IF(COUNTIF(W50:AD50,"~?")&gt;0,", ","")&amp;"Céleri","")&amp;IF(AF50="?",IF(COUNTIF(W50:AE50,"~?")&gt;0,", ","")&amp;"Moutarde","")&amp;IF(AG50="?",IF(COUNTIF(W50:AF50,"~?")&gt;0,", ","")&amp;"Sésame","")&amp;IF(AH50="?",IF(COUNTIF(W50:AG50,"~?")&gt;0,", ","")&amp;"Sulfites","")&amp;IF(AI50="?",IF(COUNTIF(W50:AH50,"~?")&gt;0,", ","")&amp;"Lupin","")&amp;IF(AJ50="?",IF(COUNTIF(W50:AI50,"~?")&gt;0,", ","")&amp;"Mollusques","")),"")</f>
        <v/>
      </c>
      <c r="AM50" s="127" t="str">
        <f>IF(39=39,IF(T50="","",T50),"")</f>
        <v>Préparation : 20 min</v>
      </c>
      <c r="AN50" s="127" t="str">
        <f>IF(39=39,LOWER(CLEAN(SUBSTITUTE(SUBSTITUTE(SUBSTITUTE(SUBSTITUTE(AM50,CHAR(160)," ")," "," "),CHAR(10)," "),CHAR(13)," "))),"")</f>
        <v>préparation : 20 min</v>
      </c>
      <c r="AO50" s="127" t="str">
        <f>IF(39=39,SUBSTITUTE(SUBSTITUTE(SUBSTITUTE(SUBSTITUTE(SUBSTITUTE(SUBSTITUTE(SUBSTITUTE(SUBSTITUTE(SUBSTITUTE(SUBSTITUTE(SUBSTITUTE(SUBSTITUTE(AN50,"œ","oe"),"æ","ae"),"à","a"),"á","a"),"â","a"),"ä","a"),"ã","a"),"ç","c"),"è","e"),"é","e"),"ê","e"),"ë","e"),"")</f>
        <v>preparation : 20 min</v>
      </c>
      <c r="AP50" s="127" t="str">
        <f>IF(39=39,SUBSTITUTE(SUBSTITUTE(SUBSTITUTE(SUBSTITUTE(SUBSTITUTE(SUBSTITUTE(SUBSTITUTE(SUBSTITUTE(SUBSTITUTE(SUBSTITUTE(SUBSTITUTE(SUBSTITUTE(SUBSTITUTE(SUBSTITUTE(SUBSTITUTE(SUBSTITUTE(AO50,"ì","i"),"í","i"),"î","i"),"ï","i"),"ñ","n"),"ò","o"),"ó","o"),"ô","o"),"ö","o"),"õ","o"),"ù","u"),"ú","u"),"û","u"),"ü","u"),"ý","y"),"ÿ","y"),"")</f>
        <v>preparation : 20 min</v>
      </c>
      <c r="AQ50" s="127" t="str">
        <f>IF(39=39,SUBSTITUTE(SUBSTITUTE(SUBSTITUTE(SUBSTITUTE(SUBSTITUTE(SUBSTITUTE(SUBSTITUTE(SUBSTITUTE(SUBSTITUTE(SUBSTITUTE(SUBSTITUTE(SUBSTITUTE(SUBSTITUTE(SUBSTITUTE(AP50,"’"," "),"`"," "),"–"," "),"—"," "),"-"," "),"'"," "),"/"," "),"_"," "),","," "),"."," "),"("," "),")"," "),";"," "),":"," "),"")</f>
        <v>preparation   20 min</v>
      </c>
      <c r="AR50" s="127" t="str">
        <f>IF(39=39,SUBSTITUTE(SUBSTITUTE(SUBSTITUTE(SUBSTITUTE(SUBSTITUTE(SUBSTITUTE(SUBSTITUTE(SUBSTITUTE(SUBSTITUTE(SUBSTITUTE(SUBSTITUTE(SUBSTITUTE(SUBSTITUTE(SUBSTITUTE(SUBSTITUTE(AQ50,"!"," "),"?"," "),"+"," "),"*"," "),"&amp;"," "),"["," "),"]"," "),"{"," "),"}"," "),"%"," "),"="," "),"\"," "),"|"," "),"&lt;"," "),"&gt;"," "),"")</f>
        <v>preparation   20 min</v>
      </c>
      <c r="AS50" s="127" t="str">
        <f>IF(39=39," "&amp;TRIM(SUBSTITUTE(SUBSTITUTE(SUBSTITUTE(SUBSTITUTE(SUBSTITUTE(SUBSTITUTE(AR50,CHAR(34)," "),"  "," "),"  "," "),"  "," "),"  "," "),"  "," "))&amp;" ","")</f>
        <v xml:space="preserve"> preparation 20 min </v>
      </c>
      <c r="AT50" s="127" cm="1">
        <f t="array" ref="AT50">IF(39=39,IF(AM50="","",SUMPRODUCT(--ISNUMBER(SEARCH(" "&amp;DJ13:DJ112&amp;" ",AV50)))),"")</f>
        <v>0</v>
      </c>
      <c r="AU50" s="127" cm="1">
        <f t="array" ref="AU50">IF(39=39,IF(AM50="","",SUMPRODUCT(--ISNUMBER(SEARCH(" "&amp;DJ113:DJ162&amp;" ",AV50)))),"")</f>
        <v>0</v>
      </c>
      <c r="AV50" s="127" t="str">
        <f>IF(AM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preparation 20 min </v>
      </c>
      <c r="AW50" s="127" cm="1">
        <f t="array" ref="AW50">IF(AM50="","",SUMPRODUCT(--ISNUMBER(SEARCH(" "&amp;DJ195:DJ216&amp;" ",AV50)))+--ISNUMBER(SEARCH(" "&amp;DJ2465&amp;" ",AV50)))</f>
        <v>0</v>
      </c>
      <c r="AX50" s="127" t="str" cm="1">
        <f t="array" ref="AX50">IF(39=39,IF(AM50="","",IF(SUM(AT50:AU50)+SUMPRODUCT(--ISNUMBER(SEARCH(" "&amp;DJ2429:DJ2431&amp;" ",AV50)))&gt;0,"X",IF(AW50&gt;0,"?",""))),"")</f>
        <v/>
      </c>
      <c r="AY50" s="127" cm="1">
        <f t="array" ref="AY50">IF(39=39,IF(AM50="","",SUMPRODUCT(--ISNUMBER(SEARCH(" "&amp;DJ217:DJ316&amp;" ",AS50)))),"")</f>
        <v>0</v>
      </c>
      <c r="AZ50" s="127" cm="1">
        <f t="array" ref="AZ50">IF(39=39,IF(AM50="","",SUMPRODUCT(--ISNUMBER(SEARCH(" "&amp;DJ317:DJ351&amp;" ",AS50)))),"")</f>
        <v>0</v>
      </c>
      <c r="BA50" s="127" t="str">
        <f>IF(39=39,IF(AM50="","",IF((SUM(AY50:AZ50))-(0)&gt;0,"X",IF((0)-(0)&gt;0,"?",""))),"")</f>
        <v/>
      </c>
      <c r="BB50" s="127" cm="1">
        <f t="array" ref="BB50">IF(39=39,IF(AM50="","",SUMPRODUCT(--ISNUMBER(SEARCH(" "&amp;DJ352:DJ409&amp;" ",AS50)))),"")</f>
        <v>0</v>
      </c>
      <c r="BC50" s="127" cm="1">
        <f t="array" ref="BC50">IF(39=39,IF(AM50="","",SUMPRODUCT(--ISNUMBER(SEARCH(" "&amp;DJ410:DJ437&amp;" ",BD50)))+SUMPRODUCT(--ISNUMBER(SEARCH(" "&amp;DJ2451:DJ2464&amp;" ",BD50)))),"")</f>
        <v>0</v>
      </c>
      <c r="BD50" s="127" t="str">
        <f>IF(39=39,IF(AM50="","",SUBSTITUTE(SUBSTITUTE(SUBSTITUTE(SUBSTITUTE(SUBSTITUTE(SUBSTITUTE(SUBSTITUTE(SUBSTITUTE(SUBSTITUTE(SUBSTITUTE(SUBSTITUTE(SUBSTITUTE(SUBSTITUTE(SUBSTITUTE(AS50," "&amp;DJ2466&amp;" "," ")," "&amp;DJ444&amp;" "," ")," "&amp;DJ442&amp;" "," ")," "&amp;DJ2449&amp;" "," ")," "&amp;DJ2450&amp;" "," ")," "&amp;DJ439&amp;" "," ")," "&amp;DJ443&amp;" "," ")," "&amp;DJ445&amp;" "," ")," "&amp;DJ440&amp;" "," ")," "&amp;DJ438&amp;" "," ")," "&amp;DJ1378&amp;" "," ")," "&amp;DJ446&amp;" "," ")," "&amp;DJ1377&amp;" "," ")," "&amp;DJ441&amp;" "," ")),"")</f>
        <v xml:space="preserve"> preparation 20 min </v>
      </c>
      <c r="BE50" s="127" t="str">
        <f>IF(39=39,IF(AM50="","",IF(BB50&gt;0,"X",IF(BC50&gt;0,"?",""))),"")</f>
        <v/>
      </c>
      <c r="BF50" s="127" cm="1">
        <f t="array" ref="BF50">IF(39=39,IF(AM50="","",SUMPRODUCT(--ISNUMBER(SEARCH(" "&amp;DJ447:DJ546&amp;" ",BP50)))),"")</f>
        <v>0</v>
      </c>
      <c r="BG50" s="127" cm="1">
        <f t="array" ref="BG50">IF(39=39,IF(AM50="","",SUMPRODUCT(--ISNUMBER(SEARCH(" "&amp;DJ547:DJ646&amp;" ",BP50)))),"")</f>
        <v>0</v>
      </c>
      <c r="BH50" s="127" cm="1">
        <f t="array" ref="BH50">IF(39=39,IF(AM50="","",SUMPRODUCT(--ISNUMBER(SEARCH(" "&amp;DJ647:DJ746&amp;" ",BP50)))),"")</f>
        <v>0</v>
      </c>
      <c r="BI50" s="127" cm="1">
        <f t="array" ref="BI50">IF(39=39,IF(AM50="","",SUMPRODUCT(--ISNUMBER(SEARCH(" "&amp;DJ747:DJ846&amp;" ",BP50)))),"")</f>
        <v>0</v>
      </c>
      <c r="BJ50" s="127" cm="1">
        <f t="array" ref="BJ50">IF(39=39,IF(AM50="","",SUMPRODUCT(--ISNUMBER(SEARCH(" "&amp;DJ847:DJ946&amp;" ",BP50)))),"")</f>
        <v>0</v>
      </c>
      <c r="BK50" s="127" cm="1">
        <f t="array" ref="BK50">IF(39=39,IF(AM50="","",SUMPRODUCT(--ISNUMBER(SEARCH(" "&amp;DJ947:DJ1046&amp;" ",BP50)))),"")</f>
        <v>0</v>
      </c>
      <c r="BL50" s="127" cm="1">
        <f t="array" ref="BL50">IF(39=39,IF(AM50="","",SUMPRODUCT(--ISNUMBER(SEARCH(" "&amp;DJ1047:DJ1146&amp;" ",BP50)))),"")</f>
        <v>0</v>
      </c>
      <c r="BM50" s="127" cm="1">
        <f t="array" ref="BM50">IF(39=39,IF(AM50="","",SUMPRODUCT(--ISNUMBER(SEARCH(" "&amp;DJ1147:DJ1246&amp;" ",BP50)))),"")</f>
        <v>0</v>
      </c>
      <c r="BN50" s="127" cm="1">
        <f t="array" ref="BN50">IF(39=39,IF(AM50="","",SUMPRODUCT(--ISNUMBER(SEARCH(" "&amp;DJ1247:DJ1346&amp;" ",BP50)))),"")</f>
        <v>0</v>
      </c>
      <c r="BO50" s="127" cm="1">
        <f t="array" ref="BO50">IF(39=39,IF(AM50="","",SUMPRODUCT(--ISNUMBER(SEARCH(" "&amp;DJ1347:DJ1374&amp;" ",BP50)))),"")</f>
        <v>0</v>
      </c>
      <c r="BP50" s="127" t="str">
        <f>IF(39=39,IF(AM50="","",SUBSTITUTE(SUBSTITUTE(SUBSTITUTE(SUBSTITUTE(SUBSTITUTE(SUBSTITUTE(SUBSTITUTE(SUBSTITUTE(SUBSTITUTE(AS50," "&amp;DJ1376&amp;" "," ")," "&amp;DJ1375&amp;" "," ")," "&amp;DJ1381&amp;" "," ")," "&amp;DJ1382&amp;" "," ")," "&amp;DJ1378&amp;" "," ")," "&amp;DJ1380&amp;" "," ")," "&amp;DJ1377&amp;" "," ")," "&amp;DJ1379&amp;" "," ")," "&amp;DJ1383&amp;" "," ")),"")</f>
        <v xml:space="preserve"> preparation 20 min </v>
      </c>
      <c r="BQ50" s="127" cm="1">
        <f t="array" ref="BQ50">IF(39=39,IF(AM50="","",SUMPRODUCT(--ISNUMBER(SEARCH(" "&amp;DJ1384:DJ1394&amp;" ",BP50)))),"")</f>
        <v>0</v>
      </c>
      <c r="BR50" s="127" t="str" cm="1">
        <f t="array" ref="BR50">IF(39=39,IF(AM50="","",IF(SUM(BF50:BO50)+SUMPRODUCT(--ISNUMBER(SEARCH(" "&amp;DJ2432:DJ2433&amp;" ",BP50)))&gt;0,"X",IF(BQ50&gt;0,"?",""))),"")</f>
        <v/>
      </c>
      <c r="BS50" s="127" cm="1">
        <f t="array" ref="BS50">IF(39=39,IF(AM50="","",SUMPRODUCT(--ISNUMBER(SEARCH(" "&amp;DJ1395:DJ1415&amp;" ",AS50)))),"")</f>
        <v>0</v>
      </c>
      <c r="BT50" s="127" t="str">
        <f>IF(39=39,IF(AM50="","",IF((BS50)-(0)&gt;0,"X",IF((0)-(0)&gt;0,"?",""))),"")</f>
        <v/>
      </c>
      <c r="BU50" s="127" cm="1">
        <f t="array" ref="BU50">IF(39=39,IF(AM50="","",SUMPRODUCT(--ISNUMBER(SEARCH(" "&amp;DJ1416:DJ1453&amp;" ",BV50)))),"")</f>
        <v>0</v>
      </c>
      <c r="BV50" s="127" t="str">
        <f>IF(39=39,IF(AM50="","",SUBSTITUTE(SUBSTITUTE(AS50," "&amp;DJ1454&amp;" "," ")," "&amp;DJ1455&amp;" "," ")),"")</f>
        <v xml:space="preserve"> preparation 20 min </v>
      </c>
      <c r="BW50" s="127" cm="1">
        <f t="array" ref="BW50">IF(39=39,IF(AM50="","",SUMPRODUCT(--ISNUMBER(SEARCH(" "&amp;DJ1456:DJ1466&amp;" ",BV50)))),"")</f>
        <v>0</v>
      </c>
      <c r="BX50" s="127" t="str">
        <f>IF(39=39,IF(AM50="","",IF(BU50&gt;0,"X",IF(BW50&gt;0,"?",""))),"")</f>
        <v/>
      </c>
      <c r="BY50" s="127" cm="1">
        <f t="array" ref="BY50">IF(39=39,IF(AM50="","",SUMPRODUCT(--ISNUMBER(SEARCH(" "&amp;DJ1467:DJ1566&amp;" ",CB50)))),"")</f>
        <v>0</v>
      </c>
      <c r="BZ50" s="127" cm="1">
        <f t="array" ref="BZ50">IF(39=39,IF(AM50="","",SUMPRODUCT(--ISNUMBER(SEARCH(" "&amp;DJ1567:DJ1666&amp;" ",CB50)))),"")</f>
        <v>0</v>
      </c>
      <c r="CA50" s="127" cm="1">
        <f t="array" ref="CA50">IF(39=39,IF(AM50="","",SUMPRODUCT(--ISNUMBER(SEARCH(" "&amp;DJ1667:DJ1750&amp;" ",CB50)))),"")</f>
        <v>0</v>
      </c>
      <c r="CB50" s="127" t="str">
        <f>IF(39=39,IF(AM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preparation 20 min </v>
      </c>
      <c r="CC50" s="127" cm="1">
        <f t="array" ref="CC50">IF(39=39,IF(AM50="","",SUMPRODUCT(--ISNUMBER(SEARCH(" "&amp;DJ1801:DJ1880&amp;" ",CD50)))+SUMPRODUCT(--ISNUMBER(SEARCH(" "&amp;DJ2451:DJ2464&amp;" ",CD50)))),"")</f>
        <v>0</v>
      </c>
      <c r="CD50" s="127" t="str">
        <f>IF(39=39,IF(AM50="","",SUBSTITUTE(SUBSTITUTE(SUBSTITUTE(SUBSTITUTE(SUBSTITUTE(SUBSTITUTE(SUBSTITUTE(SUBSTITUTE(SUBSTITUTE(SUBSTITUTE(SUBSTITUTE(SUBSTITUTE(SUBSTITUTE(CB50," "&amp;DJ1887&amp;" "," ")," "&amp;DJ1885&amp;" "," ")," "&amp;DJ2449&amp;" "," ")," "&amp;DJ2450&amp;" "," ")," "&amp;DJ1882&amp;" "," ")," "&amp;DJ1886&amp;" "," ")," "&amp;DJ1888&amp;" "," ")," "&amp;DJ1883&amp;" "," ")," "&amp;DJ1881&amp;" "," ")," "&amp;DJ1378&amp;" "," ")," "&amp;DJ1889&amp;" "," ")," "&amp;DJ1377&amp;" "," ")," "&amp;DJ1884&amp;" "," ")),"")</f>
        <v xml:space="preserve"> preparation 20 min </v>
      </c>
      <c r="CE50" s="127" t="str" cm="1">
        <f t="array" ref="CE50">IF(39=39,IF(AM50="","",IF(SUM(BY50:CA50)+SUMPRODUCT(--ISNUMBER(SEARCH(" "&amp;DJ2434:DJ2435&amp;" ",CB50)))&gt;0,"X",IF(CC50&gt;0,"?",""))),"")</f>
        <v/>
      </c>
      <c r="CF50" s="127" cm="1">
        <f t="array" ref="CF50">IF(39=39,IF(AM50="","",SUMPRODUCT(--ISNUMBER(SEARCH(" "&amp;DJ1890:DJ1947&amp;" ",CG50)))),"")</f>
        <v>0</v>
      </c>
      <c r="CG50" s="127" t="str">
        <f>IF(39=39,IF(AM50="","",SUBSTITUTE(SUBSTITUTE(SUBSTITUTE(SUBSTITUTE(SUBSTITUTE(SUBSTITUTE(SUBSTITUTE(SUBSTITUTE(SUBSTITUTE(SUBSTITUTE(SUBSTITUTE(SUBSTITUTE(SUBSTITUTE(SUBSTITUTE(SUBSTITUTE(SUBSTITUTE(SUBSTITUTE(SUBSTITUTE(SUBSTITUTE(SUBSTITUTE(SUBSTITUTE(SUBSTITUTE(SUBSTITUTE(AS50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preparation 20 min </v>
      </c>
      <c r="CH50" s="127" cm="1">
        <f t="array" ref="CH50">IF(39=39,IF(AM50="","",SUMPRODUCT(--ISNUMBER(SEARCH(" "&amp;DJ1971:DJ1987&amp;" ",CG50)))),"")</f>
        <v>0</v>
      </c>
      <c r="CI50" s="127" t="str">
        <f>IF(39=39,IF(AM50="","",IF(CF50&gt;0,"X",IF(CH50&gt;0,"?",""))),"")</f>
        <v/>
      </c>
      <c r="CJ50" s="127" cm="1">
        <f t="array" ref="CJ50">IF(39=39,IF(AM50="","",SUMPRODUCT(--ISNUMBER(SEARCH(" "&amp;DJ1988:DJ2001&amp;" ",AS50)))),"")</f>
        <v>0</v>
      </c>
      <c r="CK50" s="127" cm="1">
        <f t="array" ref="CK50">IF(39=39,IF(AM50="","",SUMPRODUCT(--ISNUMBER(SEARCH(" "&amp;DJ2002:DJ2016&amp;" ",AS50)))),"")</f>
        <v>0</v>
      </c>
      <c r="CL50" s="127" t="str">
        <f>IF(39=39,IF(AM50="","",IF((CJ50)-(0)&gt;0,"X",IF((CK50)-(0)&gt;0,"?",""))),"")</f>
        <v/>
      </c>
      <c r="CM50" s="127" cm="1">
        <f t="array" ref="CM50">IF(39=39,IF(AM50="","",SUMPRODUCT(--ISNUMBER(SEARCH(" "&amp;DJ2017:DJ2034&amp;" ",AS50)))),"")</f>
        <v>0</v>
      </c>
      <c r="CN50" s="127" cm="1">
        <f t="array" ref="CN50">IF(39=39,IF(AM50="","",SUMPRODUCT(--ISNUMBER(SEARCH(" "&amp;DJ2035:DJ2049&amp;" ",AS50)))),"")</f>
        <v>0</v>
      </c>
      <c r="CO50" s="127" t="str">
        <f>IF(39=39,IF(AM50="","",IF((CM50)-(0)&gt;0,"X",IF((CN50)-(0)&gt;0,"?",""))),"")</f>
        <v/>
      </c>
      <c r="CP50" s="127" cm="1">
        <f t="array" ref="CP50">IF(39=39,IF(AM50="","",SUMPRODUCT(--ISNUMBER(SEARCH(" "&amp;DJ2050:DJ2068&amp;" ",AS50)))),"")</f>
        <v>0</v>
      </c>
      <c r="CQ50" s="127" cm="1">
        <f t="array" ref="CQ50">IF(39=39,IF(AM50="","",SUMPRODUCT(--ISNUMBER(SEARCH(" "&amp;DJ2069:DJ2083&amp;" ",AS50)))),"")</f>
        <v>0</v>
      </c>
      <c r="CR50" s="127" t="str">
        <f>IF(39=39,IF(AM50="","",IF((CP50)-(0)&gt;0,"X",IF((CQ50)-(0)&gt;0,"?",""))),"")</f>
        <v/>
      </c>
      <c r="CS50" s="127" cm="1">
        <f t="array" ref="CS50">IF(39=39,IF(AM50="","",SUMPRODUCT(--ISNUMBER(SEARCH(" "&amp;DJ2084:DJ2104&amp;" ",AS50)))),"")</f>
        <v>0</v>
      </c>
      <c r="CT50" s="127" cm="1">
        <f t="array" ref="CT50">IF(39=39,IF(AM50="","",SUMPRODUCT(--ISNUMBER(SEARCH(" "&amp;DJ2105:DJ2144&amp;" ",SUBSTITUTE(SUBSTITUTE(AS50," "&amp;DJ1378&amp;" "," ")," "&amp;DJ1377&amp;" "," "))))+--ISNUMBER(SEARCH("poiré",AN50))),"")</f>
        <v>0</v>
      </c>
      <c r="CU50" s="127" t="str">
        <f>IF(39=39,IF(AM50="","",IF(OR(CS50&gt;0,ISNUMBER(SEARCH(" vinaigre de vin ",AS50)),ISNUMBER(SEARCH(" vinaigre au vin ",AS50))),"X",IF(CT50&gt;0,"?",""))),"")</f>
        <v/>
      </c>
      <c r="CV50" s="127" cm="1">
        <f t="array" ref="CV50">IF(39=39,IF(AM50="","",SUMPRODUCT(--ISNUMBER(SEARCH(" "&amp;DJ2145:DJ2157&amp;" ",AS50)))),"")</f>
        <v>0</v>
      </c>
      <c r="CW50" s="127" cm="1">
        <f t="array" ref="CW50">IF(39=39,IF(AM50="","",SUMPRODUCT(--ISNUMBER(SEARCH(" "&amp;DJ2158:DJ2163&amp;" ",AS50)))),"")</f>
        <v>0</v>
      </c>
      <c r="CX50" s="127" t="str">
        <f>IF(39=39,IF(AM50="","",IF((CV50)-(0)&gt;0,"X",IF((CW50)-(0)&gt;0,"?",""))),"")</f>
        <v/>
      </c>
      <c r="CY50" s="127" cm="1">
        <f t="array" ref="CY50">IF(39=39,IF(AM50="","",SUMPRODUCT(--ISNUMBER(SEARCH(" "&amp;DJ2164:DJ2263&amp;" ",DB50)))),"")</f>
        <v>0</v>
      </c>
      <c r="CZ50" s="127" cm="1">
        <f t="array" ref="CZ50">IF(39=39,IF(AM50="","",SUMPRODUCT(--ISNUMBER(SEARCH(" "&amp;DJ2264:DJ2363&amp;" ",DB50)))),"")</f>
        <v>0</v>
      </c>
      <c r="DA50" s="127" cm="1">
        <f t="array" ref="DA50">IF(39=39,IF(AM50="","",SUMPRODUCT(--ISNUMBER(SEARCH(" "&amp;DJ2364:DJ2406&amp;" ",DB50)))),"")</f>
        <v>0</v>
      </c>
      <c r="DB50" s="127" t="str">
        <f>IF(39=39,IF(AM50="","",SUBSTITUTE(SUBSTITUTE(SUBSTITUTE(SUBSTITUTE(SUBSTITUTE(SUBSTITUTE(SUBSTITUTE(SUBSTITUTE(SUBSTITUTE(SUBSTITUTE(SUBSTITUTE(SUBSTITUTE(SUBSTITUTE(SUBSTITUTE(SUBSTITUTE(SUBSTITUTE(AS50," "&amp;DJ2412&amp;" "," ")," "&amp;DJ2411&amp;" "," ")," "&amp;DJ2410&amp;" "," ")," "&amp;DJ2417&amp;" "," ")," "&amp;DJ2409&amp;" "," ")," "&amp;DJ2421&amp;" "," ")," "&amp;DJ2408&amp;" "," ")," "&amp;DJ2413&amp;" "," ")," "&amp;DJ2416&amp;" "," ")," "&amp;DJ2407&amp;" "," ")," "&amp;DJ2415&amp;" "," ")," "&amp;DJ2422&amp;" "," ")," "&amp;DJ2419&amp;" "," ")," "&amp;DJ2414&amp;" "," ")," "&amp;DJ2418&amp;" "," ")," "&amp;DJ2420&amp;" "," ")),"")</f>
        <v xml:space="preserve"> preparation 20 min </v>
      </c>
      <c r="DC50" s="127" cm="1">
        <f t="array" ref="DC50">IF(39=39,IF(AM50="","",SUMPRODUCT(--ISNUMBER(SEARCH(" "&amp;DJ2423:DJ2427&amp;" ",DB50)))),"")</f>
        <v>0</v>
      </c>
      <c r="DD50" s="127" t="str">
        <f>IF(39=39,IF(AM50="","",IF(SUM(CY50:DA50)&gt;0,"X",IF(DC50&gt;0,"?",""))),"")</f>
        <v/>
      </c>
      <c r="DE50" s="152"/>
      <c r="DF50" s="160" t="s">
        <v>732</v>
      </c>
      <c r="DG50" s="160" t="s">
        <v>584</v>
      </c>
      <c r="DH50" s="160" t="s">
        <v>125</v>
      </c>
      <c r="DI50" s="160" t="s">
        <v>733</v>
      </c>
      <c r="DJ50" s="160" t="s">
        <v>734</v>
      </c>
      <c r="DK50" s="160" t="s">
        <v>588</v>
      </c>
      <c r="DL50" s="160" t="s">
        <v>589</v>
      </c>
      <c r="DM50" s="160" t="s">
        <v>590</v>
      </c>
      <c r="DN50" s="161" t="s">
        <v>591</v>
      </c>
      <c r="DP50" s="130">
        <v>1</v>
      </c>
    </row>
    <row r="51" spans="2:120" ht="30" customHeight="1">
      <c r="B51" s="165" t="str">
        <f t="shared" si="0"/>
        <v>Préparation</v>
      </c>
      <c r="C51" s="165" t="str">
        <f t="shared" si="1"/>
        <v>Préparation</v>
      </c>
      <c r="D51" s="165" t="str">
        <f>IF(UPPER(TRIM(N11))="X",C51,B51)</f>
        <v>Préparation</v>
      </c>
      <c r="E51" s="165" cm="1">
        <f t="array" ref="E51">IF(H50&lt;&gt;"",E50,IF(E50="","",IFERROR(MATCH(TRUE(),INDEX(INDEX(K:K,E50+1):K203&lt;&gt;"",0),0)+E50,"")))</f>
        <v>42</v>
      </c>
      <c r="F51" s="165" t="str" cm="1">
        <f t="array" ref="F51">IF(E51="","",IF(H50&lt;&gt;"",H50,INDEX(D:D,E51)))</f>
        <v>Cuisson : 30 min</v>
      </c>
      <c r="G51" s="165" t="str">
        <f t="shared" si="2"/>
        <v>Cuisson : 30 min</v>
      </c>
      <c r="H51" s="174" t="str">
        <f t="shared" si="3"/>
        <v/>
      </c>
      <c r="I51" s="184" t="str">
        <f>IF(AND(F51&lt;&gt;"",N10&gt;0,M51&gt;N10),"Mot &gt; limite","")</f>
        <v/>
      </c>
      <c r="J51" s="175">
        <f>IF(K51="","",COUNTIF(K18:K51,"&lt;&gt;"))</f>
        <v>33</v>
      </c>
      <c r="K51" s="111" t="s">
        <v>23</v>
      </c>
      <c r="L51" s="175">
        <f t="shared" si="4"/>
        <v>11</v>
      </c>
      <c r="M51" s="135">
        <f>IF(OR(F51="",N10="",N10&lt;=0),"",IF(LEN(F51)&lt;=N10,LEN(F51),IFERROR(FIND("♦",SUBSTITUTE(LEFT(F51,N10)," ","♦",LEN(LEFT(F51,N10))-LEN(SUBSTITUTE(LEFT(F51,N10)," ","")))),FIND(" ",F51&amp;" ",N10+1)-1)))</f>
        <v>16</v>
      </c>
      <c r="N51" s="176">
        <f t="shared" si="5"/>
        <v>34</v>
      </c>
      <c r="O51" s="177" t="str">
        <f t="shared" si="6"/>
        <v>Cuisson : 30 min</v>
      </c>
      <c r="P51" s="176">
        <f t="shared" si="7"/>
        <v>4</v>
      </c>
      <c r="Q51" s="176">
        <f t="shared" si="8"/>
        <v>16</v>
      </c>
      <c r="S51" s="178">
        <v>34</v>
      </c>
      <c r="T51" s="179" t="str">
        <f t="shared" si="10"/>
        <v>Cuisson : 30 min</v>
      </c>
      <c r="U51" s="180" t="str">
        <f t="shared" si="11"/>
        <v>Cuisson : 30 min</v>
      </c>
      <c r="V51" s="181" t="str">
        <f>IF(40=40,IF(T51="","",IF(W51="X",""&amp;"Céréales contenant du gluten","")&amp;IF(X51="X",IF(COUNTIF(W51:W51,"X")&gt;0,", ","")&amp;"Crustacés","")&amp;IF(Y51="X",IF(COUNTIF(W51:X51,"X")&gt;0,", ","")&amp;"Œufs","")&amp;IF(Z51="X",IF(COUNTIF(W51:Y51,"X")&gt;0,", ","")&amp;"Poissons","")&amp;IF(AA51="X",IF(COUNTIF(W51:Z51,"X")&gt;0,", ","")&amp;"Arachides","")&amp;IF(AB51="X",IF(COUNTIF(W51:AA51,"X")&gt;0,", ","")&amp;"Soja","")&amp;IF(AC51="X",IF(COUNTIF(W51:AB51,"X")&gt;0,", ","")&amp;"Lait","")&amp;IF(AD51="X",IF(COUNTIF(W51:AC51,"X")&gt;0,", ","")&amp;"Fruits à coque","")&amp;IF(AE51="X",IF(COUNTIF(W51:AD51,"X")&gt;0,", ","")&amp;"Céleri","")&amp;IF(AF51="X",IF(COUNTIF(W51:AE51,"X")&gt;0,", ","")&amp;"Moutarde","")&amp;IF(AG51="X",IF(COUNTIF(W51:AF51,"X")&gt;0,", ","")&amp;"Sésame","")&amp;IF(AH51="X",IF(COUNTIF(W51:AG51,"X")&gt;0,", ","")&amp;"Sulfites","")&amp;IF(AI51="X",IF(COUNTIF(W51:AH51,"X")&gt;0,", ","")&amp;"Lupin","")&amp;IF(AJ51="X",IF(COUNTIF(W51:AI51,"X")&gt;0,", ","")&amp;"Mollusques","")),"")</f>
        <v/>
      </c>
      <c r="W51" s="182" t="str">
        <f>IF(40=40,IF(T51="","",AX51),"")</f>
        <v/>
      </c>
      <c r="X51" s="182" t="str">
        <f>IF(40=40,IF(T51="","",BA51),"")</f>
        <v/>
      </c>
      <c r="Y51" s="182" t="str">
        <f>IF(40=40,IF(T51="","",BE51),"")</f>
        <v/>
      </c>
      <c r="Z51" s="182" t="str">
        <f>IF(40=40,IF(T51="","",IF(ISNUMBER(SEARCH(" colin ",AS51)),"X",BR51)),"")</f>
        <v/>
      </c>
      <c r="AA51" s="182" t="str">
        <f>IF(40=40,IF(T51="","",BT51),"")</f>
        <v/>
      </c>
      <c r="AB51" s="182" t="str">
        <f>IF(40=40,IF(T51="","",BX51),"")</f>
        <v/>
      </c>
      <c r="AC51" s="182" t="str">
        <f>IF(40=40,IF(T51="","",CE51),"")</f>
        <v/>
      </c>
      <c r="AD51" s="182" t="str">
        <f>IF(40=40,IF(T51="","",CI51),"")</f>
        <v/>
      </c>
      <c r="AE51" s="182" t="str">
        <f>IF(40=40,IF(T51="","",CL51),"")</f>
        <v/>
      </c>
      <c r="AF51" s="182" t="str">
        <f>IF(40=40,IF(T51="","",CO51),"")</f>
        <v/>
      </c>
      <c r="AG51" s="182" t="str">
        <f>IF(40=40,IF(T51="","",CR51),"")</f>
        <v/>
      </c>
      <c r="AH51" s="182" t="str">
        <f>IF(40=40,IF(T51="","",CU51),"")</f>
        <v/>
      </c>
      <c r="AI51" s="182" t="str">
        <f>IF(40=40,IF(T51="","",CX51),"")</f>
        <v/>
      </c>
      <c r="AJ51" s="182" t="str">
        <f>IF(40=40,IF(T51="","",DD51),"")</f>
        <v/>
      </c>
      <c r="AK51" s="183" t="str">
        <f>IF(40=40,IF(T51="","",IF(W51="?",""&amp;"Céréales contenant du gluten","")&amp;IF(X51="?",IF(COUNTIF(W51:W51,"~?")&gt;0,", ","")&amp;"Crustacés","")&amp;IF(Y51="?",IF(COUNTIF(W51:X51,"~?")&gt;0,", ","")&amp;"Œufs","")&amp;IF(Z51="?",IF(COUNTIF(W51:Y51,"~?")&gt;0,", ","")&amp;"Poissons","")&amp;IF(AA51="?",IF(COUNTIF(W51:Z51,"~?")&gt;0,", ","")&amp;"Arachides","")&amp;IF(AB51="?",IF(COUNTIF(W51:AA51,"~?")&gt;0,", ","")&amp;"Soja","")&amp;IF(AC51="?",IF(COUNTIF(W51:AB51,"~?")&gt;0,", ","")&amp;"Lait","")&amp;IF(AD51="?",IF(COUNTIF(W51:AC51,"~?")&gt;0,", ","")&amp;"Fruits à coque","")&amp;IF(AE51="?",IF(COUNTIF(W51:AD51,"~?")&gt;0,", ","")&amp;"Céleri","")&amp;IF(AF51="?",IF(COUNTIF(W51:AE51,"~?")&gt;0,", ","")&amp;"Moutarde","")&amp;IF(AG51="?",IF(COUNTIF(W51:AF51,"~?")&gt;0,", ","")&amp;"Sésame","")&amp;IF(AH51="?",IF(COUNTIF(W51:AG51,"~?")&gt;0,", ","")&amp;"Sulfites","")&amp;IF(AI51="?",IF(COUNTIF(W51:AH51,"~?")&gt;0,", ","")&amp;"Lupin","")&amp;IF(AJ51="?",IF(COUNTIF(W51:AI51,"~?")&gt;0,", ","")&amp;"Mollusques","")),"")</f>
        <v/>
      </c>
      <c r="AM51" s="127" t="str">
        <f>IF(40=40,IF(T51="","",T51),"")</f>
        <v>Cuisson : 30 min</v>
      </c>
      <c r="AN51" s="127" t="str">
        <f>IF(40=40,LOWER(CLEAN(SUBSTITUTE(SUBSTITUTE(SUBSTITUTE(SUBSTITUTE(AM51,CHAR(160)," ")," "," "),CHAR(10)," "),CHAR(13)," "))),"")</f>
        <v>cuisson : 30 min</v>
      </c>
      <c r="AO51" s="127" t="str">
        <f>IF(40=40,SUBSTITUTE(SUBSTITUTE(SUBSTITUTE(SUBSTITUTE(SUBSTITUTE(SUBSTITUTE(SUBSTITUTE(SUBSTITUTE(SUBSTITUTE(SUBSTITUTE(SUBSTITUTE(SUBSTITUTE(AN51,"œ","oe"),"æ","ae"),"à","a"),"á","a"),"â","a"),"ä","a"),"ã","a"),"ç","c"),"è","e"),"é","e"),"ê","e"),"ë","e"),"")</f>
        <v>cuisson : 30 min</v>
      </c>
      <c r="AP51" s="127" t="str">
        <f>IF(40=40,SUBSTITUTE(SUBSTITUTE(SUBSTITUTE(SUBSTITUTE(SUBSTITUTE(SUBSTITUTE(SUBSTITUTE(SUBSTITUTE(SUBSTITUTE(SUBSTITUTE(SUBSTITUTE(SUBSTITUTE(SUBSTITUTE(SUBSTITUTE(SUBSTITUTE(SUBSTITUTE(AO51,"ì","i"),"í","i"),"î","i"),"ï","i"),"ñ","n"),"ò","o"),"ó","o"),"ô","o"),"ö","o"),"õ","o"),"ù","u"),"ú","u"),"û","u"),"ü","u"),"ý","y"),"ÿ","y"),"")</f>
        <v>cuisson : 30 min</v>
      </c>
      <c r="AQ51" s="127" t="str">
        <f>IF(40=40,SUBSTITUTE(SUBSTITUTE(SUBSTITUTE(SUBSTITUTE(SUBSTITUTE(SUBSTITUTE(SUBSTITUTE(SUBSTITUTE(SUBSTITUTE(SUBSTITUTE(SUBSTITUTE(SUBSTITUTE(SUBSTITUTE(SUBSTITUTE(AP51,"’"," "),"`"," "),"–"," "),"—"," "),"-"," "),"'"," "),"/"," "),"_"," "),","," "),"."," "),"("," "),")"," "),";"," "),":"," "),"")</f>
        <v>cuisson   30 min</v>
      </c>
      <c r="AR51" s="127" t="str">
        <f>IF(40=40,SUBSTITUTE(SUBSTITUTE(SUBSTITUTE(SUBSTITUTE(SUBSTITUTE(SUBSTITUTE(SUBSTITUTE(SUBSTITUTE(SUBSTITUTE(SUBSTITUTE(SUBSTITUTE(SUBSTITUTE(SUBSTITUTE(SUBSTITUTE(SUBSTITUTE(AQ51,"!"," "),"?"," "),"+"," "),"*"," "),"&amp;"," "),"["," "),"]"," "),"{"," "),"}"," "),"%"," "),"="," "),"\"," "),"|"," "),"&lt;"," "),"&gt;"," "),"")</f>
        <v>cuisson   30 min</v>
      </c>
      <c r="AS51" s="127" t="str">
        <f>IF(40=40," "&amp;TRIM(SUBSTITUTE(SUBSTITUTE(SUBSTITUTE(SUBSTITUTE(SUBSTITUTE(SUBSTITUTE(AR51,CHAR(34)," "),"  "," "),"  "," "),"  "," "),"  "," "),"  "," "))&amp;" ","")</f>
        <v xml:space="preserve"> cuisson 30 min </v>
      </c>
      <c r="AT51" s="127" cm="1">
        <f t="array" ref="AT51">IF(40=40,IF(AM51="","",SUMPRODUCT(--ISNUMBER(SEARCH(" "&amp;DJ13:DJ112&amp;" ",AV51)))),"")</f>
        <v>0</v>
      </c>
      <c r="AU51" s="127" cm="1">
        <f t="array" ref="AU51">IF(40=40,IF(AM51="","",SUMPRODUCT(--ISNUMBER(SEARCH(" "&amp;DJ113:DJ162&amp;" ",AV51)))),"")</f>
        <v>0</v>
      </c>
      <c r="AV51" s="127" t="str">
        <f>IF(AM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cuisson 30 min </v>
      </c>
      <c r="AW51" s="127" cm="1">
        <f t="array" ref="AW51">IF(AM51="","",SUMPRODUCT(--ISNUMBER(SEARCH(" "&amp;DJ195:DJ216&amp;" ",AV51)))+--ISNUMBER(SEARCH(" "&amp;DJ2465&amp;" ",AV51)))</f>
        <v>0</v>
      </c>
      <c r="AX51" s="127" t="str" cm="1">
        <f t="array" ref="AX51">IF(40=40,IF(AM51="","",IF(SUM(AT51:AU51)+SUMPRODUCT(--ISNUMBER(SEARCH(" "&amp;DJ2429:DJ2431&amp;" ",AV51)))&gt;0,"X",IF(AW51&gt;0,"?",""))),"")</f>
        <v/>
      </c>
      <c r="AY51" s="127" cm="1">
        <f t="array" ref="AY51">IF(40=40,IF(AM51="","",SUMPRODUCT(--ISNUMBER(SEARCH(" "&amp;DJ217:DJ316&amp;" ",AS51)))),"")</f>
        <v>0</v>
      </c>
      <c r="AZ51" s="127" cm="1">
        <f t="array" ref="AZ51">IF(40=40,IF(AM51="","",SUMPRODUCT(--ISNUMBER(SEARCH(" "&amp;DJ317:DJ351&amp;" ",AS51)))),"")</f>
        <v>0</v>
      </c>
      <c r="BA51" s="127" t="str">
        <f>IF(40=40,IF(AM51="","",IF((SUM(AY51:AZ51))-(0)&gt;0,"X",IF((0)-(0)&gt;0,"?",""))),"")</f>
        <v/>
      </c>
      <c r="BB51" s="127" cm="1">
        <f t="array" ref="BB51">IF(40=40,IF(AM51="","",SUMPRODUCT(--ISNUMBER(SEARCH(" "&amp;DJ352:DJ409&amp;" ",AS51)))),"")</f>
        <v>0</v>
      </c>
      <c r="BC51" s="127" cm="1">
        <f t="array" ref="BC51">IF(40=40,IF(AM51="","",SUMPRODUCT(--ISNUMBER(SEARCH(" "&amp;DJ410:DJ437&amp;" ",BD51)))+SUMPRODUCT(--ISNUMBER(SEARCH(" "&amp;DJ2451:DJ2464&amp;" ",BD51)))),"")</f>
        <v>0</v>
      </c>
      <c r="BD51" s="127" t="str">
        <f>IF(40=40,IF(AM51="","",SUBSTITUTE(SUBSTITUTE(SUBSTITUTE(SUBSTITUTE(SUBSTITUTE(SUBSTITUTE(SUBSTITUTE(SUBSTITUTE(SUBSTITUTE(SUBSTITUTE(SUBSTITUTE(SUBSTITUTE(SUBSTITUTE(SUBSTITUTE(AS51," "&amp;DJ2466&amp;" "," ")," "&amp;DJ444&amp;" "," ")," "&amp;DJ442&amp;" "," ")," "&amp;DJ2449&amp;" "," ")," "&amp;DJ2450&amp;" "," ")," "&amp;DJ439&amp;" "," ")," "&amp;DJ443&amp;" "," ")," "&amp;DJ445&amp;" "," ")," "&amp;DJ440&amp;" "," ")," "&amp;DJ438&amp;" "," ")," "&amp;DJ1378&amp;" "," ")," "&amp;DJ446&amp;" "," ")," "&amp;DJ1377&amp;" "," ")," "&amp;DJ441&amp;" "," ")),"")</f>
        <v xml:space="preserve"> cuisson 30 min </v>
      </c>
      <c r="BE51" s="127" t="str">
        <f>IF(40=40,IF(AM51="","",IF(BB51&gt;0,"X",IF(BC51&gt;0,"?",""))),"")</f>
        <v/>
      </c>
      <c r="BF51" s="127" cm="1">
        <f t="array" ref="BF51">IF(40=40,IF(AM51="","",SUMPRODUCT(--ISNUMBER(SEARCH(" "&amp;DJ447:DJ546&amp;" ",BP51)))),"")</f>
        <v>0</v>
      </c>
      <c r="BG51" s="127" cm="1">
        <f t="array" ref="BG51">IF(40=40,IF(AM51="","",SUMPRODUCT(--ISNUMBER(SEARCH(" "&amp;DJ547:DJ646&amp;" ",BP51)))),"")</f>
        <v>0</v>
      </c>
      <c r="BH51" s="127" cm="1">
        <f t="array" ref="BH51">IF(40=40,IF(AM51="","",SUMPRODUCT(--ISNUMBER(SEARCH(" "&amp;DJ647:DJ746&amp;" ",BP51)))),"")</f>
        <v>0</v>
      </c>
      <c r="BI51" s="127" cm="1">
        <f t="array" ref="BI51">IF(40=40,IF(AM51="","",SUMPRODUCT(--ISNUMBER(SEARCH(" "&amp;DJ747:DJ846&amp;" ",BP51)))),"")</f>
        <v>0</v>
      </c>
      <c r="BJ51" s="127" cm="1">
        <f t="array" ref="BJ51">IF(40=40,IF(AM51="","",SUMPRODUCT(--ISNUMBER(SEARCH(" "&amp;DJ847:DJ946&amp;" ",BP51)))),"")</f>
        <v>0</v>
      </c>
      <c r="BK51" s="127" cm="1">
        <f t="array" ref="BK51">IF(40=40,IF(AM51="","",SUMPRODUCT(--ISNUMBER(SEARCH(" "&amp;DJ947:DJ1046&amp;" ",BP51)))),"")</f>
        <v>0</v>
      </c>
      <c r="BL51" s="127" cm="1">
        <f t="array" ref="BL51">IF(40=40,IF(AM51="","",SUMPRODUCT(--ISNUMBER(SEARCH(" "&amp;DJ1047:DJ1146&amp;" ",BP51)))),"")</f>
        <v>0</v>
      </c>
      <c r="BM51" s="127" cm="1">
        <f t="array" ref="BM51">IF(40=40,IF(AM51="","",SUMPRODUCT(--ISNUMBER(SEARCH(" "&amp;DJ1147:DJ1246&amp;" ",BP51)))),"")</f>
        <v>0</v>
      </c>
      <c r="BN51" s="127" cm="1">
        <f t="array" ref="BN51">IF(40=40,IF(AM51="","",SUMPRODUCT(--ISNUMBER(SEARCH(" "&amp;DJ1247:DJ1346&amp;" ",BP51)))),"")</f>
        <v>0</v>
      </c>
      <c r="BO51" s="127" cm="1">
        <f t="array" ref="BO51">IF(40=40,IF(AM51="","",SUMPRODUCT(--ISNUMBER(SEARCH(" "&amp;DJ1347:DJ1374&amp;" ",BP51)))),"")</f>
        <v>0</v>
      </c>
      <c r="BP51" s="127" t="str">
        <f>IF(40=40,IF(AM51="","",SUBSTITUTE(SUBSTITUTE(SUBSTITUTE(SUBSTITUTE(SUBSTITUTE(SUBSTITUTE(SUBSTITUTE(SUBSTITUTE(SUBSTITUTE(AS51," "&amp;DJ1376&amp;" "," ")," "&amp;DJ1375&amp;" "," ")," "&amp;DJ1381&amp;" "," ")," "&amp;DJ1382&amp;" "," ")," "&amp;DJ1378&amp;" "," ")," "&amp;DJ1380&amp;" "," ")," "&amp;DJ1377&amp;" "," ")," "&amp;DJ1379&amp;" "," ")," "&amp;DJ1383&amp;" "," ")),"")</f>
        <v xml:space="preserve"> cuisson 30 min </v>
      </c>
      <c r="BQ51" s="127" cm="1">
        <f t="array" ref="BQ51">IF(40=40,IF(AM51="","",SUMPRODUCT(--ISNUMBER(SEARCH(" "&amp;DJ1384:DJ1394&amp;" ",BP51)))),"")</f>
        <v>0</v>
      </c>
      <c r="BR51" s="127" t="str" cm="1">
        <f t="array" ref="BR51">IF(40=40,IF(AM51="","",IF(SUM(BF51:BO51)+SUMPRODUCT(--ISNUMBER(SEARCH(" "&amp;DJ2432:DJ2433&amp;" ",BP51)))&gt;0,"X",IF(BQ51&gt;0,"?",""))),"")</f>
        <v/>
      </c>
      <c r="BS51" s="127" cm="1">
        <f t="array" ref="BS51">IF(40=40,IF(AM51="","",SUMPRODUCT(--ISNUMBER(SEARCH(" "&amp;DJ1395:DJ1415&amp;" ",AS51)))),"")</f>
        <v>0</v>
      </c>
      <c r="BT51" s="127" t="str">
        <f>IF(40=40,IF(AM51="","",IF((BS51)-(0)&gt;0,"X",IF((0)-(0)&gt;0,"?",""))),"")</f>
        <v/>
      </c>
      <c r="BU51" s="127" cm="1">
        <f t="array" ref="BU51">IF(40=40,IF(AM51="","",SUMPRODUCT(--ISNUMBER(SEARCH(" "&amp;DJ1416:DJ1453&amp;" ",BV51)))),"")</f>
        <v>0</v>
      </c>
      <c r="BV51" s="127" t="str">
        <f>IF(40=40,IF(AM51="","",SUBSTITUTE(SUBSTITUTE(AS51," "&amp;DJ1454&amp;" "," ")," "&amp;DJ1455&amp;" "," ")),"")</f>
        <v xml:space="preserve"> cuisson 30 min </v>
      </c>
      <c r="BW51" s="127" cm="1">
        <f t="array" ref="BW51">IF(40=40,IF(AM51="","",SUMPRODUCT(--ISNUMBER(SEARCH(" "&amp;DJ1456:DJ1466&amp;" ",BV51)))),"")</f>
        <v>0</v>
      </c>
      <c r="BX51" s="127" t="str">
        <f>IF(40=40,IF(AM51="","",IF(BU51&gt;0,"X",IF(BW51&gt;0,"?",""))),"")</f>
        <v/>
      </c>
      <c r="BY51" s="127" cm="1">
        <f t="array" ref="BY51">IF(40=40,IF(AM51="","",SUMPRODUCT(--ISNUMBER(SEARCH(" "&amp;DJ1467:DJ1566&amp;" ",CB51)))),"")</f>
        <v>0</v>
      </c>
      <c r="BZ51" s="127" cm="1">
        <f t="array" ref="BZ51">IF(40=40,IF(AM51="","",SUMPRODUCT(--ISNUMBER(SEARCH(" "&amp;DJ1567:DJ1666&amp;" ",CB51)))),"")</f>
        <v>0</v>
      </c>
      <c r="CA51" s="127" cm="1">
        <f t="array" ref="CA51">IF(40=40,IF(AM51="","",SUMPRODUCT(--ISNUMBER(SEARCH(" "&amp;DJ1667:DJ1750&amp;" ",CB51)))),"")</f>
        <v>0</v>
      </c>
      <c r="CB51" s="127" t="str">
        <f>IF(40=40,IF(AM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cuisson 30 min </v>
      </c>
      <c r="CC51" s="127" cm="1">
        <f t="array" ref="CC51">IF(40=40,IF(AM51="","",SUMPRODUCT(--ISNUMBER(SEARCH(" "&amp;DJ1801:DJ1880&amp;" ",CD51)))+SUMPRODUCT(--ISNUMBER(SEARCH(" "&amp;DJ2451:DJ2464&amp;" ",CD51)))),"")</f>
        <v>0</v>
      </c>
      <c r="CD51" s="127" t="str">
        <f>IF(40=40,IF(AM51="","",SUBSTITUTE(SUBSTITUTE(SUBSTITUTE(SUBSTITUTE(SUBSTITUTE(SUBSTITUTE(SUBSTITUTE(SUBSTITUTE(SUBSTITUTE(SUBSTITUTE(SUBSTITUTE(SUBSTITUTE(SUBSTITUTE(CB51," "&amp;DJ1887&amp;" "," ")," "&amp;DJ1885&amp;" "," ")," "&amp;DJ2449&amp;" "," ")," "&amp;DJ2450&amp;" "," ")," "&amp;DJ1882&amp;" "," ")," "&amp;DJ1886&amp;" "," ")," "&amp;DJ1888&amp;" "," ")," "&amp;DJ1883&amp;" "," ")," "&amp;DJ1881&amp;" "," ")," "&amp;DJ1378&amp;" "," ")," "&amp;DJ1889&amp;" "," ")," "&amp;DJ1377&amp;" "," ")," "&amp;DJ1884&amp;" "," ")),"")</f>
        <v xml:space="preserve"> cuisson 30 min </v>
      </c>
      <c r="CE51" s="127" t="str" cm="1">
        <f t="array" ref="CE51">IF(40=40,IF(AM51="","",IF(SUM(BY51:CA51)+SUMPRODUCT(--ISNUMBER(SEARCH(" "&amp;DJ2434:DJ2435&amp;" ",CB51)))&gt;0,"X",IF(CC51&gt;0,"?",""))),"")</f>
        <v/>
      </c>
      <c r="CF51" s="127" cm="1">
        <f t="array" ref="CF51">IF(40=40,IF(AM51="","",SUMPRODUCT(--ISNUMBER(SEARCH(" "&amp;DJ1890:DJ1947&amp;" ",CG51)))),"")</f>
        <v>0</v>
      </c>
      <c r="CG51" s="127" t="str">
        <f>IF(40=40,IF(AM51="","",SUBSTITUTE(SUBSTITUTE(SUBSTITUTE(SUBSTITUTE(SUBSTITUTE(SUBSTITUTE(SUBSTITUTE(SUBSTITUTE(SUBSTITUTE(SUBSTITUTE(SUBSTITUTE(SUBSTITUTE(SUBSTITUTE(SUBSTITUTE(SUBSTITUTE(SUBSTITUTE(SUBSTITUTE(SUBSTITUTE(SUBSTITUTE(SUBSTITUTE(SUBSTITUTE(SUBSTITUTE(SUBSTITUTE(AS51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cuisson 30 min </v>
      </c>
      <c r="CH51" s="127" cm="1">
        <f t="array" ref="CH51">IF(40=40,IF(AM51="","",SUMPRODUCT(--ISNUMBER(SEARCH(" "&amp;DJ1971:DJ1987&amp;" ",CG51)))),"")</f>
        <v>0</v>
      </c>
      <c r="CI51" s="127" t="str">
        <f>IF(40=40,IF(AM51="","",IF(CF51&gt;0,"X",IF(CH51&gt;0,"?",""))),"")</f>
        <v/>
      </c>
      <c r="CJ51" s="127" cm="1">
        <f t="array" ref="CJ51">IF(40=40,IF(AM51="","",SUMPRODUCT(--ISNUMBER(SEARCH(" "&amp;DJ1988:DJ2001&amp;" ",AS51)))),"")</f>
        <v>0</v>
      </c>
      <c r="CK51" s="127" cm="1">
        <f t="array" ref="CK51">IF(40=40,IF(AM51="","",SUMPRODUCT(--ISNUMBER(SEARCH(" "&amp;DJ2002:DJ2016&amp;" ",AS51)))),"")</f>
        <v>0</v>
      </c>
      <c r="CL51" s="127" t="str">
        <f>IF(40=40,IF(AM51="","",IF((CJ51)-(0)&gt;0,"X",IF((CK51)-(0)&gt;0,"?",""))),"")</f>
        <v/>
      </c>
      <c r="CM51" s="127" cm="1">
        <f t="array" ref="CM51">IF(40=40,IF(AM51="","",SUMPRODUCT(--ISNUMBER(SEARCH(" "&amp;DJ2017:DJ2034&amp;" ",AS51)))),"")</f>
        <v>0</v>
      </c>
      <c r="CN51" s="127" cm="1">
        <f t="array" ref="CN51">IF(40=40,IF(AM51="","",SUMPRODUCT(--ISNUMBER(SEARCH(" "&amp;DJ2035:DJ2049&amp;" ",AS51)))),"")</f>
        <v>0</v>
      </c>
      <c r="CO51" s="127" t="str">
        <f>IF(40=40,IF(AM51="","",IF((CM51)-(0)&gt;0,"X",IF((CN51)-(0)&gt;0,"?",""))),"")</f>
        <v/>
      </c>
      <c r="CP51" s="127" cm="1">
        <f t="array" ref="CP51">IF(40=40,IF(AM51="","",SUMPRODUCT(--ISNUMBER(SEARCH(" "&amp;DJ2050:DJ2068&amp;" ",AS51)))),"")</f>
        <v>0</v>
      </c>
      <c r="CQ51" s="127" cm="1">
        <f t="array" ref="CQ51">IF(40=40,IF(AM51="","",SUMPRODUCT(--ISNUMBER(SEARCH(" "&amp;DJ2069:DJ2083&amp;" ",AS51)))),"")</f>
        <v>0</v>
      </c>
      <c r="CR51" s="127" t="str">
        <f>IF(40=40,IF(AM51="","",IF((CP51)-(0)&gt;0,"X",IF((CQ51)-(0)&gt;0,"?",""))),"")</f>
        <v/>
      </c>
      <c r="CS51" s="127" cm="1">
        <f t="array" ref="CS51">IF(40=40,IF(AM51="","",SUMPRODUCT(--ISNUMBER(SEARCH(" "&amp;DJ2084:DJ2104&amp;" ",AS51)))),"")</f>
        <v>0</v>
      </c>
      <c r="CT51" s="127" cm="1">
        <f t="array" ref="CT51">IF(40=40,IF(AM51="","",SUMPRODUCT(--ISNUMBER(SEARCH(" "&amp;DJ2105:DJ2144&amp;" ",SUBSTITUTE(SUBSTITUTE(AS51," "&amp;DJ1378&amp;" "," ")," "&amp;DJ1377&amp;" "," "))))+--ISNUMBER(SEARCH("poiré",AN51))),"")</f>
        <v>0</v>
      </c>
      <c r="CU51" s="127" t="str">
        <f>IF(40=40,IF(AM51="","",IF(OR(CS51&gt;0,ISNUMBER(SEARCH(" vinaigre de vin ",AS51)),ISNUMBER(SEARCH(" vinaigre au vin ",AS51))),"X",IF(CT51&gt;0,"?",""))),"")</f>
        <v/>
      </c>
      <c r="CV51" s="127" cm="1">
        <f t="array" ref="CV51">IF(40=40,IF(AM51="","",SUMPRODUCT(--ISNUMBER(SEARCH(" "&amp;DJ2145:DJ2157&amp;" ",AS51)))),"")</f>
        <v>0</v>
      </c>
      <c r="CW51" s="127" cm="1">
        <f t="array" ref="CW51">IF(40=40,IF(AM51="","",SUMPRODUCT(--ISNUMBER(SEARCH(" "&amp;DJ2158:DJ2163&amp;" ",AS51)))),"")</f>
        <v>0</v>
      </c>
      <c r="CX51" s="127" t="str">
        <f>IF(40=40,IF(AM51="","",IF((CV51)-(0)&gt;0,"X",IF((CW51)-(0)&gt;0,"?",""))),"")</f>
        <v/>
      </c>
      <c r="CY51" s="127" cm="1">
        <f t="array" ref="CY51">IF(40=40,IF(AM51="","",SUMPRODUCT(--ISNUMBER(SEARCH(" "&amp;DJ2164:DJ2263&amp;" ",DB51)))),"")</f>
        <v>0</v>
      </c>
      <c r="CZ51" s="127" cm="1">
        <f t="array" ref="CZ51">IF(40=40,IF(AM51="","",SUMPRODUCT(--ISNUMBER(SEARCH(" "&amp;DJ2264:DJ2363&amp;" ",DB51)))),"")</f>
        <v>0</v>
      </c>
      <c r="DA51" s="127" cm="1">
        <f t="array" ref="DA51">IF(40=40,IF(AM51="","",SUMPRODUCT(--ISNUMBER(SEARCH(" "&amp;DJ2364:DJ2406&amp;" ",DB51)))),"")</f>
        <v>0</v>
      </c>
      <c r="DB51" s="127" t="str">
        <f>IF(40=40,IF(AM51="","",SUBSTITUTE(SUBSTITUTE(SUBSTITUTE(SUBSTITUTE(SUBSTITUTE(SUBSTITUTE(SUBSTITUTE(SUBSTITUTE(SUBSTITUTE(SUBSTITUTE(SUBSTITUTE(SUBSTITUTE(SUBSTITUTE(SUBSTITUTE(SUBSTITUTE(SUBSTITUTE(AS51," "&amp;DJ2412&amp;" "," ")," "&amp;DJ2411&amp;" "," ")," "&amp;DJ2410&amp;" "," ")," "&amp;DJ2417&amp;" "," ")," "&amp;DJ2409&amp;" "," ")," "&amp;DJ2421&amp;" "," ")," "&amp;DJ2408&amp;" "," ")," "&amp;DJ2413&amp;" "," ")," "&amp;DJ2416&amp;" "," ")," "&amp;DJ2407&amp;" "," ")," "&amp;DJ2415&amp;" "," ")," "&amp;DJ2422&amp;" "," ")," "&amp;DJ2419&amp;" "," ")," "&amp;DJ2414&amp;" "," ")," "&amp;DJ2418&amp;" "," ")," "&amp;DJ2420&amp;" "," ")),"")</f>
        <v xml:space="preserve"> cuisson 30 min </v>
      </c>
      <c r="DC51" s="127" cm="1">
        <f t="array" ref="DC51">IF(40=40,IF(AM51="","",SUMPRODUCT(--ISNUMBER(SEARCH(" "&amp;DJ2423:DJ2427&amp;" ",DB51)))),"")</f>
        <v>0</v>
      </c>
      <c r="DD51" s="127" t="str">
        <f>IF(40=40,IF(AM51="","",IF(SUM(CY51:DA51)&gt;0,"X",IF(DC51&gt;0,"?",""))),"")</f>
        <v/>
      </c>
      <c r="DE51" s="152"/>
      <c r="DF51" s="160" t="s">
        <v>735</v>
      </c>
      <c r="DG51" s="160" t="s">
        <v>584</v>
      </c>
      <c r="DH51" s="160" t="s">
        <v>125</v>
      </c>
      <c r="DI51" s="160" t="s">
        <v>736</v>
      </c>
      <c r="DJ51" s="160" t="s">
        <v>737</v>
      </c>
      <c r="DK51" s="160" t="s">
        <v>588</v>
      </c>
      <c r="DL51" s="160" t="s">
        <v>589</v>
      </c>
      <c r="DM51" s="160" t="s">
        <v>590</v>
      </c>
      <c r="DN51" s="161" t="s">
        <v>591</v>
      </c>
      <c r="DP51" s="130">
        <v>1</v>
      </c>
    </row>
    <row r="52" spans="2:120" ht="30" customHeight="1">
      <c r="B52" s="165" t="str">
        <f t="shared" si="0"/>
        <v>►</v>
      </c>
      <c r="C52" s="165" t="str">
        <f t="shared" si="1"/>
        <v>►</v>
      </c>
      <c r="D52" s="165" t="str">
        <f>IF(UPPER(TRIM(N11))="X",C52,B52)</f>
        <v>►</v>
      </c>
      <c r="E52" s="165" cm="1">
        <f t="array" ref="E52">IF(H51&lt;&gt;"",E51,IF(E51="","",IFERROR(MATCH(TRUE(),INDEX(INDEX(K:K,E51+1):K203&lt;&gt;"",0),0)+E51,"")))</f>
        <v>43</v>
      </c>
      <c r="F52" s="165" t="str" cm="1">
        <f t="array" ref="F52">IF(E52="","",IF(H51&lt;&gt;"",H51,INDEX(D:D,E52)))</f>
        <v>Portions : 4</v>
      </c>
      <c r="G52" s="165" t="str">
        <f t="shared" si="2"/>
        <v>Portions : 4</v>
      </c>
      <c r="H52" s="174" t="str">
        <f t="shared" si="3"/>
        <v/>
      </c>
      <c r="I52" s="184" t="str">
        <f>IF(AND(F52&lt;&gt;"",N10&gt;0,M52&gt;N10),"Mot &gt; limite","")</f>
        <v/>
      </c>
      <c r="J52" s="175">
        <f>IF(K52="","",COUNTIF(K18:K52,"&lt;&gt;"))</f>
        <v>34</v>
      </c>
      <c r="K52" s="111" t="s">
        <v>20</v>
      </c>
      <c r="L52" s="175">
        <f t="shared" si="4"/>
        <v>1</v>
      </c>
      <c r="M52" s="135">
        <f>IF(OR(F52="",N10="",N10&lt;=0),"",IF(LEN(F52)&lt;=N10,LEN(F52),IFERROR(FIND("♦",SUBSTITUTE(LEFT(F52,N10)," ","♦",LEN(LEFT(F52,N10))-LEN(SUBSTITUTE(LEFT(F52,N10)," ","")))),FIND(" ",F52&amp;" ",N10+1)-1)))</f>
        <v>12</v>
      </c>
      <c r="N52" s="176">
        <f t="shared" si="5"/>
        <v>35</v>
      </c>
      <c r="O52" s="177" t="str">
        <f t="shared" si="6"/>
        <v>Portions : 4</v>
      </c>
      <c r="P52" s="176">
        <f t="shared" si="7"/>
        <v>3</v>
      </c>
      <c r="Q52" s="176">
        <f t="shared" si="8"/>
        <v>12</v>
      </c>
      <c r="S52" s="178">
        <v>35</v>
      </c>
      <c r="T52" s="179" t="str">
        <f t="shared" si="10"/>
        <v>Portions : 4</v>
      </c>
      <c r="U52" s="180" t="str">
        <f t="shared" si="11"/>
        <v>Portions : 4</v>
      </c>
      <c r="V52" s="181" t="str">
        <f>IF(41=41,IF(T52="","",IF(W52="X",""&amp;"Céréales contenant du gluten","")&amp;IF(X52="X",IF(COUNTIF(W52:W52,"X")&gt;0,", ","")&amp;"Crustacés","")&amp;IF(Y52="X",IF(COUNTIF(W52:X52,"X")&gt;0,", ","")&amp;"Œufs","")&amp;IF(Z52="X",IF(COUNTIF(W52:Y52,"X")&gt;0,", ","")&amp;"Poissons","")&amp;IF(AA52="X",IF(COUNTIF(W52:Z52,"X")&gt;0,", ","")&amp;"Arachides","")&amp;IF(AB52="X",IF(COUNTIF(W52:AA52,"X")&gt;0,", ","")&amp;"Soja","")&amp;IF(AC52="X",IF(COUNTIF(W52:AB52,"X")&gt;0,", ","")&amp;"Lait","")&amp;IF(AD52="X",IF(COUNTIF(W52:AC52,"X")&gt;0,", ","")&amp;"Fruits à coque","")&amp;IF(AE52="X",IF(COUNTIF(W52:AD52,"X")&gt;0,", ","")&amp;"Céleri","")&amp;IF(AF52="X",IF(COUNTIF(W52:AE52,"X")&gt;0,", ","")&amp;"Moutarde","")&amp;IF(AG52="X",IF(COUNTIF(W52:AF52,"X")&gt;0,", ","")&amp;"Sésame","")&amp;IF(AH52="X",IF(COUNTIF(W52:AG52,"X")&gt;0,", ","")&amp;"Sulfites","")&amp;IF(AI52="X",IF(COUNTIF(W52:AH52,"X")&gt;0,", ","")&amp;"Lupin","")&amp;IF(AJ52="X",IF(COUNTIF(W52:AI52,"X")&gt;0,", ","")&amp;"Mollusques","")),"")</f>
        <v/>
      </c>
      <c r="W52" s="182" t="str">
        <f>IF(41=41,IF(T52="","",AX52),"")</f>
        <v/>
      </c>
      <c r="X52" s="182" t="str">
        <f>IF(41=41,IF(T52="","",BA52),"")</f>
        <v/>
      </c>
      <c r="Y52" s="182" t="str">
        <f>IF(41=41,IF(T52="","",BE52),"")</f>
        <v/>
      </c>
      <c r="Z52" s="182" t="str">
        <f>IF(41=41,IF(T52="","",IF(ISNUMBER(SEARCH(" colin ",AS52)),"X",BR52)),"")</f>
        <v/>
      </c>
      <c r="AA52" s="182" t="str">
        <f>IF(41=41,IF(T52="","",BT52),"")</f>
        <v/>
      </c>
      <c r="AB52" s="182" t="str">
        <f>IF(41=41,IF(T52="","",BX52),"")</f>
        <v/>
      </c>
      <c r="AC52" s="182" t="str">
        <f>IF(41=41,IF(T52="","",CE52),"")</f>
        <v/>
      </c>
      <c r="AD52" s="182" t="str">
        <f>IF(41=41,IF(T52="","",CI52),"")</f>
        <v/>
      </c>
      <c r="AE52" s="182" t="str">
        <f>IF(41=41,IF(T52="","",CL52),"")</f>
        <v/>
      </c>
      <c r="AF52" s="182" t="str">
        <f>IF(41=41,IF(T52="","",CO52),"")</f>
        <v/>
      </c>
      <c r="AG52" s="182" t="str">
        <f>IF(41=41,IF(T52="","",CR52),"")</f>
        <v/>
      </c>
      <c r="AH52" s="182" t="str">
        <f>IF(41=41,IF(T52="","",CU52),"")</f>
        <v/>
      </c>
      <c r="AI52" s="182" t="str">
        <f>IF(41=41,IF(T52="","",CX52),"")</f>
        <v/>
      </c>
      <c r="AJ52" s="182" t="str">
        <f>IF(41=41,IF(T52="","",DD52),"")</f>
        <v/>
      </c>
      <c r="AK52" s="183" t="str">
        <f>IF(41=41,IF(T52="","",IF(W52="?",""&amp;"Céréales contenant du gluten","")&amp;IF(X52="?",IF(COUNTIF(W52:W52,"~?")&gt;0,", ","")&amp;"Crustacés","")&amp;IF(Y52="?",IF(COUNTIF(W52:X52,"~?")&gt;0,", ","")&amp;"Œufs","")&amp;IF(Z52="?",IF(COUNTIF(W52:Y52,"~?")&gt;0,", ","")&amp;"Poissons","")&amp;IF(AA52="?",IF(COUNTIF(W52:Z52,"~?")&gt;0,", ","")&amp;"Arachides","")&amp;IF(AB52="?",IF(COUNTIF(W52:AA52,"~?")&gt;0,", ","")&amp;"Soja","")&amp;IF(AC52="?",IF(COUNTIF(W52:AB52,"~?")&gt;0,", ","")&amp;"Lait","")&amp;IF(AD52="?",IF(COUNTIF(W52:AC52,"~?")&gt;0,", ","")&amp;"Fruits à coque","")&amp;IF(AE52="?",IF(COUNTIF(W52:AD52,"~?")&gt;0,", ","")&amp;"Céleri","")&amp;IF(AF52="?",IF(COUNTIF(W52:AE52,"~?")&gt;0,", ","")&amp;"Moutarde","")&amp;IF(AG52="?",IF(COUNTIF(W52:AF52,"~?")&gt;0,", ","")&amp;"Sésame","")&amp;IF(AH52="?",IF(COUNTIF(W52:AG52,"~?")&gt;0,", ","")&amp;"Sulfites","")&amp;IF(AI52="?",IF(COUNTIF(W52:AH52,"~?")&gt;0,", ","")&amp;"Lupin","")&amp;IF(AJ52="?",IF(COUNTIF(W52:AI52,"~?")&gt;0,", ","")&amp;"Mollusques","")),"")</f>
        <v/>
      </c>
      <c r="AM52" s="127" t="str">
        <f>IF(41=41,IF(T52="","",T52),"")</f>
        <v>Portions : 4</v>
      </c>
      <c r="AN52" s="127" t="str">
        <f>IF(41=41,LOWER(CLEAN(SUBSTITUTE(SUBSTITUTE(SUBSTITUTE(SUBSTITUTE(AM52,CHAR(160)," ")," "," "),CHAR(10)," "),CHAR(13)," "))),"")</f>
        <v>portions : 4</v>
      </c>
      <c r="AO52" s="127" t="str">
        <f>IF(41=41,SUBSTITUTE(SUBSTITUTE(SUBSTITUTE(SUBSTITUTE(SUBSTITUTE(SUBSTITUTE(SUBSTITUTE(SUBSTITUTE(SUBSTITUTE(SUBSTITUTE(SUBSTITUTE(SUBSTITUTE(AN52,"œ","oe"),"æ","ae"),"à","a"),"á","a"),"â","a"),"ä","a"),"ã","a"),"ç","c"),"è","e"),"é","e"),"ê","e"),"ë","e"),"")</f>
        <v>portions : 4</v>
      </c>
      <c r="AP52" s="127" t="str">
        <f>IF(41=41,SUBSTITUTE(SUBSTITUTE(SUBSTITUTE(SUBSTITUTE(SUBSTITUTE(SUBSTITUTE(SUBSTITUTE(SUBSTITUTE(SUBSTITUTE(SUBSTITUTE(SUBSTITUTE(SUBSTITUTE(SUBSTITUTE(SUBSTITUTE(SUBSTITUTE(SUBSTITUTE(AO52,"ì","i"),"í","i"),"î","i"),"ï","i"),"ñ","n"),"ò","o"),"ó","o"),"ô","o"),"ö","o"),"õ","o"),"ù","u"),"ú","u"),"û","u"),"ü","u"),"ý","y"),"ÿ","y"),"")</f>
        <v>portions : 4</v>
      </c>
      <c r="AQ52" s="127" t="str">
        <f>IF(41=41,SUBSTITUTE(SUBSTITUTE(SUBSTITUTE(SUBSTITUTE(SUBSTITUTE(SUBSTITUTE(SUBSTITUTE(SUBSTITUTE(SUBSTITUTE(SUBSTITUTE(SUBSTITUTE(SUBSTITUTE(SUBSTITUTE(SUBSTITUTE(AP52,"’"," "),"`"," "),"–"," "),"—"," "),"-"," "),"'"," "),"/"," "),"_"," "),","," "),"."," "),"("," "),")"," "),";"," "),":"," "),"")</f>
        <v>portions   4</v>
      </c>
      <c r="AR52" s="127" t="str">
        <f>IF(41=41,SUBSTITUTE(SUBSTITUTE(SUBSTITUTE(SUBSTITUTE(SUBSTITUTE(SUBSTITUTE(SUBSTITUTE(SUBSTITUTE(SUBSTITUTE(SUBSTITUTE(SUBSTITUTE(SUBSTITUTE(SUBSTITUTE(SUBSTITUTE(SUBSTITUTE(AQ52,"!"," "),"?"," "),"+"," "),"*"," "),"&amp;"," "),"["," "),"]"," "),"{"," "),"}"," "),"%"," "),"="," "),"\"," "),"|"," "),"&lt;"," "),"&gt;"," "),"")</f>
        <v>portions   4</v>
      </c>
      <c r="AS52" s="127" t="str">
        <f>IF(41=41," "&amp;TRIM(SUBSTITUTE(SUBSTITUTE(SUBSTITUTE(SUBSTITUTE(SUBSTITUTE(SUBSTITUTE(AR52,CHAR(34)," "),"  "," "),"  "," "),"  "," "),"  "," "),"  "," "))&amp;" ","")</f>
        <v xml:space="preserve"> portions 4 </v>
      </c>
      <c r="AT52" s="127" cm="1">
        <f t="array" ref="AT52">IF(41=41,IF(AM52="","",SUMPRODUCT(--ISNUMBER(SEARCH(" "&amp;DJ13:DJ112&amp;" ",AV52)))),"")</f>
        <v>0</v>
      </c>
      <c r="AU52" s="127" cm="1">
        <f t="array" ref="AU52">IF(41=41,IF(AM52="","",SUMPRODUCT(--ISNUMBER(SEARCH(" "&amp;DJ113:DJ162&amp;" ",AV52)))),"")</f>
        <v>0</v>
      </c>
      <c r="AV52" s="127" t="str">
        <f>IF(AM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portions 4 </v>
      </c>
      <c r="AW52" s="127" cm="1">
        <f t="array" ref="AW52">IF(AM52="","",SUMPRODUCT(--ISNUMBER(SEARCH(" "&amp;DJ195:DJ216&amp;" ",AV52)))+--ISNUMBER(SEARCH(" "&amp;DJ2465&amp;" ",AV52)))</f>
        <v>0</v>
      </c>
      <c r="AX52" s="127" t="str" cm="1">
        <f t="array" ref="AX52">IF(41=41,IF(AM52="","",IF(SUM(AT52:AU52)+SUMPRODUCT(--ISNUMBER(SEARCH(" "&amp;DJ2429:DJ2431&amp;" ",AV52)))&gt;0,"X",IF(AW52&gt;0,"?",""))),"")</f>
        <v/>
      </c>
      <c r="AY52" s="127" cm="1">
        <f t="array" ref="AY52">IF(41=41,IF(AM52="","",SUMPRODUCT(--ISNUMBER(SEARCH(" "&amp;DJ217:DJ316&amp;" ",AS52)))),"")</f>
        <v>0</v>
      </c>
      <c r="AZ52" s="127" cm="1">
        <f t="array" ref="AZ52">IF(41=41,IF(AM52="","",SUMPRODUCT(--ISNUMBER(SEARCH(" "&amp;DJ317:DJ351&amp;" ",AS52)))),"")</f>
        <v>0</v>
      </c>
      <c r="BA52" s="127" t="str">
        <f>IF(41=41,IF(AM52="","",IF((SUM(AY52:AZ52))-(0)&gt;0,"X",IF((0)-(0)&gt;0,"?",""))),"")</f>
        <v/>
      </c>
      <c r="BB52" s="127" cm="1">
        <f t="array" ref="BB52">IF(41=41,IF(AM52="","",SUMPRODUCT(--ISNUMBER(SEARCH(" "&amp;DJ352:DJ409&amp;" ",AS52)))),"")</f>
        <v>0</v>
      </c>
      <c r="BC52" s="127" cm="1">
        <f t="array" ref="BC52">IF(41=41,IF(AM52="","",SUMPRODUCT(--ISNUMBER(SEARCH(" "&amp;DJ410:DJ437&amp;" ",BD52)))+SUMPRODUCT(--ISNUMBER(SEARCH(" "&amp;DJ2451:DJ2464&amp;" ",BD52)))),"")</f>
        <v>0</v>
      </c>
      <c r="BD52" s="127" t="str">
        <f>IF(41=41,IF(AM52="","",SUBSTITUTE(SUBSTITUTE(SUBSTITUTE(SUBSTITUTE(SUBSTITUTE(SUBSTITUTE(SUBSTITUTE(SUBSTITUTE(SUBSTITUTE(SUBSTITUTE(SUBSTITUTE(SUBSTITUTE(SUBSTITUTE(SUBSTITUTE(AS52," "&amp;DJ2466&amp;" "," ")," "&amp;DJ444&amp;" "," ")," "&amp;DJ442&amp;" "," ")," "&amp;DJ2449&amp;" "," ")," "&amp;DJ2450&amp;" "," ")," "&amp;DJ439&amp;" "," ")," "&amp;DJ443&amp;" "," ")," "&amp;DJ445&amp;" "," ")," "&amp;DJ440&amp;" "," ")," "&amp;DJ438&amp;" "," ")," "&amp;DJ1378&amp;" "," ")," "&amp;DJ446&amp;" "," ")," "&amp;DJ1377&amp;" "," ")," "&amp;DJ441&amp;" "," ")),"")</f>
        <v xml:space="preserve"> portions 4 </v>
      </c>
      <c r="BE52" s="127" t="str">
        <f>IF(41=41,IF(AM52="","",IF(BB52&gt;0,"X",IF(BC52&gt;0,"?",""))),"")</f>
        <v/>
      </c>
      <c r="BF52" s="127" cm="1">
        <f t="array" ref="BF52">IF(41=41,IF(AM52="","",SUMPRODUCT(--ISNUMBER(SEARCH(" "&amp;DJ447:DJ546&amp;" ",BP52)))),"")</f>
        <v>0</v>
      </c>
      <c r="BG52" s="127" cm="1">
        <f t="array" ref="BG52">IF(41=41,IF(AM52="","",SUMPRODUCT(--ISNUMBER(SEARCH(" "&amp;DJ547:DJ646&amp;" ",BP52)))),"")</f>
        <v>0</v>
      </c>
      <c r="BH52" s="127" cm="1">
        <f t="array" ref="BH52">IF(41=41,IF(AM52="","",SUMPRODUCT(--ISNUMBER(SEARCH(" "&amp;DJ647:DJ746&amp;" ",BP52)))),"")</f>
        <v>0</v>
      </c>
      <c r="BI52" s="127" cm="1">
        <f t="array" ref="BI52">IF(41=41,IF(AM52="","",SUMPRODUCT(--ISNUMBER(SEARCH(" "&amp;DJ747:DJ846&amp;" ",BP52)))),"")</f>
        <v>0</v>
      </c>
      <c r="BJ52" s="127" cm="1">
        <f t="array" ref="BJ52">IF(41=41,IF(AM52="","",SUMPRODUCT(--ISNUMBER(SEARCH(" "&amp;DJ847:DJ946&amp;" ",BP52)))),"")</f>
        <v>0</v>
      </c>
      <c r="BK52" s="127" cm="1">
        <f t="array" ref="BK52">IF(41=41,IF(AM52="","",SUMPRODUCT(--ISNUMBER(SEARCH(" "&amp;DJ947:DJ1046&amp;" ",BP52)))),"")</f>
        <v>0</v>
      </c>
      <c r="BL52" s="127" cm="1">
        <f t="array" ref="BL52">IF(41=41,IF(AM52="","",SUMPRODUCT(--ISNUMBER(SEARCH(" "&amp;DJ1047:DJ1146&amp;" ",BP52)))),"")</f>
        <v>0</v>
      </c>
      <c r="BM52" s="127" cm="1">
        <f t="array" ref="BM52">IF(41=41,IF(AM52="","",SUMPRODUCT(--ISNUMBER(SEARCH(" "&amp;DJ1147:DJ1246&amp;" ",BP52)))),"")</f>
        <v>0</v>
      </c>
      <c r="BN52" s="127" cm="1">
        <f t="array" ref="BN52">IF(41=41,IF(AM52="","",SUMPRODUCT(--ISNUMBER(SEARCH(" "&amp;DJ1247:DJ1346&amp;" ",BP52)))),"")</f>
        <v>0</v>
      </c>
      <c r="BO52" s="127" cm="1">
        <f t="array" ref="BO52">IF(41=41,IF(AM52="","",SUMPRODUCT(--ISNUMBER(SEARCH(" "&amp;DJ1347:DJ1374&amp;" ",BP52)))),"")</f>
        <v>0</v>
      </c>
      <c r="BP52" s="127" t="str">
        <f>IF(41=41,IF(AM52="","",SUBSTITUTE(SUBSTITUTE(SUBSTITUTE(SUBSTITUTE(SUBSTITUTE(SUBSTITUTE(SUBSTITUTE(SUBSTITUTE(SUBSTITUTE(AS52," "&amp;DJ1376&amp;" "," ")," "&amp;DJ1375&amp;" "," ")," "&amp;DJ1381&amp;" "," ")," "&amp;DJ1382&amp;" "," ")," "&amp;DJ1378&amp;" "," ")," "&amp;DJ1380&amp;" "," ")," "&amp;DJ1377&amp;" "," ")," "&amp;DJ1379&amp;" "," ")," "&amp;DJ1383&amp;" "," ")),"")</f>
        <v xml:space="preserve"> portions 4 </v>
      </c>
      <c r="BQ52" s="127" cm="1">
        <f t="array" ref="BQ52">IF(41=41,IF(AM52="","",SUMPRODUCT(--ISNUMBER(SEARCH(" "&amp;DJ1384:DJ1394&amp;" ",BP52)))),"")</f>
        <v>0</v>
      </c>
      <c r="BR52" s="127" t="str" cm="1">
        <f t="array" ref="BR52">IF(41=41,IF(AM52="","",IF(SUM(BF52:BO52)+SUMPRODUCT(--ISNUMBER(SEARCH(" "&amp;DJ2432:DJ2433&amp;" ",BP52)))&gt;0,"X",IF(BQ52&gt;0,"?",""))),"")</f>
        <v/>
      </c>
      <c r="BS52" s="127" cm="1">
        <f t="array" ref="BS52">IF(41=41,IF(AM52="","",SUMPRODUCT(--ISNUMBER(SEARCH(" "&amp;DJ1395:DJ1415&amp;" ",AS52)))),"")</f>
        <v>0</v>
      </c>
      <c r="BT52" s="127" t="str">
        <f>IF(41=41,IF(AM52="","",IF((BS52)-(0)&gt;0,"X",IF((0)-(0)&gt;0,"?",""))),"")</f>
        <v/>
      </c>
      <c r="BU52" s="127" cm="1">
        <f t="array" ref="BU52">IF(41=41,IF(AM52="","",SUMPRODUCT(--ISNUMBER(SEARCH(" "&amp;DJ1416:DJ1453&amp;" ",BV52)))),"")</f>
        <v>0</v>
      </c>
      <c r="BV52" s="127" t="str">
        <f>IF(41=41,IF(AM52="","",SUBSTITUTE(SUBSTITUTE(AS52," "&amp;DJ1454&amp;" "," ")," "&amp;DJ1455&amp;" "," ")),"")</f>
        <v xml:space="preserve"> portions 4 </v>
      </c>
      <c r="BW52" s="127" cm="1">
        <f t="array" ref="BW52">IF(41=41,IF(AM52="","",SUMPRODUCT(--ISNUMBER(SEARCH(" "&amp;DJ1456:DJ1466&amp;" ",BV52)))),"")</f>
        <v>0</v>
      </c>
      <c r="BX52" s="127" t="str">
        <f>IF(41=41,IF(AM52="","",IF(BU52&gt;0,"X",IF(BW52&gt;0,"?",""))),"")</f>
        <v/>
      </c>
      <c r="BY52" s="127" cm="1">
        <f t="array" ref="BY52">IF(41=41,IF(AM52="","",SUMPRODUCT(--ISNUMBER(SEARCH(" "&amp;DJ1467:DJ1566&amp;" ",CB52)))),"")</f>
        <v>0</v>
      </c>
      <c r="BZ52" s="127" cm="1">
        <f t="array" ref="BZ52">IF(41=41,IF(AM52="","",SUMPRODUCT(--ISNUMBER(SEARCH(" "&amp;DJ1567:DJ1666&amp;" ",CB52)))),"")</f>
        <v>0</v>
      </c>
      <c r="CA52" s="127" cm="1">
        <f t="array" ref="CA52">IF(41=41,IF(AM52="","",SUMPRODUCT(--ISNUMBER(SEARCH(" "&amp;DJ1667:DJ1750&amp;" ",CB52)))),"")</f>
        <v>0</v>
      </c>
      <c r="CB52" s="127" t="str">
        <f>IF(41=41,IF(AM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portions 4 </v>
      </c>
      <c r="CC52" s="127" cm="1">
        <f t="array" ref="CC52">IF(41=41,IF(AM52="","",SUMPRODUCT(--ISNUMBER(SEARCH(" "&amp;DJ1801:DJ1880&amp;" ",CD52)))+SUMPRODUCT(--ISNUMBER(SEARCH(" "&amp;DJ2451:DJ2464&amp;" ",CD52)))),"")</f>
        <v>0</v>
      </c>
      <c r="CD52" s="127" t="str">
        <f>IF(41=41,IF(AM52="","",SUBSTITUTE(SUBSTITUTE(SUBSTITUTE(SUBSTITUTE(SUBSTITUTE(SUBSTITUTE(SUBSTITUTE(SUBSTITUTE(SUBSTITUTE(SUBSTITUTE(SUBSTITUTE(SUBSTITUTE(SUBSTITUTE(CB52," "&amp;DJ1887&amp;" "," ")," "&amp;DJ1885&amp;" "," ")," "&amp;DJ2449&amp;" "," ")," "&amp;DJ2450&amp;" "," ")," "&amp;DJ1882&amp;" "," ")," "&amp;DJ1886&amp;" "," ")," "&amp;DJ1888&amp;" "," ")," "&amp;DJ1883&amp;" "," ")," "&amp;DJ1881&amp;" "," ")," "&amp;DJ1378&amp;" "," ")," "&amp;DJ1889&amp;" "," ")," "&amp;DJ1377&amp;" "," ")," "&amp;DJ1884&amp;" "," ")),"")</f>
        <v xml:space="preserve"> portions 4 </v>
      </c>
      <c r="CE52" s="127" t="str" cm="1">
        <f t="array" ref="CE52">IF(41=41,IF(AM52="","",IF(SUM(BY52:CA52)+SUMPRODUCT(--ISNUMBER(SEARCH(" "&amp;DJ2434:DJ2435&amp;" ",CB52)))&gt;0,"X",IF(CC52&gt;0,"?",""))),"")</f>
        <v/>
      </c>
      <c r="CF52" s="127" cm="1">
        <f t="array" ref="CF52">IF(41=41,IF(AM52="","",SUMPRODUCT(--ISNUMBER(SEARCH(" "&amp;DJ1890:DJ1947&amp;" ",CG52)))),"")</f>
        <v>0</v>
      </c>
      <c r="CG52" s="127" t="str">
        <f>IF(41=41,IF(AM52="","",SUBSTITUTE(SUBSTITUTE(SUBSTITUTE(SUBSTITUTE(SUBSTITUTE(SUBSTITUTE(SUBSTITUTE(SUBSTITUTE(SUBSTITUTE(SUBSTITUTE(SUBSTITUTE(SUBSTITUTE(SUBSTITUTE(SUBSTITUTE(SUBSTITUTE(SUBSTITUTE(SUBSTITUTE(SUBSTITUTE(SUBSTITUTE(SUBSTITUTE(SUBSTITUTE(SUBSTITUTE(SUBSTITUTE(AS52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portions 4 </v>
      </c>
      <c r="CH52" s="127" cm="1">
        <f t="array" ref="CH52">IF(41=41,IF(AM52="","",SUMPRODUCT(--ISNUMBER(SEARCH(" "&amp;DJ1971:DJ1987&amp;" ",CG52)))),"")</f>
        <v>0</v>
      </c>
      <c r="CI52" s="127" t="str">
        <f>IF(41=41,IF(AM52="","",IF(CF52&gt;0,"X",IF(CH52&gt;0,"?",""))),"")</f>
        <v/>
      </c>
      <c r="CJ52" s="127" cm="1">
        <f t="array" ref="CJ52">IF(41=41,IF(AM52="","",SUMPRODUCT(--ISNUMBER(SEARCH(" "&amp;DJ1988:DJ2001&amp;" ",AS52)))),"")</f>
        <v>0</v>
      </c>
      <c r="CK52" s="127" cm="1">
        <f t="array" ref="CK52">IF(41=41,IF(AM52="","",SUMPRODUCT(--ISNUMBER(SEARCH(" "&amp;DJ2002:DJ2016&amp;" ",AS52)))),"")</f>
        <v>0</v>
      </c>
      <c r="CL52" s="127" t="str">
        <f>IF(41=41,IF(AM52="","",IF((CJ52)-(0)&gt;0,"X",IF((CK52)-(0)&gt;0,"?",""))),"")</f>
        <v/>
      </c>
      <c r="CM52" s="127" cm="1">
        <f t="array" ref="CM52">IF(41=41,IF(AM52="","",SUMPRODUCT(--ISNUMBER(SEARCH(" "&amp;DJ2017:DJ2034&amp;" ",AS52)))),"")</f>
        <v>0</v>
      </c>
      <c r="CN52" s="127" cm="1">
        <f t="array" ref="CN52">IF(41=41,IF(AM52="","",SUMPRODUCT(--ISNUMBER(SEARCH(" "&amp;DJ2035:DJ2049&amp;" ",AS52)))),"")</f>
        <v>0</v>
      </c>
      <c r="CO52" s="127" t="str">
        <f>IF(41=41,IF(AM52="","",IF((CM52)-(0)&gt;0,"X",IF((CN52)-(0)&gt;0,"?",""))),"")</f>
        <v/>
      </c>
      <c r="CP52" s="127" cm="1">
        <f t="array" ref="CP52">IF(41=41,IF(AM52="","",SUMPRODUCT(--ISNUMBER(SEARCH(" "&amp;DJ2050:DJ2068&amp;" ",AS52)))),"")</f>
        <v>0</v>
      </c>
      <c r="CQ52" s="127" cm="1">
        <f t="array" ref="CQ52">IF(41=41,IF(AM52="","",SUMPRODUCT(--ISNUMBER(SEARCH(" "&amp;DJ2069:DJ2083&amp;" ",AS52)))),"")</f>
        <v>0</v>
      </c>
      <c r="CR52" s="127" t="str">
        <f>IF(41=41,IF(AM52="","",IF((CP52)-(0)&gt;0,"X",IF((CQ52)-(0)&gt;0,"?",""))),"")</f>
        <v/>
      </c>
      <c r="CS52" s="127" cm="1">
        <f t="array" ref="CS52">IF(41=41,IF(AM52="","",SUMPRODUCT(--ISNUMBER(SEARCH(" "&amp;DJ2084:DJ2104&amp;" ",AS52)))),"")</f>
        <v>0</v>
      </c>
      <c r="CT52" s="127" cm="1">
        <f t="array" ref="CT52">IF(41=41,IF(AM52="","",SUMPRODUCT(--ISNUMBER(SEARCH(" "&amp;DJ2105:DJ2144&amp;" ",SUBSTITUTE(SUBSTITUTE(AS52," "&amp;DJ1378&amp;" "," ")," "&amp;DJ1377&amp;" "," "))))+--ISNUMBER(SEARCH("poiré",AN52))),"")</f>
        <v>0</v>
      </c>
      <c r="CU52" s="127" t="str">
        <f>IF(41=41,IF(AM52="","",IF(OR(CS52&gt;0,ISNUMBER(SEARCH(" vinaigre de vin ",AS52)),ISNUMBER(SEARCH(" vinaigre au vin ",AS52))),"X",IF(CT52&gt;0,"?",""))),"")</f>
        <v/>
      </c>
      <c r="CV52" s="127" cm="1">
        <f t="array" ref="CV52">IF(41=41,IF(AM52="","",SUMPRODUCT(--ISNUMBER(SEARCH(" "&amp;DJ2145:DJ2157&amp;" ",AS52)))),"")</f>
        <v>0</v>
      </c>
      <c r="CW52" s="127" cm="1">
        <f t="array" ref="CW52">IF(41=41,IF(AM52="","",SUMPRODUCT(--ISNUMBER(SEARCH(" "&amp;DJ2158:DJ2163&amp;" ",AS52)))),"")</f>
        <v>0</v>
      </c>
      <c r="CX52" s="127" t="str">
        <f>IF(41=41,IF(AM52="","",IF((CV52)-(0)&gt;0,"X",IF((CW52)-(0)&gt;0,"?",""))),"")</f>
        <v/>
      </c>
      <c r="CY52" s="127" cm="1">
        <f t="array" ref="CY52">IF(41=41,IF(AM52="","",SUMPRODUCT(--ISNUMBER(SEARCH(" "&amp;DJ2164:DJ2263&amp;" ",DB52)))),"")</f>
        <v>0</v>
      </c>
      <c r="CZ52" s="127" cm="1">
        <f t="array" ref="CZ52">IF(41=41,IF(AM52="","",SUMPRODUCT(--ISNUMBER(SEARCH(" "&amp;DJ2264:DJ2363&amp;" ",DB52)))),"")</f>
        <v>0</v>
      </c>
      <c r="DA52" s="127" cm="1">
        <f t="array" ref="DA52">IF(41=41,IF(AM52="","",SUMPRODUCT(--ISNUMBER(SEARCH(" "&amp;DJ2364:DJ2406&amp;" ",DB52)))),"")</f>
        <v>0</v>
      </c>
      <c r="DB52" s="127" t="str">
        <f>IF(41=41,IF(AM52="","",SUBSTITUTE(SUBSTITUTE(SUBSTITUTE(SUBSTITUTE(SUBSTITUTE(SUBSTITUTE(SUBSTITUTE(SUBSTITUTE(SUBSTITUTE(SUBSTITUTE(SUBSTITUTE(SUBSTITUTE(SUBSTITUTE(SUBSTITUTE(SUBSTITUTE(SUBSTITUTE(AS52," "&amp;DJ2412&amp;" "," ")," "&amp;DJ2411&amp;" "," ")," "&amp;DJ2410&amp;" "," ")," "&amp;DJ2417&amp;" "," ")," "&amp;DJ2409&amp;" "," ")," "&amp;DJ2421&amp;" "," ")," "&amp;DJ2408&amp;" "," ")," "&amp;DJ2413&amp;" "," ")," "&amp;DJ2416&amp;" "," ")," "&amp;DJ2407&amp;" "," ")," "&amp;DJ2415&amp;" "," ")," "&amp;DJ2422&amp;" "," ")," "&amp;DJ2419&amp;" "," ")," "&amp;DJ2414&amp;" "," ")," "&amp;DJ2418&amp;" "," ")," "&amp;DJ2420&amp;" "," ")),"")</f>
        <v xml:space="preserve"> portions 4 </v>
      </c>
      <c r="DC52" s="127" cm="1">
        <f t="array" ref="DC52">IF(41=41,IF(AM52="","",SUMPRODUCT(--ISNUMBER(SEARCH(" "&amp;DJ2423:DJ2427&amp;" ",DB52)))),"")</f>
        <v>0</v>
      </c>
      <c r="DD52" s="127" t="str">
        <f>IF(41=41,IF(AM52="","",IF(SUM(CY52:DA52)&gt;0,"X",IF(DC52&gt;0,"?",""))),"")</f>
        <v/>
      </c>
      <c r="DE52" s="152"/>
      <c r="DF52" s="160" t="s">
        <v>738</v>
      </c>
      <c r="DG52" s="160" t="s">
        <v>584</v>
      </c>
      <c r="DH52" s="160" t="s">
        <v>125</v>
      </c>
      <c r="DI52" s="160" t="s">
        <v>739</v>
      </c>
      <c r="DJ52" s="160" t="s">
        <v>739</v>
      </c>
      <c r="DK52" s="160" t="s">
        <v>588</v>
      </c>
      <c r="DL52" s="160" t="s">
        <v>589</v>
      </c>
      <c r="DM52" s="160" t="s">
        <v>590</v>
      </c>
      <c r="DN52" s="161" t="s">
        <v>591</v>
      </c>
      <c r="DP52" s="130">
        <v>1</v>
      </c>
    </row>
    <row r="53" spans="2:120" ht="30" customHeight="1">
      <c r="B53" s="165" t="str">
        <f t="shared" si="0"/>
        <v>Portez à ébullition, puis baissez le feu et</v>
      </c>
      <c r="C53" s="165" t="str">
        <f t="shared" si="1"/>
        <v>Portez à ébullition puis baissez le feu et</v>
      </c>
      <c r="D53" s="165" t="str">
        <f>IF(UPPER(TRIM(N11))="X",C53,B53)</f>
        <v>Portez à ébullition, puis baissez le feu et</v>
      </c>
      <c r="E53" s="165" cm="1">
        <f t="array" ref="E53">IF(H52&lt;&gt;"",E52,IF(E52="","",IFERROR(MATCH(TRUE(),INDEX(INDEX(K:K,E52+1):K203&lt;&gt;"",0),0)+E52,"")))</f>
        <v>44</v>
      </c>
      <c r="F53" s="165" t="str" cm="1">
        <f t="array" ref="F53">IF(E53="","",IF(H52&lt;&gt;"",H52,INDEX(D:D,E53)))</f>
        <v>Calories : ≈ 410 kcal par part</v>
      </c>
      <c r="G53" s="165" t="str">
        <f t="shared" si="2"/>
        <v>Calories : ≈ 410 kcal par part</v>
      </c>
      <c r="H53" s="174" t="str">
        <f t="shared" si="3"/>
        <v/>
      </c>
      <c r="I53" s="184" t="str">
        <f>IF(AND(F53&lt;&gt;"",N10&gt;0,M53&gt;N10),"Mot &gt; limite","")</f>
        <v/>
      </c>
      <c r="J53" s="175">
        <f>IF(K53="","",COUNTIF(K18:K53,"&lt;&gt;"))</f>
        <v>35</v>
      </c>
      <c r="K53" s="111" t="s">
        <v>24</v>
      </c>
      <c r="L53" s="175">
        <f t="shared" si="4"/>
        <v>43</v>
      </c>
      <c r="M53" s="135">
        <f>IF(OR(F53="",N10="",N10&lt;=0),"",IF(LEN(F53)&lt;=N10,LEN(F53),IFERROR(FIND("♦",SUBSTITUTE(LEFT(F53,N10)," ","♦",LEN(LEFT(F53,N10))-LEN(SUBSTITUTE(LEFT(F53,N10)," ","")))),FIND(" ",F53&amp;" ",N10+1)-1)))</f>
        <v>30</v>
      </c>
      <c r="N53" s="176">
        <f t="shared" si="5"/>
        <v>36</v>
      </c>
      <c r="O53" s="177" t="str">
        <f t="shared" si="6"/>
        <v>Calories : ≈ 410 kcal par part</v>
      </c>
      <c r="P53" s="176">
        <f t="shared" si="7"/>
        <v>7</v>
      </c>
      <c r="Q53" s="176">
        <f t="shared" si="8"/>
        <v>30</v>
      </c>
      <c r="S53" s="178">
        <v>36</v>
      </c>
      <c r="T53" s="179" t="str">
        <f t="shared" si="10"/>
        <v>Calories : ≈ 410 kcal par part</v>
      </c>
      <c r="U53" s="180" t="str">
        <f t="shared" si="11"/>
        <v>Calories : ≈ 410 kcal par part</v>
      </c>
      <c r="V53" s="181" t="str">
        <f>IF(42=42,IF(T53="","",IF(W53="X",""&amp;"Céréales contenant du gluten","")&amp;IF(X53="X",IF(COUNTIF(W53:W53,"X")&gt;0,", ","")&amp;"Crustacés","")&amp;IF(Y53="X",IF(COUNTIF(W53:X53,"X")&gt;0,", ","")&amp;"Œufs","")&amp;IF(Z53="X",IF(COUNTIF(W53:Y53,"X")&gt;0,", ","")&amp;"Poissons","")&amp;IF(AA53="X",IF(COUNTIF(W53:Z53,"X")&gt;0,", ","")&amp;"Arachides","")&amp;IF(AB53="X",IF(COUNTIF(W53:AA53,"X")&gt;0,", ","")&amp;"Soja","")&amp;IF(AC53="X",IF(COUNTIF(W53:AB53,"X")&gt;0,", ","")&amp;"Lait","")&amp;IF(AD53="X",IF(COUNTIF(W53:AC53,"X")&gt;0,", ","")&amp;"Fruits à coque","")&amp;IF(AE53="X",IF(COUNTIF(W53:AD53,"X")&gt;0,", ","")&amp;"Céleri","")&amp;IF(AF53="X",IF(COUNTIF(W53:AE53,"X")&gt;0,", ","")&amp;"Moutarde","")&amp;IF(AG53="X",IF(COUNTIF(W53:AF53,"X")&gt;0,", ","")&amp;"Sésame","")&amp;IF(AH53="X",IF(COUNTIF(W53:AG53,"X")&gt;0,", ","")&amp;"Sulfites","")&amp;IF(AI53="X",IF(COUNTIF(W53:AH53,"X")&gt;0,", ","")&amp;"Lupin","")&amp;IF(AJ53="X",IF(COUNTIF(W53:AI53,"X")&gt;0,", ","")&amp;"Mollusques","")),"")</f>
        <v/>
      </c>
      <c r="W53" s="182" t="str">
        <f>IF(42=42,IF(T53="","",AX53),"")</f>
        <v/>
      </c>
      <c r="X53" s="182" t="str">
        <f>IF(42=42,IF(T53="","",BA53),"")</f>
        <v/>
      </c>
      <c r="Y53" s="182" t="str">
        <f>IF(42=42,IF(T53="","",BE53),"")</f>
        <v/>
      </c>
      <c r="Z53" s="182" t="str">
        <f>IF(42=42,IF(T53="","",IF(ISNUMBER(SEARCH(" colin ",AS53)),"X",BR53)),"")</f>
        <v/>
      </c>
      <c r="AA53" s="182" t="str">
        <f>IF(42=42,IF(T53="","",BT53),"")</f>
        <v/>
      </c>
      <c r="AB53" s="182" t="str">
        <f>IF(42=42,IF(T53="","",BX53),"")</f>
        <v/>
      </c>
      <c r="AC53" s="182" t="str">
        <f>IF(42=42,IF(T53="","",CE53),"")</f>
        <v/>
      </c>
      <c r="AD53" s="182" t="str">
        <f>IF(42=42,IF(T53="","",CI53),"")</f>
        <v/>
      </c>
      <c r="AE53" s="182" t="str">
        <f>IF(42=42,IF(T53="","",CL53),"")</f>
        <v/>
      </c>
      <c r="AF53" s="182" t="str">
        <f>IF(42=42,IF(T53="","",CO53),"")</f>
        <v/>
      </c>
      <c r="AG53" s="182" t="str">
        <f>IF(42=42,IF(T53="","",CR53),"")</f>
        <v/>
      </c>
      <c r="AH53" s="182" t="str">
        <f>IF(42=42,IF(T53="","",CU53),"")</f>
        <v/>
      </c>
      <c r="AI53" s="182" t="str">
        <f>IF(42=42,IF(T53="","",CX53),"")</f>
        <v/>
      </c>
      <c r="AJ53" s="182" t="str">
        <f>IF(42=42,IF(T53="","",DD53),"")</f>
        <v/>
      </c>
      <c r="AK53" s="183" t="str">
        <f>IF(42=42,IF(T53="","",IF(W53="?",""&amp;"Céréales contenant du gluten","")&amp;IF(X53="?",IF(COUNTIF(W53:W53,"~?")&gt;0,", ","")&amp;"Crustacés","")&amp;IF(Y53="?",IF(COUNTIF(W53:X53,"~?")&gt;0,", ","")&amp;"Œufs","")&amp;IF(Z53="?",IF(COUNTIF(W53:Y53,"~?")&gt;0,", ","")&amp;"Poissons","")&amp;IF(AA53="?",IF(COUNTIF(W53:Z53,"~?")&gt;0,", ","")&amp;"Arachides","")&amp;IF(AB53="?",IF(COUNTIF(W53:AA53,"~?")&gt;0,", ","")&amp;"Soja","")&amp;IF(AC53="?",IF(COUNTIF(W53:AB53,"~?")&gt;0,", ","")&amp;"Lait","")&amp;IF(AD53="?",IF(COUNTIF(W53:AC53,"~?")&gt;0,", ","")&amp;"Fruits à coque","")&amp;IF(AE53="?",IF(COUNTIF(W53:AD53,"~?")&gt;0,", ","")&amp;"Céleri","")&amp;IF(AF53="?",IF(COUNTIF(W53:AE53,"~?")&gt;0,", ","")&amp;"Moutarde","")&amp;IF(AG53="?",IF(COUNTIF(W53:AF53,"~?")&gt;0,", ","")&amp;"Sésame","")&amp;IF(AH53="?",IF(COUNTIF(W53:AG53,"~?")&gt;0,", ","")&amp;"Sulfites","")&amp;IF(AI53="?",IF(COUNTIF(W53:AH53,"~?")&gt;0,", ","")&amp;"Lupin","")&amp;IF(AJ53="?",IF(COUNTIF(W53:AI53,"~?")&gt;0,", ","")&amp;"Mollusques","")),"")</f>
        <v/>
      </c>
      <c r="AM53" s="127" t="str">
        <f>IF(42=42,IF(T53="","",T53),"")</f>
        <v>Calories : ≈ 410 kcal par part</v>
      </c>
      <c r="AN53" s="127" t="str">
        <f>IF(42=42,LOWER(CLEAN(SUBSTITUTE(SUBSTITUTE(SUBSTITUTE(SUBSTITUTE(AM53,CHAR(160)," ")," "," "),CHAR(10)," "),CHAR(13)," "))),"")</f>
        <v>calories : ≈ 410 kcal par part</v>
      </c>
      <c r="AO53" s="127" t="str">
        <f>IF(42=42,SUBSTITUTE(SUBSTITUTE(SUBSTITUTE(SUBSTITUTE(SUBSTITUTE(SUBSTITUTE(SUBSTITUTE(SUBSTITUTE(SUBSTITUTE(SUBSTITUTE(SUBSTITUTE(SUBSTITUTE(AN53,"œ","oe"),"æ","ae"),"à","a"),"á","a"),"â","a"),"ä","a"),"ã","a"),"ç","c"),"è","e"),"é","e"),"ê","e"),"ë","e"),"")</f>
        <v>calories : ≈ 410 kcal par part</v>
      </c>
      <c r="AP53" s="127" t="str">
        <f>IF(42=42,SUBSTITUTE(SUBSTITUTE(SUBSTITUTE(SUBSTITUTE(SUBSTITUTE(SUBSTITUTE(SUBSTITUTE(SUBSTITUTE(SUBSTITUTE(SUBSTITUTE(SUBSTITUTE(SUBSTITUTE(SUBSTITUTE(SUBSTITUTE(SUBSTITUTE(SUBSTITUTE(AO53,"ì","i"),"í","i"),"î","i"),"ï","i"),"ñ","n"),"ò","o"),"ó","o"),"ô","o"),"ö","o"),"õ","o"),"ù","u"),"ú","u"),"û","u"),"ü","u"),"ý","y"),"ÿ","y"),"")</f>
        <v>calories : ≈ 410 kcal par part</v>
      </c>
      <c r="AQ53" s="127" t="str">
        <f>IF(42=42,SUBSTITUTE(SUBSTITUTE(SUBSTITUTE(SUBSTITUTE(SUBSTITUTE(SUBSTITUTE(SUBSTITUTE(SUBSTITUTE(SUBSTITUTE(SUBSTITUTE(SUBSTITUTE(SUBSTITUTE(SUBSTITUTE(SUBSTITUTE(AP53,"’"," "),"`"," "),"–"," "),"—"," "),"-"," "),"'"," "),"/"," "),"_"," "),","," "),"."," "),"("," "),")"," "),";"," "),":"," "),"")</f>
        <v>calories   ≈ 410 kcal par part</v>
      </c>
      <c r="AR53" s="127" t="str">
        <f>IF(42=42,SUBSTITUTE(SUBSTITUTE(SUBSTITUTE(SUBSTITUTE(SUBSTITUTE(SUBSTITUTE(SUBSTITUTE(SUBSTITUTE(SUBSTITUTE(SUBSTITUTE(SUBSTITUTE(SUBSTITUTE(SUBSTITUTE(SUBSTITUTE(SUBSTITUTE(AQ53,"!"," "),"?"," "),"+"," "),"*"," "),"&amp;"," "),"["," "),"]"," "),"{"," "),"}"," "),"%"," "),"="," "),"\"," "),"|"," "),"&lt;"," "),"&gt;"," "),"")</f>
        <v>calories   ≈ 410 kcal par part</v>
      </c>
      <c r="AS53" s="127" t="str">
        <f>IF(42=42," "&amp;TRIM(SUBSTITUTE(SUBSTITUTE(SUBSTITUTE(SUBSTITUTE(SUBSTITUTE(SUBSTITUTE(AR53,CHAR(34)," "),"  "," "),"  "," "),"  "," "),"  "," "),"  "," "))&amp;" ","")</f>
        <v xml:space="preserve"> calories ≈ 410 kcal par part </v>
      </c>
      <c r="AT53" s="127" cm="1">
        <f t="array" ref="AT53">IF(42=42,IF(AM53="","",SUMPRODUCT(--ISNUMBER(SEARCH(" "&amp;DJ13:DJ112&amp;" ",AV53)))),"")</f>
        <v>0</v>
      </c>
      <c r="AU53" s="127" cm="1">
        <f t="array" ref="AU53">IF(42=42,IF(AM53="","",SUMPRODUCT(--ISNUMBER(SEARCH(" "&amp;DJ113:DJ162&amp;" ",AV53)))),"")</f>
        <v>0</v>
      </c>
      <c r="AV53" s="127" t="str">
        <f>IF(AM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calories ≈ 410 kcal par part </v>
      </c>
      <c r="AW53" s="127" cm="1">
        <f t="array" ref="AW53">IF(AM53="","",SUMPRODUCT(--ISNUMBER(SEARCH(" "&amp;DJ195:DJ216&amp;" ",AV53)))+--ISNUMBER(SEARCH(" "&amp;DJ2465&amp;" ",AV53)))</f>
        <v>0</v>
      </c>
      <c r="AX53" s="127" t="str" cm="1">
        <f t="array" ref="AX53">IF(42=42,IF(AM53="","",IF(SUM(AT53:AU53)+SUMPRODUCT(--ISNUMBER(SEARCH(" "&amp;DJ2429:DJ2431&amp;" ",AV53)))&gt;0,"X",IF(AW53&gt;0,"?",""))),"")</f>
        <v/>
      </c>
      <c r="AY53" s="127" cm="1">
        <f t="array" ref="AY53">IF(42=42,IF(AM53="","",SUMPRODUCT(--ISNUMBER(SEARCH(" "&amp;DJ217:DJ316&amp;" ",AS53)))),"")</f>
        <v>0</v>
      </c>
      <c r="AZ53" s="127" cm="1">
        <f t="array" ref="AZ53">IF(42=42,IF(AM53="","",SUMPRODUCT(--ISNUMBER(SEARCH(" "&amp;DJ317:DJ351&amp;" ",AS53)))),"")</f>
        <v>0</v>
      </c>
      <c r="BA53" s="127" t="str">
        <f>IF(42=42,IF(AM53="","",IF((SUM(AY53:AZ53))-(0)&gt;0,"X",IF((0)-(0)&gt;0,"?",""))),"")</f>
        <v/>
      </c>
      <c r="BB53" s="127" cm="1">
        <f t="array" ref="BB53">IF(42=42,IF(AM53="","",SUMPRODUCT(--ISNUMBER(SEARCH(" "&amp;DJ352:DJ409&amp;" ",AS53)))),"")</f>
        <v>0</v>
      </c>
      <c r="BC53" s="127" cm="1">
        <f t="array" ref="BC53">IF(42=42,IF(AM53="","",SUMPRODUCT(--ISNUMBER(SEARCH(" "&amp;DJ410:DJ437&amp;" ",BD53)))+SUMPRODUCT(--ISNUMBER(SEARCH(" "&amp;DJ2451:DJ2464&amp;" ",BD53)))),"")</f>
        <v>0</v>
      </c>
      <c r="BD53" s="127" t="str">
        <f>IF(42=42,IF(AM53="","",SUBSTITUTE(SUBSTITUTE(SUBSTITUTE(SUBSTITUTE(SUBSTITUTE(SUBSTITUTE(SUBSTITUTE(SUBSTITUTE(SUBSTITUTE(SUBSTITUTE(SUBSTITUTE(SUBSTITUTE(SUBSTITUTE(SUBSTITUTE(AS53," "&amp;DJ2466&amp;" "," ")," "&amp;DJ444&amp;" "," ")," "&amp;DJ442&amp;" "," ")," "&amp;DJ2449&amp;" "," ")," "&amp;DJ2450&amp;" "," ")," "&amp;DJ439&amp;" "," ")," "&amp;DJ443&amp;" "," ")," "&amp;DJ445&amp;" "," ")," "&amp;DJ440&amp;" "," ")," "&amp;DJ438&amp;" "," ")," "&amp;DJ1378&amp;" "," ")," "&amp;DJ446&amp;" "," ")," "&amp;DJ1377&amp;" "," ")," "&amp;DJ441&amp;" "," ")),"")</f>
        <v xml:space="preserve"> calories ≈ 410 kcal par part </v>
      </c>
      <c r="BE53" s="127" t="str">
        <f>IF(42=42,IF(AM53="","",IF(BB53&gt;0,"X",IF(BC53&gt;0,"?",""))),"")</f>
        <v/>
      </c>
      <c r="BF53" s="127" cm="1">
        <f t="array" ref="BF53">IF(42=42,IF(AM53="","",SUMPRODUCT(--ISNUMBER(SEARCH(" "&amp;DJ447:DJ546&amp;" ",BP53)))),"")</f>
        <v>0</v>
      </c>
      <c r="BG53" s="127" cm="1">
        <f t="array" ref="BG53">IF(42=42,IF(AM53="","",SUMPRODUCT(--ISNUMBER(SEARCH(" "&amp;DJ547:DJ646&amp;" ",BP53)))),"")</f>
        <v>0</v>
      </c>
      <c r="BH53" s="127" cm="1">
        <f t="array" ref="BH53">IF(42=42,IF(AM53="","",SUMPRODUCT(--ISNUMBER(SEARCH(" "&amp;DJ647:DJ746&amp;" ",BP53)))),"")</f>
        <v>0</v>
      </c>
      <c r="BI53" s="127" cm="1">
        <f t="array" ref="BI53">IF(42=42,IF(AM53="","",SUMPRODUCT(--ISNUMBER(SEARCH(" "&amp;DJ747:DJ846&amp;" ",BP53)))),"")</f>
        <v>0</v>
      </c>
      <c r="BJ53" s="127" cm="1">
        <f t="array" ref="BJ53">IF(42=42,IF(AM53="","",SUMPRODUCT(--ISNUMBER(SEARCH(" "&amp;DJ847:DJ946&amp;" ",BP53)))),"")</f>
        <v>0</v>
      </c>
      <c r="BK53" s="127" cm="1">
        <f t="array" ref="BK53">IF(42=42,IF(AM53="","",SUMPRODUCT(--ISNUMBER(SEARCH(" "&amp;DJ947:DJ1046&amp;" ",BP53)))),"")</f>
        <v>0</v>
      </c>
      <c r="BL53" s="127" cm="1">
        <f t="array" ref="BL53">IF(42=42,IF(AM53="","",SUMPRODUCT(--ISNUMBER(SEARCH(" "&amp;DJ1047:DJ1146&amp;" ",BP53)))),"")</f>
        <v>0</v>
      </c>
      <c r="BM53" s="127" cm="1">
        <f t="array" ref="BM53">IF(42=42,IF(AM53="","",SUMPRODUCT(--ISNUMBER(SEARCH(" "&amp;DJ1147:DJ1246&amp;" ",BP53)))),"")</f>
        <v>0</v>
      </c>
      <c r="BN53" s="127" cm="1">
        <f t="array" ref="BN53">IF(42=42,IF(AM53="","",SUMPRODUCT(--ISNUMBER(SEARCH(" "&amp;DJ1247:DJ1346&amp;" ",BP53)))),"")</f>
        <v>0</v>
      </c>
      <c r="BO53" s="127" cm="1">
        <f t="array" ref="BO53">IF(42=42,IF(AM53="","",SUMPRODUCT(--ISNUMBER(SEARCH(" "&amp;DJ1347:DJ1374&amp;" ",BP53)))),"")</f>
        <v>0</v>
      </c>
      <c r="BP53" s="127" t="str">
        <f>IF(42=42,IF(AM53="","",SUBSTITUTE(SUBSTITUTE(SUBSTITUTE(SUBSTITUTE(SUBSTITUTE(SUBSTITUTE(SUBSTITUTE(SUBSTITUTE(SUBSTITUTE(AS53," "&amp;DJ1376&amp;" "," ")," "&amp;DJ1375&amp;" "," ")," "&amp;DJ1381&amp;" "," ")," "&amp;DJ1382&amp;" "," ")," "&amp;DJ1378&amp;" "," ")," "&amp;DJ1380&amp;" "," ")," "&amp;DJ1377&amp;" "," ")," "&amp;DJ1379&amp;" "," ")," "&amp;DJ1383&amp;" "," ")),"")</f>
        <v xml:space="preserve"> calories ≈ 410 kcal par part </v>
      </c>
      <c r="BQ53" s="127" cm="1">
        <f t="array" ref="BQ53">IF(42=42,IF(AM53="","",SUMPRODUCT(--ISNUMBER(SEARCH(" "&amp;DJ1384:DJ1394&amp;" ",BP53)))),"")</f>
        <v>0</v>
      </c>
      <c r="BR53" s="127" t="str" cm="1">
        <f t="array" ref="BR53">IF(42=42,IF(AM53="","",IF(SUM(BF53:BO53)+SUMPRODUCT(--ISNUMBER(SEARCH(" "&amp;DJ2432:DJ2433&amp;" ",BP53)))&gt;0,"X",IF(BQ53&gt;0,"?",""))),"")</f>
        <v/>
      </c>
      <c r="BS53" s="127" cm="1">
        <f t="array" ref="BS53">IF(42=42,IF(AM53="","",SUMPRODUCT(--ISNUMBER(SEARCH(" "&amp;DJ1395:DJ1415&amp;" ",AS53)))),"")</f>
        <v>0</v>
      </c>
      <c r="BT53" s="127" t="str">
        <f>IF(42=42,IF(AM53="","",IF((BS53)-(0)&gt;0,"X",IF((0)-(0)&gt;0,"?",""))),"")</f>
        <v/>
      </c>
      <c r="BU53" s="127" cm="1">
        <f t="array" ref="BU53">IF(42=42,IF(AM53="","",SUMPRODUCT(--ISNUMBER(SEARCH(" "&amp;DJ1416:DJ1453&amp;" ",BV53)))),"")</f>
        <v>0</v>
      </c>
      <c r="BV53" s="127" t="str">
        <f>IF(42=42,IF(AM53="","",SUBSTITUTE(SUBSTITUTE(AS53," "&amp;DJ1454&amp;" "," ")," "&amp;DJ1455&amp;" "," ")),"")</f>
        <v xml:space="preserve"> calories ≈ 410 kcal par part </v>
      </c>
      <c r="BW53" s="127" cm="1">
        <f t="array" ref="BW53">IF(42=42,IF(AM53="","",SUMPRODUCT(--ISNUMBER(SEARCH(" "&amp;DJ1456:DJ1466&amp;" ",BV53)))),"")</f>
        <v>0</v>
      </c>
      <c r="BX53" s="127" t="str">
        <f>IF(42=42,IF(AM53="","",IF(BU53&gt;0,"X",IF(BW53&gt;0,"?",""))),"")</f>
        <v/>
      </c>
      <c r="BY53" s="127" cm="1">
        <f t="array" ref="BY53">IF(42=42,IF(AM53="","",SUMPRODUCT(--ISNUMBER(SEARCH(" "&amp;DJ1467:DJ1566&amp;" ",CB53)))),"")</f>
        <v>0</v>
      </c>
      <c r="BZ53" s="127" cm="1">
        <f t="array" ref="BZ53">IF(42=42,IF(AM53="","",SUMPRODUCT(--ISNUMBER(SEARCH(" "&amp;DJ1567:DJ1666&amp;" ",CB53)))),"")</f>
        <v>0</v>
      </c>
      <c r="CA53" s="127" cm="1">
        <f t="array" ref="CA53">IF(42=42,IF(AM53="","",SUMPRODUCT(--ISNUMBER(SEARCH(" "&amp;DJ1667:DJ1750&amp;" ",CB53)))),"")</f>
        <v>0</v>
      </c>
      <c r="CB53" s="127" t="str">
        <f>IF(42=42,IF(AM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calories ≈ 410 kcal par part </v>
      </c>
      <c r="CC53" s="127" cm="1">
        <f t="array" ref="CC53">IF(42=42,IF(AM53="","",SUMPRODUCT(--ISNUMBER(SEARCH(" "&amp;DJ1801:DJ1880&amp;" ",CD53)))+SUMPRODUCT(--ISNUMBER(SEARCH(" "&amp;DJ2451:DJ2464&amp;" ",CD53)))),"")</f>
        <v>0</v>
      </c>
      <c r="CD53" s="127" t="str">
        <f>IF(42=42,IF(AM53="","",SUBSTITUTE(SUBSTITUTE(SUBSTITUTE(SUBSTITUTE(SUBSTITUTE(SUBSTITUTE(SUBSTITUTE(SUBSTITUTE(SUBSTITUTE(SUBSTITUTE(SUBSTITUTE(SUBSTITUTE(SUBSTITUTE(CB53," "&amp;DJ1887&amp;" "," ")," "&amp;DJ1885&amp;" "," ")," "&amp;DJ2449&amp;" "," ")," "&amp;DJ2450&amp;" "," ")," "&amp;DJ1882&amp;" "," ")," "&amp;DJ1886&amp;" "," ")," "&amp;DJ1888&amp;" "," ")," "&amp;DJ1883&amp;" "," ")," "&amp;DJ1881&amp;" "," ")," "&amp;DJ1378&amp;" "," ")," "&amp;DJ1889&amp;" "," ")," "&amp;DJ1377&amp;" "," ")," "&amp;DJ1884&amp;" "," ")),"")</f>
        <v xml:space="preserve"> calories ≈ 410 kcal par part </v>
      </c>
      <c r="CE53" s="127" t="str" cm="1">
        <f t="array" ref="CE53">IF(42=42,IF(AM53="","",IF(SUM(BY53:CA53)+SUMPRODUCT(--ISNUMBER(SEARCH(" "&amp;DJ2434:DJ2435&amp;" ",CB53)))&gt;0,"X",IF(CC53&gt;0,"?",""))),"")</f>
        <v/>
      </c>
      <c r="CF53" s="127" cm="1">
        <f t="array" ref="CF53">IF(42=42,IF(AM53="","",SUMPRODUCT(--ISNUMBER(SEARCH(" "&amp;DJ1890:DJ1947&amp;" ",CG53)))),"")</f>
        <v>0</v>
      </c>
      <c r="CG53" s="127" t="str">
        <f>IF(42=42,IF(AM53="","",SUBSTITUTE(SUBSTITUTE(SUBSTITUTE(SUBSTITUTE(SUBSTITUTE(SUBSTITUTE(SUBSTITUTE(SUBSTITUTE(SUBSTITUTE(SUBSTITUTE(SUBSTITUTE(SUBSTITUTE(SUBSTITUTE(SUBSTITUTE(SUBSTITUTE(SUBSTITUTE(SUBSTITUTE(SUBSTITUTE(SUBSTITUTE(SUBSTITUTE(SUBSTITUTE(SUBSTITUTE(SUBSTITUTE(AS53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calories ≈ 410 kcal par part </v>
      </c>
      <c r="CH53" s="127" cm="1">
        <f t="array" ref="CH53">IF(42=42,IF(AM53="","",SUMPRODUCT(--ISNUMBER(SEARCH(" "&amp;DJ1971:DJ1987&amp;" ",CG53)))),"")</f>
        <v>0</v>
      </c>
      <c r="CI53" s="127" t="str">
        <f>IF(42=42,IF(AM53="","",IF(CF53&gt;0,"X",IF(CH53&gt;0,"?",""))),"")</f>
        <v/>
      </c>
      <c r="CJ53" s="127" cm="1">
        <f t="array" ref="CJ53">IF(42=42,IF(AM53="","",SUMPRODUCT(--ISNUMBER(SEARCH(" "&amp;DJ1988:DJ2001&amp;" ",AS53)))),"")</f>
        <v>0</v>
      </c>
      <c r="CK53" s="127" cm="1">
        <f t="array" ref="CK53">IF(42=42,IF(AM53="","",SUMPRODUCT(--ISNUMBER(SEARCH(" "&amp;DJ2002:DJ2016&amp;" ",AS53)))),"")</f>
        <v>0</v>
      </c>
      <c r="CL53" s="127" t="str">
        <f>IF(42=42,IF(AM53="","",IF((CJ53)-(0)&gt;0,"X",IF((CK53)-(0)&gt;0,"?",""))),"")</f>
        <v/>
      </c>
      <c r="CM53" s="127" cm="1">
        <f t="array" ref="CM53">IF(42=42,IF(AM53="","",SUMPRODUCT(--ISNUMBER(SEARCH(" "&amp;DJ2017:DJ2034&amp;" ",AS53)))),"")</f>
        <v>0</v>
      </c>
      <c r="CN53" s="127" cm="1">
        <f t="array" ref="CN53">IF(42=42,IF(AM53="","",SUMPRODUCT(--ISNUMBER(SEARCH(" "&amp;DJ2035:DJ2049&amp;" ",AS53)))),"")</f>
        <v>0</v>
      </c>
      <c r="CO53" s="127" t="str">
        <f>IF(42=42,IF(AM53="","",IF((CM53)-(0)&gt;0,"X",IF((CN53)-(0)&gt;0,"?",""))),"")</f>
        <v/>
      </c>
      <c r="CP53" s="127" cm="1">
        <f t="array" ref="CP53">IF(42=42,IF(AM53="","",SUMPRODUCT(--ISNUMBER(SEARCH(" "&amp;DJ2050:DJ2068&amp;" ",AS53)))),"")</f>
        <v>0</v>
      </c>
      <c r="CQ53" s="127" cm="1">
        <f t="array" ref="CQ53">IF(42=42,IF(AM53="","",SUMPRODUCT(--ISNUMBER(SEARCH(" "&amp;DJ2069:DJ2083&amp;" ",AS53)))),"")</f>
        <v>0</v>
      </c>
      <c r="CR53" s="127" t="str">
        <f>IF(42=42,IF(AM53="","",IF((CP53)-(0)&gt;0,"X",IF((CQ53)-(0)&gt;0,"?",""))),"")</f>
        <v/>
      </c>
      <c r="CS53" s="127" cm="1">
        <f t="array" ref="CS53">IF(42=42,IF(AM53="","",SUMPRODUCT(--ISNUMBER(SEARCH(" "&amp;DJ2084:DJ2104&amp;" ",AS53)))),"")</f>
        <v>0</v>
      </c>
      <c r="CT53" s="127" cm="1">
        <f t="array" ref="CT53">IF(42=42,IF(AM53="","",SUMPRODUCT(--ISNUMBER(SEARCH(" "&amp;DJ2105:DJ2144&amp;" ",SUBSTITUTE(SUBSTITUTE(AS53," "&amp;DJ1378&amp;" "," ")," "&amp;DJ1377&amp;" "," "))))+--ISNUMBER(SEARCH("poiré",AN53))),"")</f>
        <v>0</v>
      </c>
      <c r="CU53" s="127" t="str">
        <f>IF(42=42,IF(AM53="","",IF(OR(CS53&gt;0,ISNUMBER(SEARCH(" vinaigre de vin ",AS53)),ISNUMBER(SEARCH(" vinaigre au vin ",AS53))),"X",IF(CT53&gt;0,"?",""))),"")</f>
        <v/>
      </c>
      <c r="CV53" s="127" cm="1">
        <f t="array" ref="CV53">IF(42=42,IF(AM53="","",SUMPRODUCT(--ISNUMBER(SEARCH(" "&amp;DJ2145:DJ2157&amp;" ",AS53)))),"")</f>
        <v>0</v>
      </c>
      <c r="CW53" s="127" cm="1">
        <f t="array" ref="CW53">IF(42=42,IF(AM53="","",SUMPRODUCT(--ISNUMBER(SEARCH(" "&amp;DJ2158:DJ2163&amp;" ",AS53)))),"")</f>
        <v>0</v>
      </c>
      <c r="CX53" s="127" t="str">
        <f>IF(42=42,IF(AM53="","",IF((CV53)-(0)&gt;0,"X",IF((CW53)-(0)&gt;0,"?",""))),"")</f>
        <v/>
      </c>
      <c r="CY53" s="127" cm="1">
        <f t="array" ref="CY53">IF(42=42,IF(AM53="","",SUMPRODUCT(--ISNUMBER(SEARCH(" "&amp;DJ2164:DJ2263&amp;" ",DB53)))),"")</f>
        <v>0</v>
      </c>
      <c r="CZ53" s="127" cm="1">
        <f t="array" ref="CZ53">IF(42=42,IF(AM53="","",SUMPRODUCT(--ISNUMBER(SEARCH(" "&amp;DJ2264:DJ2363&amp;" ",DB53)))),"")</f>
        <v>0</v>
      </c>
      <c r="DA53" s="127" cm="1">
        <f t="array" ref="DA53">IF(42=42,IF(AM53="","",SUMPRODUCT(--ISNUMBER(SEARCH(" "&amp;DJ2364:DJ2406&amp;" ",DB53)))),"")</f>
        <v>0</v>
      </c>
      <c r="DB53" s="127" t="str">
        <f>IF(42=42,IF(AM53="","",SUBSTITUTE(SUBSTITUTE(SUBSTITUTE(SUBSTITUTE(SUBSTITUTE(SUBSTITUTE(SUBSTITUTE(SUBSTITUTE(SUBSTITUTE(SUBSTITUTE(SUBSTITUTE(SUBSTITUTE(SUBSTITUTE(SUBSTITUTE(SUBSTITUTE(SUBSTITUTE(AS53," "&amp;DJ2412&amp;" "," ")," "&amp;DJ2411&amp;" "," ")," "&amp;DJ2410&amp;" "," ")," "&amp;DJ2417&amp;" "," ")," "&amp;DJ2409&amp;" "," ")," "&amp;DJ2421&amp;" "," ")," "&amp;DJ2408&amp;" "," ")," "&amp;DJ2413&amp;" "," ")," "&amp;DJ2416&amp;" "," ")," "&amp;DJ2407&amp;" "," ")," "&amp;DJ2415&amp;" "," ")," "&amp;DJ2422&amp;" "," ")," "&amp;DJ2419&amp;" "," ")," "&amp;DJ2414&amp;" "," ")," "&amp;DJ2418&amp;" "," ")," "&amp;DJ2420&amp;" "," ")),"")</f>
        <v xml:space="preserve"> calories ≈ 410 kcal par part </v>
      </c>
      <c r="DC53" s="127" cm="1">
        <f t="array" ref="DC53">IF(42=42,IF(AM53="","",SUMPRODUCT(--ISNUMBER(SEARCH(" "&amp;DJ2423:DJ2427&amp;" ",DB53)))),"")</f>
        <v>0</v>
      </c>
      <c r="DD53" s="127" t="str">
        <f>IF(42=42,IF(AM53="","",IF(SUM(CY53:DA53)&gt;0,"X",IF(DC53&gt;0,"?",""))),"")</f>
        <v/>
      </c>
      <c r="DE53" s="152"/>
      <c r="DF53" s="160" t="s">
        <v>740</v>
      </c>
      <c r="DG53" s="160" t="s">
        <v>584</v>
      </c>
      <c r="DH53" s="160" t="s">
        <v>125</v>
      </c>
      <c r="DI53" s="160" t="s">
        <v>741</v>
      </c>
      <c r="DJ53" s="160" t="s">
        <v>182</v>
      </c>
      <c r="DK53" s="160" t="s">
        <v>588</v>
      </c>
      <c r="DL53" s="160" t="s">
        <v>589</v>
      </c>
      <c r="DM53" s="160" t="s">
        <v>590</v>
      </c>
      <c r="DN53" s="161" t="s">
        <v>591</v>
      </c>
      <c r="DP53" s="130">
        <v>1</v>
      </c>
    </row>
    <row r="54" spans="2:120" ht="30" customHeight="1">
      <c r="B54" s="165" t="str">
        <f t="shared" si="0"/>
        <v/>
      </c>
      <c r="C54" s="165" t="str">
        <f t="shared" si="1"/>
        <v/>
      </c>
      <c r="D54" s="165" t="str">
        <f>IF(UPPER(TRIM(N11))="X",C54,B54)</f>
        <v/>
      </c>
      <c r="E54" s="165" cm="1">
        <f t="array" ref="E54">IF(H53&lt;&gt;"",E53,IF(E53="","",IFERROR(MATCH(TRUE(),INDEX(INDEX(K:K,E53+1):K203&lt;&gt;"",0),0)+E53,"")))</f>
        <v>45</v>
      </c>
      <c r="F54" s="165" t="str" cm="1">
        <f t="array" ref="F54">IF(E54="","",IF(H53&lt;&gt;"",H53,INDEX(D:D,E54)))</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4" s="165" t="str">
        <f t="shared" si="2"/>
        <v xml:space="preserve">Si vous récupérez du texte sur internet, collez-le d’abord dans la colonne 1️⃣ </v>
      </c>
      <c r="H54" s="174" t="str">
        <f t="shared" si="3"/>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4" s="184" t="str">
        <f>IF(AND(F54&lt;&gt;"",N10&gt;0,M54&gt;N10),"Mot &gt; limite","")</f>
        <v/>
      </c>
      <c r="J54" s="175" t="str">
        <f>IF(K54="","",COUNTIF(K18:K54,"&lt;&gt;"))</f>
        <v/>
      </c>
      <c r="K54" s="111"/>
      <c r="L54" s="175" t="str">
        <f t="shared" si="4"/>
        <v/>
      </c>
      <c r="M54" s="135">
        <f>IF(OR(F54="",N10="",N10&lt;=0),"",IF(LEN(F54)&lt;=N10,LEN(F54),IFERROR(FIND("♦",SUBSTITUTE(LEFT(F54,N10)," ","♦",LEN(LEFT(F54,N10))-LEN(SUBSTITUTE(LEFT(F54,N10)," ","")))),FIND(" ",F54&amp;" ",N10+1)-1)))</f>
        <v>79</v>
      </c>
      <c r="N54" s="176">
        <f t="shared" si="5"/>
        <v>37</v>
      </c>
      <c r="O54" s="177" t="str">
        <f t="shared" si="6"/>
        <v xml:space="preserve">Si vous récupérez du texte sur internet, collez-le d’abord dans la colonne 1️⃣ </v>
      </c>
      <c r="P54" s="176">
        <f t="shared" si="7"/>
        <v>13</v>
      </c>
      <c r="Q54" s="176">
        <f t="shared" si="8"/>
        <v>79</v>
      </c>
      <c r="S54" s="178">
        <v>37</v>
      </c>
      <c r="T54" s="179" t="str">
        <f t="shared" si="10"/>
        <v xml:space="preserve">Si vous récupérez du texte sur internet, collez-le d’abord dans la colonne 1️⃣ </v>
      </c>
      <c r="U54" s="180" t="str">
        <f t="shared" si="11"/>
        <v>Si vous récupérez du texte sur internet, collez-le d’abord dans la colonne 1️⃣</v>
      </c>
      <c r="V54" s="181" t="str">
        <f>IF(43=43,IF(T54="","",IF(W54="X",""&amp;"Céréales contenant du gluten","")&amp;IF(X54="X",IF(COUNTIF(W54:W54,"X")&gt;0,", ","")&amp;"Crustacés","")&amp;IF(Y54="X",IF(COUNTIF(W54:X54,"X")&gt;0,", ","")&amp;"Œufs","")&amp;IF(Z54="X",IF(COUNTIF(W54:Y54,"X")&gt;0,", ","")&amp;"Poissons","")&amp;IF(AA54="X",IF(COUNTIF(W54:Z54,"X")&gt;0,", ","")&amp;"Arachides","")&amp;IF(AB54="X",IF(COUNTIF(W54:AA54,"X")&gt;0,", ","")&amp;"Soja","")&amp;IF(AC54="X",IF(COUNTIF(W54:AB54,"X")&gt;0,", ","")&amp;"Lait","")&amp;IF(AD54="X",IF(COUNTIF(W54:AC54,"X")&gt;0,", ","")&amp;"Fruits à coque","")&amp;IF(AE54="X",IF(COUNTIF(W54:AD54,"X")&gt;0,", ","")&amp;"Céleri","")&amp;IF(AF54="X",IF(COUNTIF(W54:AE54,"X")&gt;0,", ","")&amp;"Moutarde","")&amp;IF(AG54="X",IF(COUNTIF(W54:AF54,"X")&gt;0,", ","")&amp;"Sésame","")&amp;IF(AH54="X",IF(COUNTIF(W54:AG54,"X")&gt;0,", ","")&amp;"Sulfites","")&amp;IF(AI54="X",IF(COUNTIF(W54:AH54,"X")&gt;0,", ","")&amp;"Lupin","")&amp;IF(AJ54="X",IF(COUNTIF(W54:AI54,"X")&gt;0,", ","")&amp;"Mollusques","")),"")</f>
        <v/>
      </c>
      <c r="W54" s="182" t="str">
        <f>IF(43=43,IF(T54="","",AX54),"")</f>
        <v/>
      </c>
      <c r="X54" s="182" t="str">
        <f>IF(43=43,IF(T54="","",BA54),"")</f>
        <v/>
      </c>
      <c r="Y54" s="182" t="str">
        <f>IF(43=43,IF(T54="","",BE54),"")</f>
        <v/>
      </c>
      <c r="Z54" s="182" t="str">
        <f>IF(43=43,IF(T54="","",IF(ISNUMBER(SEARCH(" colin ",AS54)),"X",BR54)),"")</f>
        <v/>
      </c>
      <c r="AA54" s="182" t="str">
        <f>IF(43=43,IF(T54="","",BT54),"")</f>
        <v/>
      </c>
      <c r="AB54" s="182" t="str">
        <f>IF(43=43,IF(T54="","",BX54),"")</f>
        <v/>
      </c>
      <c r="AC54" s="182" t="str">
        <f>IF(43=43,IF(T54="","",CE54),"")</f>
        <v/>
      </c>
      <c r="AD54" s="182" t="str">
        <f>IF(43=43,IF(T54="","",CI54),"")</f>
        <v/>
      </c>
      <c r="AE54" s="182" t="str">
        <f>IF(43=43,IF(T54="","",CL54),"")</f>
        <v/>
      </c>
      <c r="AF54" s="182" t="str">
        <f>IF(43=43,IF(T54="","",CO54),"")</f>
        <v/>
      </c>
      <c r="AG54" s="182" t="str">
        <f>IF(43=43,IF(T54="","",CR54),"")</f>
        <v/>
      </c>
      <c r="AH54" s="182" t="str">
        <f>IF(43=43,IF(T54="","",CU54),"")</f>
        <v/>
      </c>
      <c r="AI54" s="182" t="str">
        <f>IF(43=43,IF(T54="","",CX54),"")</f>
        <v/>
      </c>
      <c r="AJ54" s="182" t="str">
        <f>IF(43=43,IF(T54="","",DD54),"")</f>
        <v/>
      </c>
      <c r="AK54" s="183" t="str">
        <f>IF(43=43,IF(T54="","",IF(W54="?",""&amp;"Céréales contenant du gluten","")&amp;IF(X54="?",IF(COUNTIF(W54:W54,"~?")&gt;0,", ","")&amp;"Crustacés","")&amp;IF(Y54="?",IF(COUNTIF(W54:X54,"~?")&gt;0,", ","")&amp;"Œufs","")&amp;IF(Z54="?",IF(COUNTIF(W54:Y54,"~?")&gt;0,", ","")&amp;"Poissons","")&amp;IF(AA54="?",IF(COUNTIF(W54:Z54,"~?")&gt;0,", ","")&amp;"Arachides","")&amp;IF(AB54="?",IF(COUNTIF(W54:AA54,"~?")&gt;0,", ","")&amp;"Soja","")&amp;IF(AC54="?",IF(COUNTIF(W54:AB54,"~?")&gt;0,", ","")&amp;"Lait","")&amp;IF(AD54="?",IF(COUNTIF(W54:AC54,"~?")&gt;0,", ","")&amp;"Fruits à coque","")&amp;IF(AE54="?",IF(COUNTIF(W54:AD54,"~?")&gt;0,", ","")&amp;"Céleri","")&amp;IF(AF54="?",IF(COUNTIF(W54:AE54,"~?")&gt;0,", ","")&amp;"Moutarde","")&amp;IF(AG54="?",IF(COUNTIF(W54:AF54,"~?")&gt;0,", ","")&amp;"Sésame","")&amp;IF(AH54="?",IF(COUNTIF(W54:AG54,"~?")&gt;0,", ","")&amp;"Sulfites","")&amp;IF(AI54="?",IF(COUNTIF(W54:AH54,"~?")&gt;0,", ","")&amp;"Lupin","")&amp;IF(AJ54="?",IF(COUNTIF(W54:AI54,"~?")&gt;0,", ","")&amp;"Mollusques","")),"")</f>
        <v/>
      </c>
      <c r="AM54" s="127" t="str">
        <f>IF(43=43,IF(T54="","",T54),"")</f>
        <v xml:space="preserve">Si vous récupérez du texte sur internet, collez-le d’abord dans la colonne 1️⃣ </v>
      </c>
      <c r="AN54" s="127" t="str">
        <f>IF(43=43,LOWER(CLEAN(SUBSTITUTE(SUBSTITUTE(SUBSTITUTE(SUBSTITUTE(AM54,CHAR(160)," ")," "," "),CHAR(10)," "),CHAR(13)," "))),"")</f>
        <v xml:space="preserve">si vous récupérez du texte sur internet, collez-le d’abord dans la colonne 1️⃣ </v>
      </c>
      <c r="AO54" s="127" t="str">
        <f>IF(43=43,SUBSTITUTE(SUBSTITUTE(SUBSTITUTE(SUBSTITUTE(SUBSTITUTE(SUBSTITUTE(SUBSTITUTE(SUBSTITUTE(SUBSTITUTE(SUBSTITUTE(SUBSTITUTE(SUBSTITUTE(AN54,"œ","oe"),"æ","ae"),"à","a"),"á","a"),"â","a"),"ä","a"),"ã","a"),"ç","c"),"è","e"),"é","e"),"ê","e"),"ë","e"),"")</f>
        <v xml:space="preserve">si vous recuperez du texte sur internet, collez-le d’abord dans la colonne 1️⃣ </v>
      </c>
      <c r="AP54" s="127" t="str">
        <f>IF(43=43,SUBSTITUTE(SUBSTITUTE(SUBSTITUTE(SUBSTITUTE(SUBSTITUTE(SUBSTITUTE(SUBSTITUTE(SUBSTITUTE(SUBSTITUTE(SUBSTITUTE(SUBSTITUTE(SUBSTITUTE(SUBSTITUTE(SUBSTITUTE(SUBSTITUTE(SUBSTITUTE(AO54,"ì","i"),"í","i"),"î","i"),"ï","i"),"ñ","n"),"ò","o"),"ó","o"),"ô","o"),"ö","o"),"õ","o"),"ù","u"),"ú","u"),"û","u"),"ü","u"),"ý","y"),"ÿ","y"),"")</f>
        <v xml:space="preserve">si vous recuperez du texte sur internet, collez-le d’abord dans la colonne 1️⃣ </v>
      </c>
      <c r="AQ54" s="127" t="str">
        <f>IF(43=43,SUBSTITUTE(SUBSTITUTE(SUBSTITUTE(SUBSTITUTE(SUBSTITUTE(SUBSTITUTE(SUBSTITUTE(SUBSTITUTE(SUBSTITUTE(SUBSTITUTE(SUBSTITUTE(SUBSTITUTE(SUBSTITUTE(SUBSTITUTE(AP54,"’"," "),"`"," "),"–"," "),"—"," "),"-"," "),"'"," "),"/"," "),"_"," "),","," "),"."," "),"("," "),")"," "),";"," "),":"," "),"")</f>
        <v xml:space="preserve">si vous recuperez du texte sur internet  collez le d abord dans la colonne 1️⃣ </v>
      </c>
      <c r="AR54" s="127" t="str">
        <f>IF(43=43,SUBSTITUTE(SUBSTITUTE(SUBSTITUTE(SUBSTITUTE(SUBSTITUTE(SUBSTITUTE(SUBSTITUTE(SUBSTITUTE(SUBSTITUTE(SUBSTITUTE(SUBSTITUTE(SUBSTITUTE(SUBSTITUTE(SUBSTITUTE(SUBSTITUTE(AQ54,"!"," "),"?"," "),"+"," "),"*"," "),"&amp;"," "),"["," "),"]"," "),"{"," "),"}"," "),"%"," "),"="," "),"\"," "),"|"," "),"&lt;"," "),"&gt;"," "),"")</f>
        <v xml:space="preserve">si vous recuperez du texte sur internet  collez le d abord dans la colonne 1️⃣ </v>
      </c>
      <c r="AS54" s="127" t="str">
        <f>IF(43=43," "&amp;TRIM(SUBSTITUTE(SUBSTITUTE(SUBSTITUTE(SUBSTITUTE(SUBSTITUTE(SUBSTITUTE(AR54,CHAR(34)," "),"  "," "),"  "," "),"  "," "),"  "," "),"  "," "))&amp;" ","")</f>
        <v xml:space="preserve"> si vous recuperez du texte sur internet collez le d abord dans la colonne 1️⃣ </v>
      </c>
      <c r="AT54" s="127" cm="1">
        <f t="array" ref="AT54">IF(43=43,IF(AM54="","",SUMPRODUCT(--ISNUMBER(SEARCH(" "&amp;DJ13:DJ112&amp;" ",AV54)))),"")</f>
        <v>0</v>
      </c>
      <c r="AU54" s="127" cm="1">
        <f t="array" ref="AU54">IF(43=43,IF(AM54="","",SUMPRODUCT(--ISNUMBER(SEARCH(" "&amp;DJ113:DJ162&amp;" ",AV54)))),"")</f>
        <v>0</v>
      </c>
      <c r="AV54" s="127" t="str">
        <f>IF(AM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si vous recuperez du texte sur internet collez le d abord dans la colonne 1️⃣ </v>
      </c>
      <c r="AW54" s="127" cm="1">
        <f t="array" ref="AW54">IF(AM54="","",SUMPRODUCT(--ISNUMBER(SEARCH(" "&amp;DJ195:DJ216&amp;" ",AV54)))+--ISNUMBER(SEARCH(" "&amp;DJ2465&amp;" ",AV54)))</f>
        <v>0</v>
      </c>
      <c r="AX54" s="127" t="str" cm="1">
        <f t="array" ref="AX54">IF(43=43,IF(AM54="","",IF(SUM(AT54:AU54)+SUMPRODUCT(--ISNUMBER(SEARCH(" "&amp;DJ2429:DJ2431&amp;" ",AV54)))&gt;0,"X",IF(AW54&gt;0,"?",""))),"")</f>
        <v/>
      </c>
      <c r="AY54" s="127" cm="1">
        <f t="array" ref="AY54">IF(43=43,IF(AM54="","",SUMPRODUCT(--ISNUMBER(SEARCH(" "&amp;DJ217:DJ316&amp;" ",AS54)))),"")</f>
        <v>0</v>
      </c>
      <c r="AZ54" s="127" cm="1">
        <f t="array" ref="AZ54">IF(43=43,IF(AM54="","",SUMPRODUCT(--ISNUMBER(SEARCH(" "&amp;DJ317:DJ351&amp;" ",AS54)))),"")</f>
        <v>0</v>
      </c>
      <c r="BA54" s="127" t="str">
        <f>IF(43=43,IF(AM54="","",IF((SUM(AY54:AZ54))-(0)&gt;0,"X",IF((0)-(0)&gt;0,"?",""))),"")</f>
        <v/>
      </c>
      <c r="BB54" s="127" cm="1">
        <f t="array" ref="BB54">IF(43=43,IF(AM54="","",SUMPRODUCT(--ISNUMBER(SEARCH(" "&amp;DJ352:DJ409&amp;" ",AS54)))),"")</f>
        <v>0</v>
      </c>
      <c r="BC54" s="127" cm="1">
        <f t="array" ref="BC54">IF(43=43,IF(AM54="","",SUMPRODUCT(--ISNUMBER(SEARCH(" "&amp;DJ410:DJ437&amp;" ",BD54)))+SUMPRODUCT(--ISNUMBER(SEARCH(" "&amp;DJ2451:DJ2464&amp;" ",BD54)))),"")</f>
        <v>0</v>
      </c>
      <c r="BD54" s="127" t="str">
        <f>IF(43=43,IF(AM54="","",SUBSTITUTE(SUBSTITUTE(SUBSTITUTE(SUBSTITUTE(SUBSTITUTE(SUBSTITUTE(SUBSTITUTE(SUBSTITUTE(SUBSTITUTE(SUBSTITUTE(SUBSTITUTE(SUBSTITUTE(SUBSTITUTE(SUBSTITUTE(AS54," "&amp;DJ2466&amp;" "," ")," "&amp;DJ444&amp;" "," ")," "&amp;DJ442&amp;" "," ")," "&amp;DJ2449&amp;" "," ")," "&amp;DJ2450&amp;" "," ")," "&amp;DJ439&amp;" "," ")," "&amp;DJ443&amp;" "," ")," "&amp;DJ445&amp;" "," ")," "&amp;DJ440&amp;" "," ")," "&amp;DJ438&amp;" "," ")," "&amp;DJ1378&amp;" "," ")," "&amp;DJ446&amp;" "," ")," "&amp;DJ1377&amp;" "," ")," "&amp;DJ441&amp;" "," ")),"")</f>
        <v xml:space="preserve"> si vous recuperez du texte sur internet collez le d abord dans la colonne 1️⃣ </v>
      </c>
      <c r="BE54" s="127" t="str">
        <f>IF(43=43,IF(AM54="","",IF(BB54&gt;0,"X",IF(BC54&gt;0,"?",""))),"")</f>
        <v/>
      </c>
      <c r="BF54" s="127" cm="1">
        <f t="array" ref="BF54">IF(43=43,IF(AM54="","",SUMPRODUCT(--ISNUMBER(SEARCH(" "&amp;DJ447:DJ546&amp;" ",BP54)))),"")</f>
        <v>0</v>
      </c>
      <c r="BG54" s="127" cm="1">
        <f t="array" ref="BG54">IF(43=43,IF(AM54="","",SUMPRODUCT(--ISNUMBER(SEARCH(" "&amp;DJ547:DJ646&amp;" ",BP54)))),"")</f>
        <v>0</v>
      </c>
      <c r="BH54" s="127" cm="1">
        <f t="array" ref="BH54">IF(43=43,IF(AM54="","",SUMPRODUCT(--ISNUMBER(SEARCH(" "&amp;DJ647:DJ746&amp;" ",BP54)))),"")</f>
        <v>0</v>
      </c>
      <c r="BI54" s="127" cm="1">
        <f t="array" ref="BI54">IF(43=43,IF(AM54="","",SUMPRODUCT(--ISNUMBER(SEARCH(" "&amp;DJ747:DJ846&amp;" ",BP54)))),"")</f>
        <v>0</v>
      </c>
      <c r="BJ54" s="127" cm="1">
        <f t="array" ref="BJ54">IF(43=43,IF(AM54="","",SUMPRODUCT(--ISNUMBER(SEARCH(" "&amp;DJ847:DJ946&amp;" ",BP54)))),"")</f>
        <v>0</v>
      </c>
      <c r="BK54" s="127" cm="1">
        <f t="array" ref="BK54">IF(43=43,IF(AM54="","",SUMPRODUCT(--ISNUMBER(SEARCH(" "&amp;DJ947:DJ1046&amp;" ",BP54)))),"")</f>
        <v>0</v>
      </c>
      <c r="BL54" s="127" cm="1">
        <f t="array" ref="BL54">IF(43=43,IF(AM54="","",SUMPRODUCT(--ISNUMBER(SEARCH(" "&amp;DJ1047:DJ1146&amp;" ",BP54)))),"")</f>
        <v>0</v>
      </c>
      <c r="BM54" s="127" cm="1">
        <f t="array" ref="BM54">IF(43=43,IF(AM54="","",SUMPRODUCT(--ISNUMBER(SEARCH(" "&amp;DJ1147:DJ1246&amp;" ",BP54)))),"")</f>
        <v>0</v>
      </c>
      <c r="BN54" s="127" cm="1">
        <f t="array" ref="BN54">IF(43=43,IF(AM54="","",SUMPRODUCT(--ISNUMBER(SEARCH(" "&amp;DJ1247:DJ1346&amp;" ",BP54)))),"")</f>
        <v>0</v>
      </c>
      <c r="BO54" s="127" cm="1">
        <f t="array" ref="BO54">IF(43=43,IF(AM54="","",SUMPRODUCT(--ISNUMBER(SEARCH(" "&amp;DJ1347:DJ1374&amp;" ",BP54)))),"")</f>
        <v>0</v>
      </c>
      <c r="BP54" s="127" t="str">
        <f>IF(43=43,IF(AM54="","",SUBSTITUTE(SUBSTITUTE(SUBSTITUTE(SUBSTITUTE(SUBSTITUTE(SUBSTITUTE(SUBSTITUTE(SUBSTITUTE(SUBSTITUTE(AS54," "&amp;DJ1376&amp;" "," ")," "&amp;DJ1375&amp;" "," ")," "&amp;DJ1381&amp;" "," ")," "&amp;DJ1382&amp;" "," ")," "&amp;DJ1378&amp;" "," ")," "&amp;DJ1380&amp;" "," ")," "&amp;DJ1377&amp;" "," ")," "&amp;DJ1379&amp;" "," ")," "&amp;DJ1383&amp;" "," ")),"")</f>
        <v xml:space="preserve"> si vous recuperez du texte sur internet collez le d abord dans la colonne 1️⃣ </v>
      </c>
      <c r="BQ54" s="127" cm="1">
        <f t="array" ref="BQ54">IF(43=43,IF(AM54="","",SUMPRODUCT(--ISNUMBER(SEARCH(" "&amp;DJ1384:DJ1394&amp;" ",BP54)))),"")</f>
        <v>0</v>
      </c>
      <c r="BR54" s="127" t="str" cm="1">
        <f t="array" ref="BR54">IF(43=43,IF(AM54="","",IF(SUM(BF54:BO54)+SUMPRODUCT(--ISNUMBER(SEARCH(" "&amp;DJ2432:DJ2433&amp;" ",BP54)))&gt;0,"X",IF(BQ54&gt;0,"?",""))),"")</f>
        <v/>
      </c>
      <c r="BS54" s="127" cm="1">
        <f t="array" ref="BS54">IF(43=43,IF(AM54="","",SUMPRODUCT(--ISNUMBER(SEARCH(" "&amp;DJ1395:DJ1415&amp;" ",AS54)))),"")</f>
        <v>0</v>
      </c>
      <c r="BT54" s="127" t="str">
        <f>IF(43=43,IF(AM54="","",IF((BS54)-(0)&gt;0,"X",IF((0)-(0)&gt;0,"?",""))),"")</f>
        <v/>
      </c>
      <c r="BU54" s="127" cm="1">
        <f t="array" ref="BU54">IF(43=43,IF(AM54="","",SUMPRODUCT(--ISNUMBER(SEARCH(" "&amp;DJ1416:DJ1453&amp;" ",BV54)))),"")</f>
        <v>0</v>
      </c>
      <c r="BV54" s="127" t="str">
        <f>IF(43=43,IF(AM54="","",SUBSTITUTE(SUBSTITUTE(AS54," "&amp;DJ1454&amp;" "," ")," "&amp;DJ1455&amp;" "," ")),"")</f>
        <v xml:space="preserve"> si vous recuperez du texte sur internet collez le d abord dans la colonne 1️⃣ </v>
      </c>
      <c r="BW54" s="127" cm="1">
        <f t="array" ref="BW54">IF(43=43,IF(AM54="","",SUMPRODUCT(--ISNUMBER(SEARCH(" "&amp;DJ1456:DJ1466&amp;" ",BV54)))),"")</f>
        <v>0</v>
      </c>
      <c r="BX54" s="127" t="str">
        <f>IF(43=43,IF(AM54="","",IF(BU54&gt;0,"X",IF(BW54&gt;0,"?",""))),"")</f>
        <v/>
      </c>
      <c r="BY54" s="127" cm="1">
        <f t="array" ref="BY54">IF(43=43,IF(AM54="","",SUMPRODUCT(--ISNUMBER(SEARCH(" "&amp;DJ1467:DJ1566&amp;" ",CB54)))),"")</f>
        <v>0</v>
      </c>
      <c r="BZ54" s="127" cm="1">
        <f t="array" ref="BZ54">IF(43=43,IF(AM54="","",SUMPRODUCT(--ISNUMBER(SEARCH(" "&amp;DJ1567:DJ1666&amp;" ",CB54)))),"")</f>
        <v>0</v>
      </c>
      <c r="CA54" s="127" cm="1">
        <f t="array" ref="CA54">IF(43=43,IF(AM54="","",SUMPRODUCT(--ISNUMBER(SEARCH(" "&amp;DJ1667:DJ1750&amp;" ",CB54)))),"")</f>
        <v>0</v>
      </c>
      <c r="CB54" s="127" t="str">
        <f>IF(43=43,IF(AM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si vous recuperez du texte sur internet collez le d abord dans la colonne 1️⃣ </v>
      </c>
      <c r="CC54" s="127" cm="1">
        <f t="array" ref="CC54">IF(43=43,IF(AM54="","",SUMPRODUCT(--ISNUMBER(SEARCH(" "&amp;DJ1801:DJ1880&amp;" ",CD54)))+SUMPRODUCT(--ISNUMBER(SEARCH(" "&amp;DJ2451:DJ2464&amp;" ",CD54)))),"")</f>
        <v>0</v>
      </c>
      <c r="CD54" s="127" t="str">
        <f>IF(43=43,IF(AM54="","",SUBSTITUTE(SUBSTITUTE(SUBSTITUTE(SUBSTITUTE(SUBSTITUTE(SUBSTITUTE(SUBSTITUTE(SUBSTITUTE(SUBSTITUTE(SUBSTITUTE(SUBSTITUTE(SUBSTITUTE(SUBSTITUTE(CB54," "&amp;DJ1887&amp;" "," ")," "&amp;DJ1885&amp;" "," ")," "&amp;DJ2449&amp;" "," ")," "&amp;DJ2450&amp;" "," ")," "&amp;DJ1882&amp;" "," ")," "&amp;DJ1886&amp;" "," ")," "&amp;DJ1888&amp;" "," ")," "&amp;DJ1883&amp;" "," ")," "&amp;DJ1881&amp;" "," ")," "&amp;DJ1378&amp;" "," ")," "&amp;DJ1889&amp;" "," ")," "&amp;DJ1377&amp;" "," ")," "&amp;DJ1884&amp;" "," ")),"")</f>
        <v xml:space="preserve"> si vous recuperez du texte sur internet collez le d abord dans la colonne 1️⃣ </v>
      </c>
      <c r="CE54" s="127" t="str" cm="1">
        <f t="array" ref="CE54">IF(43=43,IF(AM54="","",IF(SUM(BY54:CA54)+SUMPRODUCT(--ISNUMBER(SEARCH(" "&amp;DJ2434:DJ2435&amp;" ",CB54)))&gt;0,"X",IF(CC54&gt;0,"?",""))),"")</f>
        <v/>
      </c>
      <c r="CF54" s="127" cm="1">
        <f t="array" ref="CF54">IF(43=43,IF(AM54="","",SUMPRODUCT(--ISNUMBER(SEARCH(" "&amp;DJ1890:DJ1947&amp;" ",CG54)))),"")</f>
        <v>0</v>
      </c>
      <c r="CG54" s="127" t="str">
        <f>IF(43=43,IF(AM54="","",SUBSTITUTE(SUBSTITUTE(SUBSTITUTE(SUBSTITUTE(SUBSTITUTE(SUBSTITUTE(SUBSTITUTE(SUBSTITUTE(SUBSTITUTE(SUBSTITUTE(SUBSTITUTE(SUBSTITUTE(SUBSTITUTE(SUBSTITUTE(SUBSTITUTE(SUBSTITUTE(SUBSTITUTE(SUBSTITUTE(SUBSTITUTE(SUBSTITUTE(SUBSTITUTE(SUBSTITUTE(SUBSTITUTE(AS54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si vous recuperez du texte sur internet collez le d abord dans la colonne 1️⃣ </v>
      </c>
      <c r="CH54" s="127" cm="1">
        <f t="array" ref="CH54">IF(43=43,IF(AM54="","",SUMPRODUCT(--ISNUMBER(SEARCH(" "&amp;DJ1971:DJ1987&amp;" ",CG54)))),"")</f>
        <v>0</v>
      </c>
      <c r="CI54" s="127" t="str">
        <f>IF(43=43,IF(AM54="","",IF(CF54&gt;0,"X",IF(CH54&gt;0,"?",""))),"")</f>
        <v/>
      </c>
      <c r="CJ54" s="127" cm="1">
        <f t="array" ref="CJ54">IF(43=43,IF(AM54="","",SUMPRODUCT(--ISNUMBER(SEARCH(" "&amp;DJ1988:DJ2001&amp;" ",AS54)))),"")</f>
        <v>0</v>
      </c>
      <c r="CK54" s="127" cm="1">
        <f t="array" ref="CK54">IF(43=43,IF(AM54="","",SUMPRODUCT(--ISNUMBER(SEARCH(" "&amp;DJ2002:DJ2016&amp;" ",AS54)))),"")</f>
        <v>0</v>
      </c>
      <c r="CL54" s="127" t="str">
        <f>IF(43=43,IF(AM54="","",IF((CJ54)-(0)&gt;0,"X",IF((CK54)-(0)&gt;0,"?",""))),"")</f>
        <v/>
      </c>
      <c r="CM54" s="127" cm="1">
        <f t="array" ref="CM54">IF(43=43,IF(AM54="","",SUMPRODUCT(--ISNUMBER(SEARCH(" "&amp;DJ2017:DJ2034&amp;" ",AS54)))),"")</f>
        <v>0</v>
      </c>
      <c r="CN54" s="127" cm="1">
        <f t="array" ref="CN54">IF(43=43,IF(AM54="","",SUMPRODUCT(--ISNUMBER(SEARCH(" "&amp;DJ2035:DJ2049&amp;" ",AS54)))),"")</f>
        <v>0</v>
      </c>
      <c r="CO54" s="127" t="str">
        <f>IF(43=43,IF(AM54="","",IF((CM54)-(0)&gt;0,"X",IF((CN54)-(0)&gt;0,"?",""))),"")</f>
        <v/>
      </c>
      <c r="CP54" s="127" cm="1">
        <f t="array" ref="CP54">IF(43=43,IF(AM54="","",SUMPRODUCT(--ISNUMBER(SEARCH(" "&amp;DJ2050:DJ2068&amp;" ",AS54)))),"")</f>
        <v>0</v>
      </c>
      <c r="CQ54" s="127" cm="1">
        <f t="array" ref="CQ54">IF(43=43,IF(AM54="","",SUMPRODUCT(--ISNUMBER(SEARCH(" "&amp;DJ2069:DJ2083&amp;" ",AS54)))),"")</f>
        <v>0</v>
      </c>
      <c r="CR54" s="127" t="str">
        <f>IF(43=43,IF(AM54="","",IF((CP54)-(0)&gt;0,"X",IF((CQ54)-(0)&gt;0,"?",""))),"")</f>
        <v/>
      </c>
      <c r="CS54" s="127" cm="1">
        <f t="array" ref="CS54">IF(43=43,IF(AM54="","",SUMPRODUCT(--ISNUMBER(SEARCH(" "&amp;DJ2084:DJ2104&amp;" ",AS54)))),"")</f>
        <v>0</v>
      </c>
      <c r="CT54" s="127" cm="1">
        <f t="array" ref="CT54">IF(43=43,IF(AM54="","",SUMPRODUCT(--ISNUMBER(SEARCH(" "&amp;DJ2105:DJ2144&amp;" ",SUBSTITUTE(SUBSTITUTE(AS54," "&amp;DJ1378&amp;" "," ")," "&amp;DJ1377&amp;" "," "))))+--ISNUMBER(SEARCH("poiré",AN54))),"")</f>
        <v>0</v>
      </c>
      <c r="CU54" s="127" t="str">
        <f>IF(43=43,IF(AM54="","",IF(OR(CS54&gt;0,ISNUMBER(SEARCH(" vinaigre de vin ",AS54)),ISNUMBER(SEARCH(" vinaigre au vin ",AS54))),"X",IF(CT54&gt;0,"?",""))),"")</f>
        <v/>
      </c>
      <c r="CV54" s="127" cm="1">
        <f t="array" ref="CV54">IF(43=43,IF(AM54="","",SUMPRODUCT(--ISNUMBER(SEARCH(" "&amp;DJ2145:DJ2157&amp;" ",AS54)))),"")</f>
        <v>0</v>
      </c>
      <c r="CW54" s="127" cm="1">
        <f t="array" ref="CW54">IF(43=43,IF(AM54="","",SUMPRODUCT(--ISNUMBER(SEARCH(" "&amp;DJ2158:DJ2163&amp;" ",AS54)))),"")</f>
        <v>0</v>
      </c>
      <c r="CX54" s="127" t="str">
        <f>IF(43=43,IF(AM54="","",IF((CV54)-(0)&gt;0,"X",IF((CW54)-(0)&gt;0,"?",""))),"")</f>
        <v/>
      </c>
      <c r="CY54" s="127" cm="1">
        <f t="array" ref="CY54">IF(43=43,IF(AM54="","",SUMPRODUCT(--ISNUMBER(SEARCH(" "&amp;DJ2164:DJ2263&amp;" ",DB54)))),"")</f>
        <v>0</v>
      </c>
      <c r="CZ54" s="127" cm="1">
        <f t="array" ref="CZ54">IF(43=43,IF(AM54="","",SUMPRODUCT(--ISNUMBER(SEARCH(" "&amp;DJ2264:DJ2363&amp;" ",DB54)))),"")</f>
        <v>0</v>
      </c>
      <c r="DA54" s="127" cm="1">
        <f t="array" ref="DA54">IF(43=43,IF(AM54="","",SUMPRODUCT(--ISNUMBER(SEARCH(" "&amp;DJ2364:DJ2406&amp;" ",DB54)))),"")</f>
        <v>0</v>
      </c>
      <c r="DB54" s="127" t="str">
        <f>IF(43=43,IF(AM54="","",SUBSTITUTE(SUBSTITUTE(SUBSTITUTE(SUBSTITUTE(SUBSTITUTE(SUBSTITUTE(SUBSTITUTE(SUBSTITUTE(SUBSTITUTE(SUBSTITUTE(SUBSTITUTE(SUBSTITUTE(SUBSTITUTE(SUBSTITUTE(SUBSTITUTE(SUBSTITUTE(AS54," "&amp;DJ2412&amp;" "," ")," "&amp;DJ2411&amp;" "," ")," "&amp;DJ2410&amp;" "," ")," "&amp;DJ2417&amp;" "," ")," "&amp;DJ2409&amp;" "," ")," "&amp;DJ2421&amp;" "," ")," "&amp;DJ2408&amp;" "," ")," "&amp;DJ2413&amp;" "," ")," "&amp;DJ2416&amp;" "," ")," "&amp;DJ2407&amp;" "," ")," "&amp;DJ2415&amp;" "," ")," "&amp;DJ2422&amp;" "," ")," "&amp;DJ2419&amp;" "," ")," "&amp;DJ2414&amp;" "," ")," "&amp;DJ2418&amp;" "," ")," "&amp;DJ2420&amp;" "," ")),"")</f>
        <v xml:space="preserve"> si vous recuperez du texte sur internet collez le d abord dans la colonne 1️⃣ </v>
      </c>
      <c r="DC54" s="127" cm="1">
        <f t="array" ref="DC54">IF(43=43,IF(AM54="","",SUMPRODUCT(--ISNUMBER(SEARCH(" "&amp;DJ2423:DJ2427&amp;" ",DB54)))),"")</f>
        <v>0</v>
      </c>
      <c r="DD54" s="127" t="str">
        <f>IF(43=43,IF(AM54="","",IF(SUM(CY54:DA54)&gt;0,"X",IF(DC54&gt;0,"?",""))),"")</f>
        <v/>
      </c>
      <c r="DE54" s="152"/>
      <c r="DF54" s="160" t="s">
        <v>742</v>
      </c>
      <c r="DG54" s="160" t="s">
        <v>584</v>
      </c>
      <c r="DH54" s="160" t="s">
        <v>125</v>
      </c>
      <c r="DI54" s="160" t="s">
        <v>183</v>
      </c>
      <c r="DJ54" s="160" t="s">
        <v>183</v>
      </c>
      <c r="DK54" s="160" t="s">
        <v>588</v>
      </c>
      <c r="DL54" s="160" t="s">
        <v>589</v>
      </c>
      <c r="DM54" s="160" t="s">
        <v>590</v>
      </c>
      <c r="DN54" s="161" t="s">
        <v>591</v>
      </c>
      <c r="DP54" s="130">
        <v>1</v>
      </c>
    </row>
    <row r="55" spans="2:120" ht="30" customHeight="1">
      <c r="B55" s="165" t="str">
        <f t="shared" si="0"/>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C55" s="165" t="str">
        <f t="shared" si="1"/>
        <v>1 Coupez la viande en cubes d’environ 4 cm et mettez la dans un grand saladier Ajoutez y les oignons coupés en rondelles les carottes coupées en rondelles les lardons l’ail émincé et le bouquet garni Versez le vin rouge sur le tout et laissez mariner au frais pendant 24 heures</v>
      </c>
      <c r="D55" s="165" t="str">
        <f>IF(UPPER(TRIM(N11))="X",C55,B55)</f>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E55" s="165" cm="1">
        <f t="array" ref="E55">IF(H54&lt;&gt;"",E54,IF(E54="","",IFERROR(MATCH(TRUE(),INDEX(INDEX(K:K,E54+1):K203&lt;&gt;"",0),0)+E54,"")))</f>
        <v>45</v>
      </c>
      <c r="F55" s="165" t="str" cm="1">
        <f t="array" ref="F55">IF(E55="","",IF(H54&lt;&gt;"",H54,INDEX(D:D,E55)))</f>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5" s="165" t="str">
        <f t="shared" si="2"/>
        <v xml:space="preserve">pour le “nettoyer” : cela supprime les espaces insécables, tabulations </v>
      </c>
      <c r="H55" s="174" t="str">
        <f t="shared" si="3"/>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5" s="184" t="str">
        <f>IF(AND(F55&lt;&gt;"",N10&gt;0,M55&gt;N10),"Mot &gt; limite","")</f>
        <v/>
      </c>
      <c r="J55" s="175">
        <f>IF(K55="","",COUNTIF(K18:K55,"&lt;&gt;"))</f>
        <v>36</v>
      </c>
      <c r="K55" s="111" t="s">
        <v>25</v>
      </c>
      <c r="L55" s="175">
        <f t="shared" si="4"/>
        <v>284</v>
      </c>
      <c r="M55" s="135">
        <f>IF(OR(F55="",N10="",N10&lt;=0),"",IF(LEN(F55)&lt;=N10,LEN(F55),IFERROR(FIND("♦",SUBSTITUTE(LEFT(F55,N10)," ","♦",LEN(LEFT(F55,N10))-LEN(SUBSTITUTE(LEFT(F55,N10)," ","")))),FIND(" ",F55&amp;" ",N10+1)-1)))</f>
        <v>71</v>
      </c>
      <c r="N55" s="176">
        <f t="shared" si="5"/>
        <v>38</v>
      </c>
      <c r="O55" s="177" t="str">
        <f t="shared" si="6"/>
        <v xml:space="preserve">pour le “nettoyer” : cela supprime les espaces insécables, tabulations </v>
      </c>
      <c r="P55" s="176">
        <f t="shared" si="7"/>
        <v>10</v>
      </c>
      <c r="Q55" s="176">
        <f t="shared" si="8"/>
        <v>71</v>
      </c>
      <c r="S55" s="178">
        <v>38</v>
      </c>
      <c r="T55" s="179" t="str">
        <f t="shared" si="10"/>
        <v xml:space="preserve">pour le “nettoyer” : cela supprime les espaces insécables, tabulations </v>
      </c>
      <c r="U55" s="180" t="str">
        <f t="shared" si="11"/>
        <v>pour le “nettoyer” : cela supprime les espaces insécables, tabulations</v>
      </c>
      <c r="V55" s="181" t="str">
        <f>IF(44=44,IF(T55="","",IF(W55="X",""&amp;"Céréales contenant du gluten","")&amp;IF(X55="X",IF(COUNTIF(W55:W55,"X")&gt;0,", ","")&amp;"Crustacés","")&amp;IF(Y55="X",IF(COUNTIF(W55:X55,"X")&gt;0,", ","")&amp;"Œufs","")&amp;IF(Z55="X",IF(COUNTIF(W55:Y55,"X")&gt;0,", ","")&amp;"Poissons","")&amp;IF(AA55="X",IF(COUNTIF(W55:Z55,"X")&gt;0,", ","")&amp;"Arachides","")&amp;IF(AB55="X",IF(COUNTIF(W55:AA55,"X")&gt;0,", ","")&amp;"Soja","")&amp;IF(AC55="X",IF(COUNTIF(W55:AB55,"X")&gt;0,", ","")&amp;"Lait","")&amp;IF(AD55="X",IF(COUNTIF(W55:AC55,"X")&gt;0,", ","")&amp;"Fruits à coque","")&amp;IF(AE55="X",IF(COUNTIF(W55:AD55,"X")&gt;0,", ","")&amp;"Céleri","")&amp;IF(AF55="X",IF(COUNTIF(W55:AE55,"X")&gt;0,", ","")&amp;"Moutarde","")&amp;IF(AG55="X",IF(COUNTIF(W55:AF55,"X")&gt;0,", ","")&amp;"Sésame","")&amp;IF(AH55="X",IF(COUNTIF(W55:AG55,"X")&gt;0,", ","")&amp;"Sulfites","")&amp;IF(AI55="X",IF(COUNTIF(W55:AH55,"X")&gt;0,", ","")&amp;"Lupin","")&amp;IF(AJ55="X",IF(COUNTIF(W55:AI55,"X")&gt;0,", ","")&amp;"Mollusques","")),"")</f>
        <v/>
      </c>
      <c r="W55" s="182" t="str">
        <f>IF(44=44,IF(T55="","",AX55),"")</f>
        <v/>
      </c>
      <c r="X55" s="182" t="str">
        <f>IF(44=44,IF(T55="","",BA55),"")</f>
        <v/>
      </c>
      <c r="Y55" s="182" t="str">
        <f>IF(44=44,IF(T55="","",BE55),"")</f>
        <v/>
      </c>
      <c r="Z55" s="182" t="str">
        <f>IF(44=44,IF(T55="","",IF(ISNUMBER(SEARCH(" colin ",AS55)),"X",BR55)),"")</f>
        <v/>
      </c>
      <c r="AA55" s="182" t="str">
        <f>IF(44=44,IF(T55="","",BT55),"")</f>
        <v/>
      </c>
      <c r="AB55" s="182" t="str">
        <f>IF(44=44,IF(T55="","",BX55),"")</f>
        <v/>
      </c>
      <c r="AC55" s="182" t="str">
        <f>IF(44=44,IF(T55="","",CE55),"")</f>
        <v/>
      </c>
      <c r="AD55" s="182" t="str">
        <f>IF(44=44,IF(T55="","",CI55),"")</f>
        <v/>
      </c>
      <c r="AE55" s="182" t="str">
        <f>IF(44=44,IF(T55="","",CL55),"")</f>
        <v/>
      </c>
      <c r="AF55" s="182" t="str">
        <f>IF(44=44,IF(T55="","",CO55),"")</f>
        <v/>
      </c>
      <c r="AG55" s="182" t="str">
        <f>IF(44=44,IF(T55="","",CR55),"")</f>
        <v/>
      </c>
      <c r="AH55" s="182" t="str">
        <f>IF(44=44,IF(T55="","",CU55),"")</f>
        <v/>
      </c>
      <c r="AI55" s="182" t="str">
        <f>IF(44=44,IF(T55="","",CX55),"")</f>
        <v/>
      </c>
      <c r="AJ55" s="182" t="str">
        <f>IF(44=44,IF(T55="","",DD55),"")</f>
        <v/>
      </c>
      <c r="AK55" s="183" t="str">
        <f>IF(44=44,IF(T55="","",IF(W55="?",""&amp;"Céréales contenant du gluten","")&amp;IF(X55="?",IF(COUNTIF(W55:W55,"~?")&gt;0,", ","")&amp;"Crustacés","")&amp;IF(Y55="?",IF(COUNTIF(W55:X55,"~?")&gt;0,", ","")&amp;"Œufs","")&amp;IF(Z55="?",IF(COUNTIF(W55:Y55,"~?")&gt;0,", ","")&amp;"Poissons","")&amp;IF(AA55="?",IF(COUNTIF(W55:Z55,"~?")&gt;0,", ","")&amp;"Arachides","")&amp;IF(AB55="?",IF(COUNTIF(W55:AA55,"~?")&gt;0,", ","")&amp;"Soja","")&amp;IF(AC55="?",IF(COUNTIF(W55:AB55,"~?")&gt;0,", ","")&amp;"Lait","")&amp;IF(AD55="?",IF(COUNTIF(W55:AC55,"~?")&gt;0,", ","")&amp;"Fruits à coque","")&amp;IF(AE55="?",IF(COUNTIF(W55:AD55,"~?")&gt;0,", ","")&amp;"Céleri","")&amp;IF(AF55="?",IF(COUNTIF(W55:AE55,"~?")&gt;0,", ","")&amp;"Moutarde","")&amp;IF(AG55="?",IF(COUNTIF(W55:AF55,"~?")&gt;0,", ","")&amp;"Sésame","")&amp;IF(AH55="?",IF(COUNTIF(W55:AG55,"~?")&gt;0,", ","")&amp;"Sulfites","")&amp;IF(AI55="?",IF(COUNTIF(W55:AH55,"~?")&gt;0,", ","")&amp;"Lupin","")&amp;IF(AJ55="?",IF(COUNTIF(W55:AI55,"~?")&gt;0,", ","")&amp;"Mollusques","")),"")</f>
        <v/>
      </c>
      <c r="AM55" s="127" t="str">
        <f>IF(44=44,IF(T55="","",T55),"")</f>
        <v xml:space="preserve">pour le “nettoyer” : cela supprime les espaces insécables, tabulations </v>
      </c>
      <c r="AN55" s="127" t="str">
        <f>IF(44=44,LOWER(CLEAN(SUBSTITUTE(SUBSTITUTE(SUBSTITUTE(SUBSTITUTE(AM55,CHAR(160)," ")," "," "),CHAR(10)," "),CHAR(13)," "))),"")</f>
        <v xml:space="preserve">pour le “nettoyer” : cela supprime les espaces insécables, tabulations </v>
      </c>
      <c r="AO55" s="127" t="str">
        <f>IF(44=44,SUBSTITUTE(SUBSTITUTE(SUBSTITUTE(SUBSTITUTE(SUBSTITUTE(SUBSTITUTE(SUBSTITUTE(SUBSTITUTE(SUBSTITUTE(SUBSTITUTE(SUBSTITUTE(SUBSTITUTE(AN55,"œ","oe"),"æ","ae"),"à","a"),"á","a"),"â","a"),"ä","a"),"ã","a"),"ç","c"),"è","e"),"é","e"),"ê","e"),"ë","e"),"")</f>
        <v xml:space="preserve">pour le “nettoyer” : cela supprime les espaces insecables, tabulations </v>
      </c>
      <c r="AP55" s="127" t="str">
        <f>IF(44=44,SUBSTITUTE(SUBSTITUTE(SUBSTITUTE(SUBSTITUTE(SUBSTITUTE(SUBSTITUTE(SUBSTITUTE(SUBSTITUTE(SUBSTITUTE(SUBSTITUTE(SUBSTITUTE(SUBSTITUTE(SUBSTITUTE(SUBSTITUTE(SUBSTITUTE(SUBSTITUTE(AO55,"ì","i"),"í","i"),"î","i"),"ï","i"),"ñ","n"),"ò","o"),"ó","o"),"ô","o"),"ö","o"),"õ","o"),"ù","u"),"ú","u"),"û","u"),"ü","u"),"ý","y"),"ÿ","y"),"")</f>
        <v xml:space="preserve">pour le “nettoyer” : cela supprime les espaces insecables, tabulations </v>
      </c>
      <c r="AQ55" s="127" t="str">
        <f>IF(44=44,SUBSTITUTE(SUBSTITUTE(SUBSTITUTE(SUBSTITUTE(SUBSTITUTE(SUBSTITUTE(SUBSTITUTE(SUBSTITUTE(SUBSTITUTE(SUBSTITUTE(SUBSTITUTE(SUBSTITUTE(SUBSTITUTE(SUBSTITUTE(AP55,"’"," "),"`"," "),"–"," "),"—"," "),"-"," "),"'"," "),"/"," "),"_"," "),","," "),"."," "),"("," "),")"," "),";"," "),":"," "),"")</f>
        <v xml:space="preserve">pour le “nettoyer”   cela supprime les espaces insecables  tabulations </v>
      </c>
      <c r="AR55" s="127" t="str">
        <f>IF(44=44,SUBSTITUTE(SUBSTITUTE(SUBSTITUTE(SUBSTITUTE(SUBSTITUTE(SUBSTITUTE(SUBSTITUTE(SUBSTITUTE(SUBSTITUTE(SUBSTITUTE(SUBSTITUTE(SUBSTITUTE(SUBSTITUTE(SUBSTITUTE(SUBSTITUTE(AQ55,"!"," "),"?"," "),"+"," "),"*"," "),"&amp;"," "),"["," "),"]"," "),"{"," "),"}"," "),"%"," "),"="," "),"\"," "),"|"," "),"&lt;"," "),"&gt;"," "),"")</f>
        <v xml:space="preserve">pour le “nettoyer”   cela supprime les espaces insecables  tabulations </v>
      </c>
      <c r="AS55" s="127" t="str">
        <f>IF(44=44," "&amp;TRIM(SUBSTITUTE(SUBSTITUTE(SUBSTITUTE(SUBSTITUTE(SUBSTITUTE(SUBSTITUTE(AR55,CHAR(34)," "),"  "," "),"  "," "),"  "," "),"  "," "),"  "," "))&amp;" ","")</f>
        <v xml:space="preserve"> pour le “nettoyer” cela supprime les espaces insecables tabulations </v>
      </c>
      <c r="AT55" s="127" cm="1">
        <f t="array" ref="AT55">IF(44=44,IF(AM55="","",SUMPRODUCT(--ISNUMBER(SEARCH(" "&amp;DJ13:DJ112&amp;" ",AV55)))),"")</f>
        <v>0</v>
      </c>
      <c r="AU55" s="127" cm="1">
        <f t="array" ref="AU55">IF(44=44,IF(AM55="","",SUMPRODUCT(--ISNUMBER(SEARCH(" "&amp;DJ113:DJ162&amp;" ",AV55)))),"")</f>
        <v>0</v>
      </c>
      <c r="AV55" s="127" t="str">
        <f>IF(AM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pour le “nettoyer” cela supprime les espaces insecables tabulations </v>
      </c>
      <c r="AW55" s="127" cm="1">
        <f t="array" ref="AW55">IF(AM55="","",SUMPRODUCT(--ISNUMBER(SEARCH(" "&amp;DJ195:DJ216&amp;" ",AV55)))+--ISNUMBER(SEARCH(" "&amp;DJ2465&amp;" ",AV55)))</f>
        <v>0</v>
      </c>
      <c r="AX55" s="127" t="str" cm="1">
        <f t="array" ref="AX55">IF(44=44,IF(AM55="","",IF(SUM(AT55:AU55)+SUMPRODUCT(--ISNUMBER(SEARCH(" "&amp;DJ2429:DJ2431&amp;" ",AV55)))&gt;0,"X",IF(AW55&gt;0,"?",""))),"")</f>
        <v/>
      </c>
      <c r="AY55" s="127" cm="1">
        <f t="array" ref="AY55">IF(44=44,IF(AM55="","",SUMPRODUCT(--ISNUMBER(SEARCH(" "&amp;DJ217:DJ316&amp;" ",AS55)))),"")</f>
        <v>0</v>
      </c>
      <c r="AZ55" s="127" cm="1">
        <f t="array" ref="AZ55">IF(44=44,IF(AM55="","",SUMPRODUCT(--ISNUMBER(SEARCH(" "&amp;DJ317:DJ351&amp;" ",AS55)))),"")</f>
        <v>0</v>
      </c>
      <c r="BA55" s="127" t="str">
        <f>IF(44=44,IF(AM55="","",IF((SUM(AY55:AZ55))-(0)&gt;0,"X",IF((0)-(0)&gt;0,"?",""))),"")</f>
        <v/>
      </c>
      <c r="BB55" s="127" cm="1">
        <f t="array" ref="BB55">IF(44=44,IF(AM55="","",SUMPRODUCT(--ISNUMBER(SEARCH(" "&amp;DJ352:DJ409&amp;" ",AS55)))),"")</f>
        <v>0</v>
      </c>
      <c r="BC55" s="127" cm="1">
        <f t="array" ref="BC55">IF(44=44,IF(AM55="","",SUMPRODUCT(--ISNUMBER(SEARCH(" "&amp;DJ410:DJ437&amp;" ",BD55)))+SUMPRODUCT(--ISNUMBER(SEARCH(" "&amp;DJ2451:DJ2464&amp;" ",BD55)))),"")</f>
        <v>0</v>
      </c>
      <c r="BD55" s="127" t="str">
        <f>IF(44=44,IF(AM55="","",SUBSTITUTE(SUBSTITUTE(SUBSTITUTE(SUBSTITUTE(SUBSTITUTE(SUBSTITUTE(SUBSTITUTE(SUBSTITUTE(SUBSTITUTE(SUBSTITUTE(SUBSTITUTE(SUBSTITUTE(SUBSTITUTE(SUBSTITUTE(AS55," "&amp;DJ2466&amp;" "," ")," "&amp;DJ444&amp;" "," ")," "&amp;DJ442&amp;" "," ")," "&amp;DJ2449&amp;" "," ")," "&amp;DJ2450&amp;" "," ")," "&amp;DJ439&amp;" "," ")," "&amp;DJ443&amp;" "," ")," "&amp;DJ445&amp;" "," ")," "&amp;DJ440&amp;" "," ")," "&amp;DJ438&amp;" "," ")," "&amp;DJ1378&amp;" "," ")," "&amp;DJ446&amp;" "," ")," "&amp;DJ1377&amp;" "," ")," "&amp;DJ441&amp;" "," ")),"")</f>
        <v xml:space="preserve"> pour le “nettoyer” cela supprime les espaces insecables tabulations </v>
      </c>
      <c r="BE55" s="127" t="str">
        <f>IF(44=44,IF(AM55="","",IF(BB55&gt;0,"X",IF(BC55&gt;0,"?",""))),"")</f>
        <v/>
      </c>
      <c r="BF55" s="127" cm="1">
        <f t="array" ref="BF55">IF(44=44,IF(AM55="","",SUMPRODUCT(--ISNUMBER(SEARCH(" "&amp;DJ447:DJ546&amp;" ",BP55)))),"")</f>
        <v>0</v>
      </c>
      <c r="BG55" s="127" cm="1">
        <f t="array" ref="BG55">IF(44=44,IF(AM55="","",SUMPRODUCT(--ISNUMBER(SEARCH(" "&amp;DJ547:DJ646&amp;" ",BP55)))),"")</f>
        <v>0</v>
      </c>
      <c r="BH55" s="127" cm="1">
        <f t="array" ref="BH55">IF(44=44,IF(AM55="","",SUMPRODUCT(--ISNUMBER(SEARCH(" "&amp;DJ647:DJ746&amp;" ",BP55)))),"")</f>
        <v>0</v>
      </c>
      <c r="BI55" s="127" cm="1">
        <f t="array" ref="BI55">IF(44=44,IF(AM55="","",SUMPRODUCT(--ISNUMBER(SEARCH(" "&amp;DJ747:DJ846&amp;" ",BP55)))),"")</f>
        <v>0</v>
      </c>
      <c r="BJ55" s="127" cm="1">
        <f t="array" ref="BJ55">IF(44=44,IF(AM55="","",SUMPRODUCT(--ISNUMBER(SEARCH(" "&amp;DJ847:DJ946&amp;" ",BP55)))),"")</f>
        <v>0</v>
      </c>
      <c r="BK55" s="127" cm="1">
        <f t="array" ref="BK55">IF(44=44,IF(AM55="","",SUMPRODUCT(--ISNUMBER(SEARCH(" "&amp;DJ947:DJ1046&amp;" ",BP55)))),"")</f>
        <v>0</v>
      </c>
      <c r="BL55" s="127" cm="1">
        <f t="array" ref="BL55">IF(44=44,IF(AM55="","",SUMPRODUCT(--ISNUMBER(SEARCH(" "&amp;DJ1047:DJ1146&amp;" ",BP55)))),"")</f>
        <v>0</v>
      </c>
      <c r="BM55" s="127" cm="1">
        <f t="array" ref="BM55">IF(44=44,IF(AM55="","",SUMPRODUCT(--ISNUMBER(SEARCH(" "&amp;DJ1147:DJ1246&amp;" ",BP55)))),"")</f>
        <v>0</v>
      </c>
      <c r="BN55" s="127" cm="1">
        <f t="array" ref="BN55">IF(44=44,IF(AM55="","",SUMPRODUCT(--ISNUMBER(SEARCH(" "&amp;DJ1247:DJ1346&amp;" ",BP55)))),"")</f>
        <v>0</v>
      </c>
      <c r="BO55" s="127" cm="1">
        <f t="array" ref="BO55">IF(44=44,IF(AM55="","",SUMPRODUCT(--ISNUMBER(SEARCH(" "&amp;DJ1347:DJ1374&amp;" ",BP55)))),"")</f>
        <v>0</v>
      </c>
      <c r="BP55" s="127" t="str">
        <f>IF(44=44,IF(AM55="","",SUBSTITUTE(SUBSTITUTE(SUBSTITUTE(SUBSTITUTE(SUBSTITUTE(SUBSTITUTE(SUBSTITUTE(SUBSTITUTE(SUBSTITUTE(AS55," "&amp;DJ1376&amp;" "," ")," "&amp;DJ1375&amp;" "," ")," "&amp;DJ1381&amp;" "," ")," "&amp;DJ1382&amp;" "," ")," "&amp;DJ1378&amp;" "," ")," "&amp;DJ1380&amp;" "," ")," "&amp;DJ1377&amp;" "," ")," "&amp;DJ1379&amp;" "," ")," "&amp;DJ1383&amp;" "," ")),"")</f>
        <v xml:space="preserve"> pour le “nettoyer” cela supprime les espaces insecables tabulations </v>
      </c>
      <c r="BQ55" s="127" cm="1">
        <f t="array" ref="BQ55">IF(44=44,IF(AM55="","",SUMPRODUCT(--ISNUMBER(SEARCH(" "&amp;DJ1384:DJ1394&amp;" ",BP55)))),"")</f>
        <v>0</v>
      </c>
      <c r="BR55" s="127" t="str" cm="1">
        <f t="array" ref="BR55">IF(44=44,IF(AM55="","",IF(SUM(BF55:BO55)+SUMPRODUCT(--ISNUMBER(SEARCH(" "&amp;DJ2432:DJ2433&amp;" ",BP55)))&gt;0,"X",IF(BQ55&gt;0,"?",""))),"")</f>
        <v/>
      </c>
      <c r="BS55" s="127" cm="1">
        <f t="array" ref="BS55">IF(44=44,IF(AM55="","",SUMPRODUCT(--ISNUMBER(SEARCH(" "&amp;DJ1395:DJ1415&amp;" ",AS55)))),"")</f>
        <v>0</v>
      </c>
      <c r="BT55" s="127" t="str">
        <f>IF(44=44,IF(AM55="","",IF((BS55)-(0)&gt;0,"X",IF((0)-(0)&gt;0,"?",""))),"")</f>
        <v/>
      </c>
      <c r="BU55" s="127" cm="1">
        <f t="array" ref="BU55">IF(44=44,IF(AM55="","",SUMPRODUCT(--ISNUMBER(SEARCH(" "&amp;DJ1416:DJ1453&amp;" ",BV55)))),"")</f>
        <v>0</v>
      </c>
      <c r="BV55" s="127" t="str">
        <f>IF(44=44,IF(AM55="","",SUBSTITUTE(SUBSTITUTE(AS55," "&amp;DJ1454&amp;" "," ")," "&amp;DJ1455&amp;" "," ")),"")</f>
        <v xml:space="preserve"> pour le “nettoyer” cela supprime les espaces insecables tabulations </v>
      </c>
      <c r="BW55" s="127" cm="1">
        <f t="array" ref="BW55">IF(44=44,IF(AM55="","",SUMPRODUCT(--ISNUMBER(SEARCH(" "&amp;DJ1456:DJ1466&amp;" ",BV55)))),"")</f>
        <v>0</v>
      </c>
      <c r="BX55" s="127" t="str">
        <f>IF(44=44,IF(AM55="","",IF(BU55&gt;0,"X",IF(BW55&gt;0,"?",""))),"")</f>
        <v/>
      </c>
      <c r="BY55" s="127" cm="1">
        <f t="array" ref="BY55">IF(44=44,IF(AM55="","",SUMPRODUCT(--ISNUMBER(SEARCH(" "&amp;DJ1467:DJ1566&amp;" ",CB55)))),"")</f>
        <v>0</v>
      </c>
      <c r="BZ55" s="127" cm="1">
        <f t="array" ref="BZ55">IF(44=44,IF(AM55="","",SUMPRODUCT(--ISNUMBER(SEARCH(" "&amp;DJ1567:DJ1666&amp;" ",CB55)))),"")</f>
        <v>0</v>
      </c>
      <c r="CA55" s="127" cm="1">
        <f t="array" ref="CA55">IF(44=44,IF(AM55="","",SUMPRODUCT(--ISNUMBER(SEARCH(" "&amp;DJ1667:DJ1750&amp;" ",CB55)))),"")</f>
        <v>0</v>
      </c>
      <c r="CB55" s="127" t="str">
        <f>IF(44=44,IF(AM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pour le “nettoyer” cela supprime les espaces insecables tabulations </v>
      </c>
      <c r="CC55" s="127" cm="1">
        <f t="array" ref="CC55">IF(44=44,IF(AM55="","",SUMPRODUCT(--ISNUMBER(SEARCH(" "&amp;DJ1801:DJ1880&amp;" ",CD55)))+SUMPRODUCT(--ISNUMBER(SEARCH(" "&amp;DJ2451:DJ2464&amp;" ",CD55)))),"")</f>
        <v>0</v>
      </c>
      <c r="CD55" s="127" t="str">
        <f>IF(44=44,IF(AM55="","",SUBSTITUTE(SUBSTITUTE(SUBSTITUTE(SUBSTITUTE(SUBSTITUTE(SUBSTITUTE(SUBSTITUTE(SUBSTITUTE(SUBSTITUTE(SUBSTITUTE(SUBSTITUTE(SUBSTITUTE(SUBSTITUTE(CB55," "&amp;DJ1887&amp;" "," ")," "&amp;DJ1885&amp;" "," ")," "&amp;DJ2449&amp;" "," ")," "&amp;DJ2450&amp;" "," ")," "&amp;DJ1882&amp;" "," ")," "&amp;DJ1886&amp;" "," ")," "&amp;DJ1888&amp;" "," ")," "&amp;DJ1883&amp;" "," ")," "&amp;DJ1881&amp;" "," ")," "&amp;DJ1378&amp;" "," ")," "&amp;DJ1889&amp;" "," ")," "&amp;DJ1377&amp;" "," ")," "&amp;DJ1884&amp;" "," ")),"")</f>
        <v xml:space="preserve"> pour le “nettoyer” cela supprime les espaces insecables tabulations </v>
      </c>
      <c r="CE55" s="127" t="str" cm="1">
        <f t="array" ref="CE55">IF(44=44,IF(AM55="","",IF(SUM(BY55:CA55)+SUMPRODUCT(--ISNUMBER(SEARCH(" "&amp;DJ2434:DJ2435&amp;" ",CB55)))&gt;0,"X",IF(CC55&gt;0,"?",""))),"")</f>
        <v/>
      </c>
      <c r="CF55" s="127" cm="1">
        <f t="array" ref="CF55">IF(44=44,IF(AM55="","",SUMPRODUCT(--ISNUMBER(SEARCH(" "&amp;DJ1890:DJ1947&amp;" ",CG55)))),"")</f>
        <v>0</v>
      </c>
      <c r="CG55" s="127" t="str">
        <f>IF(44=44,IF(AM55="","",SUBSTITUTE(SUBSTITUTE(SUBSTITUTE(SUBSTITUTE(SUBSTITUTE(SUBSTITUTE(SUBSTITUTE(SUBSTITUTE(SUBSTITUTE(SUBSTITUTE(SUBSTITUTE(SUBSTITUTE(SUBSTITUTE(SUBSTITUTE(SUBSTITUTE(SUBSTITUTE(SUBSTITUTE(SUBSTITUTE(SUBSTITUTE(SUBSTITUTE(SUBSTITUTE(SUBSTITUTE(SUBSTITUTE(AS55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pour le “nettoyer” cela supprime les espaces insecables tabulations </v>
      </c>
      <c r="CH55" s="127" cm="1">
        <f t="array" ref="CH55">IF(44=44,IF(AM55="","",SUMPRODUCT(--ISNUMBER(SEARCH(" "&amp;DJ1971:DJ1987&amp;" ",CG55)))),"")</f>
        <v>0</v>
      </c>
      <c r="CI55" s="127" t="str">
        <f>IF(44=44,IF(AM55="","",IF(CF55&gt;0,"X",IF(CH55&gt;0,"?",""))),"")</f>
        <v/>
      </c>
      <c r="CJ55" s="127" cm="1">
        <f t="array" ref="CJ55">IF(44=44,IF(AM55="","",SUMPRODUCT(--ISNUMBER(SEARCH(" "&amp;DJ1988:DJ2001&amp;" ",AS55)))),"")</f>
        <v>0</v>
      </c>
      <c r="CK55" s="127" cm="1">
        <f t="array" ref="CK55">IF(44=44,IF(AM55="","",SUMPRODUCT(--ISNUMBER(SEARCH(" "&amp;DJ2002:DJ2016&amp;" ",AS55)))),"")</f>
        <v>0</v>
      </c>
      <c r="CL55" s="127" t="str">
        <f>IF(44=44,IF(AM55="","",IF((CJ55)-(0)&gt;0,"X",IF((CK55)-(0)&gt;0,"?",""))),"")</f>
        <v/>
      </c>
      <c r="CM55" s="127" cm="1">
        <f t="array" ref="CM55">IF(44=44,IF(AM55="","",SUMPRODUCT(--ISNUMBER(SEARCH(" "&amp;DJ2017:DJ2034&amp;" ",AS55)))),"")</f>
        <v>0</v>
      </c>
      <c r="CN55" s="127" cm="1">
        <f t="array" ref="CN55">IF(44=44,IF(AM55="","",SUMPRODUCT(--ISNUMBER(SEARCH(" "&amp;DJ2035:DJ2049&amp;" ",AS55)))),"")</f>
        <v>0</v>
      </c>
      <c r="CO55" s="127" t="str">
        <f>IF(44=44,IF(AM55="","",IF((CM55)-(0)&gt;0,"X",IF((CN55)-(0)&gt;0,"?",""))),"")</f>
        <v/>
      </c>
      <c r="CP55" s="127" cm="1">
        <f t="array" ref="CP55">IF(44=44,IF(AM55="","",SUMPRODUCT(--ISNUMBER(SEARCH(" "&amp;DJ2050:DJ2068&amp;" ",AS55)))),"")</f>
        <v>0</v>
      </c>
      <c r="CQ55" s="127" cm="1">
        <f t="array" ref="CQ55">IF(44=44,IF(AM55="","",SUMPRODUCT(--ISNUMBER(SEARCH(" "&amp;DJ2069:DJ2083&amp;" ",AS55)))),"")</f>
        <v>0</v>
      </c>
      <c r="CR55" s="127" t="str">
        <f>IF(44=44,IF(AM55="","",IF((CP55)-(0)&gt;0,"X",IF((CQ55)-(0)&gt;0,"?",""))),"")</f>
        <v/>
      </c>
      <c r="CS55" s="127" cm="1">
        <f t="array" ref="CS55">IF(44=44,IF(AM55="","",SUMPRODUCT(--ISNUMBER(SEARCH(" "&amp;DJ2084:DJ2104&amp;" ",AS55)))),"")</f>
        <v>0</v>
      </c>
      <c r="CT55" s="127" cm="1">
        <f t="array" ref="CT55">IF(44=44,IF(AM55="","",SUMPRODUCT(--ISNUMBER(SEARCH(" "&amp;DJ2105:DJ2144&amp;" ",SUBSTITUTE(SUBSTITUTE(AS55," "&amp;DJ1378&amp;" "," ")," "&amp;DJ1377&amp;" "," "))))+--ISNUMBER(SEARCH("poiré",AN55))),"")</f>
        <v>0</v>
      </c>
      <c r="CU55" s="127" t="str">
        <f>IF(44=44,IF(AM55="","",IF(OR(CS55&gt;0,ISNUMBER(SEARCH(" vinaigre de vin ",AS55)),ISNUMBER(SEARCH(" vinaigre au vin ",AS55))),"X",IF(CT55&gt;0,"?",""))),"")</f>
        <v/>
      </c>
      <c r="CV55" s="127" cm="1">
        <f t="array" ref="CV55">IF(44=44,IF(AM55="","",SUMPRODUCT(--ISNUMBER(SEARCH(" "&amp;DJ2145:DJ2157&amp;" ",AS55)))),"")</f>
        <v>0</v>
      </c>
      <c r="CW55" s="127" cm="1">
        <f t="array" ref="CW55">IF(44=44,IF(AM55="","",SUMPRODUCT(--ISNUMBER(SEARCH(" "&amp;DJ2158:DJ2163&amp;" ",AS55)))),"")</f>
        <v>0</v>
      </c>
      <c r="CX55" s="127" t="str">
        <f>IF(44=44,IF(AM55="","",IF((CV55)-(0)&gt;0,"X",IF((CW55)-(0)&gt;0,"?",""))),"")</f>
        <v/>
      </c>
      <c r="CY55" s="127" cm="1">
        <f t="array" ref="CY55">IF(44=44,IF(AM55="","",SUMPRODUCT(--ISNUMBER(SEARCH(" "&amp;DJ2164:DJ2263&amp;" ",DB55)))),"")</f>
        <v>0</v>
      </c>
      <c r="CZ55" s="127" cm="1">
        <f t="array" ref="CZ55">IF(44=44,IF(AM55="","",SUMPRODUCT(--ISNUMBER(SEARCH(" "&amp;DJ2264:DJ2363&amp;" ",DB55)))),"")</f>
        <v>0</v>
      </c>
      <c r="DA55" s="127" cm="1">
        <f t="array" ref="DA55">IF(44=44,IF(AM55="","",SUMPRODUCT(--ISNUMBER(SEARCH(" "&amp;DJ2364:DJ2406&amp;" ",DB55)))),"")</f>
        <v>0</v>
      </c>
      <c r="DB55" s="127" t="str">
        <f>IF(44=44,IF(AM55="","",SUBSTITUTE(SUBSTITUTE(SUBSTITUTE(SUBSTITUTE(SUBSTITUTE(SUBSTITUTE(SUBSTITUTE(SUBSTITUTE(SUBSTITUTE(SUBSTITUTE(SUBSTITUTE(SUBSTITUTE(SUBSTITUTE(SUBSTITUTE(SUBSTITUTE(SUBSTITUTE(AS55," "&amp;DJ2412&amp;" "," ")," "&amp;DJ2411&amp;" "," ")," "&amp;DJ2410&amp;" "," ")," "&amp;DJ2417&amp;" "," ")," "&amp;DJ2409&amp;" "," ")," "&amp;DJ2421&amp;" "," ")," "&amp;DJ2408&amp;" "," ")," "&amp;DJ2413&amp;" "," ")," "&amp;DJ2416&amp;" "," ")," "&amp;DJ2407&amp;" "," ")," "&amp;DJ2415&amp;" "," ")," "&amp;DJ2422&amp;" "," ")," "&amp;DJ2419&amp;" "," ")," "&amp;DJ2414&amp;" "," ")," "&amp;DJ2418&amp;" "," ")," "&amp;DJ2420&amp;" "," ")),"")</f>
        <v xml:space="preserve"> pour le “nettoyer” cela supprime les espaces insecables tabulations </v>
      </c>
      <c r="DC55" s="127" cm="1">
        <f t="array" ref="DC55">IF(44=44,IF(AM55="","",SUMPRODUCT(--ISNUMBER(SEARCH(" "&amp;DJ2423:DJ2427&amp;" ",DB55)))),"")</f>
        <v>0</v>
      </c>
      <c r="DD55" s="127" t="str">
        <f>IF(44=44,IF(AM55="","",IF(SUM(CY55:DA55)&gt;0,"X",IF(DC55&gt;0,"?",""))),"")</f>
        <v/>
      </c>
      <c r="DE55" s="152"/>
      <c r="DF55" s="160" t="s">
        <v>743</v>
      </c>
      <c r="DG55" s="160" t="s">
        <v>584</v>
      </c>
      <c r="DH55" s="160" t="s">
        <v>125</v>
      </c>
      <c r="DI55" s="160" t="s">
        <v>744</v>
      </c>
      <c r="DJ55" s="160" t="s">
        <v>745</v>
      </c>
      <c r="DK55" s="160" t="s">
        <v>588</v>
      </c>
      <c r="DL55" s="160" t="s">
        <v>746</v>
      </c>
      <c r="DM55" s="160" t="s">
        <v>590</v>
      </c>
      <c r="DN55" s="161" t="s">
        <v>591</v>
      </c>
      <c r="DP55" s="130">
        <v>1</v>
      </c>
    </row>
    <row r="56" spans="2:120" ht="30" customHeight="1">
      <c r="B56" s="165" t="str">
        <f t="shared" si="0"/>
        <v/>
      </c>
      <c r="C56" s="165" t="str">
        <f t="shared" si="1"/>
        <v/>
      </c>
      <c r="D56" s="165" t="str">
        <f>IF(UPPER(TRIM(N11))="X",C56,B56)</f>
        <v/>
      </c>
      <c r="E56" s="165" cm="1">
        <f t="array" ref="E56">IF(H55&lt;&gt;"",E55,IF(E55="","",IFERROR(MATCH(TRUE(),INDEX(INDEX(K:K,E55+1):K203&lt;&gt;"",0),0)+E55,"")))</f>
        <v>45</v>
      </c>
      <c r="F56" s="165" t="str" cm="1">
        <f t="array" ref="F56">IF(E56="","",IF(H55&lt;&gt;"",H55,INDEX(D:D,E56)))</f>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6" s="165" t="str">
        <f t="shared" si="2"/>
        <v xml:space="preserve">invisibles et autres “pollutions”.◄ 2️⃣ Saisissez la largeur du document dans </v>
      </c>
      <c r="H56" s="174" t="str">
        <f t="shared" si="3"/>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6" s="184" t="str">
        <f>IF(AND(F56&lt;&gt;"",N10&gt;0,M56&gt;N10),"Mot &gt; limite","")</f>
        <v/>
      </c>
      <c r="J56" s="175" t="str">
        <f>IF(K56="","",COUNTIF(K18:K56,"&lt;&gt;"))</f>
        <v/>
      </c>
      <c r="K56" s="111"/>
      <c r="L56" s="175" t="str">
        <f t="shared" si="4"/>
        <v/>
      </c>
      <c r="M56" s="135">
        <f>IF(OR(F56="",N10="",N10&lt;=0),"",IF(LEN(F56)&lt;=N10,LEN(F56),IFERROR(FIND("♦",SUBSTITUTE(LEFT(F56,N10)," ","♦",LEN(LEFT(F56,N10))-LEN(SUBSTITUTE(LEFT(F56,N10)," ","")))),FIND(" ",F56&amp;" ",N10+1)-1)))</f>
        <v>78</v>
      </c>
      <c r="N56" s="176">
        <f t="shared" si="5"/>
        <v>39</v>
      </c>
      <c r="O56" s="177" t="str">
        <f t="shared" si="6"/>
        <v xml:space="preserve">invisibles et autres “pollutions”.◄ 2️⃣ Saisissez la largeur du document dans </v>
      </c>
      <c r="P56" s="176">
        <f t="shared" si="7"/>
        <v>11</v>
      </c>
      <c r="Q56" s="176">
        <f t="shared" si="8"/>
        <v>78</v>
      </c>
      <c r="S56" s="178">
        <v>39</v>
      </c>
      <c r="T56" s="179" t="str">
        <f t="shared" si="10"/>
        <v xml:space="preserve">invisibles et autres “pollutions”.◄ 2️⃣ Saisissez la largeur du document dans </v>
      </c>
      <c r="U56" s="180" t="str">
        <f t="shared" si="11"/>
        <v>invisibles et autres “pollutions”.◄ 2️⃣ Saisissez la largeur du document dans</v>
      </c>
      <c r="V56" s="181" t="str">
        <f>IF(45=45,IF(T56="","",IF(W56="X",""&amp;"Céréales contenant du gluten","")&amp;IF(X56="X",IF(COUNTIF(W56:W56,"X")&gt;0,", ","")&amp;"Crustacés","")&amp;IF(Y56="X",IF(COUNTIF(W56:X56,"X")&gt;0,", ","")&amp;"Œufs","")&amp;IF(Z56="X",IF(COUNTIF(W56:Y56,"X")&gt;0,", ","")&amp;"Poissons","")&amp;IF(AA56="X",IF(COUNTIF(W56:Z56,"X")&gt;0,", ","")&amp;"Arachides","")&amp;IF(AB56="X",IF(COUNTIF(W56:AA56,"X")&gt;0,", ","")&amp;"Soja","")&amp;IF(AC56="X",IF(COUNTIF(W56:AB56,"X")&gt;0,", ","")&amp;"Lait","")&amp;IF(AD56="X",IF(COUNTIF(W56:AC56,"X")&gt;0,", ","")&amp;"Fruits à coque","")&amp;IF(AE56="X",IF(COUNTIF(W56:AD56,"X")&gt;0,", ","")&amp;"Céleri","")&amp;IF(AF56="X",IF(COUNTIF(W56:AE56,"X")&gt;0,", ","")&amp;"Moutarde","")&amp;IF(AG56="X",IF(COUNTIF(W56:AF56,"X")&gt;0,", ","")&amp;"Sésame","")&amp;IF(AH56="X",IF(COUNTIF(W56:AG56,"X")&gt;0,", ","")&amp;"Sulfites","")&amp;IF(AI56="X",IF(COUNTIF(W56:AH56,"X")&gt;0,", ","")&amp;"Lupin","")&amp;IF(AJ56="X",IF(COUNTIF(W56:AI56,"X")&gt;0,", ","")&amp;"Mollusques","")),"")</f>
        <v/>
      </c>
      <c r="W56" s="182" t="str">
        <f>IF(45=45,IF(T56="","",AX56),"")</f>
        <v/>
      </c>
      <c r="X56" s="182" t="str">
        <f>IF(45=45,IF(T56="","",BA56),"")</f>
        <v/>
      </c>
      <c r="Y56" s="182" t="str">
        <f>IF(45=45,IF(T56="","",BE56),"")</f>
        <v/>
      </c>
      <c r="Z56" s="182" t="str">
        <f>IF(45=45,IF(T56="","",IF(ISNUMBER(SEARCH(" colin ",AS56)),"X",BR56)),"")</f>
        <v/>
      </c>
      <c r="AA56" s="182" t="str">
        <f>IF(45=45,IF(T56="","",BT56),"")</f>
        <v/>
      </c>
      <c r="AB56" s="182" t="str">
        <f>IF(45=45,IF(T56="","",BX56),"")</f>
        <v/>
      </c>
      <c r="AC56" s="182" t="str">
        <f>IF(45=45,IF(T56="","",CE56),"")</f>
        <v/>
      </c>
      <c r="AD56" s="182" t="str">
        <f>IF(45=45,IF(T56="","",CI56),"")</f>
        <v/>
      </c>
      <c r="AE56" s="182" t="str">
        <f>IF(45=45,IF(T56="","",CL56),"")</f>
        <v/>
      </c>
      <c r="AF56" s="182" t="str">
        <f>IF(45=45,IF(T56="","",CO56),"")</f>
        <v/>
      </c>
      <c r="AG56" s="182" t="str">
        <f>IF(45=45,IF(T56="","",CR56),"")</f>
        <v/>
      </c>
      <c r="AH56" s="182" t="str">
        <f>IF(45=45,IF(T56="","",CU56),"")</f>
        <v/>
      </c>
      <c r="AI56" s="182" t="str">
        <f>IF(45=45,IF(T56="","",CX56),"")</f>
        <v/>
      </c>
      <c r="AJ56" s="182" t="str">
        <f>IF(45=45,IF(T56="","",DD56),"")</f>
        <v/>
      </c>
      <c r="AK56" s="183" t="str">
        <f>IF(45=45,IF(T56="","",IF(W56="?",""&amp;"Céréales contenant du gluten","")&amp;IF(X56="?",IF(COUNTIF(W56:W56,"~?")&gt;0,", ","")&amp;"Crustacés","")&amp;IF(Y56="?",IF(COUNTIF(W56:X56,"~?")&gt;0,", ","")&amp;"Œufs","")&amp;IF(Z56="?",IF(COUNTIF(W56:Y56,"~?")&gt;0,", ","")&amp;"Poissons","")&amp;IF(AA56="?",IF(COUNTIF(W56:Z56,"~?")&gt;0,", ","")&amp;"Arachides","")&amp;IF(AB56="?",IF(COUNTIF(W56:AA56,"~?")&gt;0,", ","")&amp;"Soja","")&amp;IF(AC56="?",IF(COUNTIF(W56:AB56,"~?")&gt;0,", ","")&amp;"Lait","")&amp;IF(AD56="?",IF(COUNTIF(W56:AC56,"~?")&gt;0,", ","")&amp;"Fruits à coque","")&amp;IF(AE56="?",IF(COUNTIF(W56:AD56,"~?")&gt;0,", ","")&amp;"Céleri","")&amp;IF(AF56="?",IF(COUNTIF(W56:AE56,"~?")&gt;0,", ","")&amp;"Moutarde","")&amp;IF(AG56="?",IF(COUNTIF(W56:AF56,"~?")&gt;0,", ","")&amp;"Sésame","")&amp;IF(AH56="?",IF(COUNTIF(W56:AG56,"~?")&gt;0,", ","")&amp;"Sulfites","")&amp;IF(AI56="?",IF(COUNTIF(W56:AH56,"~?")&gt;0,", ","")&amp;"Lupin","")&amp;IF(AJ56="?",IF(COUNTIF(W56:AI56,"~?")&gt;0,", ","")&amp;"Mollusques","")),"")</f>
        <v/>
      </c>
      <c r="AM56" s="127" t="str">
        <f>IF(45=45,IF(T56="","",T56),"")</f>
        <v xml:space="preserve">invisibles et autres “pollutions”.◄ 2️⃣ Saisissez la largeur du document dans </v>
      </c>
      <c r="AN56" s="127" t="str">
        <f>IF(45=45,LOWER(CLEAN(SUBSTITUTE(SUBSTITUTE(SUBSTITUTE(SUBSTITUTE(AM56,CHAR(160)," ")," "," "),CHAR(10)," "),CHAR(13)," "))),"")</f>
        <v xml:space="preserve">invisibles et autres “pollutions”.◄ 2️⃣ saisissez la largeur du document dans </v>
      </c>
      <c r="AO56" s="127" t="str">
        <f>IF(45=45,SUBSTITUTE(SUBSTITUTE(SUBSTITUTE(SUBSTITUTE(SUBSTITUTE(SUBSTITUTE(SUBSTITUTE(SUBSTITUTE(SUBSTITUTE(SUBSTITUTE(SUBSTITUTE(SUBSTITUTE(AN56,"œ","oe"),"æ","ae"),"à","a"),"á","a"),"â","a"),"ä","a"),"ã","a"),"ç","c"),"è","e"),"é","e"),"ê","e"),"ë","e"),"")</f>
        <v xml:space="preserve">invisibles et autres “pollutions”.◄ 2️⃣ saisissez la largeur du document dans </v>
      </c>
      <c r="AP56" s="127" t="str">
        <f>IF(45=45,SUBSTITUTE(SUBSTITUTE(SUBSTITUTE(SUBSTITUTE(SUBSTITUTE(SUBSTITUTE(SUBSTITUTE(SUBSTITUTE(SUBSTITUTE(SUBSTITUTE(SUBSTITUTE(SUBSTITUTE(SUBSTITUTE(SUBSTITUTE(SUBSTITUTE(SUBSTITUTE(AO56,"ì","i"),"í","i"),"î","i"),"ï","i"),"ñ","n"),"ò","o"),"ó","o"),"ô","o"),"ö","o"),"õ","o"),"ù","u"),"ú","u"),"û","u"),"ü","u"),"ý","y"),"ÿ","y"),"")</f>
        <v xml:space="preserve">invisibles et autres “pollutions”.◄ 2️⃣ saisissez la largeur du document dans </v>
      </c>
      <c r="AQ56" s="127" t="str">
        <f>IF(45=45,SUBSTITUTE(SUBSTITUTE(SUBSTITUTE(SUBSTITUTE(SUBSTITUTE(SUBSTITUTE(SUBSTITUTE(SUBSTITUTE(SUBSTITUTE(SUBSTITUTE(SUBSTITUTE(SUBSTITUTE(SUBSTITUTE(SUBSTITUTE(AP56,"’"," "),"`"," "),"–"," "),"—"," "),"-"," "),"'"," "),"/"," "),"_"," "),","," "),"."," "),"("," "),")"," "),";"," "),":"," "),"")</f>
        <v xml:space="preserve">invisibles et autres “pollutions” ◄ 2️⃣ saisissez la largeur du document dans </v>
      </c>
      <c r="AR56" s="127" t="str">
        <f>IF(45=45,SUBSTITUTE(SUBSTITUTE(SUBSTITUTE(SUBSTITUTE(SUBSTITUTE(SUBSTITUTE(SUBSTITUTE(SUBSTITUTE(SUBSTITUTE(SUBSTITUTE(SUBSTITUTE(SUBSTITUTE(SUBSTITUTE(SUBSTITUTE(SUBSTITUTE(AQ56,"!"," "),"?"," "),"+"," "),"*"," "),"&amp;"," "),"["," "),"]"," "),"{"," "),"}"," "),"%"," "),"="," "),"\"," "),"|"," "),"&lt;"," "),"&gt;"," "),"")</f>
        <v xml:space="preserve">invisibles et autres “pollutions” ◄ 2️⃣ saisissez la largeur du document dans </v>
      </c>
      <c r="AS56" s="127" t="str">
        <f>IF(45=45," "&amp;TRIM(SUBSTITUTE(SUBSTITUTE(SUBSTITUTE(SUBSTITUTE(SUBSTITUTE(SUBSTITUTE(AR56,CHAR(34)," "),"  "," "),"  "," "),"  "," "),"  "," "),"  "," "))&amp;" ","")</f>
        <v xml:space="preserve"> invisibles et autres “pollutions” ◄ 2️⃣ saisissez la largeur du document dans </v>
      </c>
      <c r="AT56" s="127" cm="1">
        <f t="array" ref="AT56">IF(45=45,IF(AM56="","",SUMPRODUCT(--ISNUMBER(SEARCH(" "&amp;DJ13:DJ112&amp;" ",AV56)))),"")</f>
        <v>0</v>
      </c>
      <c r="AU56" s="127" cm="1">
        <f t="array" ref="AU56">IF(45=45,IF(AM56="","",SUMPRODUCT(--ISNUMBER(SEARCH(" "&amp;DJ113:DJ162&amp;" ",AV56)))),"")</f>
        <v>0</v>
      </c>
      <c r="AV56" s="127" t="str">
        <f>IF(AM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invisibles et autres “pollutions” ◄ 2️⃣ saisissez la largeur du document dans </v>
      </c>
      <c r="AW56" s="127" cm="1">
        <f t="array" ref="AW56">IF(AM56="","",SUMPRODUCT(--ISNUMBER(SEARCH(" "&amp;DJ195:DJ216&amp;" ",AV56)))+--ISNUMBER(SEARCH(" "&amp;DJ2465&amp;" ",AV56)))</f>
        <v>0</v>
      </c>
      <c r="AX56" s="127" t="str" cm="1">
        <f t="array" ref="AX56">IF(45=45,IF(AM56="","",IF(SUM(AT56:AU56)+SUMPRODUCT(--ISNUMBER(SEARCH(" "&amp;DJ2429:DJ2431&amp;" ",AV56)))&gt;0,"X",IF(AW56&gt;0,"?",""))),"")</f>
        <v/>
      </c>
      <c r="AY56" s="127" cm="1">
        <f t="array" ref="AY56">IF(45=45,IF(AM56="","",SUMPRODUCT(--ISNUMBER(SEARCH(" "&amp;DJ217:DJ316&amp;" ",AS56)))),"")</f>
        <v>0</v>
      </c>
      <c r="AZ56" s="127" cm="1">
        <f t="array" ref="AZ56">IF(45=45,IF(AM56="","",SUMPRODUCT(--ISNUMBER(SEARCH(" "&amp;DJ317:DJ351&amp;" ",AS56)))),"")</f>
        <v>0</v>
      </c>
      <c r="BA56" s="127" t="str">
        <f>IF(45=45,IF(AM56="","",IF((SUM(AY56:AZ56))-(0)&gt;0,"X",IF((0)-(0)&gt;0,"?",""))),"")</f>
        <v/>
      </c>
      <c r="BB56" s="127" cm="1">
        <f t="array" ref="BB56">IF(45=45,IF(AM56="","",SUMPRODUCT(--ISNUMBER(SEARCH(" "&amp;DJ352:DJ409&amp;" ",AS56)))),"")</f>
        <v>0</v>
      </c>
      <c r="BC56" s="127" cm="1">
        <f t="array" ref="BC56">IF(45=45,IF(AM56="","",SUMPRODUCT(--ISNUMBER(SEARCH(" "&amp;DJ410:DJ437&amp;" ",BD56)))+SUMPRODUCT(--ISNUMBER(SEARCH(" "&amp;DJ2451:DJ2464&amp;" ",BD56)))),"")</f>
        <v>0</v>
      </c>
      <c r="BD56" s="127" t="str">
        <f>IF(45=45,IF(AM56="","",SUBSTITUTE(SUBSTITUTE(SUBSTITUTE(SUBSTITUTE(SUBSTITUTE(SUBSTITUTE(SUBSTITUTE(SUBSTITUTE(SUBSTITUTE(SUBSTITUTE(SUBSTITUTE(SUBSTITUTE(SUBSTITUTE(SUBSTITUTE(AS56," "&amp;DJ2466&amp;" "," ")," "&amp;DJ444&amp;" "," ")," "&amp;DJ442&amp;" "," ")," "&amp;DJ2449&amp;" "," ")," "&amp;DJ2450&amp;" "," ")," "&amp;DJ439&amp;" "," ")," "&amp;DJ443&amp;" "," ")," "&amp;DJ445&amp;" "," ")," "&amp;DJ440&amp;" "," ")," "&amp;DJ438&amp;" "," ")," "&amp;DJ1378&amp;" "," ")," "&amp;DJ446&amp;" "," ")," "&amp;DJ1377&amp;" "," ")," "&amp;DJ441&amp;" "," ")),"")</f>
        <v xml:space="preserve"> invisibles et autres “pollutions” ◄ 2️⃣ saisissez la largeur du document dans </v>
      </c>
      <c r="BE56" s="127" t="str">
        <f>IF(45=45,IF(AM56="","",IF(BB56&gt;0,"X",IF(BC56&gt;0,"?",""))),"")</f>
        <v/>
      </c>
      <c r="BF56" s="127" cm="1">
        <f t="array" ref="BF56">IF(45=45,IF(AM56="","",SUMPRODUCT(--ISNUMBER(SEARCH(" "&amp;DJ447:DJ546&amp;" ",BP56)))),"")</f>
        <v>0</v>
      </c>
      <c r="BG56" s="127" cm="1">
        <f t="array" ref="BG56">IF(45=45,IF(AM56="","",SUMPRODUCT(--ISNUMBER(SEARCH(" "&amp;DJ547:DJ646&amp;" ",BP56)))),"")</f>
        <v>0</v>
      </c>
      <c r="BH56" s="127" cm="1">
        <f t="array" ref="BH56">IF(45=45,IF(AM56="","",SUMPRODUCT(--ISNUMBER(SEARCH(" "&amp;DJ647:DJ746&amp;" ",BP56)))),"")</f>
        <v>0</v>
      </c>
      <c r="BI56" s="127" cm="1">
        <f t="array" ref="BI56">IF(45=45,IF(AM56="","",SUMPRODUCT(--ISNUMBER(SEARCH(" "&amp;DJ747:DJ846&amp;" ",BP56)))),"")</f>
        <v>0</v>
      </c>
      <c r="BJ56" s="127" cm="1">
        <f t="array" ref="BJ56">IF(45=45,IF(AM56="","",SUMPRODUCT(--ISNUMBER(SEARCH(" "&amp;DJ847:DJ946&amp;" ",BP56)))),"")</f>
        <v>0</v>
      </c>
      <c r="BK56" s="127" cm="1">
        <f t="array" ref="BK56">IF(45=45,IF(AM56="","",SUMPRODUCT(--ISNUMBER(SEARCH(" "&amp;DJ947:DJ1046&amp;" ",BP56)))),"")</f>
        <v>0</v>
      </c>
      <c r="BL56" s="127" cm="1">
        <f t="array" ref="BL56">IF(45=45,IF(AM56="","",SUMPRODUCT(--ISNUMBER(SEARCH(" "&amp;DJ1047:DJ1146&amp;" ",BP56)))),"")</f>
        <v>0</v>
      </c>
      <c r="BM56" s="127" cm="1">
        <f t="array" ref="BM56">IF(45=45,IF(AM56="","",SUMPRODUCT(--ISNUMBER(SEARCH(" "&amp;DJ1147:DJ1246&amp;" ",BP56)))),"")</f>
        <v>0</v>
      </c>
      <c r="BN56" s="127" cm="1">
        <f t="array" ref="BN56">IF(45=45,IF(AM56="","",SUMPRODUCT(--ISNUMBER(SEARCH(" "&amp;DJ1247:DJ1346&amp;" ",BP56)))),"")</f>
        <v>0</v>
      </c>
      <c r="BO56" s="127" cm="1">
        <f t="array" ref="BO56">IF(45=45,IF(AM56="","",SUMPRODUCT(--ISNUMBER(SEARCH(" "&amp;DJ1347:DJ1374&amp;" ",BP56)))),"")</f>
        <v>0</v>
      </c>
      <c r="BP56" s="127" t="str">
        <f>IF(45=45,IF(AM56="","",SUBSTITUTE(SUBSTITUTE(SUBSTITUTE(SUBSTITUTE(SUBSTITUTE(SUBSTITUTE(SUBSTITUTE(SUBSTITUTE(SUBSTITUTE(AS56," "&amp;DJ1376&amp;" "," ")," "&amp;DJ1375&amp;" "," ")," "&amp;DJ1381&amp;" "," ")," "&amp;DJ1382&amp;" "," ")," "&amp;DJ1378&amp;" "," ")," "&amp;DJ1380&amp;" "," ")," "&amp;DJ1377&amp;" "," ")," "&amp;DJ1379&amp;" "," ")," "&amp;DJ1383&amp;" "," ")),"")</f>
        <v xml:space="preserve"> invisibles et autres “pollutions” ◄ 2️⃣ saisissez la largeur du document dans </v>
      </c>
      <c r="BQ56" s="127" cm="1">
        <f t="array" ref="BQ56">IF(45=45,IF(AM56="","",SUMPRODUCT(--ISNUMBER(SEARCH(" "&amp;DJ1384:DJ1394&amp;" ",BP56)))),"")</f>
        <v>0</v>
      </c>
      <c r="BR56" s="127" t="str" cm="1">
        <f t="array" ref="BR56">IF(45=45,IF(AM56="","",IF(SUM(BF56:BO56)+SUMPRODUCT(--ISNUMBER(SEARCH(" "&amp;DJ2432:DJ2433&amp;" ",BP56)))&gt;0,"X",IF(BQ56&gt;0,"?",""))),"")</f>
        <v/>
      </c>
      <c r="BS56" s="127" cm="1">
        <f t="array" ref="BS56">IF(45=45,IF(AM56="","",SUMPRODUCT(--ISNUMBER(SEARCH(" "&amp;DJ1395:DJ1415&amp;" ",AS56)))),"")</f>
        <v>0</v>
      </c>
      <c r="BT56" s="127" t="str">
        <f>IF(45=45,IF(AM56="","",IF((BS56)-(0)&gt;0,"X",IF((0)-(0)&gt;0,"?",""))),"")</f>
        <v/>
      </c>
      <c r="BU56" s="127" cm="1">
        <f t="array" ref="BU56">IF(45=45,IF(AM56="","",SUMPRODUCT(--ISNUMBER(SEARCH(" "&amp;DJ1416:DJ1453&amp;" ",BV56)))),"")</f>
        <v>0</v>
      </c>
      <c r="BV56" s="127" t="str">
        <f>IF(45=45,IF(AM56="","",SUBSTITUTE(SUBSTITUTE(AS56," "&amp;DJ1454&amp;" "," ")," "&amp;DJ1455&amp;" "," ")),"")</f>
        <v xml:space="preserve"> invisibles et autres “pollutions” ◄ 2️⃣ saisissez la largeur du document dans </v>
      </c>
      <c r="BW56" s="127" cm="1">
        <f t="array" ref="BW56">IF(45=45,IF(AM56="","",SUMPRODUCT(--ISNUMBER(SEARCH(" "&amp;DJ1456:DJ1466&amp;" ",BV56)))),"")</f>
        <v>0</v>
      </c>
      <c r="BX56" s="127" t="str">
        <f>IF(45=45,IF(AM56="","",IF(BU56&gt;0,"X",IF(BW56&gt;0,"?",""))),"")</f>
        <v/>
      </c>
      <c r="BY56" s="127" cm="1">
        <f t="array" ref="BY56">IF(45=45,IF(AM56="","",SUMPRODUCT(--ISNUMBER(SEARCH(" "&amp;DJ1467:DJ1566&amp;" ",CB56)))),"")</f>
        <v>0</v>
      </c>
      <c r="BZ56" s="127" cm="1">
        <f t="array" ref="BZ56">IF(45=45,IF(AM56="","",SUMPRODUCT(--ISNUMBER(SEARCH(" "&amp;DJ1567:DJ1666&amp;" ",CB56)))),"")</f>
        <v>0</v>
      </c>
      <c r="CA56" s="127" cm="1">
        <f t="array" ref="CA56">IF(45=45,IF(AM56="","",SUMPRODUCT(--ISNUMBER(SEARCH(" "&amp;DJ1667:DJ1750&amp;" ",CB56)))),"")</f>
        <v>0</v>
      </c>
      <c r="CB56" s="127" t="str">
        <f>IF(45=45,IF(AM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invisibles et autres “pollutions” ◄ 2️⃣ saisissez la largeur du document dans </v>
      </c>
      <c r="CC56" s="127" cm="1">
        <f t="array" ref="CC56">IF(45=45,IF(AM56="","",SUMPRODUCT(--ISNUMBER(SEARCH(" "&amp;DJ1801:DJ1880&amp;" ",CD56)))+SUMPRODUCT(--ISNUMBER(SEARCH(" "&amp;DJ2451:DJ2464&amp;" ",CD56)))),"")</f>
        <v>0</v>
      </c>
      <c r="CD56" s="127" t="str">
        <f>IF(45=45,IF(AM56="","",SUBSTITUTE(SUBSTITUTE(SUBSTITUTE(SUBSTITUTE(SUBSTITUTE(SUBSTITUTE(SUBSTITUTE(SUBSTITUTE(SUBSTITUTE(SUBSTITUTE(SUBSTITUTE(SUBSTITUTE(SUBSTITUTE(CB56," "&amp;DJ1887&amp;" "," ")," "&amp;DJ1885&amp;" "," ")," "&amp;DJ2449&amp;" "," ")," "&amp;DJ2450&amp;" "," ")," "&amp;DJ1882&amp;" "," ")," "&amp;DJ1886&amp;" "," ")," "&amp;DJ1888&amp;" "," ")," "&amp;DJ1883&amp;" "," ")," "&amp;DJ1881&amp;" "," ")," "&amp;DJ1378&amp;" "," ")," "&amp;DJ1889&amp;" "," ")," "&amp;DJ1377&amp;" "," ")," "&amp;DJ1884&amp;" "," ")),"")</f>
        <v xml:space="preserve"> invisibles et autres “pollutions” ◄ 2️⃣ saisissez la largeur du document dans </v>
      </c>
      <c r="CE56" s="127" t="str" cm="1">
        <f t="array" ref="CE56">IF(45=45,IF(AM56="","",IF(SUM(BY56:CA56)+SUMPRODUCT(--ISNUMBER(SEARCH(" "&amp;DJ2434:DJ2435&amp;" ",CB56)))&gt;0,"X",IF(CC56&gt;0,"?",""))),"")</f>
        <v/>
      </c>
      <c r="CF56" s="127" cm="1">
        <f t="array" ref="CF56">IF(45=45,IF(AM56="","",SUMPRODUCT(--ISNUMBER(SEARCH(" "&amp;DJ1890:DJ1947&amp;" ",CG56)))),"")</f>
        <v>0</v>
      </c>
      <c r="CG56" s="127" t="str">
        <f>IF(45=45,IF(AM56="","",SUBSTITUTE(SUBSTITUTE(SUBSTITUTE(SUBSTITUTE(SUBSTITUTE(SUBSTITUTE(SUBSTITUTE(SUBSTITUTE(SUBSTITUTE(SUBSTITUTE(SUBSTITUTE(SUBSTITUTE(SUBSTITUTE(SUBSTITUTE(SUBSTITUTE(SUBSTITUTE(SUBSTITUTE(SUBSTITUTE(SUBSTITUTE(SUBSTITUTE(SUBSTITUTE(SUBSTITUTE(SUBSTITUTE(AS56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invisibles et autres “pollutions” ◄ 2️⃣ saisissez la largeur du document dans </v>
      </c>
      <c r="CH56" s="127" cm="1">
        <f t="array" ref="CH56">IF(45=45,IF(AM56="","",SUMPRODUCT(--ISNUMBER(SEARCH(" "&amp;DJ1971:DJ1987&amp;" ",CG56)))),"")</f>
        <v>0</v>
      </c>
      <c r="CI56" s="127" t="str">
        <f>IF(45=45,IF(AM56="","",IF(CF56&gt;0,"X",IF(CH56&gt;0,"?",""))),"")</f>
        <v/>
      </c>
      <c r="CJ56" s="127" cm="1">
        <f t="array" ref="CJ56">IF(45=45,IF(AM56="","",SUMPRODUCT(--ISNUMBER(SEARCH(" "&amp;DJ1988:DJ2001&amp;" ",AS56)))),"")</f>
        <v>0</v>
      </c>
      <c r="CK56" s="127" cm="1">
        <f t="array" ref="CK56">IF(45=45,IF(AM56="","",SUMPRODUCT(--ISNUMBER(SEARCH(" "&amp;DJ2002:DJ2016&amp;" ",AS56)))),"")</f>
        <v>0</v>
      </c>
      <c r="CL56" s="127" t="str">
        <f>IF(45=45,IF(AM56="","",IF((CJ56)-(0)&gt;0,"X",IF((CK56)-(0)&gt;0,"?",""))),"")</f>
        <v/>
      </c>
      <c r="CM56" s="127" cm="1">
        <f t="array" ref="CM56">IF(45=45,IF(AM56="","",SUMPRODUCT(--ISNUMBER(SEARCH(" "&amp;DJ2017:DJ2034&amp;" ",AS56)))),"")</f>
        <v>0</v>
      </c>
      <c r="CN56" s="127" cm="1">
        <f t="array" ref="CN56">IF(45=45,IF(AM56="","",SUMPRODUCT(--ISNUMBER(SEARCH(" "&amp;DJ2035:DJ2049&amp;" ",AS56)))),"")</f>
        <v>0</v>
      </c>
      <c r="CO56" s="127" t="str">
        <f>IF(45=45,IF(AM56="","",IF((CM56)-(0)&gt;0,"X",IF((CN56)-(0)&gt;0,"?",""))),"")</f>
        <v/>
      </c>
      <c r="CP56" s="127" cm="1">
        <f t="array" ref="CP56">IF(45=45,IF(AM56="","",SUMPRODUCT(--ISNUMBER(SEARCH(" "&amp;DJ2050:DJ2068&amp;" ",AS56)))),"")</f>
        <v>0</v>
      </c>
      <c r="CQ56" s="127" cm="1">
        <f t="array" ref="CQ56">IF(45=45,IF(AM56="","",SUMPRODUCT(--ISNUMBER(SEARCH(" "&amp;DJ2069:DJ2083&amp;" ",AS56)))),"")</f>
        <v>0</v>
      </c>
      <c r="CR56" s="127" t="str">
        <f>IF(45=45,IF(AM56="","",IF((CP56)-(0)&gt;0,"X",IF((CQ56)-(0)&gt;0,"?",""))),"")</f>
        <v/>
      </c>
      <c r="CS56" s="127" cm="1">
        <f t="array" ref="CS56">IF(45=45,IF(AM56="","",SUMPRODUCT(--ISNUMBER(SEARCH(" "&amp;DJ2084:DJ2104&amp;" ",AS56)))),"")</f>
        <v>0</v>
      </c>
      <c r="CT56" s="127" cm="1">
        <f t="array" ref="CT56">IF(45=45,IF(AM56="","",SUMPRODUCT(--ISNUMBER(SEARCH(" "&amp;DJ2105:DJ2144&amp;" ",SUBSTITUTE(SUBSTITUTE(AS56," "&amp;DJ1378&amp;" "," ")," "&amp;DJ1377&amp;" "," "))))+--ISNUMBER(SEARCH("poiré",AN56))),"")</f>
        <v>0</v>
      </c>
      <c r="CU56" s="127" t="str">
        <f>IF(45=45,IF(AM56="","",IF(OR(CS56&gt;0,ISNUMBER(SEARCH(" vinaigre de vin ",AS56)),ISNUMBER(SEARCH(" vinaigre au vin ",AS56))),"X",IF(CT56&gt;0,"?",""))),"")</f>
        <v/>
      </c>
      <c r="CV56" s="127" cm="1">
        <f t="array" ref="CV56">IF(45=45,IF(AM56="","",SUMPRODUCT(--ISNUMBER(SEARCH(" "&amp;DJ2145:DJ2157&amp;" ",AS56)))),"")</f>
        <v>0</v>
      </c>
      <c r="CW56" s="127" cm="1">
        <f t="array" ref="CW56">IF(45=45,IF(AM56="","",SUMPRODUCT(--ISNUMBER(SEARCH(" "&amp;DJ2158:DJ2163&amp;" ",AS56)))),"")</f>
        <v>0</v>
      </c>
      <c r="CX56" s="127" t="str">
        <f>IF(45=45,IF(AM56="","",IF((CV56)-(0)&gt;0,"X",IF((CW56)-(0)&gt;0,"?",""))),"")</f>
        <v/>
      </c>
      <c r="CY56" s="127" cm="1">
        <f t="array" ref="CY56">IF(45=45,IF(AM56="","",SUMPRODUCT(--ISNUMBER(SEARCH(" "&amp;DJ2164:DJ2263&amp;" ",DB56)))),"")</f>
        <v>0</v>
      </c>
      <c r="CZ56" s="127" cm="1">
        <f t="array" ref="CZ56">IF(45=45,IF(AM56="","",SUMPRODUCT(--ISNUMBER(SEARCH(" "&amp;DJ2264:DJ2363&amp;" ",DB56)))),"")</f>
        <v>0</v>
      </c>
      <c r="DA56" s="127" cm="1">
        <f t="array" ref="DA56">IF(45=45,IF(AM56="","",SUMPRODUCT(--ISNUMBER(SEARCH(" "&amp;DJ2364:DJ2406&amp;" ",DB56)))),"")</f>
        <v>0</v>
      </c>
      <c r="DB56" s="127" t="str">
        <f>IF(45=45,IF(AM56="","",SUBSTITUTE(SUBSTITUTE(SUBSTITUTE(SUBSTITUTE(SUBSTITUTE(SUBSTITUTE(SUBSTITUTE(SUBSTITUTE(SUBSTITUTE(SUBSTITUTE(SUBSTITUTE(SUBSTITUTE(SUBSTITUTE(SUBSTITUTE(SUBSTITUTE(SUBSTITUTE(AS56," "&amp;DJ2412&amp;" "," ")," "&amp;DJ2411&amp;" "," ")," "&amp;DJ2410&amp;" "," ")," "&amp;DJ2417&amp;" "," ")," "&amp;DJ2409&amp;" "," ")," "&amp;DJ2421&amp;" "," ")," "&amp;DJ2408&amp;" "," ")," "&amp;DJ2413&amp;" "," ")," "&amp;DJ2416&amp;" "," ")," "&amp;DJ2407&amp;" "," ")," "&amp;DJ2415&amp;" "," ")," "&amp;DJ2422&amp;" "," ")," "&amp;DJ2419&amp;" "," ")," "&amp;DJ2414&amp;" "," ")," "&amp;DJ2418&amp;" "," ")," "&amp;DJ2420&amp;" "," ")),"")</f>
        <v xml:space="preserve"> invisibles et autres “pollutions” ◄ 2️⃣ saisissez la largeur du document dans </v>
      </c>
      <c r="DC56" s="127" cm="1">
        <f t="array" ref="DC56">IF(45=45,IF(AM56="","",SUMPRODUCT(--ISNUMBER(SEARCH(" "&amp;DJ2423:DJ2427&amp;" ",DB56)))),"")</f>
        <v>0</v>
      </c>
      <c r="DD56" s="127" t="str">
        <f>IF(45=45,IF(AM56="","",IF(SUM(CY56:DA56)&gt;0,"X",IF(DC56&gt;0,"?",""))),"")</f>
        <v/>
      </c>
      <c r="DE56" s="152"/>
      <c r="DF56" s="160" t="s">
        <v>747</v>
      </c>
      <c r="DG56" s="160" t="s">
        <v>584</v>
      </c>
      <c r="DH56" s="160" t="s">
        <v>125</v>
      </c>
      <c r="DI56" s="160" t="s">
        <v>748</v>
      </c>
      <c r="DJ56" s="160" t="s">
        <v>748</v>
      </c>
      <c r="DK56" s="160" t="s">
        <v>588</v>
      </c>
      <c r="DL56" s="160" t="s">
        <v>589</v>
      </c>
      <c r="DM56" s="160" t="s">
        <v>590</v>
      </c>
      <c r="DN56" s="161" t="s">
        <v>591</v>
      </c>
      <c r="DP56" s="130">
        <v>1</v>
      </c>
    </row>
    <row r="57" spans="2:120" ht="30" customHeight="1">
      <c r="B57" s="165" t="str">
        <f t="shared" si="0"/>
        <v>2. Le lendemain, sortez la viande et les légumes de la marinade et égouttez-les. Réservez la marinade.</v>
      </c>
      <c r="C57" s="165" t="str">
        <f t="shared" si="1"/>
        <v>2 Le lendemain sortez la viande et les légumes de la marinade et égouttez les Réservez la marinade</v>
      </c>
      <c r="D57" s="165" t="str">
        <f>IF(UPPER(TRIM(N11))="X",C57,B57)</f>
        <v>2. Le lendemain, sortez la viande et les légumes de la marinade et égouttez-les. Réservez la marinade.</v>
      </c>
      <c r="E57" s="165" cm="1">
        <f t="array" ref="E57">IF(H56&lt;&gt;"",E56,IF(E56="","",IFERROR(MATCH(TRUE(),INDEX(INDEX(K:K,E56+1):K203&lt;&gt;"",0),0)+E56,"")))</f>
        <v>45</v>
      </c>
      <c r="F57" s="165" t="str" cm="1">
        <f t="array" ref="F57">IF(E57="","",IF(H56&lt;&gt;"",H56,INDEX(D:D,E57)))</f>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7" s="165" t="str">
        <f t="shared" si="2"/>
        <v xml:space="preserve">lequel vous collerez ensuite le texte. ◄ 3️⃣ saisissez un nombre de caractères </v>
      </c>
      <c r="H57" s="174" t="str">
        <f t="shared" si="3"/>
        <v>par lignes ◄ 4️⃣ Si vous ne voulez pas de ponctuation saisissez un X dans la cellule - Ensuite, dans la colonne B copiez le texte nettoyé - puis dans votre document faites Collage spécial &gt; 1.2.3 Valeurs pour ne coller que le texte, sans formules.</v>
      </c>
      <c r="I57" s="184" t="str">
        <f>IF(AND(F57&lt;&gt;"",N10&gt;0,M57&gt;N10),"Mot &gt; limite","")</f>
        <v/>
      </c>
      <c r="J57" s="175">
        <f>IF(K57="","",COUNTIF(K18:K57,"&lt;&gt;"))</f>
        <v>37</v>
      </c>
      <c r="K57" s="111" t="s">
        <v>26</v>
      </c>
      <c r="L57" s="175">
        <f t="shared" si="4"/>
        <v>102</v>
      </c>
      <c r="M57" s="135">
        <f>IF(OR(F57="",N10="",N10&lt;=0),"",IF(LEN(F57)&lt;=N10,LEN(F57),IFERROR(FIND("♦",SUBSTITUTE(LEFT(F57,N10)," ","♦",LEN(LEFT(F57,N10))-LEN(SUBSTITUTE(LEFT(F57,N10)," ","")))),FIND(" ",F57&amp;" ",N10+1)-1)))</f>
        <v>79</v>
      </c>
      <c r="N57" s="176">
        <f t="shared" si="5"/>
        <v>40</v>
      </c>
      <c r="O57" s="177" t="str">
        <f t="shared" si="6"/>
        <v xml:space="preserve">lequel vous collerez ensuite le texte. ◄ 3️⃣ saisissez un nombre de caractères </v>
      </c>
      <c r="P57" s="176">
        <f t="shared" si="7"/>
        <v>13</v>
      </c>
      <c r="Q57" s="176">
        <f t="shared" si="8"/>
        <v>79</v>
      </c>
      <c r="S57" s="178">
        <v>40</v>
      </c>
      <c r="T57" s="179" t="str">
        <f t="shared" si="10"/>
        <v xml:space="preserve">lequel vous collerez ensuite le texte. ◄ 3️⃣ saisissez un nombre de caractères </v>
      </c>
      <c r="U57" s="180" t="str">
        <f t="shared" si="11"/>
        <v>lequel vous collerez ensuite le texte. ◄ 3️⃣ saisissez un nombre de caractères</v>
      </c>
      <c r="V57" s="181" t="str">
        <f>IF(46=46,IF(T57="","",IF(W57="X",""&amp;"Céréales contenant du gluten","")&amp;IF(X57="X",IF(COUNTIF(W57:W57,"X")&gt;0,", ","")&amp;"Crustacés","")&amp;IF(Y57="X",IF(COUNTIF(W57:X57,"X")&gt;0,", ","")&amp;"Œufs","")&amp;IF(Z57="X",IF(COUNTIF(W57:Y57,"X")&gt;0,", ","")&amp;"Poissons","")&amp;IF(AA57="X",IF(COUNTIF(W57:Z57,"X")&gt;0,", ","")&amp;"Arachides","")&amp;IF(AB57="X",IF(COUNTIF(W57:AA57,"X")&gt;0,", ","")&amp;"Soja","")&amp;IF(AC57="X",IF(COUNTIF(W57:AB57,"X")&gt;0,", ","")&amp;"Lait","")&amp;IF(AD57="X",IF(COUNTIF(W57:AC57,"X")&gt;0,", ","")&amp;"Fruits à coque","")&amp;IF(AE57="X",IF(COUNTIF(W57:AD57,"X")&gt;0,", ","")&amp;"Céleri","")&amp;IF(AF57="X",IF(COUNTIF(W57:AE57,"X")&gt;0,", ","")&amp;"Moutarde","")&amp;IF(AG57="X",IF(COUNTIF(W57:AF57,"X")&gt;0,", ","")&amp;"Sésame","")&amp;IF(AH57="X",IF(COUNTIF(W57:AG57,"X")&gt;0,", ","")&amp;"Sulfites","")&amp;IF(AI57="X",IF(COUNTIF(W57:AH57,"X")&gt;0,", ","")&amp;"Lupin","")&amp;IF(AJ57="X",IF(COUNTIF(W57:AI57,"X")&gt;0,", ","")&amp;"Mollusques","")),"")</f>
        <v/>
      </c>
      <c r="W57" s="182" t="str">
        <f>IF(46=46,IF(T57="","",AX57),"")</f>
        <v/>
      </c>
      <c r="X57" s="182" t="str">
        <f>IF(46=46,IF(T57="","",BA57),"")</f>
        <v/>
      </c>
      <c r="Y57" s="182" t="str">
        <f>IF(46=46,IF(T57="","",BE57),"")</f>
        <v/>
      </c>
      <c r="Z57" s="182" t="str">
        <f>IF(46=46,IF(T57="","",IF(ISNUMBER(SEARCH(" colin ",AS57)),"X",BR57)),"")</f>
        <v/>
      </c>
      <c r="AA57" s="182" t="str">
        <f>IF(46=46,IF(T57="","",BT57),"")</f>
        <v/>
      </c>
      <c r="AB57" s="182" t="str">
        <f>IF(46=46,IF(T57="","",BX57),"")</f>
        <v/>
      </c>
      <c r="AC57" s="182" t="str">
        <f>IF(46=46,IF(T57="","",CE57),"")</f>
        <v/>
      </c>
      <c r="AD57" s="182" t="str">
        <f>IF(46=46,IF(T57="","",CI57),"")</f>
        <v/>
      </c>
      <c r="AE57" s="182" t="str">
        <f>IF(46=46,IF(T57="","",CL57),"")</f>
        <v/>
      </c>
      <c r="AF57" s="182" t="str">
        <f>IF(46=46,IF(T57="","",CO57),"")</f>
        <v/>
      </c>
      <c r="AG57" s="182" t="str">
        <f>IF(46=46,IF(T57="","",CR57),"")</f>
        <v/>
      </c>
      <c r="AH57" s="182" t="str">
        <f>IF(46=46,IF(T57="","",CU57),"")</f>
        <v/>
      </c>
      <c r="AI57" s="182" t="str">
        <f>IF(46=46,IF(T57="","",CX57),"")</f>
        <v/>
      </c>
      <c r="AJ57" s="182" t="str">
        <f>IF(46=46,IF(T57="","",DD57),"")</f>
        <v/>
      </c>
      <c r="AK57" s="183" t="str">
        <f>IF(46=46,IF(T57="","",IF(W57="?",""&amp;"Céréales contenant du gluten","")&amp;IF(X57="?",IF(COUNTIF(W57:W57,"~?")&gt;0,", ","")&amp;"Crustacés","")&amp;IF(Y57="?",IF(COUNTIF(W57:X57,"~?")&gt;0,", ","")&amp;"Œufs","")&amp;IF(Z57="?",IF(COUNTIF(W57:Y57,"~?")&gt;0,", ","")&amp;"Poissons","")&amp;IF(AA57="?",IF(COUNTIF(W57:Z57,"~?")&gt;0,", ","")&amp;"Arachides","")&amp;IF(AB57="?",IF(COUNTIF(W57:AA57,"~?")&gt;0,", ","")&amp;"Soja","")&amp;IF(AC57="?",IF(COUNTIF(W57:AB57,"~?")&gt;0,", ","")&amp;"Lait","")&amp;IF(AD57="?",IF(COUNTIF(W57:AC57,"~?")&gt;0,", ","")&amp;"Fruits à coque","")&amp;IF(AE57="?",IF(COUNTIF(W57:AD57,"~?")&gt;0,", ","")&amp;"Céleri","")&amp;IF(AF57="?",IF(COUNTIF(W57:AE57,"~?")&gt;0,", ","")&amp;"Moutarde","")&amp;IF(AG57="?",IF(COUNTIF(W57:AF57,"~?")&gt;0,", ","")&amp;"Sésame","")&amp;IF(AH57="?",IF(COUNTIF(W57:AG57,"~?")&gt;0,", ","")&amp;"Sulfites","")&amp;IF(AI57="?",IF(COUNTIF(W57:AH57,"~?")&gt;0,", ","")&amp;"Lupin","")&amp;IF(AJ57="?",IF(COUNTIF(W57:AI57,"~?")&gt;0,", ","")&amp;"Mollusques","")),"")</f>
        <v/>
      </c>
      <c r="AM57" s="127" t="str">
        <f>IF(46=46,IF(T57="","",T57),"")</f>
        <v xml:space="preserve">lequel vous collerez ensuite le texte. ◄ 3️⃣ saisissez un nombre de caractères </v>
      </c>
      <c r="AN57" s="127" t="str">
        <f>IF(46=46,LOWER(CLEAN(SUBSTITUTE(SUBSTITUTE(SUBSTITUTE(SUBSTITUTE(AM57,CHAR(160)," ")," "," "),CHAR(10)," "),CHAR(13)," "))),"")</f>
        <v xml:space="preserve">lequel vous collerez ensuite le texte. ◄ 3️⃣ saisissez un nombre de caractères </v>
      </c>
      <c r="AO57" s="127" t="str">
        <f>IF(46=46,SUBSTITUTE(SUBSTITUTE(SUBSTITUTE(SUBSTITUTE(SUBSTITUTE(SUBSTITUTE(SUBSTITUTE(SUBSTITUTE(SUBSTITUTE(SUBSTITUTE(SUBSTITUTE(SUBSTITUTE(AN57,"œ","oe"),"æ","ae"),"à","a"),"á","a"),"â","a"),"ä","a"),"ã","a"),"ç","c"),"è","e"),"é","e"),"ê","e"),"ë","e"),"")</f>
        <v xml:space="preserve">lequel vous collerez ensuite le texte. ◄ 3️⃣ saisissez un nombre de caracteres </v>
      </c>
      <c r="AP57" s="127" t="str">
        <f>IF(46=46,SUBSTITUTE(SUBSTITUTE(SUBSTITUTE(SUBSTITUTE(SUBSTITUTE(SUBSTITUTE(SUBSTITUTE(SUBSTITUTE(SUBSTITUTE(SUBSTITUTE(SUBSTITUTE(SUBSTITUTE(SUBSTITUTE(SUBSTITUTE(SUBSTITUTE(SUBSTITUTE(AO57,"ì","i"),"í","i"),"î","i"),"ï","i"),"ñ","n"),"ò","o"),"ó","o"),"ô","o"),"ö","o"),"õ","o"),"ù","u"),"ú","u"),"û","u"),"ü","u"),"ý","y"),"ÿ","y"),"")</f>
        <v xml:space="preserve">lequel vous collerez ensuite le texte. ◄ 3️⃣ saisissez un nombre de caracteres </v>
      </c>
      <c r="AQ57" s="127" t="str">
        <f>IF(46=46,SUBSTITUTE(SUBSTITUTE(SUBSTITUTE(SUBSTITUTE(SUBSTITUTE(SUBSTITUTE(SUBSTITUTE(SUBSTITUTE(SUBSTITUTE(SUBSTITUTE(SUBSTITUTE(SUBSTITUTE(SUBSTITUTE(SUBSTITUTE(AP57,"’"," "),"`"," "),"–"," "),"—"," "),"-"," "),"'"," "),"/"," "),"_"," "),","," "),"."," "),"("," "),")"," "),";"," "),":"," "),"")</f>
        <v xml:space="preserve">lequel vous collerez ensuite le texte  ◄ 3️⃣ saisissez un nombre de caracteres </v>
      </c>
      <c r="AR57" s="127" t="str">
        <f>IF(46=46,SUBSTITUTE(SUBSTITUTE(SUBSTITUTE(SUBSTITUTE(SUBSTITUTE(SUBSTITUTE(SUBSTITUTE(SUBSTITUTE(SUBSTITUTE(SUBSTITUTE(SUBSTITUTE(SUBSTITUTE(SUBSTITUTE(SUBSTITUTE(SUBSTITUTE(AQ57,"!"," "),"?"," "),"+"," "),"*"," "),"&amp;"," "),"["," "),"]"," "),"{"," "),"}"," "),"%"," "),"="," "),"\"," "),"|"," "),"&lt;"," "),"&gt;"," "),"")</f>
        <v xml:space="preserve">lequel vous collerez ensuite le texte  ◄ 3️⃣ saisissez un nombre de caracteres </v>
      </c>
      <c r="AS57" s="127" t="str">
        <f>IF(46=46," "&amp;TRIM(SUBSTITUTE(SUBSTITUTE(SUBSTITUTE(SUBSTITUTE(SUBSTITUTE(SUBSTITUTE(AR57,CHAR(34)," "),"  "," "),"  "," "),"  "," "),"  "," "),"  "," "))&amp;" ","")</f>
        <v xml:space="preserve"> lequel vous collerez ensuite le texte ◄ 3️⃣ saisissez un nombre de caracteres </v>
      </c>
      <c r="AT57" s="127" cm="1">
        <f t="array" ref="AT57">IF(46=46,IF(AM57="","",SUMPRODUCT(--ISNUMBER(SEARCH(" "&amp;DJ13:DJ112&amp;" ",AV57)))),"")</f>
        <v>0</v>
      </c>
      <c r="AU57" s="127" cm="1">
        <f t="array" ref="AU57">IF(46=46,IF(AM57="","",SUMPRODUCT(--ISNUMBER(SEARCH(" "&amp;DJ113:DJ162&amp;" ",AV57)))),"")</f>
        <v>0</v>
      </c>
      <c r="AV57" s="127" t="str">
        <f>IF(AM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lequel vous collerez ensuite le texte ◄ 3️⃣ saisissez un nombre de caracteres </v>
      </c>
      <c r="AW57" s="127" cm="1">
        <f t="array" ref="AW57">IF(AM57="","",SUMPRODUCT(--ISNUMBER(SEARCH(" "&amp;DJ195:DJ216&amp;" ",AV57)))+--ISNUMBER(SEARCH(" "&amp;DJ2465&amp;" ",AV57)))</f>
        <v>0</v>
      </c>
      <c r="AX57" s="127" t="str" cm="1">
        <f t="array" ref="AX57">IF(46=46,IF(AM57="","",IF(SUM(AT57:AU57)+SUMPRODUCT(--ISNUMBER(SEARCH(" "&amp;DJ2429:DJ2431&amp;" ",AV57)))&gt;0,"X",IF(AW57&gt;0,"?",""))),"")</f>
        <v/>
      </c>
      <c r="AY57" s="127" cm="1">
        <f t="array" ref="AY57">IF(46=46,IF(AM57="","",SUMPRODUCT(--ISNUMBER(SEARCH(" "&amp;DJ217:DJ316&amp;" ",AS57)))),"")</f>
        <v>0</v>
      </c>
      <c r="AZ57" s="127" cm="1">
        <f t="array" ref="AZ57">IF(46=46,IF(AM57="","",SUMPRODUCT(--ISNUMBER(SEARCH(" "&amp;DJ317:DJ351&amp;" ",AS57)))),"")</f>
        <v>0</v>
      </c>
      <c r="BA57" s="127" t="str">
        <f>IF(46=46,IF(AM57="","",IF((SUM(AY57:AZ57))-(0)&gt;0,"X",IF((0)-(0)&gt;0,"?",""))),"")</f>
        <v/>
      </c>
      <c r="BB57" s="127" cm="1">
        <f t="array" ref="BB57">IF(46=46,IF(AM57="","",SUMPRODUCT(--ISNUMBER(SEARCH(" "&amp;DJ352:DJ409&amp;" ",AS57)))),"")</f>
        <v>0</v>
      </c>
      <c r="BC57" s="127" cm="1">
        <f t="array" ref="BC57">IF(46=46,IF(AM57="","",SUMPRODUCT(--ISNUMBER(SEARCH(" "&amp;DJ410:DJ437&amp;" ",BD57)))+SUMPRODUCT(--ISNUMBER(SEARCH(" "&amp;DJ2451:DJ2464&amp;" ",BD57)))),"")</f>
        <v>0</v>
      </c>
      <c r="BD57" s="127" t="str">
        <f>IF(46=46,IF(AM57="","",SUBSTITUTE(SUBSTITUTE(SUBSTITUTE(SUBSTITUTE(SUBSTITUTE(SUBSTITUTE(SUBSTITUTE(SUBSTITUTE(SUBSTITUTE(SUBSTITUTE(SUBSTITUTE(SUBSTITUTE(SUBSTITUTE(SUBSTITUTE(AS57," "&amp;DJ2466&amp;" "," ")," "&amp;DJ444&amp;" "," ")," "&amp;DJ442&amp;" "," ")," "&amp;DJ2449&amp;" "," ")," "&amp;DJ2450&amp;" "," ")," "&amp;DJ439&amp;" "," ")," "&amp;DJ443&amp;" "," ")," "&amp;DJ445&amp;" "," ")," "&amp;DJ440&amp;" "," ")," "&amp;DJ438&amp;" "," ")," "&amp;DJ1378&amp;" "," ")," "&amp;DJ446&amp;" "," ")," "&amp;DJ1377&amp;" "," ")," "&amp;DJ441&amp;" "," ")),"")</f>
        <v xml:space="preserve"> lequel vous collerez ensuite le texte ◄ 3️⃣ saisissez un nombre de caracteres </v>
      </c>
      <c r="BE57" s="127" t="str">
        <f>IF(46=46,IF(AM57="","",IF(BB57&gt;0,"X",IF(BC57&gt;0,"?",""))),"")</f>
        <v/>
      </c>
      <c r="BF57" s="127" cm="1">
        <f t="array" ref="BF57">IF(46=46,IF(AM57="","",SUMPRODUCT(--ISNUMBER(SEARCH(" "&amp;DJ447:DJ546&amp;" ",BP57)))),"")</f>
        <v>0</v>
      </c>
      <c r="BG57" s="127" cm="1">
        <f t="array" ref="BG57">IF(46=46,IF(AM57="","",SUMPRODUCT(--ISNUMBER(SEARCH(" "&amp;DJ547:DJ646&amp;" ",BP57)))),"")</f>
        <v>0</v>
      </c>
      <c r="BH57" s="127" cm="1">
        <f t="array" ref="BH57">IF(46=46,IF(AM57="","",SUMPRODUCT(--ISNUMBER(SEARCH(" "&amp;DJ647:DJ746&amp;" ",BP57)))),"")</f>
        <v>0</v>
      </c>
      <c r="BI57" s="127" cm="1">
        <f t="array" ref="BI57">IF(46=46,IF(AM57="","",SUMPRODUCT(--ISNUMBER(SEARCH(" "&amp;DJ747:DJ846&amp;" ",BP57)))),"")</f>
        <v>0</v>
      </c>
      <c r="BJ57" s="127" cm="1">
        <f t="array" ref="BJ57">IF(46=46,IF(AM57="","",SUMPRODUCT(--ISNUMBER(SEARCH(" "&amp;DJ847:DJ946&amp;" ",BP57)))),"")</f>
        <v>0</v>
      </c>
      <c r="BK57" s="127" cm="1">
        <f t="array" ref="BK57">IF(46=46,IF(AM57="","",SUMPRODUCT(--ISNUMBER(SEARCH(" "&amp;DJ947:DJ1046&amp;" ",BP57)))),"")</f>
        <v>0</v>
      </c>
      <c r="BL57" s="127" cm="1">
        <f t="array" ref="BL57">IF(46=46,IF(AM57="","",SUMPRODUCT(--ISNUMBER(SEARCH(" "&amp;DJ1047:DJ1146&amp;" ",BP57)))),"")</f>
        <v>0</v>
      </c>
      <c r="BM57" s="127" cm="1">
        <f t="array" ref="BM57">IF(46=46,IF(AM57="","",SUMPRODUCT(--ISNUMBER(SEARCH(" "&amp;DJ1147:DJ1246&amp;" ",BP57)))),"")</f>
        <v>0</v>
      </c>
      <c r="BN57" s="127" cm="1">
        <f t="array" ref="BN57">IF(46=46,IF(AM57="","",SUMPRODUCT(--ISNUMBER(SEARCH(" "&amp;DJ1247:DJ1346&amp;" ",BP57)))),"")</f>
        <v>0</v>
      </c>
      <c r="BO57" s="127" cm="1">
        <f t="array" ref="BO57">IF(46=46,IF(AM57="","",SUMPRODUCT(--ISNUMBER(SEARCH(" "&amp;DJ1347:DJ1374&amp;" ",BP57)))),"")</f>
        <v>0</v>
      </c>
      <c r="BP57" s="127" t="str">
        <f>IF(46=46,IF(AM57="","",SUBSTITUTE(SUBSTITUTE(SUBSTITUTE(SUBSTITUTE(SUBSTITUTE(SUBSTITUTE(SUBSTITUTE(SUBSTITUTE(SUBSTITUTE(AS57," "&amp;DJ1376&amp;" "," ")," "&amp;DJ1375&amp;" "," ")," "&amp;DJ1381&amp;" "," ")," "&amp;DJ1382&amp;" "," ")," "&amp;DJ1378&amp;" "," ")," "&amp;DJ1380&amp;" "," ")," "&amp;DJ1377&amp;" "," ")," "&amp;DJ1379&amp;" "," ")," "&amp;DJ1383&amp;" "," ")),"")</f>
        <v xml:space="preserve"> lequel vous collerez ensuite le texte ◄ 3️⃣ saisissez un nombre de caracteres </v>
      </c>
      <c r="BQ57" s="127" cm="1">
        <f t="array" ref="BQ57">IF(46=46,IF(AM57="","",SUMPRODUCT(--ISNUMBER(SEARCH(" "&amp;DJ1384:DJ1394&amp;" ",BP57)))),"")</f>
        <v>0</v>
      </c>
      <c r="BR57" s="127" t="str" cm="1">
        <f t="array" ref="BR57">IF(46=46,IF(AM57="","",IF(SUM(BF57:BO57)+SUMPRODUCT(--ISNUMBER(SEARCH(" "&amp;DJ2432:DJ2433&amp;" ",BP57)))&gt;0,"X",IF(BQ57&gt;0,"?",""))),"")</f>
        <v/>
      </c>
      <c r="BS57" s="127" cm="1">
        <f t="array" ref="BS57">IF(46=46,IF(AM57="","",SUMPRODUCT(--ISNUMBER(SEARCH(" "&amp;DJ1395:DJ1415&amp;" ",AS57)))),"")</f>
        <v>0</v>
      </c>
      <c r="BT57" s="127" t="str">
        <f>IF(46=46,IF(AM57="","",IF((BS57)-(0)&gt;0,"X",IF((0)-(0)&gt;0,"?",""))),"")</f>
        <v/>
      </c>
      <c r="BU57" s="127" cm="1">
        <f t="array" ref="BU57">IF(46=46,IF(AM57="","",SUMPRODUCT(--ISNUMBER(SEARCH(" "&amp;DJ1416:DJ1453&amp;" ",BV57)))),"")</f>
        <v>0</v>
      </c>
      <c r="BV57" s="127" t="str">
        <f>IF(46=46,IF(AM57="","",SUBSTITUTE(SUBSTITUTE(AS57," "&amp;DJ1454&amp;" "," ")," "&amp;DJ1455&amp;" "," ")),"")</f>
        <v xml:space="preserve"> lequel vous collerez ensuite le texte ◄ 3️⃣ saisissez un nombre de caracteres </v>
      </c>
      <c r="BW57" s="127" cm="1">
        <f t="array" ref="BW57">IF(46=46,IF(AM57="","",SUMPRODUCT(--ISNUMBER(SEARCH(" "&amp;DJ1456:DJ1466&amp;" ",BV57)))),"")</f>
        <v>0</v>
      </c>
      <c r="BX57" s="127" t="str">
        <f>IF(46=46,IF(AM57="","",IF(BU57&gt;0,"X",IF(BW57&gt;0,"?",""))),"")</f>
        <v/>
      </c>
      <c r="BY57" s="127" cm="1">
        <f t="array" ref="BY57">IF(46=46,IF(AM57="","",SUMPRODUCT(--ISNUMBER(SEARCH(" "&amp;DJ1467:DJ1566&amp;" ",CB57)))),"")</f>
        <v>0</v>
      </c>
      <c r="BZ57" s="127" cm="1">
        <f t="array" ref="BZ57">IF(46=46,IF(AM57="","",SUMPRODUCT(--ISNUMBER(SEARCH(" "&amp;DJ1567:DJ1666&amp;" ",CB57)))),"")</f>
        <v>0</v>
      </c>
      <c r="CA57" s="127" cm="1">
        <f t="array" ref="CA57">IF(46=46,IF(AM57="","",SUMPRODUCT(--ISNUMBER(SEARCH(" "&amp;DJ1667:DJ1750&amp;" ",CB57)))),"")</f>
        <v>0</v>
      </c>
      <c r="CB57" s="127" t="str">
        <f>IF(46=46,IF(AM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lequel vous collerez ensuite le texte ◄ 3️⃣ saisissez un nombre de caracteres </v>
      </c>
      <c r="CC57" s="127" cm="1">
        <f t="array" ref="CC57">IF(46=46,IF(AM57="","",SUMPRODUCT(--ISNUMBER(SEARCH(" "&amp;DJ1801:DJ1880&amp;" ",CD57)))+SUMPRODUCT(--ISNUMBER(SEARCH(" "&amp;DJ2451:DJ2464&amp;" ",CD57)))),"")</f>
        <v>0</v>
      </c>
      <c r="CD57" s="127" t="str">
        <f>IF(46=46,IF(AM57="","",SUBSTITUTE(SUBSTITUTE(SUBSTITUTE(SUBSTITUTE(SUBSTITUTE(SUBSTITUTE(SUBSTITUTE(SUBSTITUTE(SUBSTITUTE(SUBSTITUTE(SUBSTITUTE(SUBSTITUTE(SUBSTITUTE(CB57," "&amp;DJ1887&amp;" "," ")," "&amp;DJ1885&amp;" "," ")," "&amp;DJ2449&amp;" "," ")," "&amp;DJ2450&amp;" "," ")," "&amp;DJ1882&amp;" "," ")," "&amp;DJ1886&amp;" "," ")," "&amp;DJ1888&amp;" "," ")," "&amp;DJ1883&amp;" "," ")," "&amp;DJ1881&amp;" "," ")," "&amp;DJ1378&amp;" "," ")," "&amp;DJ1889&amp;" "," ")," "&amp;DJ1377&amp;" "," ")," "&amp;DJ1884&amp;" "," ")),"")</f>
        <v xml:space="preserve"> lequel vous collerez ensuite le texte ◄ 3️⃣ saisissez un nombre de caracteres </v>
      </c>
      <c r="CE57" s="127" t="str" cm="1">
        <f t="array" ref="CE57">IF(46=46,IF(AM57="","",IF(SUM(BY57:CA57)+SUMPRODUCT(--ISNUMBER(SEARCH(" "&amp;DJ2434:DJ2435&amp;" ",CB57)))&gt;0,"X",IF(CC57&gt;0,"?",""))),"")</f>
        <v/>
      </c>
      <c r="CF57" s="127" cm="1">
        <f t="array" ref="CF57">IF(46=46,IF(AM57="","",SUMPRODUCT(--ISNUMBER(SEARCH(" "&amp;DJ1890:DJ1947&amp;" ",CG57)))),"")</f>
        <v>0</v>
      </c>
      <c r="CG57" s="127" t="str">
        <f>IF(46=46,IF(AM57="","",SUBSTITUTE(SUBSTITUTE(SUBSTITUTE(SUBSTITUTE(SUBSTITUTE(SUBSTITUTE(SUBSTITUTE(SUBSTITUTE(SUBSTITUTE(SUBSTITUTE(SUBSTITUTE(SUBSTITUTE(SUBSTITUTE(SUBSTITUTE(SUBSTITUTE(SUBSTITUTE(SUBSTITUTE(SUBSTITUTE(SUBSTITUTE(SUBSTITUTE(SUBSTITUTE(SUBSTITUTE(SUBSTITUTE(AS57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lequel vous collerez ensuite le texte ◄ 3️⃣ saisissez un nombre de caracteres </v>
      </c>
      <c r="CH57" s="127" cm="1">
        <f t="array" ref="CH57">IF(46=46,IF(AM57="","",SUMPRODUCT(--ISNUMBER(SEARCH(" "&amp;DJ1971:DJ1987&amp;" ",CG57)))),"")</f>
        <v>0</v>
      </c>
      <c r="CI57" s="127" t="str">
        <f>IF(46=46,IF(AM57="","",IF(CF57&gt;0,"X",IF(CH57&gt;0,"?",""))),"")</f>
        <v/>
      </c>
      <c r="CJ57" s="127" cm="1">
        <f t="array" ref="CJ57">IF(46=46,IF(AM57="","",SUMPRODUCT(--ISNUMBER(SEARCH(" "&amp;DJ1988:DJ2001&amp;" ",AS57)))),"")</f>
        <v>0</v>
      </c>
      <c r="CK57" s="127" cm="1">
        <f t="array" ref="CK57">IF(46=46,IF(AM57="","",SUMPRODUCT(--ISNUMBER(SEARCH(" "&amp;DJ2002:DJ2016&amp;" ",AS57)))),"")</f>
        <v>0</v>
      </c>
      <c r="CL57" s="127" t="str">
        <f>IF(46=46,IF(AM57="","",IF((CJ57)-(0)&gt;0,"X",IF((CK57)-(0)&gt;0,"?",""))),"")</f>
        <v/>
      </c>
      <c r="CM57" s="127" cm="1">
        <f t="array" ref="CM57">IF(46=46,IF(AM57="","",SUMPRODUCT(--ISNUMBER(SEARCH(" "&amp;DJ2017:DJ2034&amp;" ",AS57)))),"")</f>
        <v>0</v>
      </c>
      <c r="CN57" s="127" cm="1">
        <f t="array" ref="CN57">IF(46=46,IF(AM57="","",SUMPRODUCT(--ISNUMBER(SEARCH(" "&amp;DJ2035:DJ2049&amp;" ",AS57)))),"")</f>
        <v>0</v>
      </c>
      <c r="CO57" s="127" t="str">
        <f>IF(46=46,IF(AM57="","",IF((CM57)-(0)&gt;0,"X",IF((CN57)-(0)&gt;0,"?",""))),"")</f>
        <v/>
      </c>
      <c r="CP57" s="127" cm="1">
        <f t="array" ref="CP57">IF(46=46,IF(AM57="","",SUMPRODUCT(--ISNUMBER(SEARCH(" "&amp;DJ2050:DJ2068&amp;" ",AS57)))),"")</f>
        <v>0</v>
      </c>
      <c r="CQ57" s="127" cm="1">
        <f t="array" ref="CQ57">IF(46=46,IF(AM57="","",SUMPRODUCT(--ISNUMBER(SEARCH(" "&amp;DJ2069:DJ2083&amp;" ",AS57)))),"")</f>
        <v>0</v>
      </c>
      <c r="CR57" s="127" t="str">
        <f>IF(46=46,IF(AM57="","",IF((CP57)-(0)&gt;0,"X",IF((CQ57)-(0)&gt;0,"?",""))),"")</f>
        <v/>
      </c>
      <c r="CS57" s="127" cm="1">
        <f t="array" ref="CS57">IF(46=46,IF(AM57="","",SUMPRODUCT(--ISNUMBER(SEARCH(" "&amp;DJ2084:DJ2104&amp;" ",AS57)))),"")</f>
        <v>0</v>
      </c>
      <c r="CT57" s="127" cm="1">
        <f t="array" ref="CT57">IF(46=46,IF(AM57="","",SUMPRODUCT(--ISNUMBER(SEARCH(" "&amp;DJ2105:DJ2144&amp;" ",SUBSTITUTE(SUBSTITUTE(AS57," "&amp;DJ1378&amp;" "," ")," "&amp;DJ1377&amp;" "," "))))+--ISNUMBER(SEARCH("poiré",AN57))),"")</f>
        <v>0</v>
      </c>
      <c r="CU57" s="127" t="str">
        <f>IF(46=46,IF(AM57="","",IF(OR(CS57&gt;0,ISNUMBER(SEARCH(" vinaigre de vin ",AS57)),ISNUMBER(SEARCH(" vinaigre au vin ",AS57))),"X",IF(CT57&gt;0,"?",""))),"")</f>
        <v/>
      </c>
      <c r="CV57" s="127" cm="1">
        <f t="array" ref="CV57">IF(46=46,IF(AM57="","",SUMPRODUCT(--ISNUMBER(SEARCH(" "&amp;DJ2145:DJ2157&amp;" ",AS57)))),"")</f>
        <v>0</v>
      </c>
      <c r="CW57" s="127" cm="1">
        <f t="array" ref="CW57">IF(46=46,IF(AM57="","",SUMPRODUCT(--ISNUMBER(SEARCH(" "&amp;DJ2158:DJ2163&amp;" ",AS57)))),"")</f>
        <v>0</v>
      </c>
      <c r="CX57" s="127" t="str">
        <f>IF(46=46,IF(AM57="","",IF((CV57)-(0)&gt;0,"X",IF((CW57)-(0)&gt;0,"?",""))),"")</f>
        <v/>
      </c>
      <c r="CY57" s="127" cm="1">
        <f t="array" ref="CY57">IF(46=46,IF(AM57="","",SUMPRODUCT(--ISNUMBER(SEARCH(" "&amp;DJ2164:DJ2263&amp;" ",DB57)))),"")</f>
        <v>0</v>
      </c>
      <c r="CZ57" s="127" cm="1">
        <f t="array" ref="CZ57">IF(46=46,IF(AM57="","",SUMPRODUCT(--ISNUMBER(SEARCH(" "&amp;DJ2264:DJ2363&amp;" ",DB57)))),"")</f>
        <v>0</v>
      </c>
      <c r="DA57" s="127" cm="1">
        <f t="array" ref="DA57">IF(46=46,IF(AM57="","",SUMPRODUCT(--ISNUMBER(SEARCH(" "&amp;DJ2364:DJ2406&amp;" ",DB57)))),"")</f>
        <v>0</v>
      </c>
      <c r="DB57" s="127" t="str">
        <f>IF(46=46,IF(AM57="","",SUBSTITUTE(SUBSTITUTE(SUBSTITUTE(SUBSTITUTE(SUBSTITUTE(SUBSTITUTE(SUBSTITUTE(SUBSTITUTE(SUBSTITUTE(SUBSTITUTE(SUBSTITUTE(SUBSTITUTE(SUBSTITUTE(SUBSTITUTE(SUBSTITUTE(SUBSTITUTE(AS57," "&amp;DJ2412&amp;" "," ")," "&amp;DJ2411&amp;" "," ")," "&amp;DJ2410&amp;" "," ")," "&amp;DJ2417&amp;" "," ")," "&amp;DJ2409&amp;" "," ")," "&amp;DJ2421&amp;" "," ")," "&amp;DJ2408&amp;" "," ")," "&amp;DJ2413&amp;" "," ")," "&amp;DJ2416&amp;" "," ")," "&amp;DJ2407&amp;" "," ")," "&amp;DJ2415&amp;" "," ")," "&amp;DJ2422&amp;" "," ")," "&amp;DJ2419&amp;" "," ")," "&amp;DJ2414&amp;" "," ")," "&amp;DJ2418&amp;" "," ")," "&amp;DJ2420&amp;" "," ")),"")</f>
        <v xml:space="preserve"> lequel vous collerez ensuite le texte ◄ 3️⃣ saisissez un nombre de caracteres </v>
      </c>
      <c r="DC57" s="127" cm="1">
        <f t="array" ref="DC57">IF(46=46,IF(AM57="","",SUMPRODUCT(--ISNUMBER(SEARCH(" "&amp;DJ2423:DJ2427&amp;" ",DB57)))),"")</f>
        <v>0</v>
      </c>
      <c r="DD57" s="127" t="str">
        <f>IF(46=46,IF(AM57="","",IF(SUM(CY57:DA57)&gt;0,"X",IF(DC57&gt;0,"?",""))),"")</f>
        <v/>
      </c>
      <c r="DE57" s="152"/>
      <c r="DF57" s="160" t="s">
        <v>749</v>
      </c>
      <c r="DG57" s="160" t="s">
        <v>584</v>
      </c>
      <c r="DH57" s="160" t="s">
        <v>125</v>
      </c>
      <c r="DI57" s="160" t="s">
        <v>750</v>
      </c>
      <c r="DJ57" s="160" t="s">
        <v>750</v>
      </c>
      <c r="DK57" s="160" t="s">
        <v>588</v>
      </c>
      <c r="DL57" s="160" t="s">
        <v>589</v>
      </c>
      <c r="DM57" s="160" t="s">
        <v>590</v>
      </c>
      <c r="DN57" s="161" t="s">
        <v>591</v>
      </c>
      <c r="DP57" s="130">
        <v>1</v>
      </c>
    </row>
    <row r="58" spans="2:120" ht="30" customHeight="1">
      <c r="B58" s="165" t="str">
        <f t="shared" si="0"/>
        <v/>
      </c>
      <c r="C58" s="165" t="str">
        <f t="shared" si="1"/>
        <v/>
      </c>
      <c r="D58" s="165" t="str">
        <f>IF(UPPER(TRIM(N11))="X",C58,B58)</f>
        <v/>
      </c>
      <c r="E58" s="165" cm="1">
        <f t="array" ref="E58">IF(H57&lt;&gt;"",E57,IF(E57="","",IFERROR(MATCH(TRUE(),INDEX(INDEX(K:K,E57+1):K203&lt;&gt;"",0),0)+E57,"")))</f>
        <v>45</v>
      </c>
      <c r="F58" s="165" t="str" cm="1">
        <f t="array" ref="F58">IF(E58="","",IF(H57&lt;&gt;"",H57,INDEX(D:D,E58)))</f>
        <v>par lignes ◄ 4️⃣ Si vous ne voulez pas de ponctuation saisissez un X dans la cellule - Ensuite, dans la colonne B copiez le texte nettoyé - puis dans votre document faites Collage spécial &gt; 1.2.3 Valeurs pour ne coller que le texte, sans formules.</v>
      </c>
      <c r="G58" s="165" t="str">
        <f t="shared" si="2"/>
        <v xml:space="preserve">par lignes ◄ 4️⃣ Si vous ne voulez pas de ponctuation saisissez un X dans la </v>
      </c>
      <c r="H58" s="174" t="str">
        <f t="shared" si="3"/>
        <v>cellule - Ensuite, dans la colonne B copiez le texte nettoyé - puis dans votre document faites Collage spécial &gt; 1.2.3 Valeurs pour ne coller que le texte, sans formules.</v>
      </c>
      <c r="I58" s="184" t="str">
        <f>IF(AND(F58&lt;&gt;"",N10&gt;0,M58&gt;N10),"Mot &gt; limite","")</f>
        <v/>
      </c>
      <c r="J58" s="175" t="str">
        <f>IF(K58="","",COUNTIF(K18:K58,"&lt;&gt;"))</f>
        <v/>
      </c>
      <c r="K58" s="111"/>
      <c r="L58" s="175" t="str">
        <f t="shared" si="4"/>
        <v/>
      </c>
      <c r="M58" s="135">
        <f>IF(OR(F58="",N10="",N10&lt;=0),"",IF(LEN(F58)&lt;=N10,LEN(F58),IFERROR(FIND("♦",SUBSTITUTE(LEFT(F58,N10)," ","♦",LEN(LEFT(F58,N10))-LEN(SUBSTITUTE(LEFT(F58,N10)," ","")))),FIND(" ",F58&amp;" ",N10+1)-1)))</f>
        <v>77</v>
      </c>
      <c r="N58" s="176">
        <f t="shared" si="5"/>
        <v>41</v>
      </c>
      <c r="O58" s="177" t="str">
        <f t="shared" si="6"/>
        <v xml:space="preserve">par lignes ◄ 4️⃣ Si vous ne voulez pas de ponctuation saisissez un X dans la </v>
      </c>
      <c r="P58" s="176">
        <f t="shared" si="7"/>
        <v>16</v>
      </c>
      <c r="Q58" s="176">
        <f t="shared" si="8"/>
        <v>77</v>
      </c>
      <c r="S58" s="178">
        <v>41</v>
      </c>
      <c r="T58" s="179" t="str">
        <f t="shared" si="10"/>
        <v xml:space="preserve">par lignes ◄ 4️⃣ Si vous ne voulez pas de ponctuation saisissez un X dans la </v>
      </c>
      <c r="U58" s="180" t="str">
        <f t="shared" si="11"/>
        <v>par lignes ◄ 4️⃣ Si vous ne voulez pas de ponctuation saisissez un X dans la</v>
      </c>
      <c r="V58" s="181" t="str">
        <f>IF(47=47,IF(T58="","",IF(W58="X",""&amp;"Céréales contenant du gluten","")&amp;IF(X58="X",IF(COUNTIF(W58:W58,"X")&gt;0,", ","")&amp;"Crustacés","")&amp;IF(Y58="X",IF(COUNTIF(W58:X58,"X")&gt;0,", ","")&amp;"Œufs","")&amp;IF(Z58="X",IF(COUNTIF(W58:Y58,"X")&gt;0,", ","")&amp;"Poissons","")&amp;IF(AA58="X",IF(COUNTIF(W58:Z58,"X")&gt;0,", ","")&amp;"Arachides","")&amp;IF(AB58="X",IF(COUNTIF(W58:AA58,"X")&gt;0,", ","")&amp;"Soja","")&amp;IF(AC58="X",IF(COUNTIF(W58:AB58,"X")&gt;0,", ","")&amp;"Lait","")&amp;IF(AD58="X",IF(COUNTIF(W58:AC58,"X")&gt;0,", ","")&amp;"Fruits à coque","")&amp;IF(AE58="X",IF(COUNTIF(W58:AD58,"X")&gt;0,", ","")&amp;"Céleri","")&amp;IF(AF58="X",IF(COUNTIF(W58:AE58,"X")&gt;0,", ","")&amp;"Moutarde","")&amp;IF(AG58="X",IF(COUNTIF(W58:AF58,"X")&gt;0,", ","")&amp;"Sésame","")&amp;IF(AH58="X",IF(COUNTIF(W58:AG58,"X")&gt;0,", ","")&amp;"Sulfites","")&amp;IF(AI58="X",IF(COUNTIF(W58:AH58,"X")&gt;0,", ","")&amp;"Lupin","")&amp;IF(AJ58="X",IF(COUNTIF(W58:AI58,"X")&gt;0,", ","")&amp;"Mollusques","")),"")</f>
        <v/>
      </c>
      <c r="W58" s="182" t="str">
        <f>IF(47=47,IF(T58="","",AX58),"")</f>
        <v/>
      </c>
      <c r="X58" s="182" t="str">
        <f>IF(47=47,IF(T58="","",BA58),"")</f>
        <v/>
      </c>
      <c r="Y58" s="182" t="str">
        <f>IF(47=47,IF(T58="","",BE58),"")</f>
        <v/>
      </c>
      <c r="Z58" s="182" t="str">
        <f>IF(47=47,IF(T58="","",IF(ISNUMBER(SEARCH(" colin ",AS58)),"X",BR58)),"")</f>
        <v/>
      </c>
      <c r="AA58" s="182" t="str">
        <f>IF(47=47,IF(T58="","",BT58),"")</f>
        <v/>
      </c>
      <c r="AB58" s="182" t="str">
        <f>IF(47=47,IF(T58="","",BX58),"")</f>
        <v/>
      </c>
      <c r="AC58" s="182" t="str">
        <f>IF(47=47,IF(T58="","",CE58),"")</f>
        <v/>
      </c>
      <c r="AD58" s="182" t="str">
        <f>IF(47=47,IF(T58="","",CI58),"")</f>
        <v/>
      </c>
      <c r="AE58" s="182" t="str">
        <f>IF(47=47,IF(T58="","",CL58),"")</f>
        <v/>
      </c>
      <c r="AF58" s="182" t="str">
        <f>IF(47=47,IF(T58="","",CO58),"")</f>
        <v/>
      </c>
      <c r="AG58" s="182" t="str">
        <f>IF(47=47,IF(T58="","",CR58),"")</f>
        <v/>
      </c>
      <c r="AH58" s="182" t="str">
        <f>IF(47=47,IF(T58="","",CU58),"")</f>
        <v/>
      </c>
      <c r="AI58" s="182" t="str">
        <f>IF(47=47,IF(T58="","",CX58),"")</f>
        <v/>
      </c>
      <c r="AJ58" s="182" t="str">
        <f>IF(47=47,IF(T58="","",DD58),"")</f>
        <v/>
      </c>
      <c r="AK58" s="183" t="str">
        <f>IF(47=47,IF(T58="","",IF(W58="?",""&amp;"Céréales contenant du gluten","")&amp;IF(X58="?",IF(COUNTIF(W58:W58,"~?")&gt;0,", ","")&amp;"Crustacés","")&amp;IF(Y58="?",IF(COUNTIF(W58:X58,"~?")&gt;0,", ","")&amp;"Œufs","")&amp;IF(Z58="?",IF(COUNTIF(W58:Y58,"~?")&gt;0,", ","")&amp;"Poissons","")&amp;IF(AA58="?",IF(COUNTIF(W58:Z58,"~?")&gt;0,", ","")&amp;"Arachides","")&amp;IF(AB58="?",IF(COUNTIF(W58:AA58,"~?")&gt;0,", ","")&amp;"Soja","")&amp;IF(AC58="?",IF(COUNTIF(W58:AB58,"~?")&gt;0,", ","")&amp;"Lait","")&amp;IF(AD58="?",IF(COUNTIF(W58:AC58,"~?")&gt;0,", ","")&amp;"Fruits à coque","")&amp;IF(AE58="?",IF(COUNTIF(W58:AD58,"~?")&gt;0,", ","")&amp;"Céleri","")&amp;IF(AF58="?",IF(COUNTIF(W58:AE58,"~?")&gt;0,", ","")&amp;"Moutarde","")&amp;IF(AG58="?",IF(COUNTIF(W58:AF58,"~?")&gt;0,", ","")&amp;"Sésame","")&amp;IF(AH58="?",IF(COUNTIF(W58:AG58,"~?")&gt;0,", ","")&amp;"Sulfites","")&amp;IF(AI58="?",IF(COUNTIF(W58:AH58,"~?")&gt;0,", ","")&amp;"Lupin","")&amp;IF(AJ58="?",IF(COUNTIF(W58:AI58,"~?")&gt;0,", ","")&amp;"Mollusques","")),"")</f>
        <v/>
      </c>
      <c r="AM58" s="127" t="str">
        <f>IF(47=47,IF(T58="","",T58),"")</f>
        <v xml:space="preserve">par lignes ◄ 4️⃣ Si vous ne voulez pas de ponctuation saisissez un X dans la </v>
      </c>
      <c r="AN58" s="127" t="str">
        <f>IF(47=47,LOWER(CLEAN(SUBSTITUTE(SUBSTITUTE(SUBSTITUTE(SUBSTITUTE(AM58,CHAR(160)," ")," "," "),CHAR(10)," "),CHAR(13)," "))),"")</f>
        <v xml:space="preserve">par lignes ◄ 4️⃣ si vous ne voulez pas de ponctuation saisissez un x dans la </v>
      </c>
      <c r="AO58" s="127" t="str">
        <f>IF(47=47,SUBSTITUTE(SUBSTITUTE(SUBSTITUTE(SUBSTITUTE(SUBSTITUTE(SUBSTITUTE(SUBSTITUTE(SUBSTITUTE(SUBSTITUTE(SUBSTITUTE(SUBSTITUTE(SUBSTITUTE(AN58,"œ","oe"),"æ","ae"),"à","a"),"á","a"),"â","a"),"ä","a"),"ã","a"),"ç","c"),"è","e"),"é","e"),"ê","e"),"ë","e"),"")</f>
        <v xml:space="preserve">par lignes ◄ 4️⃣ si vous ne voulez pas de ponctuation saisissez un x dans la </v>
      </c>
      <c r="AP58" s="127" t="str">
        <f>IF(47=47,SUBSTITUTE(SUBSTITUTE(SUBSTITUTE(SUBSTITUTE(SUBSTITUTE(SUBSTITUTE(SUBSTITUTE(SUBSTITUTE(SUBSTITUTE(SUBSTITUTE(SUBSTITUTE(SUBSTITUTE(SUBSTITUTE(SUBSTITUTE(SUBSTITUTE(SUBSTITUTE(AO58,"ì","i"),"í","i"),"î","i"),"ï","i"),"ñ","n"),"ò","o"),"ó","o"),"ô","o"),"ö","o"),"õ","o"),"ù","u"),"ú","u"),"û","u"),"ü","u"),"ý","y"),"ÿ","y"),"")</f>
        <v xml:space="preserve">par lignes ◄ 4️⃣ si vous ne voulez pas de ponctuation saisissez un x dans la </v>
      </c>
      <c r="AQ58" s="127" t="str">
        <f>IF(47=47,SUBSTITUTE(SUBSTITUTE(SUBSTITUTE(SUBSTITUTE(SUBSTITUTE(SUBSTITUTE(SUBSTITUTE(SUBSTITUTE(SUBSTITUTE(SUBSTITUTE(SUBSTITUTE(SUBSTITUTE(SUBSTITUTE(SUBSTITUTE(AP58,"’"," "),"`"," "),"–"," "),"—"," "),"-"," "),"'"," "),"/"," "),"_"," "),","," "),"."," "),"("," "),")"," "),";"," "),":"," "),"")</f>
        <v xml:space="preserve">par lignes ◄ 4️⃣ si vous ne voulez pas de ponctuation saisissez un x dans la </v>
      </c>
      <c r="AR58" s="127" t="str">
        <f>IF(47=47,SUBSTITUTE(SUBSTITUTE(SUBSTITUTE(SUBSTITUTE(SUBSTITUTE(SUBSTITUTE(SUBSTITUTE(SUBSTITUTE(SUBSTITUTE(SUBSTITUTE(SUBSTITUTE(SUBSTITUTE(SUBSTITUTE(SUBSTITUTE(SUBSTITUTE(AQ58,"!"," "),"?"," "),"+"," "),"*"," "),"&amp;"," "),"["," "),"]"," "),"{"," "),"}"," "),"%"," "),"="," "),"\"," "),"|"," "),"&lt;"," "),"&gt;"," "),"")</f>
        <v xml:space="preserve">par lignes ◄ 4️⃣ si vous ne voulez pas de ponctuation saisissez un x dans la </v>
      </c>
      <c r="AS58" s="127" t="str">
        <f>IF(47=47," "&amp;TRIM(SUBSTITUTE(SUBSTITUTE(SUBSTITUTE(SUBSTITUTE(SUBSTITUTE(SUBSTITUTE(AR58,CHAR(34)," "),"  "," "),"  "," "),"  "," "),"  "," "),"  "," "))&amp;" ","")</f>
        <v xml:space="preserve"> par lignes ◄ 4️⃣ si vous ne voulez pas de ponctuation saisissez un x dans la </v>
      </c>
      <c r="AT58" s="127" cm="1">
        <f t="array" ref="AT58">IF(47=47,IF(AM58="","",SUMPRODUCT(--ISNUMBER(SEARCH(" "&amp;DJ13:DJ112&amp;" ",AV58)))),"")</f>
        <v>0</v>
      </c>
      <c r="AU58" s="127" cm="1">
        <f t="array" ref="AU58">IF(47=47,IF(AM58="","",SUMPRODUCT(--ISNUMBER(SEARCH(" "&amp;DJ113:DJ162&amp;" ",AV58)))),"")</f>
        <v>0</v>
      </c>
      <c r="AV58" s="127" t="str">
        <f>IF(AM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par lignes ◄ 4️⃣ si vous ne voulez pas de ponctuation saisissez un x dans la </v>
      </c>
      <c r="AW58" s="127" cm="1">
        <f t="array" ref="AW58">IF(AM58="","",SUMPRODUCT(--ISNUMBER(SEARCH(" "&amp;DJ195:DJ216&amp;" ",AV58)))+--ISNUMBER(SEARCH(" "&amp;DJ2465&amp;" ",AV58)))</f>
        <v>0</v>
      </c>
      <c r="AX58" s="127" t="str" cm="1">
        <f t="array" ref="AX58">IF(47=47,IF(AM58="","",IF(SUM(AT58:AU58)+SUMPRODUCT(--ISNUMBER(SEARCH(" "&amp;DJ2429:DJ2431&amp;" ",AV58)))&gt;0,"X",IF(AW58&gt;0,"?",""))),"")</f>
        <v/>
      </c>
      <c r="AY58" s="127" cm="1">
        <f t="array" ref="AY58">IF(47=47,IF(AM58="","",SUMPRODUCT(--ISNUMBER(SEARCH(" "&amp;DJ217:DJ316&amp;" ",AS58)))),"")</f>
        <v>0</v>
      </c>
      <c r="AZ58" s="127" cm="1">
        <f t="array" ref="AZ58">IF(47=47,IF(AM58="","",SUMPRODUCT(--ISNUMBER(SEARCH(" "&amp;DJ317:DJ351&amp;" ",AS58)))),"")</f>
        <v>0</v>
      </c>
      <c r="BA58" s="127" t="str">
        <f>IF(47=47,IF(AM58="","",IF((SUM(AY58:AZ58))-(0)&gt;0,"X",IF((0)-(0)&gt;0,"?",""))),"")</f>
        <v/>
      </c>
      <c r="BB58" s="127" cm="1">
        <f t="array" ref="BB58">IF(47=47,IF(AM58="","",SUMPRODUCT(--ISNUMBER(SEARCH(" "&amp;DJ352:DJ409&amp;" ",AS58)))),"")</f>
        <v>0</v>
      </c>
      <c r="BC58" s="127" cm="1">
        <f t="array" ref="BC58">IF(47=47,IF(AM58="","",SUMPRODUCT(--ISNUMBER(SEARCH(" "&amp;DJ410:DJ437&amp;" ",BD58)))+SUMPRODUCT(--ISNUMBER(SEARCH(" "&amp;DJ2451:DJ2464&amp;" ",BD58)))),"")</f>
        <v>0</v>
      </c>
      <c r="BD58" s="127" t="str">
        <f>IF(47=47,IF(AM58="","",SUBSTITUTE(SUBSTITUTE(SUBSTITUTE(SUBSTITUTE(SUBSTITUTE(SUBSTITUTE(SUBSTITUTE(SUBSTITUTE(SUBSTITUTE(SUBSTITUTE(SUBSTITUTE(SUBSTITUTE(SUBSTITUTE(SUBSTITUTE(AS58," "&amp;DJ2466&amp;" "," ")," "&amp;DJ444&amp;" "," ")," "&amp;DJ442&amp;" "," ")," "&amp;DJ2449&amp;" "," ")," "&amp;DJ2450&amp;" "," ")," "&amp;DJ439&amp;" "," ")," "&amp;DJ443&amp;" "," ")," "&amp;DJ445&amp;" "," ")," "&amp;DJ440&amp;" "," ")," "&amp;DJ438&amp;" "," ")," "&amp;DJ1378&amp;" "," ")," "&amp;DJ446&amp;" "," ")," "&amp;DJ1377&amp;" "," ")," "&amp;DJ441&amp;" "," ")),"")</f>
        <v xml:space="preserve"> par lignes ◄ 4️⃣ si vous ne voulez pas de ponctuation saisissez un x dans la </v>
      </c>
      <c r="BE58" s="127" t="str">
        <f>IF(47=47,IF(AM58="","",IF(BB58&gt;0,"X",IF(BC58&gt;0,"?",""))),"")</f>
        <v/>
      </c>
      <c r="BF58" s="127" cm="1">
        <f t="array" ref="BF58">IF(47=47,IF(AM58="","",SUMPRODUCT(--ISNUMBER(SEARCH(" "&amp;DJ447:DJ546&amp;" ",BP58)))),"")</f>
        <v>0</v>
      </c>
      <c r="BG58" s="127" cm="1">
        <f t="array" ref="BG58">IF(47=47,IF(AM58="","",SUMPRODUCT(--ISNUMBER(SEARCH(" "&amp;DJ547:DJ646&amp;" ",BP58)))),"")</f>
        <v>0</v>
      </c>
      <c r="BH58" s="127" cm="1">
        <f t="array" ref="BH58">IF(47=47,IF(AM58="","",SUMPRODUCT(--ISNUMBER(SEARCH(" "&amp;DJ647:DJ746&amp;" ",BP58)))),"")</f>
        <v>0</v>
      </c>
      <c r="BI58" s="127" cm="1">
        <f t="array" ref="BI58">IF(47=47,IF(AM58="","",SUMPRODUCT(--ISNUMBER(SEARCH(" "&amp;DJ747:DJ846&amp;" ",BP58)))),"")</f>
        <v>0</v>
      </c>
      <c r="BJ58" s="127" cm="1">
        <f t="array" ref="BJ58">IF(47=47,IF(AM58="","",SUMPRODUCT(--ISNUMBER(SEARCH(" "&amp;DJ847:DJ946&amp;" ",BP58)))),"")</f>
        <v>0</v>
      </c>
      <c r="BK58" s="127" cm="1">
        <f t="array" ref="BK58">IF(47=47,IF(AM58="","",SUMPRODUCT(--ISNUMBER(SEARCH(" "&amp;DJ947:DJ1046&amp;" ",BP58)))),"")</f>
        <v>0</v>
      </c>
      <c r="BL58" s="127" cm="1">
        <f t="array" ref="BL58">IF(47=47,IF(AM58="","",SUMPRODUCT(--ISNUMBER(SEARCH(" "&amp;DJ1047:DJ1146&amp;" ",BP58)))),"")</f>
        <v>0</v>
      </c>
      <c r="BM58" s="127" cm="1">
        <f t="array" ref="BM58">IF(47=47,IF(AM58="","",SUMPRODUCT(--ISNUMBER(SEARCH(" "&amp;DJ1147:DJ1246&amp;" ",BP58)))),"")</f>
        <v>0</v>
      </c>
      <c r="BN58" s="127" cm="1">
        <f t="array" ref="BN58">IF(47=47,IF(AM58="","",SUMPRODUCT(--ISNUMBER(SEARCH(" "&amp;DJ1247:DJ1346&amp;" ",BP58)))),"")</f>
        <v>0</v>
      </c>
      <c r="BO58" s="127" cm="1">
        <f t="array" ref="BO58">IF(47=47,IF(AM58="","",SUMPRODUCT(--ISNUMBER(SEARCH(" "&amp;DJ1347:DJ1374&amp;" ",BP58)))),"")</f>
        <v>0</v>
      </c>
      <c r="BP58" s="127" t="str">
        <f>IF(47=47,IF(AM58="","",SUBSTITUTE(SUBSTITUTE(SUBSTITUTE(SUBSTITUTE(SUBSTITUTE(SUBSTITUTE(SUBSTITUTE(SUBSTITUTE(SUBSTITUTE(AS58," "&amp;DJ1376&amp;" "," ")," "&amp;DJ1375&amp;" "," ")," "&amp;DJ1381&amp;" "," ")," "&amp;DJ1382&amp;" "," ")," "&amp;DJ1378&amp;" "," ")," "&amp;DJ1380&amp;" "," ")," "&amp;DJ1377&amp;" "," ")," "&amp;DJ1379&amp;" "," ")," "&amp;DJ1383&amp;" "," ")),"")</f>
        <v xml:space="preserve"> par lignes ◄ 4️⃣ si vous ne voulez pas de ponctuation saisissez un x dans la </v>
      </c>
      <c r="BQ58" s="127" cm="1">
        <f t="array" ref="BQ58">IF(47=47,IF(AM58="","",SUMPRODUCT(--ISNUMBER(SEARCH(" "&amp;DJ1384:DJ1394&amp;" ",BP58)))),"")</f>
        <v>0</v>
      </c>
      <c r="BR58" s="127" t="str" cm="1">
        <f t="array" ref="BR58">IF(47=47,IF(AM58="","",IF(SUM(BF58:BO58)+SUMPRODUCT(--ISNUMBER(SEARCH(" "&amp;DJ2432:DJ2433&amp;" ",BP58)))&gt;0,"X",IF(BQ58&gt;0,"?",""))),"")</f>
        <v/>
      </c>
      <c r="BS58" s="127" cm="1">
        <f t="array" ref="BS58">IF(47=47,IF(AM58="","",SUMPRODUCT(--ISNUMBER(SEARCH(" "&amp;DJ1395:DJ1415&amp;" ",AS58)))),"")</f>
        <v>0</v>
      </c>
      <c r="BT58" s="127" t="str">
        <f>IF(47=47,IF(AM58="","",IF((BS58)-(0)&gt;0,"X",IF((0)-(0)&gt;0,"?",""))),"")</f>
        <v/>
      </c>
      <c r="BU58" s="127" cm="1">
        <f t="array" ref="BU58">IF(47=47,IF(AM58="","",SUMPRODUCT(--ISNUMBER(SEARCH(" "&amp;DJ1416:DJ1453&amp;" ",BV58)))),"")</f>
        <v>0</v>
      </c>
      <c r="BV58" s="127" t="str">
        <f>IF(47=47,IF(AM58="","",SUBSTITUTE(SUBSTITUTE(AS58," "&amp;DJ1454&amp;" "," ")," "&amp;DJ1455&amp;" "," ")),"")</f>
        <v xml:space="preserve"> par lignes ◄ 4️⃣ si vous ne voulez pas de ponctuation saisissez un x dans la </v>
      </c>
      <c r="BW58" s="127" cm="1">
        <f t="array" ref="BW58">IF(47=47,IF(AM58="","",SUMPRODUCT(--ISNUMBER(SEARCH(" "&amp;DJ1456:DJ1466&amp;" ",BV58)))),"")</f>
        <v>0</v>
      </c>
      <c r="BX58" s="127" t="str">
        <f>IF(47=47,IF(AM58="","",IF(BU58&gt;0,"X",IF(BW58&gt;0,"?",""))),"")</f>
        <v/>
      </c>
      <c r="BY58" s="127" cm="1">
        <f t="array" ref="BY58">IF(47=47,IF(AM58="","",SUMPRODUCT(--ISNUMBER(SEARCH(" "&amp;DJ1467:DJ1566&amp;" ",CB58)))),"")</f>
        <v>0</v>
      </c>
      <c r="BZ58" s="127" cm="1">
        <f t="array" ref="BZ58">IF(47=47,IF(AM58="","",SUMPRODUCT(--ISNUMBER(SEARCH(" "&amp;DJ1567:DJ1666&amp;" ",CB58)))),"")</f>
        <v>0</v>
      </c>
      <c r="CA58" s="127" cm="1">
        <f t="array" ref="CA58">IF(47=47,IF(AM58="","",SUMPRODUCT(--ISNUMBER(SEARCH(" "&amp;DJ1667:DJ1750&amp;" ",CB58)))),"")</f>
        <v>0</v>
      </c>
      <c r="CB58" s="127" t="str">
        <f>IF(47=47,IF(AM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par lignes ◄ 4️⃣ si vous ne voulez pas de ponctuation saisissez un x dans la </v>
      </c>
      <c r="CC58" s="127" cm="1">
        <f t="array" ref="CC58">IF(47=47,IF(AM58="","",SUMPRODUCT(--ISNUMBER(SEARCH(" "&amp;DJ1801:DJ1880&amp;" ",CD58)))+SUMPRODUCT(--ISNUMBER(SEARCH(" "&amp;DJ2451:DJ2464&amp;" ",CD58)))),"")</f>
        <v>0</v>
      </c>
      <c r="CD58" s="127" t="str">
        <f>IF(47=47,IF(AM58="","",SUBSTITUTE(SUBSTITUTE(SUBSTITUTE(SUBSTITUTE(SUBSTITUTE(SUBSTITUTE(SUBSTITUTE(SUBSTITUTE(SUBSTITUTE(SUBSTITUTE(SUBSTITUTE(SUBSTITUTE(SUBSTITUTE(CB58," "&amp;DJ1887&amp;" "," ")," "&amp;DJ1885&amp;" "," ")," "&amp;DJ2449&amp;" "," ")," "&amp;DJ2450&amp;" "," ")," "&amp;DJ1882&amp;" "," ")," "&amp;DJ1886&amp;" "," ")," "&amp;DJ1888&amp;" "," ")," "&amp;DJ1883&amp;" "," ")," "&amp;DJ1881&amp;" "," ")," "&amp;DJ1378&amp;" "," ")," "&amp;DJ1889&amp;" "," ")," "&amp;DJ1377&amp;" "," ")," "&amp;DJ1884&amp;" "," ")),"")</f>
        <v xml:space="preserve"> par lignes ◄ 4️⃣ si vous ne voulez pas de ponctuation saisissez un x dans la </v>
      </c>
      <c r="CE58" s="127" t="str" cm="1">
        <f t="array" ref="CE58">IF(47=47,IF(AM58="","",IF(SUM(BY58:CA58)+SUMPRODUCT(--ISNUMBER(SEARCH(" "&amp;DJ2434:DJ2435&amp;" ",CB58)))&gt;0,"X",IF(CC58&gt;0,"?",""))),"")</f>
        <v/>
      </c>
      <c r="CF58" s="127" cm="1">
        <f t="array" ref="CF58">IF(47=47,IF(AM58="","",SUMPRODUCT(--ISNUMBER(SEARCH(" "&amp;DJ1890:DJ1947&amp;" ",CG58)))),"")</f>
        <v>0</v>
      </c>
      <c r="CG58" s="127" t="str">
        <f>IF(47=47,IF(AM58="","",SUBSTITUTE(SUBSTITUTE(SUBSTITUTE(SUBSTITUTE(SUBSTITUTE(SUBSTITUTE(SUBSTITUTE(SUBSTITUTE(SUBSTITUTE(SUBSTITUTE(SUBSTITUTE(SUBSTITUTE(SUBSTITUTE(SUBSTITUTE(SUBSTITUTE(SUBSTITUTE(SUBSTITUTE(SUBSTITUTE(SUBSTITUTE(SUBSTITUTE(SUBSTITUTE(SUBSTITUTE(SUBSTITUTE(AS58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par lignes ◄ 4️⃣ si vous ne voulez pas de ponctuation saisissez un x dans la </v>
      </c>
      <c r="CH58" s="127" cm="1">
        <f t="array" ref="CH58">IF(47=47,IF(AM58="","",SUMPRODUCT(--ISNUMBER(SEARCH(" "&amp;DJ1971:DJ1987&amp;" ",CG58)))),"")</f>
        <v>0</v>
      </c>
      <c r="CI58" s="127" t="str">
        <f>IF(47=47,IF(AM58="","",IF(CF58&gt;0,"X",IF(CH58&gt;0,"?",""))),"")</f>
        <v/>
      </c>
      <c r="CJ58" s="127" cm="1">
        <f t="array" ref="CJ58">IF(47=47,IF(AM58="","",SUMPRODUCT(--ISNUMBER(SEARCH(" "&amp;DJ1988:DJ2001&amp;" ",AS58)))),"")</f>
        <v>0</v>
      </c>
      <c r="CK58" s="127" cm="1">
        <f t="array" ref="CK58">IF(47=47,IF(AM58="","",SUMPRODUCT(--ISNUMBER(SEARCH(" "&amp;DJ2002:DJ2016&amp;" ",AS58)))),"")</f>
        <v>0</v>
      </c>
      <c r="CL58" s="127" t="str">
        <f>IF(47=47,IF(AM58="","",IF((CJ58)-(0)&gt;0,"X",IF((CK58)-(0)&gt;0,"?",""))),"")</f>
        <v/>
      </c>
      <c r="CM58" s="127" cm="1">
        <f t="array" ref="CM58">IF(47=47,IF(AM58="","",SUMPRODUCT(--ISNUMBER(SEARCH(" "&amp;DJ2017:DJ2034&amp;" ",AS58)))),"")</f>
        <v>0</v>
      </c>
      <c r="CN58" s="127" cm="1">
        <f t="array" ref="CN58">IF(47=47,IF(AM58="","",SUMPRODUCT(--ISNUMBER(SEARCH(" "&amp;DJ2035:DJ2049&amp;" ",AS58)))),"")</f>
        <v>0</v>
      </c>
      <c r="CO58" s="127" t="str">
        <f>IF(47=47,IF(AM58="","",IF((CM58)-(0)&gt;0,"X",IF((CN58)-(0)&gt;0,"?",""))),"")</f>
        <v/>
      </c>
      <c r="CP58" s="127" cm="1">
        <f t="array" ref="CP58">IF(47=47,IF(AM58="","",SUMPRODUCT(--ISNUMBER(SEARCH(" "&amp;DJ2050:DJ2068&amp;" ",AS58)))),"")</f>
        <v>0</v>
      </c>
      <c r="CQ58" s="127" cm="1">
        <f t="array" ref="CQ58">IF(47=47,IF(AM58="","",SUMPRODUCT(--ISNUMBER(SEARCH(" "&amp;DJ2069:DJ2083&amp;" ",AS58)))),"")</f>
        <v>0</v>
      </c>
      <c r="CR58" s="127" t="str">
        <f>IF(47=47,IF(AM58="","",IF((CP58)-(0)&gt;0,"X",IF((CQ58)-(0)&gt;0,"?",""))),"")</f>
        <v/>
      </c>
      <c r="CS58" s="127" cm="1">
        <f t="array" ref="CS58">IF(47=47,IF(AM58="","",SUMPRODUCT(--ISNUMBER(SEARCH(" "&amp;DJ2084:DJ2104&amp;" ",AS58)))),"")</f>
        <v>0</v>
      </c>
      <c r="CT58" s="127" cm="1">
        <f t="array" ref="CT58">IF(47=47,IF(AM58="","",SUMPRODUCT(--ISNUMBER(SEARCH(" "&amp;DJ2105:DJ2144&amp;" ",SUBSTITUTE(SUBSTITUTE(AS58," "&amp;DJ1378&amp;" "," ")," "&amp;DJ1377&amp;" "," "))))+--ISNUMBER(SEARCH("poiré",AN58))),"")</f>
        <v>0</v>
      </c>
      <c r="CU58" s="127" t="str">
        <f>IF(47=47,IF(AM58="","",IF(OR(CS58&gt;0,ISNUMBER(SEARCH(" vinaigre de vin ",AS58)),ISNUMBER(SEARCH(" vinaigre au vin ",AS58))),"X",IF(CT58&gt;0,"?",""))),"")</f>
        <v/>
      </c>
      <c r="CV58" s="127" cm="1">
        <f t="array" ref="CV58">IF(47=47,IF(AM58="","",SUMPRODUCT(--ISNUMBER(SEARCH(" "&amp;DJ2145:DJ2157&amp;" ",AS58)))),"")</f>
        <v>0</v>
      </c>
      <c r="CW58" s="127" cm="1">
        <f t="array" ref="CW58">IF(47=47,IF(AM58="","",SUMPRODUCT(--ISNUMBER(SEARCH(" "&amp;DJ2158:DJ2163&amp;" ",AS58)))),"")</f>
        <v>0</v>
      </c>
      <c r="CX58" s="127" t="str">
        <f>IF(47=47,IF(AM58="","",IF((CV58)-(0)&gt;0,"X",IF((CW58)-(0)&gt;0,"?",""))),"")</f>
        <v/>
      </c>
      <c r="CY58" s="127" cm="1">
        <f t="array" ref="CY58">IF(47=47,IF(AM58="","",SUMPRODUCT(--ISNUMBER(SEARCH(" "&amp;DJ2164:DJ2263&amp;" ",DB58)))),"")</f>
        <v>0</v>
      </c>
      <c r="CZ58" s="127" cm="1">
        <f t="array" ref="CZ58">IF(47=47,IF(AM58="","",SUMPRODUCT(--ISNUMBER(SEARCH(" "&amp;DJ2264:DJ2363&amp;" ",DB58)))),"")</f>
        <v>0</v>
      </c>
      <c r="DA58" s="127" cm="1">
        <f t="array" ref="DA58">IF(47=47,IF(AM58="","",SUMPRODUCT(--ISNUMBER(SEARCH(" "&amp;DJ2364:DJ2406&amp;" ",DB58)))),"")</f>
        <v>0</v>
      </c>
      <c r="DB58" s="127" t="str">
        <f>IF(47=47,IF(AM58="","",SUBSTITUTE(SUBSTITUTE(SUBSTITUTE(SUBSTITUTE(SUBSTITUTE(SUBSTITUTE(SUBSTITUTE(SUBSTITUTE(SUBSTITUTE(SUBSTITUTE(SUBSTITUTE(SUBSTITUTE(SUBSTITUTE(SUBSTITUTE(SUBSTITUTE(SUBSTITUTE(AS58," "&amp;DJ2412&amp;" "," ")," "&amp;DJ2411&amp;" "," ")," "&amp;DJ2410&amp;" "," ")," "&amp;DJ2417&amp;" "," ")," "&amp;DJ2409&amp;" "," ")," "&amp;DJ2421&amp;" "," ")," "&amp;DJ2408&amp;" "," ")," "&amp;DJ2413&amp;" "," ")," "&amp;DJ2416&amp;" "," ")," "&amp;DJ2407&amp;" "," ")," "&amp;DJ2415&amp;" "," ")," "&amp;DJ2422&amp;" "," ")," "&amp;DJ2419&amp;" "," ")," "&amp;DJ2414&amp;" "," ")," "&amp;DJ2418&amp;" "," ")," "&amp;DJ2420&amp;" "," ")),"")</f>
        <v xml:space="preserve"> par lignes ◄ 4️⃣ si vous ne voulez pas de ponctuation saisissez un x dans la </v>
      </c>
      <c r="DC58" s="127" cm="1">
        <f t="array" ref="DC58">IF(47=47,IF(AM58="","",SUMPRODUCT(--ISNUMBER(SEARCH(" "&amp;DJ2423:DJ2427&amp;" ",DB58)))),"")</f>
        <v>0</v>
      </c>
      <c r="DD58" s="127" t="str">
        <f>IF(47=47,IF(AM58="","",IF(SUM(CY58:DA58)&gt;0,"X",IF(DC58&gt;0,"?",""))),"")</f>
        <v/>
      </c>
      <c r="DE58" s="152"/>
      <c r="DF58" s="160" t="s">
        <v>751</v>
      </c>
      <c r="DG58" s="160" t="s">
        <v>584</v>
      </c>
      <c r="DH58" s="160" t="s">
        <v>125</v>
      </c>
      <c r="DI58" s="160" t="s">
        <v>752</v>
      </c>
      <c r="DJ58" s="160" t="s">
        <v>753</v>
      </c>
      <c r="DK58" s="160" t="s">
        <v>588</v>
      </c>
      <c r="DL58" s="160" t="s">
        <v>589</v>
      </c>
      <c r="DM58" s="160" t="s">
        <v>590</v>
      </c>
      <c r="DN58" s="161" t="s">
        <v>591</v>
      </c>
      <c r="DP58" s="130">
        <v>1</v>
      </c>
    </row>
    <row r="59" spans="2:120" ht="30" customHeight="1">
      <c r="B59" s="165" t="str">
        <f t="shared" si="0"/>
        <v>3. Dans une cocotte en fonte, faites chauffer l’huile d’olive à feu moyen. Ajoutez la viande et faites-la dorer de tous les côtés. Retirez-la de la cocotte et réservez-la.</v>
      </c>
      <c r="C59" s="165" t="str">
        <f t="shared" si="1"/>
        <v>3 Dans une cocotte en fonte faites chauffer l’huile d’olive à feu moyen Ajoutez la viande et faites la dorer de tous les côtés Retirez la de la cocotte et réservez la</v>
      </c>
      <c r="D59" s="165" t="str">
        <f>IF(UPPER(TRIM(N11))="X",C59,B59)</f>
        <v>3. Dans une cocotte en fonte, faites chauffer l’huile d’olive à feu moyen. Ajoutez la viande et faites-la dorer de tous les côtés. Retirez-la de la cocotte et réservez-la.</v>
      </c>
      <c r="E59" s="165" cm="1">
        <f t="array" ref="E59">IF(H58&lt;&gt;"",E58,IF(E58="","",IFERROR(MATCH(TRUE(),INDEX(INDEX(K:K,E58+1):K203&lt;&gt;"",0),0)+E58,"")))</f>
        <v>45</v>
      </c>
      <c r="F59" s="165" t="str" cm="1">
        <f t="array" ref="F59">IF(E59="","",IF(H58&lt;&gt;"",H58,INDEX(D:D,E59)))</f>
        <v>cellule - Ensuite, dans la colonne B copiez le texte nettoyé - puis dans votre document faites Collage spécial &gt; 1.2.3 Valeurs pour ne coller que le texte, sans formules.</v>
      </c>
      <c r="G59" s="165" t="str">
        <f t="shared" si="2"/>
        <v xml:space="preserve">cellule - Ensuite, dans la colonne B copiez le texte nettoyé - puis dans votre </v>
      </c>
      <c r="H59" s="174" t="str">
        <f t="shared" si="3"/>
        <v>document faites Collage spécial &gt; 1.2.3 Valeurs pour ne coller que le texte, sans formules.</v>
      </c>
      <c r="I59" s="184" t="str">
        <f>IF(AND(F59&lt;&gt;"",N10&gt;0,M59&gt;N10),"Mot &gt; limite","")</f>
        <v/>
      </c>
      <c r="J59" s="175">
        <f>IF(K59="","",COUNTIF(K18:K59,"&lt;&gt;"))</f>
        <v>38</v>
      </c>
      <c r="K59" s="111" t="s">
        <v>27</v>
      </c>
      <c r="L59" s="175">
        <f t="shared" si="4"/>
        <v>171</v>
      </c>
      <c r="M59" s="135">
        <f>IF(OR(F59="",N10="",N10&lt;=0),"",IF(LEN(F59)&lt;=N10,LEN(F59),IFERROR(FIND("♦",SUBSTITUTE(LEFT(F59,N10)," ","♦",LEN(LEFT(F59,N10))-LEN(SUBSTITUTE(LEFT(F59,N10)," ","")))),FIND(" ",F59&amp;" ",N10+1)-1)))</f>
        <v>79</v>
      </c>
      <c r="N59" s="176">
        <f t="shared" si="5"/>
        <v>42</v>
      </c>
      <c r="O59" s="177" t="str">
        <f t="shared" si="6"/>
        <v xml:space="preserve">cellule - Ensuite, dans la colonne B copiez le texte nettoyé - puis dans votre </v>
      </c>
      <c r="P59" s="176">
        <f t="shared" si="7"/>
        <v>15</v>
      </c>
      <c r="Q59" s="176">
        <f t="shared" si="8"/>
        <v>79</v>
      </c>
      <c r="S59" s="178">
        <v>42</v>
      </c>
      <c r="T59" s="179" t="str">
        <f t="shared" si="10"/>
        <v xml:space="preserve">cellule - Ensuite, dans la colonne B copiez le texte nettoyé - puis dans votre </v>
      </c>
      <c r="U59" s="180" t="str">
        <f t="shared" si="11"/>
        <v>cellule - Ensuite, dans la colonne B copiez le texte nettoyé - puis dans votre</v>
      </c>
      <c r="V59" s="181" t="str">
        <f>IF(48=48,IF(T59="","",IF(W59="X",""&amp;"Céréales contenant du gluten","")&amp;IF(X59="X",IF(COUNTIF(W59:W59,"X")&gt;0,", ","")&amp;"Crustacés","")&amp;IF(Y59="X",IF(COUNTIF(W59:X59,"X")&gt;0,", ","")&amp;"Œufs","")&amp;IF(Z59="X",IF(COUNTIF(W59:Y59,"X")&gt;0,", ","")&amp;"Poissons","")&amp;IF(AA59="X",IF(COUNTIF(W59:Z59,"X")&gt;0,", ","")&amp;"Arachides","")&amp;IF(AB59="X",IF(COUNTIF(W59:AA59,"X")&gt;0,", ","")&amp;"Soja","")&amp;IF(AC59="X",IF(COUNTIF(W59:AB59,"X")&gt;0,", ","")&amp;"Lait","")&amp;IF(AD59="X",IF(COUNTIF(W59:AC59,"X")&gt;0,", ","")&amp;"Fruits à coque","")&amp;IF(AE59="X",IF(COUNTIF(W59:AD59,"X")&gt;0,", ","")&amp;"Céleri","")&amp;IF(AF59="X",IF(COUNTIF(W59:AE59,"X")&gt;0,", ","")&amp;"Moutarde","")&amp;IF(AG59="X",IF(COUNTIF(W59:AF59,"X")&gt;0,", ","")&amp;"Sésame","")&amp;IF(AH59="X",IF(COUNTIF(W59:AG59,"X")&gt;0,", ","")&amp;"Sulfites","")&amp;IF(AI59="X",IF(COUNTIF(W59:AH59,"X")&gt;0,", ","")&amp;"Lupin","")&amp;IF(AJ59="X",IF(COUNTIF(W59:AI59,"X")&gt;0,", ","")&amp;"Mollusques","")),"")</f>
        <v/>
      </c>
      <c r="W59" s="182" t="str">
        <f>IF(48=48,IF(T59="","",AX59),"")</f>
        <v/>
      </c>
      <c r="X59" s="182" t="str">
        <f>IF(48=48,IF(T59="","",BA59),"")</f>
        <v/>
      </c>
      <c r="Y59" s="182" t="str">
        <f>IF(48=48,IF(T59="","",BE59),"")</f>
        <v/>
      </c>
      <c r="Z59" s="182" t="str">
        <f>IF(48=48,IF(T59="","",IF(ISNUMBER(SEARCH(" colin ",AS59)),"X",BR59)),"")</f>
        <v/>
      </c>
      <c r="AA59" s="182" t="str">
        <f>IF(48=48,IF(T59="","",BT59),"")</f>
        <v/>
      </c>
      <c r="AB59" s="182" t="str">
        <f>IF(48=48,IF(T59="","",BX59),"")</f>
        <v/>
      </c>
      <c r="AC59" s="182" t="str">
        <f>IF(48=48,IF(T59="","",CE59),"")</f>
        <v/>
      </c>
      <c r="AD59" s="182" t="str">
        <f>IF(48=48,IF(T59="","",CI59),"")</f>
        <v/>
      </c>
      <c r="AE59" s="182" t="str">
        <f>IF(48=48,IF(T59="","",CL59),"")</f>
        <v/>
      </c>
      <c r="AF59" s="182" t="str">
        <f>IF(48=48,IF(T59="","",CO59),"")</f>
        <v/>
      </c>
      <c r="AG59" s="182" t="str">
        <f>IF(48=48,IF(T59="","",CR59),"")</f>
        <v/>
      </c>
      <c r="AH59" s="182" t="str">
        <f>IF(48=48,IF(T59="","",CU59),"")</f>
        <v/>
      </c>
      <c r="AI59" s="182" t="str">
        <f>IF(48=48,IF(T59="","",CX59),"")</f>
        <v/>
      </c>
      <c r="AJ59" s="182" t="str">
        <f>IF(48=48,IF(T59="","",DD59),"")</f>
        <v/>
      </c>
      <c r="AK59" s="183" t="str">
        <f>IF(48=48,IF(T59="","",IF(W59="?",""&amp;"Céréales contenant du gluten","")&amp;IF(X59="?",IF(COUNTIF(W59:W59,"~?")&gt;0,", ","")&amp;"Crustacés","")&amp;IF(Y59="?",IF(COUNTIF(W59:X59,"~?")&gt;0,", ","")&amp;"Œufs","")&amp;IF(Z59="?",IF(COUNTIF(W59:Y59,"~?")&gt;0,", ","")&amp;"Poissons","")&amp;IF(AA59="?",IF(COUNTIF(W59:Z59,"~?")&gt;0,", ","")&amp;"Arachides","")&amp;IF(AB59="?",IF(COUNTIF(W59:AA59,"~?")&gt;0,", ","")&amp;"Soja","")&amp;IF(AC59="?",IF(COUNTIF(W59:AB59,"~?")&gt;0,", ","")&amp;"Lait","")&amp;IF(AD59="?",IF(COUNTIF(W59:AC59,"~?")&gt;0,", ","")&amp;"Fruits à coque","")&amp;IF(AE59="?",IF(COUNTIF(W59:AD59,"~?")&gt;0,", ","")&amp;"Céleri","")&amp;IF(AF59="?",IF(COUNTIF(W59:AE59,"~?")&gt;0,", ","")&amp;"Moutarde","")&amp;IF(AG59="?",IF(COUNTIF(W59:AF59,"~?")&gt;0,", ","")&amp;"Sésame","")&amp;IF(AH59="?",IF(COUNTIF(W59:AG59,"~?")&gt;0,", ","")&amp;"Sulfites","")&amp;IF(AI59="?",IF(COUNTIF(W59:AH59,"~?")&gt;0,", ","")&amp;"Lupin","")&amp;IF(AJ59="?",IF(COUNTIF(W59:AI59,"~?")&gt;0,", ","")&amp;"Mollusques","")),"")</f>
        <v/>
      </c>
      <c r="AM59" s="127" t="str">
        <f>IF(48=48,IF(T59="","",T59),"")</f>
        <v xml:space="preserve">cellule - Ensuite, dans la colonne B copiez le texte nettoyé - puis dans votre </v>
      </c>
      <c r="AN59" s="127" t="str">
        <f>IF(48=48,LOWER(CLEAN(SUBSTITUTE(SUBSTITUTE(SUBSTITUTE(SUBSTITUTE(AM59,CHAR(160)," ")," "," "),CHAR(10)," "),CHAR(13)," "))),"")</f>
        <v xml:space="preserve">cellule - ensuite, dans la colonne b copiez le texte nettoyé - puis dans votre </v>
      </c>
      <c r="AO59" s="127" t="str">
        <f>IF(48=48,SUBSTITUTE(SUBSTITUTE(SUBSTITUTE(SUBSTITUTE(SUBSTITUTE(SUBSTITUTE(SUBSTITUTE(SUBSTITUTE(SUBSTITUTE(SUBSTITUTE(SUBSTITUTE(SUBSTITUTE(AN59,"œ","oe"),"æ","ae"),"à","a"),"á","a"),"â","a"),"ä","a"),"ã","a"),"ç","c"),"è","e"),"é","e"),"ê","e"),"ë","e"),"")</f>
        <v xml:space="preserve">cellule - ensuite, dans la colonne b copiez le texte nettoye - puis dans votre </v>
      </c>
      <c r="AP59" s="127" t="str">
        <f>IF(48=48,SUBSTITUTE(SUBSTITUTE(SUBSTITUTE(SUBSTITUTE(SUBSTITUTE(SUBSTITUTE(SUBSTITUTE(SUBSTITUTE(SUBSTITUTE(SUBSTITUTE(SUBSTITUTE(SUBSTITUTE(SUBSTITUTE(SUBSTITUTE(SUBSTITUTE(SUBSTITUTE(AO59,"ì","i"),"í","i"),"î","i"),"ï","i"),"ñ","n"),"ò","o"),"ó","o"),"ô","o"),"ö","o"),"õ","o"),"ù","u"),"ú","u"),"û","u"),"ü","u"),"ý","y"),"ÿ","y"),"")</f>
        <v xml:space="preserve">cellule - ensuite, dans la colonne b copiez le texte nettoye - puis dans votre </v>
      </c>
      <c r="AQ59" s="127" t="str">
        <f>IF(48=48,SUBSTITUTE(SUBSTITUTE(SUBSTITUTE(SUBSTITUTE(SUBSTITUTE(SUBSTITUTE(SUBSTITUTE(SUBSTITUTE(SUBSTITUTE(SUBSTITUTE(SUBSTITUTE(SUBSTITUTE(SUBSTITUTE(SUBSTITUTE(AP59,"’"," "),"`"," "),"–"," "),"—"," "),"-"," "),"'"," "),"/"," "),"_"," "),","," "),"."," "),"("," "),")"," "),";"," "),":"," "),"")</f>
        <v xml:space="preserve">cellule   ensuite  dans la colonne b copiez le texte nettoye   puis dans votre </v>
      </c>
      <c r="AR59" s="127" t="str">
        <f>IF(48=48,SUBSTITUTE(SUBSTITUTE(SUBSTITUTE(SUBSTITUTE(SUBSTITUTE(SUBSTITUTE(SUBSTITUTE(SUBSTITUTE(SUBSTITUTE(SUBSTITUTE(SUBSTITUTE(SUBSTITUTE(SUBSTITUTE(SUBSTITUTE(SUBSTITUTE(AQ59,"!"," "),"?"," "),"+"," "),"*"," "),"&amp;"," "),"["," "),"]"," "),"{"," "),"}"," "),"%"," "),"="," "),"\"," "),"|"," "),"&lt;"," "),"&gt;"," "),"")</f>
        <v xml:space="preserve">cellule   ensuite  dans la colonne b copiez le texte nettoye   puis dans votre </v>
      </c>
      <c r="AS59" s="127" t="str">
        <f>IF(48=48," "&amp;TRIM(SUBSTITUTE(SUBSTITUTE(SUBSTITUTE(SUBSTITUTE(SUBSTITUTE(SUBSTITUTE(AR59,CHAR(34)," "),"  "," "),"  "," "),"  "," "),"  "," "),"  "," "))&amp;" ","")</f>
        <v xml:space="preserve"> cellule ensuite dans la colonne b copiez le texte nettoye puis dans votre </v>
      </c>
      <c r="AT59" s="127" cm="1">
        <f t="array" ref="AT59">IF(48=48,IF(AM59="","",SUMPRODUCT(--ISNUMBER(SEARCH(" "&amp;DJ13:DJ112&amp;" ",AV59)))),"")</f>
        <v>0</v>
      </c>
      <c r="AU59" s="127" cm="1">
        <f t="array" ref="AU59">IF(48=48,IF(AM59="","",SUMPRODUCT(--ISNUMBER(SEARCH(" "&amp;DJ113:DJ162&amp;" ",AV59)))),"")</f>
        <v>0</v>
      </c>
      <c r="AV59" s="127" t="str">
        <f>IF(AM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cellule ensuite dans la colonne b copiez le texte nettoye puis dans votre </v>
      </c>
      <c r="AW59" s="127" cm="1">
        <f t="array" ref="AW59">IF(AM59="","",SUMPRODUCT(--ISNUMBER(SEARCH(" "&amp;DJ195:DJ216&amp;" ",AV59)))+--ISNUMBER(SEARCH(" "&amp;DJ2465&amp;" ",AV59)))</f>
        <v>0</v>
      </c>
      <c r="AX59" s="127" t="str" cm="1">
        <f t="array" ref="AX59">IF(48=48,IF(AM59="","",IF(SUM(AT59:AU59)+SUMPRODUCT(--ISNUMBER(SEARCH(" "&amp;DJ2429:DJ2431&amp;" ",AV59)))&gt;0,"X",IF(AW59&gt;0,"?",""))),"")</f>
        <v/>
      </c>
      <c r="AY59" s="127" cm="1">
        <f t="array" ref="AY59">IF(48=48,IF(AM59="","",SUMPRODUCT(--ISNUMBER(SEARCH(" "&amp;DJ217:DJ316&amp;" ",AS59)))),"")</f>
        <v>0</v>
      </c>
      <c r="AZ59" s="127" cm="1">
        <f t="array" ref="AZ59">IF(48=48,IF(AM59="","",SUMPRODUCT(--ISNUMBER(SEARCH(" "&amp;DJ317:DJ351&amp;" ",AS59)))),"")</f>
        <v>0</v>
      </c>
      <c r="BA59" s="127" t="str">
        <f>IF(48=48,IF(AM59="","",IF((SUM(AY59:AZ59))-(0)&gt;0,"X",IF((0)-(0)&gt;0,"?",""))),"")</f>
        <v/>
      </c>
      <c r="BB59" s="127" cm="1">
        <f t="array" ref="BB59">IF(48=48,IF(AM59="","",SUMPRODUCT(--ISNUMBER(SEARCH(" "&amp;DJ352:DJ409&amp;" ",AS59)))),"")</f>
        <v>0</v>
      </c>
      <c r="BC59" s="127" cm="1">
        <f t="array" ref="BC59">IF(48=48,IF(AM59="","",SUMPRODUCT(--ISNUMBER(SEARCH(" "&amp;DJ410:DJ437&amp;" ",BD59)))+SUMPRODUCT(--ISNUMBER(SEARCH(" "&amp;DJ2451:DJ2464&amp;" ",BD59)))),"")</f>
        <v>0</v>
      </c>
      <c r="BD59" s="127" t="str">
        <f>IF(48=48,IF(AM59="","",SUBSTITUTE(SUBSTITUTE(SUBSTITUTE(SUBSTITUTE(SUBSTITUTE(SUBSTITUTE(SUBSTITUTE(SUBSTITUTE(SUBSTITUTE(SUBSTITUTE(SUBSTITUTE(SUBSTITUTE(SUBSTITUTE(SUBSTITUTE(AS59," "&amp;DJ2466&amp;" "," ")," "&amp;DJ444&amp;" "," ")," "&amp;DJ442&amp;" "," ")," "&amp;DJ2449&amp;" "," ")," "&amp;DJ2450&amp;" "," ")," "&amp;DJ439&amp;" "," ")," "&amp;DJ443&amp;" "," ")," "&amp;DJ445&amp;" "," ")," "&amp;DJ440&amp;" "," ")," "&amp;DJ438&amp;" "," ")," "&amp;DJ1378&amp;" "," ")," "&amp;DJ446&amp;" "," ")," "&amp;DJ1377&amp;" "," ")," "&amp;DJ441&amp;" "," ")),"")</f>
        <v xml:space="preserve"> cellule ensuite dans la colonne b copiez le texte nettoye puis dans votre </v>
      </c>
      <c r="BE59" s="127" t="str">
        <f>IF(48=48,IF(AM59="","",IF(BB59&gt;0,"X",IF(BC59&gt;0,"?",""))),"")</f>
        <v/>
      </c>
      <c r="BF59" s="127" cm="1">
        <f t="array" ref="BF59">IF(48=48,IF(AM59="","",SUMPRODUCT(--ISNUMBER(SEARCH(" "&amp;DJ447:DJ546&amp;" ",BP59)))),"")</f>
        <v>0</v>
      </c>
      <c r="BG59" s="127" cm="1">
        <f t="array" ref="BG59">IF(48=48,IF(AM59="","",SUMPRODUCT(--ISNUMBER(SEARCH(" "&amp;DJ547:DJ646&amp;" ",BP59)))),"")</f>
        <v>0</v>
      </c>
      <c r="BH59" s="127" cm="1">
        <f t="array" ref="BH59">IF(48=48,IF(AM59="","",SUMPRODUCT(--ISNUMBER(SEARCH(" "&amp;DJ647:DJ746&amp;" ",BP59)))),"")</f>
        <v>0</v>
      </c>
      <c r="BI59" s="127" cm="1">
        <f t="array" ref="BI59">IF(48=48,IF(AM59="","",SUMPRODUCT(--ISNUMBER(SEARCH(" "&amp;DJ747:DJ846&amp;" ",BP59)))),"")</f>
        <v>0</v>
      </c>
      <c r="BJ59" s="127" cm="1">
        <f t="array" ref="BJ59">IF(48=48,IF(AM59="","",SUMPRODUCT(--ISNUMBER(SEARCH(" "&amp;DJ847:DJ946&amp;" ",BP59)))),"")</f>
        <v>0</v>
      </c>
      <c r="BK59" s="127" cm="1">
        <f t="array" ref="BK59">IF(48=48,IF(AM59="","",SUMPRODUCT(--ISNUMBER(SEARCH(" "&amp;DJ947:DJ1046&amp;" ",BP59)))),"")</f>
        <v>0</v>
      </c>
      <c r="BL59" s="127" cm="1">
        <f t="array" ref="BL59">IF(48=48,IF(AM59="","",SUMPRODUCT(--ISNUMBER(SEARCH(" "&amp;DJ1047:DJ1146&amp;" ",BP59)))),"")</f>
        <v>0</v>
      </c>
      <c r="BM59" s="127" cm="1">
        <f t="array" ref="BM59">IF(48=48,IF(AM59="","",SUMPRODUCT(--ISNUMBER(SEARCH(" "&amp;DJ1147:DJ1246&amp;" ",BP59)))),"")</f>
        <v>0</v>
      </c>
      <c r="BN59" s="127" cm="1">
        <f t="array" ref="BN59">IF(48=48,IF(AM59="","",SUMPRODUCT(--ISNUMBER(SEARCH(" "&amp;DJ1247:DJ1346&amp;" ",BP59)))),"")</f>
        <v>0</v>
      </c>
      <c r="BO59" s="127" cm="1">
        <f t="array" ref="BO59">IF(48=48,IF(AM59="","",SUMPRODUCT(--ISNUMBER(SEARCH(" "&amp;DJ1347:DJ1374&amp;" ",BP59)))),"")</f>
        <v>0</v>
      </c>
      <c r="BP59" s="127" t="str">
        <f>IF(48=48,IF(AM59="","",SUBSTITUTE(SUBSTITUTE(SUBSTITUTE(SUBSTITUTE(SUBSTITUTE(SUBSTITUTE(SUBSTITUTE(SUBSTITUTE(SUBSTITUTE(AS59," "&amp;DJ1376&amp;" "," ")," "&amp;DJ1375&amp;" "," ")," "&amp;DJ1381&amp;" "," ")," "&amp;DJ1382&amp;" "," ")," "&amp;DJ1378&amp;" "," ")," "&amp;DJ1380&amp;" "," ")," "&amp;DJ1377&amp;" "," ")," "&amp;DJ1379&amp;" "," ")," "&amp;DJ1383&amp;" "," ")),"")</f>
        <v xml:space="preserve"> cellule ensuite dans la colonne b copiez le texte nettoye puis dans votre </v>
      </c>
      <c r="BQ59" s="127" cm="1">
        <f t="array" ref="BQ59">IF(48=48,IF(AM59="","",SUMPRODUCT(--ISNUMBER(SEARCH(" "&amp;DJ1384:DJ1394&amp;" ",BP59)))),"")</f>
        <v>0</v>
      </c>
      <c r="BR59" s="127" t="str" cm="1">
        <f t="array" ref="BR59">IF(48=48,IF(AM59="","",IF(SUM(BF59:BO59)+SUMPRODUCT(--ISNUMBER(SEARCH(" "&amp;DJ2432:DJ2433&amp;" ",BP59)))&gt;0,"X",IF(BQ59&gt;0,"?",""))),"")</f>
        <v/>
      </c>
      <c r="BS59" s="127" cm="1">
        <f t="array" ref="BS59">IF(48=48,IF(AM59="","",SUMPRODUCT(--ISNUMBER(SEARCH(" "&amp;DJ1395:DJ1415&amp;" ",AS59)))),"")</f>
        <v>0</v>
      </c>
      <c r="BT59" s="127" t="str">
        <f>IF(48=48,IF(AM59="","",IF((BS59)-(0)&gt;0,"X",IF((0)-(0)&gt;0,"?",""))),"")</f>
        <v/>
      </c>
      <c r="BU59" s="127" cm="1">
        <f t="array" ref="BU59">IF(48=48,IF(AM59="","",SUMPRODUCT(--ISNUMBER(SEARCH(" "&amp;DJ1416:DJ1453&amp;" ",BV59)))),"")</f>
        <v>0</v>
      </c>
      <c r="BV59" s="127" t="str">
        <f>IF(48=48,IF(AM59="","",SUBSTITUTE(SUBSTITUTE(AS59," "&amp;DJ1454&amp;" "," ")," "&amp;DJ1455&amp;" "," ")),"")</f>
        <v xml:space="preserve"> cellule ensuite dans la colonne b copiez le texte nettoye puis dans votre </v>
      </c>
      <c r="BW59" s="127" cm="1">
        <f t="array" ref="BW59">IF(48=48,IF(AM59="","",SUMPRODUCT(--ISNUMBER(SEARCH(" "&amp;DJ1456:DJ1466&amp;" ",BV59)))),"")</f>
        <v>0</v>
      </c>
      <c r="BX59" s="127" t="str">
        <f>IF(48=48,IF(AM59="","",IF(BU59&gt;0,"X",IF(BW59&gt;0,"?",""))),"")</f>
        <v/>
      </c>
      <c r="BY59" s="127" cm="1">
        <f t="array" ref="BY59">IF(48=48,IF(AM59="","",SUMPRODUCT(--ISNUMBER(SEARCH(" "&amp;DJ1467:DJ1566&amp;" ",CB59)))),"")</f>
        <v>0</v>
      </c>
      <c r="BZ59" s="127" cm="1">
        <f t="array" ref="BZ59">IF(48=48,IF(AM59="","",SUMPRODUCT(--ISNUMBER(SEARCH(" "&amp;DJ1567:DJ1666&amp;" ",CB59)))),"")</f>
        <v>0</v>
      </c>
      <c r="CA59" s="127" cm="1">
        <f t="array" ref="CA59">IF(48=48,IF(AM59="","",SUMPRODUCT(--ISNUMBER(SEARCH(" "&amp;DJ1667:DJ1750&amp;" ",CB59)))),"")</f>
        <v>0</v>
      </c>
      <c r="CB59" s="127" t="str">
        <f>IF(48=48,IF(AM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cellule ensuite dans la colonne b copiez le texte nettoye puis dans votre </v>
      </c>
      <c r="CC59" s="127" cm="1">
        <f t="array" ref="CC59">IF(48=48,IF(AM59="","",SUMPRODUCT(--ISNUMBER(SEARCH(" "&amp;DJ1801:DJ1880&amp;" ",CD59)))+SUMPRODUCT(--ISNUMBER(SEARCH(" "&amp;DJ2451:DJ2464&amp;" ",CD59)))),"")</f>
        <v>0</v>
      </c>
      <c r="CD59" s="127" t="str">
        <f>IF(48=48,IF(AM59="","",SUBSTITUTE(SUBSTITUTE(SUBSTITUTE(SUBSTITUTE(SUBSTITUTE(SUBSTITUTE(SUBSTITUTE(SUBSTITUTE(SUBSTITUTE(SUBSTITUTE(SUBSTITUTE(SUBSTITUTE(SUBSTITUTE(CB59," "&amp;DJ1887&amp;" "," ")," "&amp;DJ1885&amp;" "," ")," "&amp;DJ2449&amp;" "," ")," "&amp;DJ2450&amp;" "," ")," "&amp;DJ1882&amp;" "," ")," "&amp;DJ1886&amp;" "," ")," "&amp;DJ1888&amp;" "," ")," "&amp;DJ1883&amp;" "," ")," "&amp;DJ1881&amp;" "," ")," "&amp;DJ1378&amp;" "," ")," "&amp;DJ1889&amp;" "," ")," "&amp;DJ1377&amp;" "," ")," "&amp;DJ1884&amp;" "," ")),"")</f>
        <v xml:space="preserve"> cellule ensuite dans la colonne b copiez le texte nettoye puis dans votre </v>
      </c>
      <c r="CE59" s="127" t="str" cm="1">
        <f t="array" ref="CE59">IF(48=48,IF(AM59="","",IF(SUM(BY59:CA59)+SUMPRODUCT(--ISNUMBER(SEARCH(" "&amp;DJ2434:DJ2435&amp;" ",CB59)))&gt;0,"X",IF(CC59&gt;0,"?",""))),"")</f>
        <v/>
      </c>
      <c r="CF59" s="127" cm="1">
        <f t="array" ref="CF59">IF(48=48,IF(AM59="","",SUMPRODUCT(--ISNUMBER(SEARCH(" "&amp;DJ1890:DJ1947&amp;" ",CG59)))),"")</f>
        <v>0</v>
      </c>
      <c r="CG59" s="127" t="str">
        <f>IF(48=48,IF(AM59="","",SUBSTITUTE(SUBSTITUTE(SUBSTITUTE(SUBSTITUTE(SUBSTITUTE(SUBSTITUTE(SUBSTITUTE(SUBSTITUTE(SUBSTITUTE(SUBSTITUTE(SUBSTITUTE(SUBSTITUTE(SUBSTITUTE(SUBSTITUTE(SUBSTITUTE(SUBSTITUTE(SUBSTITUTE(SUBSTITUTE(SUBSTITUTE(SUBSTITUTE(SUBSTITUTE(SUBSTITUTE(SUBSTITUTE(AS59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cellule ensuite dans la colonne b copiez le texte nettoye puis dans votre </v>
      </c>
      <c r="CH59" s="127" cm="1">
        <f t="array" ref="CH59">IF(48=48,IF(AM59="","",SUMPRODUCT(--ISNUMBER(SEARCH(" "&amp;DJ1971:DJ1987&amp;" ",CG59)))),"")</f>
        <v>0</v>
      </c>
      <c r="CI59" s="127" t="str">
        <f>IF(48=48,IF(AM59="","",IF(CF59&gt;0,"X",IF(CH59&gt;0,"?",""))),"")</f>
        <v/>
      </c>
      <c r="CJ59" s="127" cm="1">
        <f t="array" ref="CJ59">IF(48=48,IF(AM59="","",SUMPRODUCT(--ISNUMBER(SEARCH(" "&amp;DJ1988:DJ2001&amp;" ",AS59)))),"")</f>
        <v>0</v>
      </c>
      <c r="CK59" s="127" cm="1">
        <f t="array" ref="CK59">IF(48=48,IF(AM59="","",SUMPRODUCT(--ISNUMBER(SEARCH(" "&amp;DJ2002:DJ2016&amp;" ",AS59)))),"")</f>
        <v>0</v>
      </c>
      <c r="CL59" s="127" t="str">
        <f>IF(48=48,IF(AM59="","",IF((CJ59)-(0)&gt;0,"X",IF((CK59)-(0)&gt;0,"?",""))),"")</f>
        <v/>
      </c>
      <c r="CM59" s="127" cm="1">
        <f t="array" ref="CM59">IF(48=48,IF(AM59="","",SUMPRODUCT(--ISNUMBER(SEARCH(" "&amp;DJ2017:DJ2034&amp;" ",AS59)))),"")</f>
        <v>0</v>
      </c>
      <c r="CN59" s="127" cm="1">
        <f t="array" ref="CN59">IF(48=48,IF(AM59="","",SUMPRODUCT(--ISNUMBER(SEARCH(" "&amp;DJ2035:DJ2049&amp;" ",AS59)))),"")</f>
        <v>0</v>
      </c>
      <c r="CO59" s="127" t="str">
        <f>IF(48=48,IF(AM59="","",IF((CM59)-(0)&gt;0,"X",IF((CN59)-(0)&gt;0,"?",""))),"")</f>
        <v/>
      </c>
      <c r="CP59" s="127" cm="1">
        <f t="array" ref="CP59">IF(48=48,IF(AM59="","",SUMPRODUCT(--ISNUMBER(SEARCH(" "&amp;DJ2050:DJ2068&amp;" ",AS59)))),"")</f>
        <v>0</v>
      </c>
      <c r="CQ59" s="127" cm="1">
        <f t="array" ref="CQ59">IF(48=48,IF(AM59="","",SUMPRODUCT(--ISNUMBER(SEARCH(" "&amp;DJ2069:DJ2083&amp;" ",AS59)))),"")</f>
        <v>0</v>
      </c>
      <c r="CR59" s="127" t="str">
        <f>IF(48=48,IF(AM59="","",IF((CP59)-(0)&gt;0,"X",IF((CQ59)-(0)&gt;0,"?",""))),"")</f>
        <v/>
      </c>
      <c r="CS59" s="127" cm="1">
        <f t="array" ref="CS59">IF(48=48,IF(AM59="","",SUMPRODUCT(--ISNUMBER(SEARCH(" "&amp;DJ2084:DJ2104&amp;" ",AS59)))),"")</f>
        <v>0</v>
      </c>
      <c r="CT59" s="127" cm="1">
        <f t="array" ref="CT59">IF(48=48,IF(AM59="","",SUMPRODUCT(--ISNUMBER(SEARCH(" "&amp;DJ2105:DJ2144&amp;" ",SUBSTITUTE(SUBSTITUTE(AS59," "&amp;DJ1378&amp;" "," ")," "&amp;DJ1377&amp;" "," "))))+--ISNUMBER(SEARCH("poiré",AN59))),"")</f>
        <v>0</v>
      </c>
      <c r="CU59" s="127" t="str">
        <f>IF(48=48,IF(AM59="","",IF(OR(CS59&gt;0,ISNUMBER(SEARCH(" vinaigre de vin ",AS59)),ISNUMBER(SEARCH(" vinaigre au vin ",AS59))),"X",IF(CT59&gt;0,"?",""))),"")</f>
        <v/>
      </c>
      <c r="CV59" s="127" cm="1">
        <f t="array" ref="CV59">IF(48=48,IF(AM59="","",SUMPRODUCT(--ISNUMBER(SEARCH(" "&amp;DJ2145:DJ2157&amp;" ",AS59)))),"")</f>
        <v>0</v>
      </c>
      <c r="CW59" s="127" cm="1">
        <f t="array" ref="CW59">IF(48=48,IF(AM59="","",SUMPRODUCT(--ISNUMBER(SEARCH(" "&amp;DJ2158:DJ2163&amp;" ",AS59)))),"")</f>
        <v>0</v>
      </c>
      <c r="CX59" s="127" t="str">
        <f>IF(48=48,IF(AM59="","",IF((CV59)-(0)&gt;0,"X",IF((CW59)-(0)&gt;0,"?",""))),"")</f>
        <v/>
      </c>
      <c r="CY59" s="127" cm="1">
        <f t="array" ref="CY59">IF(48=48,IF(AM59="","",SUMPRODUCT(--ISNUMBER(SEARCH(" "&amp;DJ2164:DJ2263&amp;" ",DB59)))),"")</f>
        <v>0</v>
      </c>
      <c r="CZ59" s="127" cm="1">
        <f t="array" ref="CZ59">IF(48=48,IF(AM59="","",SUMPRODUCT(--ISNUMBER(SEARCH(" "&amp;DJ2264:DJ2363&amp;" ",DB59)))),"")</f>
        <v>0</v>
      </c>
      <c r="DA59" s="127" cm="1">
        <f t="array" ref="DA59">IF(48=48,IF(AM59="","",SUMPRODUCT(--ISNUMBER(SEARCH(" "&amp;DJ2364:DJ2406&amp;" ",DB59)))),"")</f>
        <v>0</v>
      </c>
      <c r="DB59" s="127" t="str">
        <f>IF(48=48,IF(AM59="","",SUBSTITUTE(SUBSTITUTE(SUBSTITUTE(SUBSTITUTE(SUBSTITUTE(SUBSTITUTE(SUBSTITUTE(SUBSTITUTE(SUBSTITUTE(SUBSTITUTE(SUBSTITUTE(SUBSTITUTE(SUBSTITUTE(SUBSTITUTE(SUBSTITUTE(SUBSTITUTE(AS59," "&amp;DJ2412&amp;" "," ")," "&amp;DJ2411&amp;" "," ")," "&amp;DJ2410&amp;" "," ")," "&amp;DJ2417&amp;" "," ")," "&amp;DJ2409&amp;" "," ")," "&amp;DJ2421&amp;" "," ")," "&amp;DJ2408&amp;" "," ")," "&amp;DJ2413&amp;" "," ")," "&amp;DJ2416&amp;" "," ")," "&amp;DJ2407&amp;" "," ")," "&amp;DJ2415&amp;" "," ")," "&amp;DJ2422&amp;" "," ")," "&amp;DJ2419&amp;" "," ")," "&amp;DJ2414&amp;" "," ")," "&amp;DJ2418&amp;" "," ")," "&amp;DJ2420&amp;" "," ")),"")</f>
        <v xml:space="preserve"> cellule ensuite dans la colonne b copiez le texte nettoye puis dans votre </v>
      </c>
      <c r="DC59" s="127" cm="1">
        <f t="array" ref="DC59">IF(48=48,IF(AM59="","",SUMPRODUCT(--ISNUMBER(SEARCH(" "&amp;DJ2423:DJ2427&amp;" ",DB59)))),"")</f>
        <v>0</v>
      </c>
      <c r="DD59" s="127" t="str">
        <f>IF(48=48,IF(AM59="","",IF(SUM(CY59:DA59)&gt;0,"X",IF(DC59&gt;0,"?",""))),"")</f>
        <v/>
      </c>
      <c r="DE59" s="152"/>
      <c r="DF59" s="160" t="s">
        <v>754</v>
      </c>
      <c r="DG59" s="160" t="s">
        <v>584</v>
      </c>
      <c r="DH59" s="160" t="s">
        <v>125</v>
      </c>
      <c r="DI59" s="160" t="s">
        <v>460</v>
      </c>
      <c r="DJ59" s="160" t="s">
        <v>460</v>
      </c>
      <c r="DK59" s="160" t="s">
        <v>588</v>
      </c>
      <c r="DL59" s="160" t="s">
        <v>589</v>
      </c>
      <c r="DM59" s="160" t="s">
        <v>590</v>
      </c>
      <c r="DN59" s="161" t="s">
        <v>591</v>
      </c>
      <c r="DP59" s="130">
        <v>1</v>
      </c>
    </row>
    <row r="60" spans="2:120" ht="30" customHeight="1">
      <c r="B60" s="165" t="str">
        <f t="shared" si="0"/>
        <v/>
      </c>
      <c r="C60" s="165" t="str">
        <f t="shared" si="1"/>
        <v/>
      </c>
      <c r="D60" s="165" t="str">
        <f>IF(UPPER(TRIM(N11))="X",C60,B60)</f>
        <v/>
      </c>
      <c r="E60" s="165" cm="1">
        <f t="array" ref="E60">IF(H59&lt;&gt;"",E59,IF(E59="","",IFERROR(MATCH(TRUE(),INDEX(INDEX(K:K,E59+1):K203&lt;&gt;"",0),0)+E59,"")))</f>
        <v>45</v>
      </c>
      <c r="F60" s="165" t="str" cm="1">
        <f t="array" ref="F60">IF(E60="","",IF(H59&lt;&gt;"",H59,INDEX(D:D,E60)))</f>
        <v>document faites Collage spécial &gt; 1.2.3 Valeurs pour ne coller que le texte, sans formules.</v>
      </c>
      <c r="G60" s="165" t="str">
        <f t="shared" si="2"/>
        <v xml:space="preserve">document faites Collage spécial &gt; 1.2.3 Valeurs pour ne coller que le texte, </v>
      </c>
      <c r="H60" s="174" t="str">
        <f t="shared" si="3"/>
        <v>sans formules.</v>
      </c>
      <c r="I60" s="184" t="str">
        <f>IF(AND(F60&lt;&gt;"",N10&gt;0,M60&gt;N10),"Mot &gt; limite","")</f>
        <v/>
      </c>
      <c r="J60" s="175" t="str">
        <f>IF(K60="","",COUNTIF(K18:K60,"&lt;&gt;"))</f>
        <v/>
      </c>
      <c r="K60" s="111"/>
      <c r="L60" s="175" t="str">
        <f t="shared" si="4"/>
        <v/>
      </c>
      <c r="M60" s="135">
        <f>IF(OR(F60="",N10="",N10&lt;=0),"",IF(LEN(F60)&lt;=N10,LEN(F60),IFERROR(FIND("♦",SUBSTITUTE(LEFT(F60,N10)," ","♦",LEN(LEFT(F60,N10))-LEN(SUBSTITUTE(LEFT(F60,N10)," ","")))),FIND(" ",F60&amp;" ",N10+1)-1)))</f>
        <v>77</v>
      </c>
      <c r="N60" s="176">
        <f t="shared" si="5"/>
        <v>43</v>
      </c>
      <c r="O60" s="177" t="str">
        <f t="shared" si="6"/>
        <v xml:space="preserve">document faites Collage spécial &gt; 1.2.3 Valeurs pour ne coller que le texte, </v>
      </c>
      <c r="P60" s="176">
        <f t="shared" si="7"/>
        <v>13</v>
      </c>
      <c r="Q60" s="176">
        <f t="shared" si="8"/>
        <v>77</v>
      </c>
      <c r="S60" s="178">
        <v>43</v>
      </c>
      <c r="T60" s="179" t="str">
        <f t="shared" si="10"/>
        <v xml:space="preserve">document faites Collage spécial &gt; 1.2.3 Valeurs pour ne coller que le texte, </v>
      </c>
      <c r="U60" s="180" t="str">
        <f t="shared" si="11"/>
        <v>document faites Collage spécial &gt; 1.2.3 Valeurs pour ne coller que le texte,</v>
      </c>
      <c r="V60" s="181" t="str">
        <f>IF(49=49,IF(T60="","",IF(W60="X",""&amp;"Céréales contenant du gluten","")&amp;IF(X60="X",IF(COUNTIF(W60:W60,"X")&gt;0,", ","")&amp;"Crustacés","")&amp;IF(Y60="X",IF(COUNTIF(W60:X60,"X")&gt;0,", ","")&amp;"Œufs","")&amp;IF(Z60="X",IF(COUNTIF(W60:Y60,"X")&gt;0,", ","")&amp;"Poissons","")&amp;IF(AA60="X",IF(COUNTIF(W60:Z60,"X")&gt;0,", ","")&amp;"Arachides","")&amp;IF(AB60="X",IF(COUNTIF(W60:AA60,"X")&gt;0,", ","")&amp;"Soja","")&amp;IF(AC60="X",IF(COUNTIF(W60:AB60,"X")&gt;0,", ","")&amp;"Lait","")&amp;IF(AD60="X",IF(COUNTIF(W60:AC60,"X")&gt;0,", ","")&amp;"Fruits à coque","")&amp;IF(AE60="X",IF(COUNTIF(W60:AD60,"X")&gt;0,", ","")&amp;"Céleri","")&amp;IF(AF60="X",IF(COUNTIF(W60:AE60,"X")&gt;0,", ","")&amp;"Moutarde","")&amp;IF(AG60="X",IF(COUNTIF(W60:AF60,"X")&gt;0,", ","")&amp;"Sésame","")&amp;IF(AH60="X",IF(COUNTIF(W60:AG60,"X")&gt;0,", ","")&amp;"Sulfites","")&amp;IF(AI60="X",IF(COUNTIF(W60:AH60,"X")&gt;0,", ","")&amp;"Lupin","")&amp;IF(AJ60="X",IF(COUNTIF(W60:AI60,"X")&gt;0,", ","")&amp;"Mollusques","")),"")</f>
        <v/>
      </c>
      <c r="W60" s="182" t="str">
        <f>IF(49=49,IF(T60="","",AX60),"")</f>
        <v/>
      </c>
      <c r="X60" s="182" t="str">
        <f>IF(49=49,IF(T60="","",BA60),"")</f>
        <v/>
      </c>
      <c r="Y60" s="182" t="str">
        <f>IF(49=49,IF(T60="","",BE60),"")</f>
        <v/>
      </c>
      <c r="Z60" s="182" t="str">
        <f>IF(49=49,IF(T60="","",IF(ISNUMBER(SEARCH(" colin ",AS60)),"X",BR60)),"")</f>
        <v/>
      </c>
      <c r="AA60" s="182" t="str">
        <f>IF(49=49,IF(T60="","",BT60),"")</f>
        <v/>
      </c>
      <c r="AB60" s="182" t="str">
        <f>IF(49=49,IF(T60="","",BX60),"")</f>
        <v/>
      </c>
      <c r="AC60" s="182" t="str">
        <f>IF(49=49,IF(T60="","",CE60),"")</f>
        <v/>
      </c>
      <c r="AD60" s="182" t="str">
        <f>IF(49=49,IF(T60="","",CI60),"")</f>
        <v/>
      </c>
      <c r="AE60" s="182" t="str">
        <f>IF(49=49,IF(T60="","",CL60),"")</f>
        <v/>
      </c>
      <c r="AF60" s="182" t="str">
        <f>IF(49=49,IF(T60="","",CO60),"")</f>
        <v/>
      </c>
      <c r="AG60" s="182" t="str">
        <f>IF(49=49,IF(T60="","",CR60),"")</f>
        <v/>
      </c>
      <c r="AH60" s="182" t="str">
        <f>IF(49=49,IF(T60="","",CU60),"")</f>
        <v/>
      </c>
      <c r="AI60" s="182" t="str">
        <f>IF(49=49,IF(T60="","",CX60),"")</f>
        <v/>
      </c>
      <c r="AJ60" s="182" t="str">
        <f>IF(49=49,IF(T60="","",DD60),"")</f>
        <v/>
      </c>
      <c r="AK60" s="183" t="str">
        <f>IF(49=49,IF(T60="","",IF(W60="?",""&amp;"Céréales contenant du gluten","")&amp;IF(X60="?",IF(COUNTIF(W60:W60,"~?")&gt;0,", ","")&amp;"Crustacés","")&amp;IF(Y60="?",IF(COUNTIF(W60:X60,"~?")&gt;0,", ","")&amp;"Œufs","")&amp;IF(Z60="?",IF(COUNTIF(W60:Y60,"~?")&gt;0,", ","")&amp;"Poissons","")&amp;IF(AA60="?",IF(COUNTIF(W60:Z60,"~?")&gt;0,", ","")&amp;"Arachides","")&amp;IF(AB60="?",IF(COUNTIF(W60:AA60,"~?")&gt;0,", ","")&amp;"Soja","")&amp;IF(AC60="?",IF(COUNTIF(W60:AB60,"~?")&gt;0,", ","")&amp;"Lait","")&amp;IF(AD60="?",IF(COUNTIF(W60:AC60,"~?")&gt;0,", ","")&amp;"Fruits à coque","")&amp;IF(AE60="?",IF(COUNTIF(W60:AD60,"~?")&gt;0,", ","")&amp;"Céleri","")&amp;IF(AF60="?",IF(COUNTIF(W60:AE60,"~?")&gt;0,", ","")&amp;"Moutarde","")&amp;IF(AG60="?",IF(COUNTIF(W60:AF60,"~?")&gt;0,", ","")&amp;"Sésame","")&amp;IF(AH60="?",IF(COUNTIF(W60:AG60,"~?")&gt;0,", ","")&amp;"Sulfites","")&amp;IF(AI60="?",IF(COUNTIF(W60:AH60,"~?")&gt;0,", ","")&amp;"Lupin","")&amp;IF(AJ60="?",IF(COUNTIF(W60:AI60,"~?")&gt;0,", ","")&amp;"Mollusques","")),"")</f>
        <v/>
      </c>
      <c r="AM60" s="127" t="str">
        <f>IF(49=49,IF(T60="","",T60),"")</f>
        <v xml:space="preserve">document faites Collage spécial &gt; 1.2.3 Valeurs pour ne coller que le texte, </v>
      </c>
      <c r="AN60" s="127" t="str">
        <f>IF(49=49,LOWER(CLEAN(SUBSTITUTE(SUBSTITUTE(SUBSTITUTE(SUBSTITUTE(AM60,CHAR(160)," ")," "," "),CHAR(10)," "),CHAR(13)," "))),"")</f>
        <v xml:space="preserve">document faites collage spécial &gt; 1.2.3 valeurs pour ne coller que le texte, </v>
      </c>
      <c r="AO60" s="127" t="str">
        <f>IF(49=49,SUBSTITUTE(SUBSTITUTE(SUBSTITUTE(SUBSTITUTE(SUBSTITUTE(SUBSTITUTE(SUBSTITUTE(SUBSTITUTE(SUBSTITUTE(SUBSTITUTE(SUBSTITUTE(SUBSTITUTE(AN60,"œ","oe"),"æ","ae"),"à","a"),"á","a"),"â","a"),"ä","a"),"ã","a"),"ç","c"),"è","e"),"é","e"),"ê","e"),"ë","e"),"")</f>
        <v xml:space="preserve">document faites collage special &gt; 1.2.3 valeurs pour ne coller que le texte, </v>
      </c>
      <c r="AP60" s="127" t="str">
        <f>IF(49=49,SUBSTITUTE(SUBSTITUTE(SUBSTITUTE(SUBSTITUTE(SUBSTITUTE(SUBSTITUTE(SUBSTITUTE(SUBSTITUTE(SUBSTITUTE(SUBSTITUTE(SUBSTITUTE(SUBSTITUTE(SUBSTITUTE(SUBSTITUTE(SUBSTITUTE(SUBSTITUTE(AO60,"ì","i"),"í","i"),"î","i"),"ï","i"),"ñ","n"),"ò","o"),"ó","o"),"ô","o"),"ö","o"),"õ","o"),"ù","u"),"ú","u"),"û","u"),"ü","u"),"ý","y"),"ÿ","y"),"")</f>
        <v xml:space="preserve">document faites collage special &gt; 1.2.3 valeurs pour ne coller que le texte, </v>
      </c>
      <c r="AQ60" s="127" t="str">
        <f>IF(49=49,SUBSTITUTE(SUBSTITUTE(SUBSTITUTE(SUBSTITUTE(SUBSTITUTE(SUBSTITUTE(SUBSTITUTE(SUBSTITUTE(SUBSTITUTE(SUBSTITUTE(SUBSTITUTE(SUBSTITUTE(SUBSTITUTE(SUBSTITUTE(AP60,"’"," "),"`"," "),"–"," "),"—"," "),"-"," "),"'"," "),"/"," "),"_"," "),","," "),"."," "),"("," "),")"," "),";"," "),":"," "),"")</f>
        <v xml:space="preserve">document faites collage special &gt; 1 2 3 valeurs pour ne coller que le texte  </v>
      </c>
      <c r="AR60" s="127" t="str">
        <f>IF(49=49,SUBSTITUTE(SUBSTITUTE(SUBSTITUTE(SUBSTITUTE(SUBSTITUTE(SUBSTITUTE(SUBSTITUTE(SUBSTITUTE(SUBSTITUTE(SUBSTITUTE(SUBSTITUTE(SUBSTITUTE(SUBSTITUTE(SUBSTITUTE(SUBSTITUTE(AQ60,"!"," "),"?"," "),"+"," "),"*"," "),"&amp;"," "),"["," "),"]"," "),"{"," "),"}"," "),"%"," "),"="," "),"\"," "),"|"," "),"&lt;"," "),"&gt;"," "),"")</f>
        <v xml:space="preserve">document faites collage special   1 2 3 valeurs pour ne coller que le texte  </v>
      </c>
      <c r="AS60" s="127" t="str">
        <f>IF(49=49," "&amp;TRIM(SUBSTITUTE(SUBSTITUTE(SUBSTITUTE(SUBSTITUTE(SUBSTITUTE(SUBSTITUTE(AR60,CHAR(34)," "),"  "," "),"  "," "),"  "," "),"  "," "),"  "," "))&amp;" ","")</f>
        <v xml:space="preserve"> document faites collage special 1 2 3 valeurs pour ne coller que le texte </v>
      </c>
      <c r="AT60" s="127" cm="1">
        <f t="array" ref="AT60">IF(49=49,IF(AM60="","",SUMPRODUCT(--ISNUMBER(SEARCH(" "&amp;DJ13:DJ112&amp;" ",AV60)))),"")</f>
        <v>0</v>
      </c>
      <c r="AU60" s="127" cm="1">
        <f t="array" ref="AU60">IF(49=49,IF(AM60="","",SUMPRODUCT(--ISNUMBER(SEARCH(" "&amp;DJ113:DJ162&amp;" ",AV60)))),"")</f>
        <v>0</v>
      </c>
      <c r="AV60" s="127" t="str">
        <f>IF(AM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document faites collage special 1 2 3 valeurs pour ne coller que le texte </v>
      </c>
      <c r="AW60" s="127" cm="1">
        <f t="array" ref="AW60">IF(AM60="","",SUMPRODUCT(--ISNUMBER(SEARCH(" "&amp;DJ195:DJ216&amp;" ",AV60)))+--ISNUMBER(SEARCH(" "&amp;DJ2465&amp;" ",AV60)))</f>
        <v>0</v>
      </c>
      <c r="AX60" s="127" t="str" cm="1">
        <f t="array" ref="AX60">IF(49=49,IF(AM60="","",IF(SUM(AT60:AU60)+SUMPRODUCT(--ISNUMBER(SEARCH(" "&amp;DJ2429:DJ2431&amp;" ",AV60)))&gt;0,"X",IF(AW60&gt;0,"?",""))),"")</f>
        <v/>
      </c>
      <c r="AY60" s="127" cm="1">
        <f t="array" ref="AY60">IF(49=49,IF(AM60="","",SUMPRODUCT(--ISNUMBER(SEARCH(" "&amp;DJ217:DJ316&amp;" ",AS60)))),"")</f>
        <v>0</v>
      </c>
      <c r="AZ60" s="127" cm="1">
        <f t="array" ref="AZ60">IF(49=49,IF(AM60="","",SUMPRODUCT(--ISNUMBER(SEARCH(" "&amp;DJ317:DJ351&amp;" ",AS60)))),"")</f>
        <v>0</v>
      </c>
      <c r="BA60" s="127" t="str">
        <f>IF(49=49,IF(AM60="","",IF((SUM(AY60:AZ60))-(0)&gt;0,"X",IF((0)-(0)&gt;0,"?",""))),"")</f>
        <v/>
      </c>
      <c r="BB60" s="127" cm="1">
        <f t="array" ref="BB60">IF(49=49,IF(AM60="","",SUMPRODUCT(--ISNUMBER(SEARCH(" "&amp;DJ352:DJ409&amp;" ",AS60)))),"")</f>
        <v>0</v>
      </c>
      <c r="BC60" s="127" cm="1">
        <f t="array" ref="BC60">IF(49=49,IF(AM60="","",SUMPRODUCT(--ISNUMBER(SEARCH(" "&amp;DJ410:DJ437&amp;" ",BD60)))+SUMPRODUCT(--ISNUMBER(SEARCH(" "&amp;DJ2451:DJ2464&amp;" ",BD60)))),"")</f>
        <v>0</v>
      </c>
      <c r="BD60" s="127" t="str">
        <f>IF(49=49,IF(AM60="","",SUBSTITUTE(SUBSTITUTE(SUBSTITUTE(SUBSTITUTE(SUBSTITUTE(SUBSTITUTE(SUBSTITUTE(SUBSTITUTE(SUBSTITUTE(SUBSTITUTE(SUBSTITUTE(SUBSTITUTE(SUBSTITUTE(SUBSTITUTE(AS60," "&amp;DJ2466&amp;" "," ")," "&amp;DJ444&amp;" "," ")," "&amp;DJ442&amp;" "," ")," "&amp;DJ2449&amp;" "," ")," "&amp;DJ2450&amp;" "," ")," "&amp;DJ439&amp;" "," ")," "&amp;DJ443&amp;" "," ")," "&amp;DJ445&amp;" "," ")," "&amp;DJ440&amp;" "," ")," "&amp;DJ438&amp;" "," ")," "&amp;DJ1378&amp;" "," ")," "&amp;DJ446&amp;" "," ")," "&amp;DJ1377&amp;" "," ")," "&amp;DJ441&amp;" "," ")),"")</f>
        <v xml:space="preserve"> document faites collage special 1 2 3 valeurs pour ne coller que le texte </v>
      </c>
      <c r="BE60" s="127" t="str">
        <f>IF(49=49,IF(AM60="","",IF(BB60&gt;0,"X",IF(BC60&gt;0,"?",""))),"")</f>
        <v/>
      </c>
      <c r="BF60" s="127" cm="1">
        <f t="array" ref="BF60">IF(49=49,IF(AM60="","",SUMPRODUCT(--ISNUMBER(SEARCH(" "&amp;DJ447:DJ546&amp;" ",BP60)))),"")</f>
        <v>0</v>
      </c>
      <c r="BG60" s="127" cm="1">
        <f t="array" ref="BG60">IF(49=49,IF(AM60="","",SUMPRODUCT(--ISNUMBER(SEARCH(" "&amp;DJ547:DJ646&amp;" ",BP60)))),"")</f>
        <v>0</v>
      </c>
      <c r="BH60" s="127" cm="1">
        <f t="array" ref="BH60">IF(49=49,IF(AM60="","",SUMPRODUCT(--ISNUMBER(SEARCH(" "&amp;DJ647:DJ746&amp;" ",BP60)))),"")</f>
        <v>0</v>
      </c>
      <c r="BI60" s="127" cm="1">
        <f t="array" ref="BI60">IF(49=49,IF(AM60="","",SUMPRODUCT(--ISNUMBER(SEARCH(" "&amp;DJ747:DJ846&amp;" ",BP60)))),"")</f>
        <v>0</v>
      </c>
      <c r="BJ60" s="127" cm="1">
        <f t="array" ref="BJ60">IF(49=49,IF(AM60="","",SUMPRODUCT(--ISNUMBER(SEARCH(" "&amp;DJ847:DJ946&amp;" ",BP60)))),"")</f>
        <v>0</v>
      </c>
      <c r="BK60" s="127" cm="1">
        <f t="array" ref="BK60">IF(49=49,IF(AM60="","",SUMPRODUCT(--ISNUMBER(SEARCH(" "&amp;DJ947:DJ1046&amp;" ",BP60)))),"")</f>
        <v>0</v>
      </c>
      <c r="BL60" s="127" cm="1">
        <f t="array" ref="BL60">IF(49=49,IF(AM60="","",SUMPRODUCT(--ISNUMBER(SEARCH(" "&amp;DJ1047:DJ1146&amp;" ",BP60)))),"")</f>
        <v>0</v>
      </c>
      <c r="BM60" s="127" cm="1">
        <f t="array" ref="BM60">IF(49=49,IF(AM60="","",SUMPRODUCT(--ISNUMBER(SEARCH(" "&amp;DJ1147:DJ1246&amp;" ",BP60)))),"")</f>
        <v>0</v>
      </c>
      <c r="BN60" s="127" cm="1">
        <f t="array" ref="BN60">IF(49=49,IF(AM60="","",SUMPRODUCT(--ISNUMBER(SEARCH(" "&amp;DJ1247:DJ1346&amp;" ",BP60)))),"")</f>
        <v>0</v>
      </c>
      <c r="BO60" s="127" cm="1">
        <f t="array" ref="BO60">IF(49=49,IF(AM60="","",SUMPRODUCT(--ISNUMBER(SEARCH(" "&amp;DJ1347:DJ1374&amp;" ",BP60)))),"")</f>
        <v>0</v>
      </c>
      <c r="BP60" s="127" t="str">
        <f>IF(49=49,IF(AM60="","",SUBSTITUTE(SUBSTITUTE(SUBSTITUTE(SUBSTITUTE(SUBSTITUTE(SUBSTITUTE(SUBSTITUTE(SUBSTITUTE(SUBSTITUTE(AS60," "&amp;DJ1376&amp;" "," ")," "&amp;DJ1375&amp;" "," ")," "&amp;DJ1381&amp;" "," ")," "&amp;DJ1382&amp;" "," ")," "&amp;DJ1378&amp;" "," ")," "&amp;DJ1380&amp;" "," ")," "&amp;DJ1377&amp;" "," ")," "&amp;DJ1379&amp;" "," ")," "&amp;DJ1383&amp;" "," ")),"")</f>
        <v xml:space="preserve"> document faites collage special 1 2 3 valeurs pour ne coller que le texte </v>
      </c>
      <c r="BQ60" s="127" cm="1">
        <f t="array" ref="BQ60">IF(49=49,IF(AM60="","",SUMPRODUCT(--ISNUMBER(SEARCH(" "&amp;DJ1384:DJ1394&amp;" ",BP60)))),"")</f>
        <v>0</v>
      </c>
      <c r="BR60" s="127" t="str" cm="1">
        <f t="array" ref="BR60">IF(49=49,IF(AM60="","",IF(SUM(BF60:BO60)+SUMPRODUCT(--ISNUMBER(SEARCH(" "&amp;DJ2432:DJ2433&amp;" ",BP60)))&gt;0,"X",IF(BQ60&gt;0,"?",""))),"")</f>
        <v/>
      </c>
      <c r="BS60" s="127" cm="1">
        <f t="array" ref="BS60">IF(49=49,IF(AM60="","",SUMPRODUCT(--ISNUMBER(SEARCH(" "&amp;DJ1395:DJ1415&amp;" ",AS60)))),"")</f>
        <v>0</v>
      </c>
      <c r="BT60" s="127" t="str">
        <f>IF(49=49,IF(AM60="","",IF((BS60)-(0)&gt;0,"X",IF((0)-(0)&gt;0,"?",""))),"")</f>
        <v/>
      </c>
      <c r="BU60" s="127" cm="1">
        <f t="array" ref="BU60">IF(49=49,IF(AM60="","",SUMPRODUCT(--ISNUMBER(SEARCH(" "&amp;DJ1416:DJ1453&amp;" ",BV60)))),"")</f>
        <v>0</v>
      </c>
      <c r="BV60" s="127" t="str">
        <f>IF(49=49,IF(AM60="","",SUBSTITUTE(SUBSTITUTE(AS60," "&amp;DJ1454&amp;" "," ")," "&amp;DJ1455&amp;" "," ")),"")</f>
        <v xml:space="preserve"> document faites collage special 1 2 3 valeurs pour ne coller que le texte </v>
      </c>
      <c r="BW60" s="127" cm="1">
        <f t="array" ref="BW60">IF(49=49,IF(AM60="","",SUMPRODUCT(--ISNUMBER(SEARCH(" "&amp;DJ1456:DJ1466&amp;" ",BV60)))),"")</f>
        <v>0</v>
      </c>
      <c r="BX60" s="127" t="str">
        <f>IF(49=49,IF(AM60="","",IF(BU60&gt;0,"X",IF(BW60&gt;0,"?",""))),"")</f>
        <v/>
      </c>
      <c r="BY60" s="127" cm="1">
        <f t="array" ref="BY60">IF(49=49,IF(AM60="","",SUMPRODUCT(--ISNUMBER(SEARCH(" "&amp;DJ1467:DJ1566&amp;" ",CB60)))),"")</f>
        <v>0</v>
      </c>
      <c r="BZ60" s="127" cm="1">
        <f t="array" ref="BZ60">IF(49=49,IF(AM60="","",SUMPRODUCT(--ISNUMBER(SEARCH(" "&amp;DJ1567:DJ1666&amp;" ",CB60)))),"")</f>
        <v>0</v>
      </c>
      <c r="CA60" s="127" cm="1">
        <f t="array" ref="CA60">IF(49=49,IF(AM60="","",SUMPRODUCT(--ISNUMBER(SEARCH(" "&amp;DJ1667:DJ1750&amp;" ",CB60)))),"")</f>
        <v>0</v>
      </c>
      <c r="CB60" s="127" t="str">
        <f>IF(49=49,IF(AM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document faites collage special 1 2 3 valeurs pour ne coller que le texte </v>
      </c>
      <c r="CC60" s="127" cm="1">
        <f t="array" ref="CC60">IF(49=49,IF(AM60="","",SUMPRODUCT(--ISNUMBER(SEARCH(" "&amp;DJ1801:DJ1880&amp;" ",CD60)))+SUMPRODUCT(--ISNUMBER(SEARCH(" "&amp;DJ2451:DJ2464&amp;" ",CD60)))),"")</f>
        <v>0</v>
      </c>
      <c r="CD60" s="127" t="str">
        <f>IF(49=49,IF(AM60="","",SUBSTITUTE(SUBSTITUTE(SUBSTITUTE(SUBSTITUTE(SUBSTITUTE(SUBSTITUTE(SUBSTITUTE(SUBSTITUTE(SUBSTITUTE(SUBSTITUTE(SUBSTITUTE(SUBSTITUTE(SUBSTITUTE(CB60," "&amp;DJ1887&amp;" "," ")," "&amp;DJ1885&amp;" "," ")," "&amp;DJ2449&amp;" "," ")," "&amp;DJ2450&amp;" "," ")," "&amp;DJ1882&amp;" "," ")," "&amp;DJ1886&amp;" "," ")," "&amp;DJ1888&amp;" "," ")," "&amp;DJ1883&amp;" "," ")," "&amp;DJ1881&amp;" "," ")," "&amp;DJ1378&amp;" "," ")," "&amp;DJ1889&amp;" "," ")," "&amp;DJ1377&amp;" "," ")," "&amp;DJ1884&amp;" "," ")),"")</f>
        <v xml:space="preserve"> document faites collage special 1 2 3 valeurs pour ne coller que le texte </v>
      </c>
      <c r="CE60" s="127" t="str" cm="1">
        <f t="array" ref="CE60">IF(49=49,IF(AM60="","",IF(SUM(BY60:CA60)+SUMPRODUCT(--ISNUMBER(SEARCH(" "&amp;DJ2434:DJ2435&amp;" ",CB60)))&gt;0,"X",IF(CC60&gt;0,"?",""))),"")</f>
        <v/>
      </c>
      <c r="CF60" s="127" cm="1">
        <f t="array" ref="CF60">IF(49=49,IF(AM60="","",SUMPRODUCT(--ISNUMBER(SEARCH(" "&amp;DJ1890:DJ1947&amp;" ",CG60)))),"")</f>
        <v>0</v>
      </c>
      <c r="CG60" s="127" t="str">
        <f>IF(49=49,IF(AM60="","",SUBSTITUTE(SUBSTITUTE(SUBSTITUTE(SUBSTITUTE(SUBSTITUTE(SUBSTITUTE(SUBSTITUTE(SUBSTITUTE(SUBSTITUTE(SUBSTITUTE(SUBSTITUTE(SUBSTITUTE(SUBSTITUTE(SUBSTITUTE(SUBSTITUTE(SUBSTITUTE(SUBSTITUTE(SUBSTITUTE(SUBSTITUTE(SUBSTITUTE(SUBSTITUTE(SUBSTITUTE(SUBSTITUTE(AS60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document faites collage special 1 2 3 valeurs pour ne coller que le texte </v>
      </c>
      <c r="CH60" s="127" cm="1">
        <f t="array" ref="CH60">IF(49=49,IF(AM60="","",SUMPRODUCT(--ISNUMBER(SEARCH(" "&amp;DJ1971:DJ1987&amp;" ",CG60)))),"")</f>
        <v>0</v>
      </c>
      <c r="CI60" s="127" t="str">
        <f>IF(49=49,IF(AM60="","",IF(CF60&gt;0,"X",IF(CH60&gt;0,"?",""))),"")</f>
        <v/>
      </c>
      <c r="CJ60" s="127" cm="1">
        <f t="array" ref="CJ60">IF(49=49,IF(AM60="","",SUMPRODUCT(--ISNUMBER(SEARCH(" "&amp;DJ1988:DJ2001&amp;" ",AS60)))),"")</f>
        <v>0</v>
      </c>
      <c r="CK60" s="127" cm="1">
        <f t="array" ref="CK60">IF(49=49,IF(AM60="","",SUMPRODUCT(--ISNUMBER(SEARCH(" "&amp;DJ2002:DJ2016&amp;" ",AS60)))),"")</f>
        <v>0</v>
      </c>
      <c r="CL60" s="127" t="str">
        <f>IF(49=49,IF(AM60="","",IF((CJ60)-(0)&gt;0,"X",IF((CK60)-(0)&gt;0,"?",""))),"")</f>
        <v/>
      </c>
      <c r="CM60" s="127" cm="1">
        <f t="array" ref="CM60">IF(49=49,IF(AM60="","",SUMPRODUCT(--ISNUMBER(SEARCH(" "&amp;DJ2017:DJ2034&amp;" ",AS60)))),"")</f>
        <v>0</v>
      </c>
      <c r="CN60" s="127" cm="1">
        <f t="array" ref="CN60">IF(49=49,IF(AM60="","",SUMPRODUCT(--ISNUMBER(SEARCH(" "&amp;DJ2035:DJ2049&amp;" ",AS60)))),"")</f>
        <v>0</v>
      </c>
      <c r="CO60" s="127" t="str">
        <f>IF(49=49,IF(AM60="","",IF((CM60)-(0)&gt;0,"X",IF((CN60)-(0)&gt;0,"?",""))),"")</f>
        <v/>
      </c>
      <c r="CP60" s="127" cm="1">
        <f t="array" ref="CP60">IF(49=49,IF(AM60="","",SUMPRODUCT(--ISNUMBER(SEARCH(" "&amp;DJ2050:DJ2068&amp;" ",AS60)))),"")</f>
        <v>0</v>
      </c>
      <c r="CQ60" s="127" cm="1">
        <f t="array" ref="CQ60">IF(49=49,IF(AM60="","",SUMPRODUCT(--ISNUMBER(SEARCH(" "&amp;DJ2069:DJ2083&amp;" ",AS60)))),"")</f>
        <v>0</v>
      </c>
      <c r="CR60" s="127" t="str">
        <f>IF(49=49,IF(AM60="","",IF((CP60)-(0)&gt;0,"X",IF((CQ60)-(0)&gt;0,"?",""))),"")</f>
        <v/>
      </c>
      <c r="CS60" s="127" cm="1">
        <f t="array" ref="CS60">IF(49=49,IF(AM60="","",SUMPRODUCT(--ISNUMBER(SEARCH(" "&amp;DJ2084:DJ2104&amp;" ",AS60)))),"")</f>
        <v>0</v>
      </c>
      <c r="CT60" s="127" cm="1">
        <f t="array" ref="CT60">IF(49=49,IF(AM60="","",SUMPRODUCT(--ISNUMBER(SEARCH(" "&amp;DJ2105:DJ2144&amp;" ",SUBSTITUTE(SUBSTITUTE(AS60," "&amp;DJ1378&amp;" "," ")," "&amp;DJ1377&amp;" "," "))))+--ISNUMBER(SEARCH("poiré",AN60))),"")</f>
        <v>0</v>
      </c>
      <c r="CU60" s="127" t="str">
        <f>IF(49=49,IF(AM60="","",IF(OR(CS60&gt;0,ISNUMBER(SEARCH(" vinaigre de vin ",AS60)),ISNUMBER(SEARCH(" vinaigre au vin ",AS60))),"X",IF(CT60&gt;0,"?",""))),"")</f>
        <v/>
      </c>
      <c r="CV60" s="127" cm="1">
        <f t="array" ref="CV60">IF(49=49,IF(AM60="","",SUMPRODUCT(--ISNUMBER(SEARCH(" "&amp;DJ2145:DJ2157&amp;" ",AS60)))),"")</f>
        <v>0</v>
      </c>
      <c r="CW60" s="127" cm="1">
        <f t="array" ref="CW60">IF(49=49,IF(AM60="","",SUMPRODUCT(--ISNUMBER(SEARCH(" "&amp;DJ2158:DJ2163&amp;" ",AS60)))),"")</f>
        <v>0</v>
      </c>
      <c r="CX60" s="127" t="str">
        <f>IF(49=49,IF(AM60="","",IF((CV60)-(0)&gt;0,"X",IF((CW60)-(0)&gt;0,"?",""))),"")</f>
        <v/>
      </c>
      <c r="CY60" s="127" cm="1">
        <f t="array" ref="CY60">IF(49=49,IF(AM60="","",SUMPRODUCT(--ISNUMBER(SEARCH(" "&amp;DJ2164:DJ2263&amp;" ",DB60)))),"")</f>
        <v>0</v>
      </c>
      <c r="CZ60" s="127" cm="1">
        <f t="array" ref="CZ60">IF(49=49,IF(AM60="","",SUMPRODUCT(--ISNUMBER(SEARCH(" "&amp;DJ2264:DJ2363&amp;" ",DB60)))),"")</f>
        <v>0</v>
      </c>
      <c r="DA60" s="127" cm="1">
        <f t="array" ref="DA60">IF(49=49,IF(AM60="","",SUMPRODUCT(--ISNUMBER(SEARCH(" "&amp;DJ2364:DJ2406&amp;" ",DB60)))),"")</f>
        <v>0</v>
      </c>
      <c r="DB60" s="127" t="str">
        <f>IF(49=49,IF(AM60="","",SUBSTITUTE(SUBSTITUTE(SUBSTITUTE(SUBSTITUTE(SUBSTITUTE(SUBSTITUTE(SUBSTITUTE(SUBSTITUTE(SUBSTITUTE(SUBSTITUTE(SUBSTITUTE(SUBSTITUTE(SUBSTITUTE(SUBSTITUTE(SUBSTITUTE(SUBSTITUTE(AS60," "&amp;DJ2412&amp;" "," ")," "&amp;DJ2411&amp;" "," ")," "&amp;DJ2410&amp;" "," ")," "&amp;DJ2417&amp;" "," ")," "&amp;DJ2409&amp;" "," ")," "&amp;DJ2421&amp;" "," ")," "&amp;DJ2408&amp;" "," ")," "&amp;DJ2413&amp;" "," ")," "&amp;DJ2416&amp;" "," ")," "&amp;DJ2407&amp;" "," ")," "&amp;DJ2415&amp;" "," ")," "&amp;DJ2422&amp;" "," ")," "&amp;DJ2419&amp;" "," ")," "&amp;DJ2414&amp;" "," ")," "&amp;DJ2418&amp;" "," ")," "&amp;DJ2420&amp;" "," ")),"")</f>
        <v xml:space="preserve"> document faites collage special 1 2 3 valeurs pour ne coller que le texte </v>
      </c>
      <c r="DC60" s="127" cm="1">
        <f t="array" ref="DC60">IF(49=49,IF(AM60="","",SUMPRODUCT(--ISNUMBER(SEARCH(" "&amp;DJ2423:DJ2427&amp;" ",DB60)))),"")</f>
        <v>0</v>
      </c>
      <c r="DD60" s="127" t="str">
        <f>IF(49=49,IF(AM60="","",IF(SUM(CY60:DA60)&gt;0,"X",IF(DC60&gt;0,"?",""))),"")</f>
        <v/>
      </c>
      <c r="DE60" s="152"/>
      <c r="DF60" s="160" t="s">
        <v>755</v>
      </c>
      <c r="DG60" s="160" t="s">
        <v>584</v>
      </c>
      <c r="DH60" s="160" t="s">
        <v>125</v>
      </c>
      <c r="DI60" s="160" t="s">
        <v>756</v>
      </c>
      <c r="DJ60" s="160" t="s">
        <v>461</v>
      </c>
      <c r="DK60" s="160" t="s">
        <v>588</v>
      </c>
      <c r="DL60" s="160" t="s">
        <v>589</v>
      </c>
      <c r="DM60" s="160" t="s">
        <v>590</v>
      </c>
      <c r="DN60" s="161" t="s">
        <v>591</v>
      </c>
      <c r="DP60" s="130">
        <v>1</v>
      </c>
    </row>
    <row r="61" spans="2:120" ht="30" customHeight="1">
      <c r="B61" s="165" t="str">
        <f t="shared" si="0"/>
        <v>4. Dans la même cocotte, faites revenir les légumes et les lardons pendant environ 5 minutes. Saupoudrez de farine et mélangez bien.</v>
      </c>
      <c r="C61" s="165" t="str">
        <f t="shared" si="1"/>
        <v>4 Dans la même cocotte faites revenir les légumes et les lardons pendant environ 5 minutes Saupoudrez de farine et mélangez bien</v>
      </c>
      <c r="D61" s="165" t="str">
        <f>IF(UPPER(TRIM(N11))="X",C61,B61)</f>
        <v>4. Dans la même cocotte, faites revenir les légumes et les lardons pendant environ 5 minutes. Saupoudrez de farine et mélangez bien.</v>
      </c>
      <c r="E61" s="165" cm="1">
        <f t="array" ref="E61">IF(H60&lt;&gt;"",E60,IF(E60="","",IFERROR(MATCH(TRUE(),INDEX(INDEX(K:K,E60+1):K203&lt;&gt;"",0),0)+E60,"")))</f>
        <v>45</v>
      </c>
      <c r="F61" s="165" t="str" cm="1">
        <f t="array" ref="F61">IF(E61="","",IF(H60&lt;&gt;"",H60,INDEX(D:D,E61)))</f>
        <v>sans formules.</v>
      </c>
      <c r="G61" s="165" t="str">
        <f t="shared" si="2"/>
        <v>sans formules.</v>
      </c>
      <c r="H61" s="174" t="str">
        <f t="shared" si="3"/>
        <v/>
      </c>
      <c r="I61" s="184" t="str">
        <f>IF(AND(F61&lt;&gt;"",N10&gt;0,M61&gt;N10),"Mot &gt; limite","")</f>
        <v/>
      </c>
      <c r="J61" s="175">
        <f>IF(K61="","",COUNTIF(K18:K61,"&lt;&gt;"))</f>
        <v>39</v>
      </c>
      <c r="K61" s="111" t="s">
        <v>28</v>
      </c>
      <c r="L61" s="175">
        <f t="shared" si="4"/>
        <v>132</v>
      </c>
      <c r="M61" s="135">
        <f>IF(OR(F61="",N10="",N10&lt;=0),"",IF(LEN(F61)&lt;=N10,LEN(F61),IFERROR(FIND("♦",SUBSTITUTE(LEFT(F61,N10)," ","♦",LEN(LEFT(F61,N10))-LEN(SUBSTITUTE(LEFT(F61,N10)," ","")))),FIND(" ",F61&amp;" ",N10+1)-1)))</f>
        <v>14</v>
      </c>
      <c r="N61" s="176">
        <f t="shared" si="5"/>
        <v>44</v>
      </c>
      <c r="O61" s="177" t="str">
        <f t="shared" si="6"/>
        <v>sans formules.</v>
      </c>
      <c r="P61" s="176">
        <f t="shared" si="7"/>
        <v>2</v>
      </c>
      <c r="Q61" s="176">
        <f t="shared" si="8"/>
        <v>14</v>
      </c>
      <c r="S61" s="178">
        <v>44</v>
      </c>
      <c r="T61" s="179" t="str">
        <f t="shared" si="10"/>
        <v>sans formules.</v>
      </c>
      <c r="U61" s="180" t="str">
        <f t="shared" si="11"/>
        <v>sans formules.</v>
      </c>
      <c r="V61" s="181" t="str">
        <f>IF(50=50,IF(T61="","",IF(W61="X",""&amp;"Céréales contenant du gluten","")&amp;IF(X61="X",IF(COUNTIF(W61:W61,"X")&gt;0,", ","")&amp;"Crustacés","")&amp;IF(Y61="X",IF(COUNTIF(W61:X61,"X")&gt;0,", ","")&amp;"Œufs","")&amp;IF(Z61="X",IF(COUNTIF(W61:Y61,"X")&gt;0,", ","")&amp;"Poissons","")&amp;IF(AA61="X",IF(COUNTIF(W61:Z61,"X")&gt;0,", ","")&amp;"Arachides","")&amp;IF(AB61="X",IF(COUNTIF(W61:AA61,"X")&gt;0,", ","")&amp;"Soja","")&amp;IF(AC61="X",IF(COUNTIF(W61:AB61,"X")&gt;0,", ","")&amp;"Lait","")&amp;IF(AD61="X",IF(COUNTIF(W61:AC61,"X")&gt;0,", ","")&amp;"Fruits à coque","")&amp;IF(AE61="X",IF(COUNTIF(W61:AD61,"X")&gt;0,", ","")&amp;"Céleri","")&amp;IF(AF61="X",IF(COUNTIF(W61:AE61,"X")&gt;0,", ","")&amp;"Moutarde","")&amp;IF(AG61="X",IF(COUNTIF(W61:AF61,"X")&gt;0,", ","")&amp;"Sésame","")&amp;IF(AH61="X",IF(COUNTIF(W61:AG61,"X")&gt;0,", ","")&amp;"Sulfites","")&amp;IF(AI61="X",IF(COUNTIF(W61:AH61,"X")&gt;0,", ","")&amp;"Lupin","")&amp;IF(AJ61="X",IF(COUNTIF(W61:AI61,"X")&gt;0,", ","")&amp;"Mollusques","")),"")</f>
        <v/>
      </c>
      <c r="W61" s="182" t="str">
        <f>IF(50=50,IF(T61="","",AX61),"")</f>
        <v/>
      </c>
      <c r="X61" s="182" t="str">
        <f>IF(50=50,IF(T61="","",BA61),"")</f>
        <v/>
      </c>
      <c r="Y61" s="182" t="str">
        <f>IF(50=50,IF(T61="","",BE61),"")</f>
        <v/>
      </c>
      <c r="Z61" s="182" t="str">
        <f>IF(50=50,IF(T61="","",IF(ISNUMBER(SEARCH(" colin ",AS61)),"X",BR61)),"")</f>
        <v/>
      </c>
      <c r="AA61" s="182" t="str">
        <f>IF(50=50,IF(T61="","",BT61),"")</f>
        <v/>
      </c>
      <c r="AB61" s="182" t="str">
        <f>IF(50=50,IF(T61="","",BX61),"")</f>
        <v/>
      </c>
      <c r="AC61" s="182" t="str">
        <f>IF(50=50,IF(T61="","",CE61),"")</f>
        <v/>
      </c>
      <c r="AD61" s="182" t="str">
        <f>IF(50=50,IF(T61="","",CI61),"")</f>
        <v/>
      </c>
      <c r="AE61" s="182" t="str">
        <f>IF(50=50,IF(T61="","",CL61),"")</f>
        <v/>
      </c>
      <c r="AF61" s="182" t="str">
        <f>IF(50=50,IF(T61="","",CO61),"")</f>
        <v/>
      </c>
      <c r="AG61" s="182" t="str">
        <f>IF(50=50,IF(T61="","",CR61),"")</f>
        <v/>
      </c>
      <c r="AH61" s="182" t="str">
        <f>IF(50=50,IF(T61="","",CU61),"")</f>
        <v/>
      </c>
      <c r="AI61" s="182" t="str">
        <f>IF(50=50,IF(T61="","",CX61),"")</f>
        <v/>
      </c>
      <c r="AJ61" s="182" t="str">
        <f>IF(50=50,IF(T61="","",DD61),"")</f>
        <v/>
      </c>
      <c r="AK61" s="183" t="str">
        <f>IF(50=50,IF(T61="","",IF(W61="?",""&amp;"Céréales contenant du gluten","")&amp;IF(X61="?",IF(COUNTIF(W61:W61,"~?")&gt;0,", ","")&amp;"Crustacés","")&amp;IF(Y61="?",IF(COUNTIF(W61:X61,"~?")&gt;0,", ","")&amp;"Œufs","")&amp;IF(Z61="?",IF(COUNTIF(W61:Y61,"~?")&gt;0,", ","")&amp;"Poissons","")&amp;IF(AA61="?",IF(COUNTIF(W61:Z61,"~?")&gt;0,", ","")&amp;"Arachides","")&amp;IF(AB61="?",IF(COUNTIF(W61:AA61,"~?")&gt;0,", ","")&amp;"Soja","")&amp;IF(AC61="?",IF(COUNTIF(W61:AB61,"~?")&gt;0,", ","")&amp;"Lait","")&amp;IF(AD61="?",IF(COUNTIF(W61:AC61,"~?")&gt;0,", ","")&amp;"Fruits à coque","")&amp;IF(AE61="?",IF(COUNTIF(W61:AD61,"~?")&gt;0,", ","")&amp;"Céleri","")&amp;IF(AF61="?",IF(COUNTIF(W61:AE61,"~?")&gt;0,", ","")&amp;"Moutarde","")&amp;IF(AG61="?",IF(COUNTIF(W61:AF61,"~?")&gt;0,", ","")&amp;"Sésame","")&amp;IF(AH61="?",IF(COUNTIF(W61:AG61,"~?")&gt;0,", ","")&amp;"Sulfites","")&amp;IF(AI61="?",IF(COUNTIF(W61:AH61,"~?")&gt;0,", ","")&amp;"Lupin","")&amp;IF(AJ61="?",IF(COUNTIF(W61:AI61,"~?")&gt;0,", ","")&amp;"Mollusques","")),"")</f>
        <v/>
      </c>
      <c r="AM61" s="127" t="str">
        <f>IF(50=50,IF(T61="","",T61),"")</f>
        <v>sans formules.</v>
      </c>
      <c r="AN61" s="127" t="str">
        <f>IF(50=50,LOWER(CLEAN(SUBSTITUTE(SUBSTITUTE(SUBSTITUTE(SUBSTITUTE(AM61,CHAR(160)," ")," "," "),CHAR(10)," "),CHAR(13)," "))),"")</f>
        <v>sans formules.</v>
      </c>
      <c r="AO61" s="127" t="str">
        <f>IF(50=50,SUBSTITUTE(SUBSTITUTE(SUBSTITUTE(SUBSTITUTE(SUBSTITUTE(SUBSTITUTE(SUBSTITUTE(SUBSTITUTE(SUBSTITUTE(SUBSTITUTE(SUBSTITUTE(SUBSTITUTE(AN61,"œ","oe"),"æ","ae"),"à","a"),"á","a"),"â","a"),"ä","a"),"ã","a"),"ç","c"),"è","e"),"é","e"),"ê","e"),"ë","e"),"")</f>
        <v>sans formules.</v>
      </c>
      <c r="AP61" s="127" t="str">
        <f>IF(50=50,SUBSTITUTE(SUBSTITUTE(SUBSTITUTE(SUBSTITUTE(SUBSTITUTE(SUBSTITUTE(SUBSTITUTE(SUBSTITUTE(SUBSTITUTE(SUBSTITUTE(SUBSTITUTE(SUBSTITUTE(SUBSTITUTE(SUBSTITUTE(SUBSTITUTE(SUBSTITUTE(AO61,"ì","i"),"í","i"),"î","i"),"ï","i"),"ñ","n"),"ò","o"),"ó","o"),"ô","o"),"ö","o"),"õ","o"),"ù","u"),"ú","u"),"û","u"),"ü","u"),"ý","y"),"ÿ","y"),"")</f>
        <v>sans formules.</v>
      </c>
      <c r="AQ61" s="127" t="str">
        <f>IF(50=50,SUBSTITUTE(SUBSTITUTE(SUBSTITUTE(SUBSTITUTE(SUBSTITUTE(SUBSTITUTE(SUBSTITUTE(SUBSTITUTE(SUBSTITUTE(SUBSTITUTE(SUBSTITUTE(SUBSTITUTE(SUBSTITUTE(SUBSTITUTE(AP61,"’"," "),"`"," "),"–"," "),"—"," "),"-"," "),"'"," "),"/"," "),"_"," "),","," "),"."," "),"("," "),")"," "),";"," "),":"," "),"")</f>
        <v xml:space="preserve">sans formules </v>
      </c>
      <c r="AR61" s="127" t="str">
        <f>IF(50=50,SUBSTITUTE(SUBSTITUTE(SUBSTITUTE(SUBSTITUTE(SUBSTITUTE(SUBSTITUTE(SUBSTITUTE(SUBSTITUTE(SUBSTITUTE(SUBSTITUTE(SUBSTITUTE(SUBSTITUTE(SUBSTITUTE(SUBSTITUTE(SUBSTITUTE(AQ61,"!"," "),"?"," "),"+"," "),"*"," "),"&amp;"," "),"["," "),"]"," "),"{"," "),"}"," "),"%"," "),"="," "),"\"," "),"|"," "),"&lt;"," "),"&gt;"," "),"")</f>
        <v xml:space="preserve">sans formules </v>
      </c>
      <c r="AS61" s="127" t="str">
        <f>IF(50=50," "&amp;TRIM(SUBSTITUTE(SUBSTITUTE(SUBSTITUTE(SUBSTITUTE(SUBSTITUTE(SUBSTITUTE(AR61,CHAR(34)," "),"  "," "),"  "," "),"  "," "),"  "," "),"  "," "))&amp;" ","")</f>
        <v xml:space="preserve"> sans formules </v>
      </c>
      <c r="AT61" s="127" cm="1">
        <f t="array" ref="AT61">IF(50=50,IF(AM61="","",SUMPRODUCT(--ISNUMBER(SEARCH(" "&amp;DJ13:DJ112&amp;" ",AV61)))),"")</f>
        <v>0</v>
      </c>
      <c r="AU61" s="127" cm="1">
        <f t="array" ref="AU61">IF(50=50,IF(AM61="","",SUMPRODUCT(--ISNUMBER(SEARCH(" "&amp;DJ113:DJ162&amp;" ",AV61)))),"")</f>
        <v>0</v>
      </c>
      <c r="AV61" s="127" t="str">
        <f>IF(AM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sans formules </v>
      </c>
      <c r="AW61" s="127" cm="1">
        <f t="array" ref="AW61">IF(AM61="","",SUMPRODUCT(--ISNUMBER(SEARCH(" "&amp;DJ195:DJ216&amp;" ",AV61)))+--ISNUMBER(SEARCH(" "&amp;DJ2465&amp;" ",AV61)))</f>
        <v>0</v>
      </c>
      <c r="AX61" s="127" t="str" cm="1">
        <f t="array" ref="AX61">IF(50=50,IF(AM61="","",IF(SUM(AT61:AU61)+SUMPRODUCT(--ISNUMBER(SEARCH(" "&amp;DJ2429:DJ2431&amp;" ",AV61)))&gt;0,"X",IF(AW61&gt;0,"?",""))),"")</f>
        <v/>
      </c>
      <c r="AY61" s="127" cm="1">
        <f t="array" ref="AY61">IF(50=50,IF(AM61="","",SUMPRODUCT(--ISNUMBER(SEARCH(" "&amp;DJ217:DJ316&amp;" ",AS61)))),"")</f>
        <v>0</v>
      </c>
      <c r="AZ61" s="127" cm="1">
        <f t="array" ref="AZ61">IF(50=50,IF(AM61="","",SUMPRODUCT(--ISNUMBER(SEARCH(" "&amp;DJ317:DJ351&amp;" ",AS61)))),"")</f>
        <v>0</v>
      </c>
      <c r="BA61" s="127" t="str">
        <f>IF(50=50,IF(AM61="","",IF((SUM(AY61:AZ61))-(0)&gt;0,"X",IF((0)-(0)&gt;0,"?",""))),"")</f>
        <v/>
      </c>
      <c r="BB61" s="127" cm="1">
        <f t="array" ref="BB61">IF(50=50,IF(AM61="","",SUMPRODUCT(--ISNUMBER(SEARCH(" "&amp;DJ352:DJ409&amp;" ",AS61)))),"")</f>
        <v>0</v>
      </c>
      <c r="BC61" s="127" cm="1">
        <f t="array" ref="BC61">IF(50=50,IF(AM61="","",SUMPRODUCT(--ISNUMBER(SEARCH(" "&amp;DJ410:DJ437&amp;" ",BD61)))+SUMPRODUCT(--ISNUMBER(SEARCH(" "&amp;DJ2451:DJ2464&amp;" ",BD61)))),"")</f>
        <v>0</v>
      </c>
      <c r="BD61" s="127" t="str">
        <f>IF(50=50,IF(AM61="","",SUBSTITUTE(SUBSTITUTE(SUBSTITUTE(SUBSTITUTE(SUBSTITUTE(SUBSTITUTE(SUBSTITUTE(SUBSTITUTE(SUBSTITUTE(SUBSTITUTE(SUBSTITUTE(SUBSTITUTE(SUBSTITUTE(SUBSTITUTE(AS61," "&amp;DJ2466&amp;" "," ")," "&amp;DJ444&amp;" "," ")," "&amp;DJ442&amp;" "," ")," "&amp;DJ2449&amp;" "," ")," "&amp;DJ2450&amp;" "," ")," "&amp;DJ439&amp;" "," ")," "&amp;DJ443&amp;" "," ")," "&amp;DJ445&amp;" "," ")," "&amp;DJ440&amp;" "," ")," "&amp;DJ438&amp;" "," ")," "&amp;DJ1378&amp;" "," ")," "&amp;DJ446&amp;" "," ")," "&amp;DJ1377&amp;" "," ")," "&amp;DJ441&amp;" "," ")),"")</f>
        <v xml:space="preserve"> sans formules </v>
      </c>
      <c r="BE61" s="127" t="str">
        <f>IF(50=50,IF(AM61="","",IF(BB61&gt;0,"X",IF(BC61&gt;0,"?",""))),"")</f>
        <v/>
      </c>
      <c r="BF61" s="127" cm="1">
        <f t="array" ref="BF61">IF(50=50,IF(AM61="","",SUMPRODUCT(--ISNUMBER(SEARCH(" "&amp;DJ447:DJ546&amp;" ",BP61)))),"")</f>
        <v>0</v>
      </c>
      <c r="BG61" s="127" cm="1">
        <f t="array" ref="BG61">IF(50=50,IF(AM61="","",SUMPRODUCT(--ISNUMBER(SEARCH(" "&amp;DJ547:DJ646&amp;" ",BP61)))),"")</f>
        <v>0</v>
      </c>
      <c r="BH61" s="127" cm="1">
        <f t="array" ref="BH61">IF(50=50,IF(AM61="","",SUMPRODUCT(--ISNUMBER(SEARCH(" "&amp;DJ647:DJ746&amp;" ",BP61)))),"")</f>
        <v>0</v>
      </c>
      <c r="BI61" s="127" cm="1">
        <f t="array" ref="BI61">IF(50=50,IF(AM61="","",SUMPRODUCT(--ISNUMBER(SEARCH(" "&amp;DJ747:DJ846&amp;" ",BP61)))),"")</f>
        <v>0</v>
      </c>
      <c r="BJ61" s="127" cm="1">
        <f t="array" ref="BJ61">IF(50=50,IF(AM61="","",SUMPRODUCT(--ISNUMBER(SEARCH(" "&amp;DJ847:DJ946&amp;" ",BP61)))),"")</f>
        <v>0</v>
      </c>
      <c r="BK61" s="127" cm="1">
        <f t="array" ref="BK61">IF(50=50,IF(AM61="","",SUMPRODUCT(--ISNUMBER(SEARCH(" "&amp;DJ947:DJ1046&amp;" ",BP61)))),"")</f>
        <v>0</v>
      </c>
      <c r="BL61" s="127" cm="1">
        <f t="array" ref="BL61">IF(50=50,IF(AM61="","",SUMPRODUCT(--ISNUMBER(SEARCH(" "&amp;DJ1047:DJ1146&amp;" ",BP61)))),"")</f>
        <v>0</v>
      </c>
      <c r="BM61" s="127" cm="1">
        <f t="array" ref="BM61">IF(50=50,IF(AM61="","",SUMPRODUCT(--ISNUMBER(SEARCH(" "&amp;DJ1147:DJ1246&amp;" ",BP61)))),"")</f>
        <v>0</v>
      </c>
      <c r="BN61" s="127" cm="1">
        <f t="array" ref="BN61">IF(50=50,IF(AM61="","",SUMPRODUCT(--ISNUMBER(SEARCH(" "&amp;DJ1247:DJ1346&amp;" ",BP61)))),"")</f>
        <v>0</v>
      </c>
      <c r="BO61" s="127" cm="1">
        <f t="array" ref="BO61">IF(50=50,IF(AM61="","",SUMPRODUCT(--ISNUMBER(SEARCH(" "&amp;DJ1347:DJ1374&amp;" ",BP61)))),"")</f>
        <v>0</v>
      </c>
      <c r="BP61" s="127" t="str">
        <f>IF(50=50,IF(AM61="","",SUBSTITUTE(SUBSTITUTE(SUBSTITUTE(SUBSTITUTE(SUBSTITUTE(SUBSTITUTE(SUBSTITUTE(SUBSTITUTE(SUBSTITUTE(AS61," "&amp;DJ1376&amp;" "," ")," "&amp;DJ1375&amp;" "," ")," "&amp;DJ1381&amp;" "," ")," "&amp;DJ1382&amp;" "," ")," "&amp;DJ1378&amp;" "," ")," "&amp;DJ1380&amp;" "," ")," "&amp;DJ1377&amp;" "," ")," "&amp;DJ1379&amp;" "," ")," "&amp;DJ1383&amp;" "," ")),"")</f>
        <v xml:space="preserve"> sans formules </v>
      </c>
      <c r="BQ61" s="127" cm="1">
        <f t="array" ref="BQ61">IF(50=50,IF(AM61="","",SUMPRODUCT(--ISNUMBER(SEARCH(" "&amp;DJ1384:DJ1394&amp;" ",BP61)))),"")</f>
        <v>0</v>
      </c>
      <c r="BR61" s="127" t="str" cm="1">
        <f t="array" ref="BR61">IF(50=50,IF(AM61="","",IF(SUM(BF61:BO61)+SUMPRODUCT(--ISNUMBER(SEARCH(" "&amp;DJ2432:DJ2433&amp;" ",BP61)))&gt;0,"X",IF(BQ61&gt;0,"?",""))),"")</f>
        <v/>
      </c>
      <c r="BS61" s="127" cm="1">
        <f t="array" ref="BS61">IF(50=50,IF(AM61="","",SUMPRODUCT(--ISNUMBER(SEARCH(" "&amp;DJ1395:DJ1415&amp;" ",AS61)))),"")</f>
        <v>0</v>
      </c>
      <c r="BT61" s="127" t="str">
        <f>IF(50=50,IF(AM61="","",IF((BS61)-(0)&gt;0,"X",IF((0)-(0)&gt;0,"?",""))),"")</f>
        <v/>
      </c>
      <c r="BU61" s="127" cm="1">
        <f t="array" ref="BU61">IF(50=50,IF(AM61="","",SUMPRODUCT(--ISNUMBER(SEARCH(" "&amp;DJ1416:DJ1453&amp;" ",BV61)))),"")</f>
        <v>0</v>
      </c>
      <c r="BV61" s="127" t="str">
        <f>IF(50=50,IF(AM61="","",SUBSTITUTE(SUBSTITUTE(AS61," "&amp;DJ1454&amp;" "," ")," "&amp;DJ1455&amp;" "," ")),"")</f>
        <v xml:space="preserve"> sans formules </v>
      </c>
      <c r="BW61" s="127" cm="1">
        <f t="array" ref="BW61">IF(50=50,IF(AM61="","",SUMPRODUCT(--ISNUMBER(SEARCH(" "&amp;DJ1456:DJ1466&amp;" ",BV61)))),"")</f>
        <v>0</v>
      </c>
      <c r="BX61" s="127" t="str">
        <f>IF(50=50,IF(AM61="","",IF(BU61&gt;0,"X",IF(BW61&gt;0,"?",""))),"")</f>
        <v/>
      </c>
      <c r="BY61" s="127" cm="1">
        <f t="array" ref="BY61">IF(50=50,IF(AM61="","",SUMPRODUCT(--ISNUMBER(SEARCH(" "&amp;DJ1467:DJ1566&amp;" ",CB61)))),"")</f>
        <v>0</v>
      </c>
      <c r="BZ61" s="127" cm="1">
        <f t="array" ref="BZ61">IF(50=50,IF(AM61="","",SUMPRODUCT(--ISNUMBER(SEARCH(" "&amp;DJ1567:DJ1666&amp;" ",CB61)))),"")</f>
        <v>0</v>
      </c>
      <c r="CA61" s="127" cm="1">
        <f t="array" ref="CA61">IF(50=50,IF(AM61="","",SUMPRODUCT(--ISNUMBER(SEARCH(" "&amp;DJ1667:DJ1750&amp;" ",CB61)))),"")</f>
        <v>0</v>
      </c>
      <c r="CB61" s="127" t="str">
        <f>IF(50=50,IF(AM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sans formules </v>
      </c>
      <c r="CC61" s="127" cm="1">
        <f t="array" ref="CC61">IF(50=50,IF(AM61="","",SUMPRODUCT(--ISNUMBER(SEARCH(" "&amp;DJ1801:DJ1880&amp;" ",CD61)))+SUMPRODUCT(--ISNUMBER(SEARCH(" "&amp;DJ2451:DJ2464&amp;" ",CD61)))),"")</f>
        <v>0</v>
      </c>
      <c r="CD61" s="127" t="str">
        <f>IF(50=50,IF(AM61="","",SUBSTITUTE(SUBSTITUTE(SUBSTITUTE(SUBSTITUTE(SUBSTITUTE(SUBSTITUTE(SUBSTITUTE(SUBSTITUTE(SUBSTITUTE(SUBSTITUTE(SUBSTITUTE(SUBSTITUTE(SUBSTITUTE(CB61," "&amp;DJ1887&amp;" "," ")," "&amp;DJ1885&amp;" "," ")," "&amp;DJ2449&amp;" "," ")," "&amp;DJ2450&amp;" "," ")," "&amp;DJ1882&amp;" "," ")," "&amp;DJ1886&amp;" "," ")," "&amp;DJ1888&amp;" "," ")," "&amp;DJ1883&amp;" "," ")," "&amp;DJ1881&amp;" "," ")," "&amp;DJ1378&amp;" "," ")," "&amp;DJ1889&amp;" "," ")," "&amp;DJ1377&amp;" "," ")," "&amp;DJ1884&amp;" "," ")),"")</f>
        <v xml:space="preserve"> sans formules </v>
      </c>
      <c r="CE61" s="127" t="str" cm="1">
        <f t="array" ref="CE61">IF(50=50,IF(AM61="","",IF(SUM(BY61:CA61)+SUMPRODUCT(--ISNUMBER(SEARCH(" "&amp;DJ2434:DJ2435&amp;" ",CB61)))&gt;0,"X",IF(CC61&gt;0,"?",""))),"")</f>
        <v/>
      </c>
      <c r="CF61" s="127" cm="1">
        <f t="array" ref="CF61">IF(50=50,IF(AM61="","",SUMPRODUCT(--ISNUMBER(SEARCH(" "&amp;DJ1890:DJ1947&amp;" ",CG61)))),"")</f>
        <v>0</v>
      </c>
      <c r="CG61" s="127" t="str">
        <f>IF(50=50,IF(AM61="","",SUBSTITUTE(SUBSTITUTE(SUBSTITUTE(SUBSTITUTE(SUBSTITUTE(SUBSTITUTE(SUBSTITUTE(SUBSTITUTE(SUBSTITUTE(SUBSTITUTE(SUBSTITUTE(SUBSTITUTE(SUBSTITUTE(SUBSTITUTE(SUBSTITUTE(SUBSTITUTE(SUBSTITUTE(SUBSTITUTE(SUBSTITUTE(SUBSTITUTE(SUBSTITUTE(SUBSTITUTE(SUBSTITUTE(AS61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sans formules </v>
      </c>
      <c r="CH61" s="127" cm="1">
        <f t="array" ref="CH61">IF(50=50,IF(AM61="","",SUMPRODUCT(--ISNUMBER(SEARCH(" "&amp;DJ1971:DJ1987&amp;" ",CG61)))),"")</f>
        <v>0</v>
      </c>
      <c r="CI61" s="127" t="str">
        <f>IF(50=50,IF(AM61="","",IF(CF61&gt;0,"X",IF(CH61&gt;0,"?",""))),"")</f>
        <v/>
      </c>
      <c r="CJ61" s="127" cm="1">
        <f t="array" ref="CJ61">IF(50=50,IF(AM61="","",SUMPRODUCT(--ISNUMBER(SEARCH(" "&amp;DJ1988:DJ2001&amp;" ",AS61)))),"")</f>
        <v>0</v>
      </c>
      <c r="CK61" s="127" cm="1">
        <f t="array" ref="CK61">IF(50=50,IF(AM61="","",SUMPRODUCT(--ISNUMBER(SEARCH(" "&amp;DJ2002:DJ2016&amp;" ",AS61)))),"")</f>
        <v>0</v>
      </c>
      <c r="CL61" s="127" t="str">
        <f>IF(50=50,IF(AM61="","",IF((CJ61)-(0)&gt;0,"X",IF((CK61)-(0)&gt;0,"?",""))),"")</f>
        <v/>
      </c>
      <c r="CM61" s="127" cm="1">
        <f t="array" ref="CM61">IF(50=50,IF(AM61="","",SUMPRODUCT(--ISNUMBER(SEARCH(" "&amp;DJ2017:DJ2034&amp;" ",AS61)))),"")</f>
        <v>0</v>
      </c>
      <c r="CN61" s="127" cm="1">
        <f t="array" ref="CN61">IF(50=50,IF(AM61="","",SUMPRODUCT(--ISNUMBER(SEARCH(" "&amp;DJ2035:DJ2049&amp;" ",AS61)))),"")</f>
        <v>0</v>
      </c>
      <c r="CO61" s="127" t="str">
        <f>IF(50=50,IF(AM61="","",IF((CM61)-(0)&gt;0,"X",IF((CN61)-(0)&gt;0,"?",""))),"")</f>
        <v/>
      </c>
      <c r="CP61" s="127" cm="1">
        <f t="array" ref="CP61">IF(50=50,IF(AM61="","",SUMPRODUCT(--ISNUMBER(SEARCH(" "&amp;DJ2050:DJ2068&amp;" ",AS61)))),"")</f>
        <v>0</v>
      </c>
      <c r="CQ61" s="127" cm="1">
        <f t="array" ref="CQ61">IF(50=50,IF(AM61="","",SUMPRODUCT(--ISNUMBER(SEARCH(" "&amp;DJ2069:DJ2083&amp;" ",AS61)))),"")</f>
        <v>0</v>
      </c>
      <c r="CR61" s="127" t="str">
        <f>IF(50=50,IF(AM61="","",IF((CP61)-(0)&gt;0,"X",IF((CQ61)-(0)&gt;0,"?",""))),"")</f>
        <v/>
      </c>
      <c r="CS61" s="127" cm="1">
        <f t="array" ref="CS61">IF(50=50,IF(AM61="","",SUMPRODUCT(--ISNUMBER(SEARCH(" "&amp;DJ2084:DJ2104&amp;" ",AS61)))),"")</f>
        <v>0</v>
      </c>
      <c r="CT61" s="127" cm="1">
        <f t="array" ref="CT61">IF(50=50,IF(AM61="","",SUMPRODUCT(--ISNUMBER(SEARCH(" "&amp;DJ2105:DJ2144&amp;" ",SUBSTITUTE(SUBSTITUTE(AS61," "&amp;DJ1378&amp;" "," ")," "&amp;DJ1377&amp;" "," "))))+--ISNUMBER(SEARCH("poiré",AN61))),"")</f>
        <v>0</v>
      </c>
      <c r="CU61" s="127" t="str">
        <f>IF(50=50,IF(AM61="","",IF(OR(CS61&gt;0,ISNUMBER(SEARCH(" vinaigre de vin ",AS61)),ISNUMBER(SEARCH(" vinaigre au vin ",AS61))),"X",IF(CT61&gt;0,"?",""))),"")</f>
        <v/>
      </c>
      <c r="CV61" s="127" cm="1">
        <f t="array" ref="CV61">IF(50=50,IF(AM61="","",SUMPRODUCT(--ISNUMBER(SEARCH(" "&amp;DJ2145:DJ2157&amp;" ",AS61)))),"")</f>
        <v>0</v>
      </c>
      <c r="CW61" s="127" cm="1">
        <f t="array" ref="CW61">IF(50=50,IF(AM61="","",SUMPRODUCT(--ISNUMBER(SEARCH(" "&amp;DJ2158:DJ2163&amp;" ",AS61)))),"")</f>
        <v>0</v>
      </c>
      <c r="CX61" s="127" t="str">
        <f>IF(50=50,IF(AM61="","",IF((CV61)-(0)&gt;0,"X",IF((CW61)-(0)&gt;0,"?",""))),"")</f>
        <v/>
      </c>
      <c r="CY61" s="127" cm="1">
        <f t="array" ref="CY61">IF(50=50,IF(AM61="","",SUMPRODUCT(--ISNUMBER(SEARCH(" "&amp;DJ2164:DJ2263&amp;" ",DB61)))),"")</f>
        <v>0</v>
      </c>
      <c r="CZ61" s="127" cm="1">
        <f t="array" ref="CZ61">IF(50=50,IF(AM61="","",SUMPRODUCT(--ISNUMBER(SEARCH(" "&amp;DJ2264:DJ2363&amp;" ",DB61)))),"")</f>
        <v>0</v>
      </c>
      <c r="DA61" s="127" cm="1">
        <f t="array" ref="DA61">IF(50=50,IF(AM61="","",SUMPRODUCT(--ISNUMBER(SEARCH(" "&amp;DJ2364:DJ2406&amp;" ",DB61)))),"")</f>
        <v>0</v>
      </c>
      <c r="DB61" s="127" t="str">
        <f>IF(50=50,IF(AM61="","",SUBSTITUTE(SUBSTITUTE(SUBSTITUTE(SUBSTITUTE(SUBSTITUTE(SUBSTITUTE(SUBSTITUTE(SUBSTITUTE(SUBSTITUTE(SUBSTITUTE(SUBSTITUTE(SUBSTITUTE(SUBSTITUTE(SUBSTITUTE(SUBSTITUTE(SUBSTITUTE(AS61," "&amp;DJ2412&amp;" "," ")," "&amp;DJ2411&amp;" "," ")," "&amp;DJ2410&amp;" "," ")," "&amp;DJ2417&amp;" "," ")," "&amp;DJ2409&amp;" "," ")," "&amp;DJ2421&amp;" "," ")," "&amp;DJ2408&amp;" "," ")," "&amp;DJ2413&amp;" "," ")," "&amp;DJ2416&amp;" "," ")," "&amp;DJ2407&amp;" "," ")," "&amp;DJ2415&amp;" "," ")," "&amp;DJ2422&amp;" "," ")," "&amp;DJ2419&amp;" "," ")," "&amp;DJ2414&amp;" "," ")," "&amp;DJ2418&amp;" "," ")," "&amp;DJ2420&amp;" "," ")),"")</f>
        <v xml:space="preserve"> sans formules </v>
      </c>
      <c r="DC61" s="127" cm="1">
        <f t="array" ref="DC61">IF(50=50,IF(AM61="","",SUMPRODUCT(--ISNUMBER(SEARCH(" "&amp;DJ2423:DJ2427&amp;" ",DB61)))),"")</f>
        <v>0</v>
      </c>
      <c r="DD61" s="127" t="str">
        <f>IF(50=50,IF(AM61="","",IF(SUM(CY61:DA61)&gt;0,"X",IF(DC61&gt;0,"?",""))),"")</f>
        <v/>
      </c>
      <c r="DE61" s="152"/>
      <c r="DF61" s="160" t="s">
        <v>757</v>
      </c>
      <c r="DG61" s="160" t="s">
        <v>584</v>
      </c>
      <c r="DH61" s="160" t="s">
        <v>125</v>
      </c>
      <c r="DI61" s="160" t="s">
        <v>462</v>
      </c>
      <c r="DJ61" s="160" t="s">
        <v>462</v>
      </c>
      <c r="DK61" s="160" t="s">
        <v>588</v>
      </c>
      <c r="DL61" s="160" t="s">
        <v>589</v>
      </c>
      <c r="DM61" s="160" t="s">
        <v>590</v>
      </c>
      <c r="DN61" s="161" t="s">
        <v>591</v>
      </c>
      <c r="DP61" s="130">
        <v>1</v>
      </c>
    </row>
    <row r="62" spans="2:120" ht="30" customHeight="1">
      <c r="B62" s="165" t="str">
        <f t="shared" si="0"/>
        <v/>
      </c>
      <c r="C62" s="165" t="str">
        <f t="shared" si="1"/>
        <v/>
      </c>
      <c r="D62" s="165" t="str">
        <f>IF(UPPER(TRIM(N11))="X",C62,B62)</f>
        <v/>
      </c>
      <c r="E62" s="165" cm="1">
        <f t="array" ref="E62">IF(H61&lt;&gt;"",E61,IF(E61="","",IFERROR(MATCH(TRUE(),INDEX(INDEX(K:K,E61+1):K203&lt;&gt;"",0),0)+E61,"")))</f>
        <v>46</v>
      </c>
      <c r="F62" s="165" t="str" cm="1">
        <f t="array" ref="F62">IF(E62="","",IF(H61&lt;&gt;"",H61,INDEX(D:D,E62)))</f>
        <v>FAITES UN ESSAIS</v>
      </c>
      <c r="G62" s="165" t="str">
        <f t="shared" si="2"/>
        <v>FAITES UN ESSAIS</v>
      </c>
      <c r="H62" s="174" t="str">
        <f t="shared" si="3"/>
        <v/>
      </c>
      <c r="I62" s="184" t="str">
        <f>IF(AND(F62&lt;&gt;"",N10&gt;0,M62&gt;N10),"Mot &gt; limite","")</f>
        <v/>
      </c>
      <c r="J62" s="175" t="str">
        <f>IF(K62="","",COUNTIF(K18:K62,"&lt;&gt;"))</f>
        <v/>
      </c>
      <c r="K62" s="111"/>
      <c r="L62" s="175" t="str">
        <f t="shared" si="4"/>
        <v/>
      </c>
      <c r="M62" s="135">
        <f>IF(OR(F62="",N10="",N10&lt;=0),"",IF(LEN(F62)&lt;=N10,LEN(F62),IFERROR(FIND("♦",SUBSTITUTE(LEFT(F62,N10)," ","♦",LEN(LEFT(F62,N10))-LEN(SUBSTITUTE(LEFT(F62,N10)," ","")))),FIND(" ",F62&amp;" ",N10+1)-1)))</f>
        <v>16</v>
      </c>
      <c r="N62" s="176">
        <f t="shared" si="5"/>
        <v>45</v>
      </c>
      <c r="O62" s="177" t="str">
        <f t="shared" si="6"/>
        <v>FAITES UN ESSAIS</v>
      </c>
      <c r="P62" s="176">
        <f t="shared" si="7"/>
        <v>3</v>
      </c>
      <c r="Q62" s="176">
        <f t="shared" si="8"/>
        <v>16</v>
      </c>
      <c r="S62" s="178">
        <v>45</v>
      </c>
      <c r="T62" s="179" t="str">
        <f t="shared" si="10"/>
        <v>FAITES UN ESSAIS</v>
      </c>
      <c r="U62" s="180" t="str">
        <f t="shared" si="11"/>
        <v>FAITES UN ESSAIS</v>
      </c>
      <c r="V62" s="181" t="str">
        <f>IF(51=51,IF(T62="","",IF(W62="X",""&amp;"Céréales contenant du gluten","")&amp;IF(X62="X",IF(COUNTIF(W62:W62,"X")&gt;0,", ","")&amp;"Crustacés","")&amp;IF(Y62="X",IF(COUNTIF(W62:X62,"X")&gt;0,", ","")&amp;"Œufs","")&amp;IF(Z62="X",IF(COUNTIF(W62:Y62,"X")&gt;0,", ","")&amp;"Poissons","")&amp;IF(AA62="X",IF(COUNTIF(W62:Z62,"X")&gt;0,", ","")&amp;"Arachides","")&amp;IF(AB62="X",IF(COUNTIF(W62:AA62,"X")&gt;0,", ","")&amp;"Soja","")&amp;IF(AC62="X",IF(COUNTIF(W62:AB62,"X")&gt;0,", ","")&amp;"Lait","")&amp;IF(AD62="X",IF(COUNTIF(W62:AC62,"X")&gt;0,", ","")&amp;"Fruits à coque","")&amp;IF(AE62="X",IF(COUNTIF(W62:AD62,"X")&gt;0,", ","")&amp;"Céleri","")&amp;IF(AF62="X",IF(COUNTIF(W62:AE62,"X")&gt;0,", ","")&amp;"Moutarde","")&amp;IF(AG62="X",IF(COUNTIF(W62:AF62,"X")&gt;0,", ","")&amp;"Sésame","")&amp;IF(AH62="X",IF(COUNTIF(W62:AG62,"X")&gt;0,", ","")&amp;"Sulfites","")&amp;IF(AI62="X",IF(COUNTIF(W62:AH62,"X")&gt;0,", ","")&amp;"Lupin","")&amp;IF(AJ62="X",IF(COUNTIF(W62:AI62,"X")&gt;0,", ","")&amp;"Mollusques","")),"")</f>
        <v/>
      </c>
      <c r="W62" s="182" t="str">
        <f>IF(51=51,IF(T62="","",AX62),"")</f>
        <v/>
      </c>
      <c r="X62" s="182" t="str">
        <f>IF(51=51,IF(T62="","",BA62),"")</f>
        <v/>
      </c>
      <c r="Y62" s="182" t="str">
        <f>IF(51=51,IF(T62="","",BE62),"")</f>
        <v/>
      </c>
      <c r="Z62" s="182" t="str">
        <f>IF(51=51,IF(T62="","",IF(ISNUMBER(SEARCH(" colin ",AS62)),"X",BR62)),"")</f>
        <v/>
      </c>
      <c r="AA62" s="182" t="str">
        <f>IF(51=51,IF(T62="","",BT62),"")</f>
        <v/>
      </c>
      <c r="AB62" s="182" t="str">
        <f>IF(51=51,IF(T62="","",BX62),"")</f>
        <v/>
      </c>
      <c r="AC62" s="182" t="str">
        <f>IF(51=51,IF(T62="","",CE62),"")</f>
        <v/>
      </c>
      <c r="AD62" s="182" t="str">
        <f>IF(51=51,IF(T62="","",CI62),"")</f>
        <v/>
      </c>
      <c r="AE62" s="182" t="str">
        <f>IF(51=51,IF(T62="","",CL62),"")</f>
        <v/>
      </c>
      <c r="AF62" s="182" t="str">
        <f>IF(51=51,IF(T62="","",CO62),"")</f>
        <v/>
      </c>
      <c r="AG62" s="182" t="str">
        <f>IF(51=51,IF(T62="","",CR62),"")</f>
        <v/>
      </c>
      <c r="AH62" s="182" t="str">
        <f>IF(51=51,IF(T62="","",CU62),"")</f>
        <v/>
      </c>
      <c r="AI62" s="182" t="str">
        <f>IF(51=51,IF(T62="","",CX62),"")</f>
        <v/>
      </c>
      <c r="AJ62" s="182" t="str">
        <f>IF(51=51,IF(T62="","",DD62),"")</f>
        <v/>
      </c>
      <c r="AK62" s="183" t="str">
        <f>IF(51=51,IF(T62="","",IF(W62="?",""&amp;"Céréales contenant du gluten","")&amp;IF(X62="?",IF(COUNTIF(W62:W62,"~?")&gt;0,", ","")&amp;"Crustacés","")&amp;IF(Y62="?",IF(COUNTIF(W62:X62,"~?")&gt;0,", ","")&amp;"Œufs","")&amp;IF(Z62="?",IF(COUNTIF(W62:Y62,"~?")&gt;0,", ","")&amp;"Poissons","")&amp;IF(AA62="?",IF(COUNTIF(W62:Z62,"~?")&gt;0,", ","")&amp;"Arachides","")&amp;IF(AB62="?",IF(COUNTIF(W62:AA62,"~?")&gt;0,", ","")&amp;"Soja","")&amp;IF(AC62="?",IF(COUNTIF(W62:AB62,"~?")&gt;0,", ","")&amp;"Lait","")&amp;IF(AD62="?",IF(COUNTIF(W62:AC62,"~?")&gt;0,", ","")&amp;"Fruits à coque","")&amp;IF(AE62="?",IF(COUNTIF(W62:AD62,"~?")&gt;0,", ","")&amp;"Céleri","")&amp;IF(AF62="?",IF(COUNTIF(W62:AE62,"~?")&gt;0,", ","")&amp;"Moutarde","")&amp;IF(AG62="?",IF(COUNTIF(W62:AF62,"~?")&gt;0,", ","")&amp;"Sésame","")&amp;IF(AH62="?",IF(COUNTIF(W62:AG62,"~?")&gt;0,", ","")&amp;"Sulfites","")&amp;IF(AI62="?",IF(COUNTIF(W62:AH62,"~?")&gt;0,", ","")&amp;"Lupin","")&amp;IF(AJ62="?",IF(COUNTIF(W62:AI62,"~?")&gt;0,", ","")&amp;"Mollusques","")),"")</f>
        <v/>
      </c>
      <c r="AM62" s="127" t="str">
        <f>IF(51=51,IF(T62="","",T62),"")</f>
        <v>FAITES UN ESSAIS</v>
      </c>
      <c r="AN62" s="127" t="str">
        <f>IF(51=51,LOWER(CLEAN(SUBSTITUTE(SUBSTITUTE(SUBSTITUTE(SUBSTITUTE(AM62,CHAR(160)," ")," "," "),CHAR(10)," "),CHAR(13)," "))),"")</f>
        <v>faites un essais</v>
      </c>
      <c r="AO62" s="127" t="str">
        <f>IF(51=51,SUBSTITUTE(SUBSTITUTE(SUBSTITUTE(SUBSTITUTE(SUBSTITUTE(SUBSTITUTE(SUBSTITUTE(SUBSTITUTE(SUBSTITUTE(SUBSTITUTE(SUBSTITUTE(SUBSTITUTE(AN62,"œ","oe"),"æ","ae"),"à","a"),"á","a"),"â","a"),"ä","a"),"ã","a"),"ç","c"),"è","e"),"é","e"),"ê","e"),"ë","e"),"")</f>
        <v>faites un essais</v>
      </c>
      <c r="AP62" s="127" t="str">
        <f>IF(51=51,SUBSTITUTE(SUBSTITUTE(SUBSTITUTE(SUBSTITUTE(SUBSTITUTE(SUBSTITUTE(SUBSTITUTE(SUBSTITUTE(SUBSTITUTE(SUBSTITUTE(SUBSTITUTE(SUBSTITUTE(SUBSTITUTE(SUBSTITUTE(SUBSTITUTE(SUBSTITUTE(AO62,"ì","i"),"í","i"),"î","i"),"ï","i"),"ñ","n"),"ò","o"),"ó","o"),"ô","o"),"ö","o"),"õ","o"),"ù","u"),"ú","u"),"û","u"),"ü","u"),"ý","y"),"ÿ","y"),"")</f>
        <v>faites un essais</v>
      </c>
      <c r="AQ62" s="127" t="str">
        <f>IF(51=51,SUBSTITUTE(SUBSTITUTE(SUBSTITUTE(SUBSTITUTE(SUBSTITUTE(SUBSTITUTE(SUBSTITUTE(SUBSTITUTE(SUBSTITUTE(SUBSTITUTE(SUBSTITUTE(SUBSTITUTE(SUBSTITUTE(SUBSTITUTE(AP62,"’"," "),"`"," "),"–"," "),"—"," "),"-"," "),"'"," "),"/"," "),"_"," "),","," "),"."," "),"("," "),")"," "),";"," "),":"," "),"")</f>
        <v>faites un essais</v>
      </c>
      <c r="AR62" s="127" t="str">
        <f>IF(51=51,SUBSTITUTE(SUBSTITUTE(SUBSTITUTE(SUBSTITUTE(SUBSTITUTE(SUBSTITUTE(SUBSTITUTE(SUBSTITUTE(SUBSTITUTE(SUBSTITUTE(SUBSTITUTE(SUBSTITUTE(SUBSTITUTE(SUBSTITUTE(SUBSTITUTE(AQ62,"!"," "),"?"," "),"+"," "),"*"," "),"&amp;"," "),"["," "),"]"," "),"{"," "),"}"," "),"%"," "),"="," "),"\"," "),"|"," "),"&lt;"," "),"&gt;"," "),"")</f>
        <v>faites un essais</v>
      </c>
      <c r="AS62" s="127" t="str">
        <f>IF(51=51," "&amp;TRIM(SUBSTITUTE(SUBSTITUTE(SUBSTITUTE(SUBSTITUTE(SUBSTITUTE(SUBSTITUTE(AR62,CHAR(34)," "),"  "," "),"  "," "),"  "," "),"  "," "),"  "," "))&amp;" ","")</f>
        <v xml:space="preserve"> faites un essais </v>
      </c>
      <c r="AT62" s="127" cm="1">
        <f t="array" ref="AT62">IF(51=51,IF(AM62="","",SUMPRODUCT(--ISNUMBER(SEARCH(" "&amp;DJ13:DJ112&amp;" ",AV62)))),"")</f>
        <v>0</v>
      </c>
      <c r="AU62" s="127" cm="1">
        <f t="array" ref="AU62">IF(51=51,IF(AM62="","",SUMPRODUCT(--ISNUMBER(SEARCH(" "&amp;DJ113:DJ162&amp;" ",AV62)))),"")</f>
        <v>0</v>
      </c>
      <c r="AV62" s="127" t="str">
        <f>IF(AM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faites un essais </v>
      </c>
      <c r="AW62" s="127" cm="1">
        <f t="array" ref="AW62">IF(AM62="","",SUMPRODUCT(--ISNUMBER(SEARCH(" "&amp;DJ195:DJ216&amp;" ",AV62)))+--ISNUMBER(SEARCH(" "&amp;DJ2465&amp;" ",AV62)))</f>
        <v>0</v>
      </c>
      <c r="AX62" s="127" t="str" cm="1">
        <f t="array" ref="AX62">IF(51=51,IF(AM62="","",IF(SUM(AT62:AU62)+SUMPRODUCT(--ISNUMBER(SEARCH(" "&amp;DJ2429:DJ2431&amp;" ",AV62)))&gt;0,"X",IF(AW62&gt;0,"?",""))),"")</f>
        <v/>
      </c>
      <c r="AY62" s="127" cm="1">
        <f t="array" ref="AY62">IF(51=51,IF(AM62="","",SUMPRODUCT(--ISNUMBER(SEARCH(" "&amp;DJ217:DJ316&amp;" ",AS62)))),"")</f>
        <v>0</v>
      </c>
      <c r="AZ62" s="127" cm="1">
        <f t="array" ref="AZ62">IF(51=51,IF(AM62="","",SUMPRODUCT(--ISNUMBER(SEARCH(" "&amp;DJ317:DJ351&amp;" ",AS62)))),"")</f>
        <v>0</v>
      </c>
      <c r="BA62" s="127" t="str">
        <f>IF(51=51,IF(AM62="","",IF((SUM(AY62:AZ62))-(0)&gt;0,"X",IF((0)-(0)&gt;0,"?",""))),"")</f>
        <v/>
      </c>
      <c r="BB62" s="127" cm="1">
        <f t="array" ref="BB62">IF(51=51,IF(AM62="","",SUMPRODUCT(--ISNUMBER(SEARCH(" "&amp;DJ352:DJ409&amp;" ",AS62)))),"")</f>
        <v>0</v>
      </c>
      <c r="BC62" s="127" cm="1">
        <f t="array" ref="BC62">IF(51=51,IF(AM62="","",SUMPRODUCT(--ISNUMBER(SEARCH(" "&amp;DJ410:DJ437&amp;" ",BD62)))+SUMPRODUCT(--ISNUMBER(SEARCH(" "&amp;DJ2451:DJ2464&amp;" ",BD62)))),"")</f>
        <v>0</v>
      </c>
      <c r="BD62" s="127" t="str">
        <f>IF(51=51,IF(AM62="","",SUBSTITUTE(SUBSTITUTE(SUBSTITUTE(SUBSTITUTE(SUBSTITUTE(SUBSTITUTE(SUBSTITUTE(SUBSTITUTE(SUBSTITUTE(SUBSTITUTE(SUBSTITUTE(SUBSTITUTE(SUBSTITUTE(SUBSTITUTE(AS62," "&amp;DJ2466&amp;" "," ")," "&amp;DJ444&amp;" "," ")," "&amp;DJ442&amp;" "," ")," "&amp;DJ2449&amp;" "," ")," "&amp;DJ2450&amp;" "," ")," "&amp;DJ439&amp;" "," ")," "&amp;DJ443&amp;" "," ")," "&amp;DJ445&amp;" "," ")," "&amp;DJ440&amp;" "," ")," "&amp;DJ438&amp;" "," ")," "&amp;DJ1378&amp;" "," ")," "&amp;DJ446&amp;" "," ")," "&amp;DJ1377&amp;" "," ")," "&amp;DJ441&amp;" "," ")),"")</f>
        <v xml:space="preserve"> faites un essais </v>
      </c>
      <c r="BE62" s="127" t="str">
        <f>IF(51=51,IF(AM62="","",IF(BB62&gt;0,"X",IF(BC62&gt;0,"?",""))),"")</f>
        <v/>
      </c>
      <c r="BF62" s="127" cm="1">
        <f t="array" ref="BF62">IF(51=51,IF(AM62="","",SUMPRODUCT(--ISNUMBER(SEARCH(" "&amp;DJ447:DJ546&amp;" ",BP62)))),"")</f>
        <v>0</v>
      </c>
      <c r="BG62" s="127" cm="1">
        <f t="array" ref="BG62">IF(51=51,IF(AM62="","",SUMPRODUCT(--ISNUMBER(SEARCH(" "&amp;DJ547:DJ646&amp;" ",BP62)))),"")</f>
        <v>0</v>
      </c>
      <c r="BH62" s="127" cm="1">
        <f t="array" ref="BH62">IF(51=51,IF(AM62="","",SUMPRODUCT(--ISNUMBER(SEARCH(" "&amp;DJ647:DJ746&amp;" ",BP62)))),"")</f>
        <v>0</v>
      </c>
      <c r="BI62" s="127" cm="1">
        <f t="array" ref="BI62">IF(51=51,IF(AM62="","",SUMPRODUCT(--ISNUMBER(SEARCH(" "&amp;DJ747:DJ846&amp;" ",BP62)))),"")</f>
        <v>0</v>
      </c>
      <c r="BJ62" s="127" cm="1">
        <f t="array" ref="BJ62">IF(51=51,IF(AM62="","",SUMPRODUCT(--ISNUMBER(SEARCH(" "&amp;DJ847:DJ946&amp;" ",BP62)))),"")</f>
        <v>0</v>
      </c>
      <c r="BK62" s="127" cm="1">
        <f t="array" ref="BK62">IF(51=51,IF(AM62="","",SUMPRODUCT(--ISNUMBER(SEARCH(" "&amp;DJ947:DJ1046&amp;" ",BP62)))),"")</f>
        <v>0</v>
      </c>
      <c r="BL62" s="127" cm="1">
        <f t="array" ref="BL62">IF(51=51,IF(AM62="","",SUMPRODUCT(--ISNUMBER(SEARCH(" "&amp;DJ1047:DJ1146&amp;" ",BP62)))),"")</f>
        <v>0</v>
      </c>
      <c r="BM62" s="127" cm="1">
        <f t="array" ref="BM62">IF(51=51,IF(AM62="","",SUMPRODUCT(--ISNUMBER(SEARCH(" "&amp;DJ1147:DJ1246&amp;" ",BP62)))),"")</f>
        <v>0</v>
      </c>
      <c r="BN62" s="127" cm="1">
        <f t="array" ref="BN62">IF(51=51,IF(AM62="","",SUMPRODUCT(--ISNUMBER(SEARCH(" "&amp;DJ1247:DJ1346&amp;" ",BP62)))),"")</f>
        <v>0</v>
      </c>
      <c r="BO62" s="127" cm="1">
        <f t="array" ref="BO62">IF(51=51,IF(AM62="","",SUMPRODUCT(--ISNUMBER(SEARCH(" "&amp;DJ1347:DJ1374&amp;" ",BP62)))),"")</f>
        <v>0</v>
      </c>
      <c r="BP62" s="127" t="str">
        <f>IF(51=51,IF(AM62="","",SUBSTITUTE(SUBSTITUTE(SUBSTITUTE(SUBSTITUTE(SUBSTITUTE(SUBSTITUTE(SUBSTITUTE(SUBSTITUTE(SUBSTITUTE(AS62," "&amp;DJ1376&amp;" "," ")," "&amp;DJ1375&amp;" "," ")," "&amp;DJ1381&amp;" "," ")," "&amp;DJ1382&amp;" "," ")," "&amp;DJ1378&amp;" "," ")," "&amp;DJ1380&amp;" "," ")," "&amp;DJ1377&amp;" "," ")," "&amp;DJ1379&amp;" "," ")," "&amp;DJ1383&amp;" "," ")),"")</f>
        <v xml:space="preserve"> faites un essais </v>
      </c>
      <c r="BQ62" s="127" cm="1">
        <f t="array" ref="BQ62">IF(51=51,IF(AM62="","",SUMPRODUCT(--ISNUMBER(SEARCH(" "&amp;DJ1384:DJ1394&amp;" ",BP62)))),"")</f>
        <v>0</v>
      </c>
      <c r="BR62" s="127" t="str" cm="1">
        <f t="array" ref="BR62">IF(51=51,IF(AM62="","",IF(SUM(BF62:BO62)+SUMPRODUCT(--ISNUMBER(SEARCH(" "&amp;DJ2432:DJ2433&amp;" ",BP62)))&gt;0,"X",IF(BQ62&gt;0,"?",""))),"")</f>
        <v/>
      </c>
      <c r="BS62" s="127" cm="1">
        <f t="array" ref="BS62">IF(51=51,IF(AM62="","",SUMPRODUCT(--ISNUMBER(SEARCH(" "&amp;DJ1395:DJ1415&amp;" ",AS62)))),"")</f>
        <v>0</v>
      </c>
      <c r="BT62" s="127" t="str">
        <f>IF(51=51,IF(AM62="","",IF((BS62)-(0)&gt;0,"X",IF((0)-(0)&gt;0,"?",""))),"")</f>
        <v/>
      </c>
      <c r="BU62" s="127" cm="1">
        <f t="array" ref="BU62">IF(51=51,IF(AM62="","",SUMPRODUCT(--ISNUMBER(SEARCH(" "&amp;DJ1416:DJ1453&amp;" ",BV62)))),"")</f>
        <v>0</v>
      </c>
      <c r="BV62" s="127" t="str">
        <f>IF(51=51,IF(AM62="","",SUBSTITUTE(SUBSTITUTE(AS62," "&amp;DJ1454&amp;" "," ")," "&amp;DJ1455&amp;" "," ")),"")</f>
        <v xml:space="preserve"> faites un essais </v>
      </c>
      <c r="BW62" s="127" cm="1">
        <f t="array" ref="BW62">IF(51=51,IF(AM62="","",SUMPRODUCT(--ISNUMBER(SEARCH(" "&amp;DJ1456:DJ1466&amp;" ",BV62)))),"")</f>
        <v>0</v>
      </c>
      <c r="BX62" s="127" t="str">
        <f>IF(51=51,IF(AM62="","",IF(BU62&gt;0,"X",IF(BW62&gt;0,"?",""))),"")</f>
        <v/>
      </c>
      <c r="BY62" s="127" cm="1">
        <f t="array" ref="BY62">IF(51=51,IF(AM62="","",SUMPRODUCT(--ISNUMBER(SEARCH(" "&amp;DJ1467:DJ1566&amp;" ",CB62)))),"")</f>
        <v>0</v>
      </c>
      <c r="BZ62" s="127" cm="1">
        <f t="array" ref="BZ62">IF(51=51,IF(AM62="","",SUMPRODUCT(--ISNUMBER(SEARCH(" "&amp;DJ1567:DJ1666&amp;" ",CB62)))),"")</f>
        <v>0</v>
      </c>
      <c r="CA62" s="127" cm="1">
        <f t="array" ref="CA62">IF(51=51,IF(AM62="","",SUMPRODUCT(--ISNUMBER(SEARCH(" "&amp;DJ1667:DJ1750&amp;" ",CB62)))),"")</f>
        <v>0</v>
      </c>
      <c r="CB62" s="127" t="str">
        <f>IF(51=51,IF(AM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faites un essais </v>
      </c>
      <c r="CC62" s="127" cm="1">
        <f t="array" ref="CC62">IF(51=51,IF(AM62="","",SUMPRODUCT(--ISNUMBER(SEARCH(" "&amp;DJ1801:DJ1880&amp;" ",CD62)))+SUMPRODUCT(--ISNUMBER(SEARCH(" "&amp;DJ2451:DJ2464&amp;" ",CD62)))),"")</f>
        <v>0</v>
      </c>
      <c r="CD62" s="127" t="str">
        <f>IF(51=51,IF(AM62="","",SUBSTITUTE(SUBSTITUTE(SUBSTITUTE(SUBSTITUTE(SUBSTITUTE(SUBSTITUTE(SUBSTITUTE(SUBSTITUTE(SUBSTITUTE(SUBSTITUTE(SUBSTITUTE(SUBSTITUTE(SUBSTITUTE(CB62," "&amp;DJ1887&amp;" "," ")," "&amp;DJ1885&amp;" "," ")," "&amp;DJ2449&amp;" "," ")," "&amp;DJ2450&amp;" "," ")," "&amp;DJ1882&amp;" "," ")," "&amp;DJ1886&amp;" "," ")," "&amp;DJ1888&amp;" "," ")," "&amp;DJ1883&amp;" "," ")," "&amp;DJ1881&amp;" "," ")," "&amp;DJ1378&amp;" "," ")," "&amp;DJ1889&amp;" "," ")," "&amp;DJ1377&amp;" "," ")," "&amp;DJ1884&amp;" "," ")),"")</f>
        <v xml:space="preserve"> faites un essais </v>
      </c>
      <c r="CE62" s="127" t="str" cm="1">
        <f t="array" ref="CE62">IF(51=51,IF(AM62="","",IF(SUM(BY62:CA62)+SUMPRODUCT(--ISNUMBER(SEARCH(" "&amp;DJ2434:DJ2435&amp;" ",CB62)))&gt;0,"X",IF(CC62&gt;0,"?",""))),"")</f>
        <v/>
      </c>
      <c r="CF62" s="127" cm="1">
        <f t="array" ref="CF62">IF(51=51,IF(AM62="","",SUMPRODUCT(--ISNUMBER(SEARCH(" "&amp;DJ1890:DJ1947&amp;" ",CG62)))),"")</f>
        <v>0</v>
      </c>
      <c r="CG62" s="127" t="str">
        <f>IF(51=51,IF(AM62="","",SUBSTITUTE(SUBSTITUTE(SUBSTITUTE(SUBSTITUTE(SUBSTITUTE(SUBSTITUTE(SUBSTITUTE(SUBSTITUTE(SUBSTITUTE(SUBSTITUTE(SUBSTITUTE(SUBSTITUTE(SUBSTITUTE(SUBSTITUTE(SUBSTITUTE(SUBSTITUTE(SUBSTITUTE(SUBSTITUTE(SUBSTITUTE(SUBSTITUTE(SUBSTITUTE(SUBSTITUTE(SUBSTITUTE(AS62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faites un essais </v>
      </c>
      <c r="CH62" s="127" cm="1">
        <f t="array" ref="CH62">IF(51=51,IF(AM62="","",SUMPRODUCT(--ISNUMBER(SEARCH(" "&amp;DJ1971:DJ1987&amp;" ",CG62)))),"")</f>
        <v>0</v>
      </c>
      <c r="CI62" s="127" t="str">
        <f>IF(51=51,IF(AM62="","",IF(CF62&gt;0,"X",IF(CH62&gt;0,"?",""))),"")</f>
        <v/>
      </c>
      <c r="CJ62" s="127" cm="1">
        <f t="array" ref="CJ62">IF(51=51,IF(AM62="","",SUMPRODUCT(--ISNUMBER(SEARCH(" "&amp;DJ1988:DJ2001&amp;" ",AS62)))),"")</f>
        <v>0</v>
      </c>
      <c r="CK62" s="127" cm="1">
        <f t="array" ref="CK62">IF(51=51,IF(AM62="","",SUMPRODUCT(--ISNUMBER(SEARCH(" "&amp;DJ2002:DJ2016&amp;" ",AS62)))),"")</f>
        <v>0</v>
      </c>
      <c r="CL62" s="127" t="str">
        <f>IF(51=51,IF(AM62="","",IF((CJ62)-(0)&gt;0,"X",IF((CK62)-(0)&gt;0,"?",""))),"")</f>
        <v/>
      </c>
      <c r="CM62" s="127" cm="1">
        <f t="array" ref="CM62">IF(51=51,IF(AM62="","",SUMPRODUCT(--ISNUMBER(SEARCH(" "&amp;DJ2017:DJ2034&amp;" ",AS62)))),"")</f>
        <v>0</v>
      </c>
      <c r="CN62" s="127" cm="1">
        <f t="array" ref="CN62">IF(51=51,IF(AM62="","",SUMPRODUCT(--ISNUMBER(SEARCH(" "&amp;DJ2035:DJ2049&amp;" ",AS62)))),"")</f>
        <v>0</v>
      </c>
      <c r="CO62" s="127" t="str">
        <f>IF(51=51,IF(AM62="","",IF((CM62)-(0)&gt;0,"X",IF((CN62)-(0)&gt;0,"?",""))),"")</f>
        <v/>
      </c>
      <c r="CP62" s="127" cm="1">
        <f t="array" ref="CP62">IF(51=51,IF(AM62="","",SUMPRODUCT(--ISNUMBER(SEARCH(" "&amp;DJ2050:DJ2068&amp;" ",AS62)))),"")</f>
        <v>0</v>
      </c>
      <c r="CQ62" s="127" cm="1">
        <f t="array" ref="CQ62">IF(51=51,IF(AM62="","",SUMPRODUCT(--ISNUMBER(SEARCH(" "&amp;DJ2069:DJ2083&amp;" ",AS62)))),"")</f>
        <v>0</v>
      </c>
      <c r="CR62" s="127" t="str">
        <f>IF(51=51,IF(AM62="","",IF((CP62)-(0)&gt;0,"X",IF((CQ62)-(0)&gt;0,"?",""))),"")</f>
        <v/>
      </c>
      <c r="CS62" s="127" cm="1">
        <f t="array" ref="CS62">IF(51=51,IF(AM62="","",SUMPRODUCT(--ISNUMBER(SEARCH(" "&amp;DJ2084:DJ2104&amp;" ",AS62)))),"")</f>
        <v>0</v>
      </c>
      <c r="CT62" s="127" cm="1">
        <f t="array" ref="CT62">IF(51=51,IF(AM62="","",SUMPRODUCT(--ISNUMBER(SEARCH(" "&amp;DJ2105:DJ2144&amp;" ",SUBSTITUTE(SUBSTITUTE(AS62," "&amp;DJ1378&amp;" "," ")," "&amp;DJ1377&amp;" "," "))))+--ISNUMBER(SEARCH("poiré",AN62))),"")</f>
        <v>0</v>
      </c>
      <c r="CU62" s="127" t="str">
        <f>IF(51=51,IF(AM62="","",IF(OR(CS62&gt;0,ISNUMBER(SEARCH(" vinaigre de vin ",AS62)),ISNUMBER(SEARCH(" vinaigre au vin ",AS62))),"X",IF(CT62&gt;0,"?",""))),"")</f>
        <v/>
      </c>
      <c r="CV62" s="127" cm="1">
        <f t="array" ref="CV62">IF(51=51,IF(AM62="","",SUMPRODUCT(--ISNUMBER(SEARCH(" "&amp;DJ2145:DJ2157&amp;" ",AS62)))),"")</f>
        <v>0</v>
      </c>
      <c r="CW62" s="127" cm="1">
        <f t="array" ref="CW62">IF(51=51,IF(AM62="","",SUMPRODUCT(--ISNUMBER(SEARCH(" "&amp;DJ2158:DJ2163&amp;" ",AS62)))),"")</f>
        <v>0</v>
      </c>
      <c r="CX62" s="127" t="str">
        <f>IF(51=51,IF(AM62="","",IF((CV62)-(0)&gt;0,"X",IF((CW62)-(0)&gt;0,"?",""))),"")</f>
        <v/>
      </c>
      <c r="CY62" s="127" cm="1">
        <f t="array" ref="CY62">IF(51=51,IF(AM62="","",SUMPRODUCT(--ISNUMBER(SEARCH(" "&amp;DJ2164:DJ2263&amp;" ",DB62)))),"")</f>
        <v>0</v>
      </c>
      <c r="CZ62" s="127" cm="1">
        <f t="array" ref="CZ62">IF(51=51,IF(AM62="","",SUMPRODUCT(--ISNUMBER(SEARCH(" "&amp;DJ2264:DJ2363&amp;" ",DB62)))),"")</f>
        <v>0</v>
      </c>
      <c r="DA62" s="127" cm="1">
        <f t="array" ref="DA62">IF(51=51,IF(AM62="","",SUMPRODUCT(--ISNUMBER(SEARCH(" "&amp;DJ2364:DJ2406&amp;" ",DB62)))),"")</f>
        <v>0</v>
      </c>
      <c r="DB62" s="127" t="str">
        <f>IF(51=51,IF(AM62="","",SUBSTITUTE(SUBSTITUTE(SUBSTITUTE(SUBSTITUTE(SUBSTITUTE(SUBSTITUTE(SUBSTITUTE(SUBSTITUTE(SUBSTITUTE(SUBSTITUTE(SUBSTITUTE(SUBSTITUTE(SUBSTITUTE(SUBSTITUTE(SUBSTITUTE(SUBSTITUTE(AS62," "&amp;DJ2412&amp;" "," ")," "&amp;DJ2411&amp;" "," ")," "&amp;DJ2410&amp;" "," ")," "&amp;DJ2417&amp;" "," ")," "&amp;DJ2409&amp;" "," ")," "&amp;DJ2421&amp;" "," ")," "&amp;DJ2408&amp;" "," ")," "&amp;DJ2413&amp;" "," ")," "&amp;DJ2416&amp;" "," ")," "&amp;DJ2407&amp;" "," ")," "&amp;DJ2415&amp;" "," ")," "&amp;DJ2422&amp;" "," ")," "&amp;DJ2419&amp;" "," ")," "&amp;DJ2414&amp;" "," ")," "&amp;DJ2418&amp;" "," ")," "&amp;DJ2420&amp;" "," ")),"")</f>
        <v xml:space="preserve"> faites un essais </v>
      </c>
      <c r="DC62" s="127" cm="1">
        <f t="array" ref="DC62">IF(51=51,IF(AM62="","",SUMPRODUCT(--ISNUMBER(SEARCH(" "&amp;DJ2423:DJ2427&amp;" ",DB62)))),"")</f>
        <v>0</v>
      </c>
      <c r="DD62" s="127" t="str">
        <f>IF(51=51,IF(AM62="","",IF(SUM(CY62:DA62)&gt;0,"X",IF(DC62&gt;0,"?",""))),"")</f>
        <v/>
      </c>
      <c r="DE62" s="152"/>
      <c r="DF62" s="160" t="s">
        <v>758</v>
      </c>
      <c r="DG62" s="160" t="s">
        <v>584</v>
      </c>
      <c r="DH62" s="160" t="s">
        <v>125</v>
      </c>
      <c r="DI62" s="160" t="s">
        <v>759</v>
      </c>
      <c r="DJ62" s="160" t="s">
        <v>185</v>
      </c>
      <c r="DK62" s="160" t="s">
        <v>588</v>
      </c>
      <c r="DL62" s="160" t="s">
        <v>589</v>
      </c>
      <c r="DM62" s="160" t="s">
        <v>590</v>
      </c>
      <c r="DN62" s="161" t="s">
        <v>591</v>
      </c>
      <c r="DP62" s="130">
        <v>1</v>
      </c>
    </row>
    <row r="63" spans="2:120" ht="30" customHeight="1">
      <c r="B63" s="165" t="str">
        <f t="shared" si="0"/>
        <v>5. Remettez la viande dans la cocotte et versez la marinade filtrée par-dessus. Ajoutez de l’eau si nécessaire pour recouvrir la viande. Salez et poivrez.</v>
      </c>
      <c r="C63" s="165" t="str">
        <f t="shared" si="1"/>
        <v>5 Remettez la viande dans la cocotte et versez la marinade filtrée par dessus Ajoutez de l’eau si nécessaire pour recouvrir la viande Salez et poivrez</v>
      </c>
      <c r="D63" s="165" t="str">
        <f>IF(UPPER(TRIM(N11))="X",C63,B63)</f>
        <v>5. Remettez la viande dans la cocotte et versez la marinade filtrée par-dessus. Ajoutez de l’eau si nécessaire pour recouvrir la viande. Salez et poivrez.</v>
      </c>
      <c r="E63" s="165" cm="1">
        <f t="array" ref="E63">IF(H62&lt;&gt;"",E62,IF(E62="","",IFERROR(MATCH(TRUE(),INDEX(INDEX(K:K,E62+1):K203&lt;&gt;"",0),0)+E62,"")))</f>
        <v>47</v>
      </c>
      <c r="F63" s="165" t="str" cm="1">
        <f t="array" ref="F63">IF(E63="","",IF(H62&lt;&gt;"",H62,INDEX(D:D,E63)))</f>
        <v>▼</v>
      </c>
      <c r="G63" s="165" t="str">
        <f t="shared" si="2"/>
        <v>▼</v>
      </c>
      <c r="H63" s="174" t="str">
        <f t="shared" si="3"/>
        <v/>
      </c>
      <c r="I63" s="184" t="str">
        <f>IF(AND(F63&lt;&gt;"",N10&gt;0,M63&gt;N10),"Mot &gt; limite","")</f>
        <v/>
      </c>
      <c r="J63" s="175">
        <f>IF(K63="","",COUNTIF(K18:K63,"&lt;&gt;"))</f>
        <v>40</v>
      </c>
      <c r="K63" s="111" t="s">
        <v>29</v>
      </c>
      <c r="L63" s="175">
        <f t="shared" si="4"/>
        <v>154</v>
      </c>
      <c r="M63" s="135">
        <f>IF(OR(F63="",N10="",N10&lt;=0),"",IF(LEN(F63)&lt;=N10,LEN(F63),IFERROR(FIND("♦",SUBSTITUTE(LEFT(F63,N10)," ","♦",LEN(LEFT(F63,N10))-LEN(SUBSTITUTE(LEFT(F63,N10)," ","")))),FIND(" ",F63&amp;" ",N10+1)-1)))</f>
        <v>1</v>
      </c>
      <c r="N63" s="176">
        <f t="shared" si="5"/>
        <v>46</v>
      </c>
      <c r="O63" s="177" t="str">
        <f t="shared" si="6"/>
        <v>▼</v>
      </c>
      <c r="P63" s="176">
        <f t="shared" si="7"/>
        <v>1</v>
      </c>
      <c r="Q63" s="176">
        <f t="shared" si="8"/>
        <v>1</v>
      </c>
      <c r="S63" s="178">
        <v>46</v>
      </c>
      <c r="T63" s="179" t="str">
        <f t="shared" si="10"/>
        <v>▼</v>
      </c>
      <c r="U63" s="180" t="str">
        <f t="shared" si="11"/>
        <v>▼</v>
      </c>
      <c r="V63" s="181" t="str">
        <f>IF(52=52,IF(T63="","",IF(W63="X",""&amp;"Céréales contenant du gluten","")&amp;IF(X63="X",IF(COUNTIF(W63:W63,"X")&gt;0,", ","")&amp;"Crustacés","")&amp;IF(Y63="X",IF(COUNTIF(W63:X63,"X")&gt;0,", ","")&amp;"Œufs","")&amp;IF(Z63="X",IF(COUNTIF(W63:Y63,"X")&gt;0,", ","")&amp;"Poissons","")&amp;IF(AA63="X",IF(COUNTIF(W63:Z63,"X")&gt;0,", ","")&amp;"Arachides","")&amp;IF(AB63="X",IF(COUNTIF(W63:AA63,"X")&gt;0,", ","")&amp;"Soja","")&amp;IF(AC63="X",IF(COUNTIF(W63:AB63,"X")&gt;0,", ","")&amp;"Lait","")&amp;IF(AD63="X",IF(COUNTIF(W63:AC63,"X")&gt;0,", ","")&amp;"Fruits à coque","")&amp;IF(AE63="X",IF(COUNTIF(W63:AD63,"X")&gt;0,", ","")&amp;"Céleri","")&amp;IF(AF63="X",IF(COUNTIF(W63:AE63,"X")&gt;0,", ","")&amp;"Moutarde","")&amp;IF(AG63="X",IF(COUNTIF(W63:AF63,"X")&gt;0,", ","")&amp;"Sésame","")&amp;IF(AH63="X",IF(COUNTIF(W63:AG63,"X")&gt;0,", ","")&amp;"Sulfites","")&amp;IF(AI63="X",IF(COUNTIF(W63:AH63,"X")&gt;0,", ","")&amp;"Lupin","")&amp;IF(AJ63="X",IF(COUNTIF(W63:AI63,"X")&gt;0,", ","")&amp;"Mollusques","")),"")</f>
        <v/>
      </c>
      <c r="W63" s="182" t="str">
        <f>IF(52=52,IF(T63="","",AX63),"")</f>
        <v/>
      </c>
      <c r="X63" s="182" t="str">
        <f>IF(52=52,IF(T63="","",BA63),"")</f>
        <v/>
      </c>
      <c r="Y63" s="182" t="str">
        <f>IF(52=52,IF(T63="","",BE63),"")</f>
        <v/>
      </c>
      <c r="Z63" s="182" t="str">
        <f>IF(52=52,IF(T63="","",IF(ISNUMBER(SEARCH(" colin ",AS63)),"X",BR63)),"")</f>
        <v/>
      </c>
      <c r="AA63" s="182" t="str">
        <f>IF(52=52,IF(T63="","",BT63),"")</f>
        <v/>
      </c>
      <c r="AB63" s="182" t="str">
        <f>IF(52=52,IF(T63="","",BX63),"")</f>
        <v/>
      </c>
      <c r="AC63" s="182" t="str">
        <f>IF(52=52,IF(T63="","",CE63),"")</f>
        <v/>
      </c>
      <c r="AD63" s="182" t="str">
        <f>IF(52=52,IF(T63="","",CI63),"")</f>
        <v/>
      </c>
      <c r="AE63" s="182" t="str">
        <f>IF(52=52,IF(T63="","",CL63),"")</f>
        <v/>
      </c>
      <c r="AF63" s="182" t="str">
        <f>IF(52=52,IF(T63="","",CO63),"")</f>
        <v/>
      </c>
      <c r="AG63" s="182" t="str">
        <f>IF(52=52,IF(T63="","",CR63),"")</f>
        <v/>
      </c>
      <c r="AH63" s="182" t="str">
        <f>IF(52=52,IF(T63="","",CU63),"")</f>
        <v/>
      </c>
      <c r="AI63" s="182" t="str">
        <f>IF(52=52,IF(T63="","",CX63),"")</f>
        <v/>
      </c>
      <c r="AJ63" s="182" t="str">
        <f>IF(52=52,IF(T63="","",DD63),"")</f>
        <v/>
      </c>
      <c r="AK63" s="183" t="str">
        <f>IF(52=52,IF(T63="","",IF(W63="?",""&amp;"Céréales contenant du gluten","")&amp;IF(X63="?",IF(COUNTIF(W63:W63,"~?")&gt;0,", ","")&amp;"Crustacés","")&amp;IF(Y63="?",IF(COUNTIF(W63:X63,"~?")&gt;0,", ","")&amp;"Œufs","")&amp;IF(Z63="?",IF(COUNTIF(W63:Y63,"~?")&gt;0,", ","")&amp;"Poissons","")&amp;IF(AA63="?",IF(COUNTIF(W63:Z63,"~?")&gt;0,", ","")&amp;"Arachides","")&amp;IF(AB63="?",IF(COUNTIF(W63:AA63,"~?")&gt;0,", ","")&amp;"Soja","")&amp;IF(AC63="?",IF(COUNTIF(W63:AB63,"~?")&gt;0,", ","")&amp;"Lait","")&amp;IF(AD63="?",IF(COUNTIF(W63:AC63,"~?")&gt;0,", ","")&amp;"Fruits à coque","")&amp;IF(AE63="?",IF(COUNTIF(W63:AD63,"~?")&gt;0,", ","")&amp;"Céleri","")&amp;IF(AF63="?",IF(COUNTIF(W63:AE63,"~?")&gt;0,", ","")&amp;"Moutarde","")&amp;IF(AG63="?",IF(COUNTIF(W63:AF63,"~?")&gt;0,", ","")&amp;"Sésame","")&amp;IF(AH63="?",IF(COUNTIF(W63:AG63,"~?")&gt;0,", ","")&amp;"Sulfites","")&amp;IF(AI63="?",IF(COUNTIF(W63:AH63,"~?")&gt;0,", ","")&amp;"Lupin","")&amp;IF(AJ63="?",IF(COUNTIF(W63:AI63,"~?")&gt;0,", ","")&amp;"Mollusques","")),"")</f>
        <v/>
      </c>
      <c r="AM63" s="127" t="str">
        <f>IF(52=52,IF(T63="","",T63),"")</f>
        <v>▼</v>
      </c>
      <c r="AN63" s="127" t="str">
        <f>IF(52=52,LOWER(CLEAN(SUBSTITUTE(SUBSTITUTE(SUBSTITUTE(SUBSTITUTE(AM63,CHAR(160)," ")," "," "),CHAR(10)," "),CHAR(13)," "))),"")</f>
        <v>▼</v>
      </c>
      <c r="AO63" s="127" t="str">
        <f>IF(52=52,SUBSTITUTE(SUBSTITUTE(SUBSTITUTE(SUBSTITUTE(SUBSTITUTE(SUBSTITUTE(SUBSTITUTE(SUBSTITUTE(SUBSTITUTE(SUBSTITUTE(SUBSTITUTE(SUBSTITUTE(AN63,"œ","oe"),"æ","ae"),"à","a"),"á","a"),"â","a"),"ä","a"),"ã","a"),"ç","c"),"è","e"),"é","e"),"ê","e"),"ë","e"),"")</f>
        <v>▼</v>
      </c>
      <c r="AP63" s="127" t="str">
        <f>IF(52=52,SUBSTITUTE(SUBSTITUTE(SUBSTITUTE(SUBSTITUTE(SUBSTITUTE(SUBSTITUTE(SUBSTITUTE(SUBSTITUTE(SUBSTITUTE(SUBSTITUTE(SUBSTITUTE(SUBSTITUTE(SUBSTITUTE(SUBSTITUTE(SUBSTITUTE(SUBSTITUTE(AO63,"ì","i"),"í","i"),"î","i"),"ï","i"),"ñ","n"),"ò","o"),"ó","o"),"ô","o"),"ö","o"),"õ","o"),"ù","u"),"ú","u"),"û","u"),"ü","u"),"ý","y"),"ÿ","y"),"")</f>
        <v>▼</v>
      </c>
      <c r="AQ63" s="127" t="str">
        <f>IF(52=52,SUBSTITUTE(SUBSTITUTE(SUBSTITUTE(SUBSTITUTE(SUBSTITUTE(SUBSTITUTE(SUBSTITUTE(SUBSTITUTE(SUBSTITUTE(SUBSTITUTE(SUBSTITUTE(SUBSTITUTE(SUBSTITUTE(SUBSTITUTE(AP63,"’"," "),"`"," "),"–"," "),"—"," "),"-"," "),"'"," "),"/"," "),"_"," "),","," "),"."," "),"("," "),")"," "),";"," "),":"," "),"")</f>
        <v>▼</v>
      </c>
      <c r="AR63" s="127" t="str">
        <f>IF(52=52,SUBSTITUTE(SUBSTITUTE(SUBSTITUTE(SUBSTITUTE(SUBSTITUTE(SUBSTITUTE(SUBSTITUTE(SUBSTITUTE(SUBSTITUTE(SUBSTITUTE(SUBSTITUTE(SUBSTITUTE(SUBSTITUTE(SUBSTITUTE(SUBSTITUTE(AQ63,"!"," "),"?"," "),"+"," "),"*"," "),"&amp;"," "),"["," "),"]"," "),"{"," "),"}"," "),"%"," "),"="," "),"\"," "),"|"," "),"&lt;"," "),"&gt;"," "),"")</f>
        <v>▼</v>
      </c>
      <c r="AS63" s="127" t="str">
        <f>IF(52=52," "&amp;TRIM(SUBSTITUTE(SUBSTITUTE(SUBSTITUTE(SUBSTITUTE(SUBSTITUTE(SUBSTITUTE(AR63,CHAR(34)," "),"  "," "),"  "," "),"  "," "),"  "," "),"  "," "))&amp;" ","")</f>
        <v xml:space="preserve"> ▼ </v>
      </c>
      <c r="AT63" s="127" cm="1">
        <f t="array" ref="AT63">IF(52=52,IF(AM63="","",SUMPRODUCT(--ISNUMBER(SEARCH(" "&amp;DJ13:DJ112&amp;" ",AV63)))),"")</f>
        <v>0</v>
      </c>
      <c r="AU63" s="127" cm="1">
        <f t="array" ref="AU63">IF(52=52,IF(AM63="","",SUMPRODUCT(--ISNUMBER(SEARCH(" "&amp;DJ113:DJ162&amp;" ",AV63)))),"")</f>
        <v>0</v>
      </c>
      <c r="AV63" s="127" t="str">
        <f>IF(AM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v>
      </c>
      <c r="AW63" s="127" cm="1">
        <f t="array" ref="AW63">IF(AM63="","",SUMPRODUCT(--ISNUMBER(SEARCH(" "&amp;DJ195:DJ216&amp;" ",AV63)))+--ISNUMBER(SEARCH(" "&amp;DJ2465&amp;" ",AV63)))</f>
        <v>0</v>
      </c>
      <c r="AX63" s="127" t="str" cm="1">
        <f t="array" ref="AX63">IF(52=52,IF(AM63="","",IF(SUM(AT63:AU63)+SUMPRODUCT(--ISNUMBER(SEARCH(" "&amp;DJ2429:DJ2431&amp;" ",AV63)))&gt;0,"X",IF(AW63&gt;0,"?",""))),"")</f>
        <v/>
      </c>
      <c r="AY63" s="127" cm="1">
        <f t="array" ref="AY63">IF(52=52,IF(AM63="","",SUMPRODUCT(--ISNUMBER(SEARCH(" "&amp;DJ217:DJ316&amp;" ",AS63)))),"")</f>
        <v>0</v>
      </c>
      <c r="AZ63" s="127" cm="1">
        <f t="array" ref="AZ63">IF(52=52,IF(AM63="","",SUMPRODUCT(--ISNUMBER(SEARCH(" "&amp;DJ317:DJ351&amp;" ",AS63)))),"")</f>
        <v>0</v>
      </c>
      <c r="BA63" s="127" t="str">
        <f>IF(52=52,IF(AM63="","",IF((SUM(AY63:AZ63))-(0)&gt;0,"X",IF((0)-(0)&gt;0,"?",""))),"")</f>
        <v/>
      </c>
      <c r="BB63" s="127" cm="1">
        <f t="array" ref="BB63">IF(52=52,IF(AM63="","",SUMPRODUCT(--ISNUMBER(SEARCH(" "&amp;DJ352:DJ409&amp;" ",AS63)))),"")</f>
        <v>0</v>
      </c>
      <c r="BC63" s="127" cm="1">
        <f t="array" ref="BC63">IF(52=52,IF(AM63="","",SUMPRODUCT(--ISNUMBER(SEARCH(" "&amp;DJ410:DJ437&amp;" ",BD63)))+SUMPRODUCT(--ISNUMBER(SEARCH(" "&amp;DJ2451:DJ2464&amp;" ",BD63)))),"")</f>
        <v>0</v>
      </c>
      <c r="BD63" s="127" t="str">
        <f>IF(52=52,IF(AM63="","",SUBSTITUTE(SUBSTITUTE(SUBSTITUTE(SUBSTITUTE(SUBSTITUTE(SUBSTITUTE(SUBSTITUTE(SUBSTITUTE(SUBSTITUTE(SUBSTITUTE(SUBSTITUTE(SUBSTITUTE(SUBSTITUTE(SUBSTITUTE(AS63," "&amp;DJ2466&amp;" "," ")," "&amp;DJ444&amp;" "," ")," "&amp;DJ442&amp;" "," ")," "&amp;DJ2449&amp;" "," ")," "&amp;DJ2450&amp;" "," ")," "&amp;DJ439&amp;" "," ")," "&amp;DJ443&amp;" "," ")," "&amp;DJ445&amp;" "," ")," "&amp;DJ440&amp;" "," ")," "&amp;DJ438&amp;" "," ")," "&amp;DJ1378&amp;" "," ")," "&amp;DJ446&amp;" "," ")," "&amp;DJ1377&amp;" "," ")," "&amp;DJ441&amp;" "," ")),"")</f>
        <v xml:space="preserve"> ▼ </v>
      </c>
      <c r="BE63" s="127" t="str">
        <f>IF(52=52,IF(AM63="","",IF(BB63&gt;0,"X",IF(BC63&gt;0,"?",""))),"")</f>
        <v/>
      </c>
      <c r="BF63" s="127" cm="1">
        <f t="array" ref="BF63">IF(52=52,IF(AM63="","",SUMPRODUCT(--ISNUMBER(SEARCH(" "&amp;DJ447:DJ546&amp;" ",BP63)))),"")</f>
        <v>0</v>
      </c>
      <c r="BG63" s="127" cm="1">
        <f t="array" ref="BG63">IF(52=52,IF(AM63="","",SUMPRODUCT(--ISNUMBER(SEARCH(" "&amp;DJ547:DJ646&amp;" ",BP63)))),"")</f>
        <v>0</v>
      </c>
      <c r="BH63" s="127" cm="1">
        <f t="array" ref="BH63">IF(52=52,IF(AM63="","",SUMPRODUCT(--ISNUMBER(SEARCH(" "&amp;DJ647:DJ746&amp;" ",BP63)))),"")</f>
        <v>0</v>
      </c>
      <c r="BI63" s="127" cm="1">
        <f t="array" ref="BI63">IF(52=52,IF(AM63="","",SUMPRODUCT(--ISNUMBER(SEARCH(" "&amp;DJ747:DJ846&amp;" ",BP63)))),"")</f>
        <v>0</v>
      </c>
      <c r="BJ63" s="127" cm="1">
        <f t="array" ref="BJ63">IF(52=52,IF(AM63="","",SUMPRODUCT(--ISNUMBER(SEARCH(" "&amp;DJ847:DJ946&amp;" ",BP63)))),"")</f>
        <v>0</v>
      </c>
      <c r="BK63" s="127" cm="1">
        <f t="array" ref="BK63">IF(52=52,IF(AM63="","",SUMPRODUCT(--ISNUMBER(SEARCH(" "&amp;DJ947:DJ1046&amp;" ",BP63)))),"")</f>
        <v>0</v>
      </c>
      <c r="BL63" s="127" cm="1">
        <f t="array" ref="BL63">IF(52=52,IF(AM63="","",SUMPRODUCT(--ISNUMBER(SEARCH(" "&amp;DJ1047:DJ1146&amp;" ",BP63)))),"")</f>
        <v>0</v>
      </c>
      <c r="BM63" s="127" cm="1">
        <f t="array" ref="BM63">IF(52=52,IF(AM63="","",SUMPRODUCT(--ISNUMBER(SEARCH(" "&amp;DJ1147:DJ1246&amp;" ",BP63)))),"")</f>
        <v>0</v>
      </c>
      <c r="BN63" s="127" cm="1">
        <f t="array" ref="BN63">IF(52=52,IF(AM63="","",SUMPRODUCT(--ISNUMBER(SEARCH(" "&amp;DJ1247:DJ1346&amp;" ",BP63)))),"")</f>
        <v>0</v>
      </c>
      <c r="BO63" s="127" cm="1">
        <f t="array" ref="BO63">IF(52=52,IF(AM63="","",SUMPRODUCT(--ISNUMBER(SEARCH(" "&amp;DJ1347:DJ1374&amp;" ",BP63)))),"")</f>
        <v>0</v>
      </c>
      <c r="BP63" s="127" t="str">
        <f>IF(52=52,IF(AM63="","",SUBSTITUTE(SUBSTITUTE(SUBSTITUTE(SUBSTITUTE(SUBSTITUTE(SUBSTITUTE(SUBSTITUTE(SUBSTITUTE(SUBSTITUTE(AS63," "&amp;DJ1376&amp;" "," ")," "&amp;DJ1375&amp;" "," ")," "&amp;DJ1381&amp;" "," ")," "&amp;DJ1382&amp;" "," ")," "&amp;DJ1378&amp;" "," ")," "&amp;DJ1380&amp;" "," ")," "&amp;DJ1377&amp;" "," ")," "&amp;DJ1379&amp;" "," ")," "&amp;DJ1383&amp;" "," ")),"")</f>
        <v xml:space="preserve"> ▼ </v>
      </c>
      <c r="BQ63" s="127" cm="1">
        <f t="array" ref="BQ63">IF(52=52,IF(AM63="","",SUMPRODUCT(--ISNUMBER(SEARCH(" "&amp;DJ1384:DJ1394&amp;" ",BP63)))),"")</f>
        <v>0</v>
      </c>
      <c r="BR63" s="127" t="str" cm="1">
        <f t="array" ref="BR63">IF(52=52,IF(AM63="","",IF(SUM(BF63:BO63)+SUMPRODUCT(--ISNUMBER(SEARCH(" "&amp;DJ2432:DJ2433&amp;" ",BP63)))&gt;0,"X",IF(BQ63&gt;0,"?",""))),"")</f>
        <v/>
      </c>
      <c r="BS63" s="127" cm="1">
        <f t="array" ref="BS63">IF(52=52,IF(AM63="","",SUMPRODUCT(--ISNUMBER(SEARCH(" "&amp;DJ1395:DJ1415&amp;" ",AS63)))),"")</f>
        <v>0</v>
      </c>
      <c r="BT63" s="127" t="str">
        <f>IF(52=52,IF(AM63="","",IF((BS63)-(0)&gt;0,"X",IF((0)-(0)&gt;0,"?",""))),"")</f>
        <v/>
      </c>
      <c r="BU63" s="127" cm="1">
        <f t="array" ref="BU63">IF(52=52,IF(AM63="","",SUMPRODUCT(--ISNUMBER(SEARCH(" "&amp;DJ1416:DJ1453&amp;" ",BV63)))),"")</f>
        <v>0</v>
      </c>
      <c r="BV63" s="127" t="str">
        <f>IF(52=52,IF(AM63="","",SUBSTITUTE(SUBSTITUTE(AS63," "&amp;DJ1454&amp;" "," ")," "&amp;DJ1455&amp;" "," ")),"")</f>
        <v xml:space="preserve"> ▼ </v>
      </c>
      <c r="BW63" s="127" cm="1">
        <f t="array" ref="BW63">IF(52=52,IF(AM63="","",SUMPRODUCT(--ISNUMBER(SEARCH(" "&amp;DJ1456:DJ1466&amp;" ",BV63)))),"")</f>
        <v>0</v>
      </c>
      <c r="BX63" s="127" t="str">
        <f>IF(52=52,IF(AM63="","",IF(BU63&gt;0,"X",IF(BW63&gt;0,"?",""))),"")</f>
        <v/>
      </c>
      <c r="BY63" s="127" cm="1">
        <f t="array" ref="BY63">IF(52=52,IF(AM63="","",SUMPRODUCT(--ISNUMBER(SEARCH(" "&amp;DJ1467:DJ1566&amp;" ",CB63)))),"")</f>
        <v>0</v>
      </c>
      <c r="BZ63" s="127" cm="1">
        <f t="array" ref="BZ63">IF(52=52,IF(AM63="","",SUMPRODUCT(--ISNUMBER(SEARCH(" "&amp;DJ1567:DJ1666&amp;" ",CB63)))),"")</f>
        <v>0</v>
      </c>
      <c r="CA63" s="127" cm="1">
        <f t="array" ref="CA63">IF(52=52,IF(AM63="","",SUMPRODUCT(--ISNUMBER(SEARCH(" "&amp;DJ1667:DJ1750&amp;" ",CB63)))),"")</f>
        <v>0</v>
      </c>
      <c r="CB63" s="127" t="str">
        <f>IF(52=52,IF(AM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v>
      </c>
      <c r="CC63" s="127" cm="1">
        <f t="array" ref="CC63">IF(52=52,IF(AM63="","",SUMPRODUCT(--ISNUMBER(SEARCH(" "&amp;DJ1801:DJ1880&amp;" ",CD63)))+SUMPRODUCT(--ISNUMBER(SEARCH(" "&amp;DJ2451:DJ2464&amp;" ",CD63)))),"")</f>
        <v>0</v>
      </c>
      <c r="CD63" s="127" t="str">
        <f>IF(52=52,IF(AM63="","",SUBSTITUTE(SUBSTITUTE(SUBSTITUTE(SUBSTITUTE(SUBSTITUTE(SUBSTITUTE(SUBSTITUTE(SUBSTITUTE(SUBSTITUTE(SUBSTITUTE(SUBSTITUTE(SUBSTITUTE(SUBSTITUTE(CB63," "&amp;DJ1887&amp;" "," ")," "&amp;DJ1885&amp;" "," ")," "&amp;DJ2449&amp;" "," ")," "&amp;DJ2450&amp;" "," ")," "&amp;DJ1882&amp;" "," ")," "&amp;DJ1886&amp;" "," ")," "&amp;DJ1888&amp;" "," ")," "&amp;DJ1883&amp;" "," ")," "&amp;DJ1881&amp;" "," ")," "&amp;DJ1378&amp;" "," ")," "&amp;DJ1889&amp;" "," ")," "&amp;DJ1377&amp;" "," ")," "&amp;DJ1884&amp;" "," ")),"")</f>
        <v xml:space="preserve"> ▼ </v>
      </c>
      <c r="CE63" s="127" t="str" cm="1">
        <f t="array" ref="CE63">IF(52=52,IF(AM63="","",IF(SUM(BY63:CA63)+SUMPRODUCT(--ISNUMBER(SEARCH(" "&amp;DJ2434:DJ2435&amp;" ",CB63)))&gt;0,"X",IF(CC63&gt;0,"?",""))),"")</f>
        <v/>
      </c>
      <c r="CF63" s="127" cm="1">
        <f t="array" ref="CF63">IF(52=52,IF(AM63="","",SUMPRODUCT(--ISNUMBER(SEARCH(" "&amp;DJ1890:DJ1947&amp;" ",CG63)))),"")</f>
        <v>0</v>
      </c>
      <c r="CG63" s="127" t="str">
        <f>IF(52=52,IF(AM63="","",SUBSTITUTE(SUBSTITUTE(SUBSTITUTE(SUBSTITUTE(SUBSTITUTE(SUBSTITUTE(SUBSTITUTE(SUBSTITUTE(SUBSTITUTE(SUBSTITUTE(SUBSTITUTE(SUBSTITUTE(SUBSTITUTE(SUBSTITUTE(SUBSTITUTE(SUBSTITUTE(SUBSTITUTE(SUBSTITUTE(SUBSTITUTE(SUBSTITUTE(SUBSTITUTE(SUBSTITUTE(SUBSTITUTE(AS63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v>
      </c>
      <c r="CH63" s="127" cm="1">
        <f t="array" ref="CH63">IF(52=52,IF(AM63="","",SUMPRODUCT(--ISNUMBER(SEARCH(" "&amp;DJ1971:DJ1987&amp;" ",CG63)))),"")</f>
        <v>0</v>
      </c>
      <c r="CI63" s="127" t="str">
        <f>IF(52=52,IF(AM63="","",IF(CF63&gt;0,"X",IF(CH63&gt;0,"?",""))),"")</f>
        <v/>
      </c>
      <c r="CJ63" s="127" cm="1">
        <f t="array" ref="CJ63">IF(52=52,IF(AM63="","",SUMPRODUCT(--ISNUMBER(SEARCH(" "&amp;DJ1988:DJ2001&amp;" ",AS63)))),"")</f>
        <v>0</v>
      </c>
      <c r="CK63" s="127" cm="1">
        <f t="array" ref="CK63">IF(52=52,IF(AM63="","",SUMPRODUCT(--ISNUMBER(SEARCH(" "&amp;DJ2002:DJ2016&amp;" ",AS63)))),"")</f>
        <v>0</v>
      </c>
      <c r="CL63" s="127" t="str">
        <f>IF(52=52,IF(AM63="","",IF((CJ63)-(0)&gt;0,"X",IF((CK63)-(0)&gt;0,"?",""))),"")</f>
        <v/>
      </c>
      <c r="CM63" s="127" cm="1">
        <f t="array" ref="CM63">IF(52=52,IF(AM63="","",SUMPRODUCT(--ISNUMBER(SEARCH(" "&amp;DJ2017:DJ2034&amp;" ",AS63)))),"")</f>
        <v>0</v>
      </c>
      <c r="CN63" s="127" cm="1">
        <f t="array" ref="CN63">IF(52=52,IF(AM63="","",SUMPRODUCT(--ISNUMBER(SEARCH(" "&amp;DJ2035:DJ2049&amp;" ",AS63)))),"")</f>
        <v>0</v>
      </c>
      <c r="CO63" s="127" t="str">
        <f>IF(52=52,IF(AM63="","",IF((CM63)-(0)&gt;0,"X",IF((CN63)-(0)&gt;0,"?",""))),"")</f>
        <v/>
      </c>
      <c r="CP63" s="127" cm="1">
        <f t="array" ref="CP63">IF(52=52,IF(AM63="","",SUMPRODUCT(--ISNUMBER(SEARCH(" "&amp;DJ2050:DJ2068&amp;" ",AS63)))),"")</f>
        <v>0</v>
      </c>
      <c r="CQ63" s="127" cm="1">
        <f t="array" ref="CQ63">IF(52=52,IF(AM63="","",SUMPRODUCT(--ISNUMBER(SEARCH(" "&amp;DJ2069:DJ2083&amp;" ",AS63)))),"")</f>
        <v>0</v>
      </c>
      <c r="CR63" s="127" t="str">
        <f>IF(52=52,IF(AM63="","",IF((CP63)-(0)&gt;0,"X",IF((CQ63)-(0)&gt;0,"?",""))),"")</f>
        <v/>
      </c>
      <c r="CS63" s="127" cm="1">
        <f t="array" ref="CS63">IF(52=52,IF(AM63="","",SUMPRODUCT(--ISNUMBER(SEARCH(" "&amp;DJ2084:DJ2104&amp;" ",AS63)))),"")</f>
        <v>0</v>
      </c>
      <c r="CT63" s="127" cm="1">
        <f t="array" ref="CT63">IF(52=52,IF(AM63="","",SUMPRODUCT(--ISNUMBER(SEARCH(" "&amp;DJ2105:DJ2144&amp;" ",SUBSTITUTE(SUBSTITUTE(AS63," "&amp;DJ1378&amp;" "," ")," "&amp;DJ1377&amp;" "," "))))+--ISNUMBER(SEARCH("poiré",AN63))),"")</f>
        <v>0</v>
      </c>
      <c r="CU63" s="127" t="str">
        <f>IF(52=52,IF(AM63="","",IF(OR(CS63&gt;0,ISNUMBER(SEARCH(" vinaigre de vin ",AS63)),ISNUMBER(SEARCH(" vinaigre au vin ",AS63))),"X",IF(CT63&gt;0,"?",""))),"")</f>
        <v/>
      </c>
      <c r="CV63" s="127" cm="1">
        <f t="array" ref="CV63">IF(52=52,IF(AM63="","",SUMPRODUCT(--ISNUMBER(SEARCH(" "&amp;DJ2145:DJ2157&amp;" ",AS63)))),"")</f>
        <v>0</v>
      </c>
      <c r="CW63" s="127" cm="1">
        <f t="array" ref="CW63">IF(52=52,IF(AM63="","",SUMPRODUCT(--ISNUMBER(SEARCH(" "&amp;DJ2158:DJ2163&amp;" ",AS63)))),"")</f>
        <v>0</v>
      </c>
      <c r="CX63" s="127" t="str">
        <f>IF(52=52,IF(AM63="","",IF((CV63)-(0)&gt;0,"X",IF((CW63)-(0)&gt;0,"?",""))),"")</f>
        <v/>
      </c>
      <c r="CY63" s="127" cm="1">
        <f t="array" ref="CY63">IF(52=52,IF(AM63="","",SUMPRODUCT(--ISNUMBER(SEARCH(" "&amp;DJ2164:DJ2263&amp;" ",DB63)))),"")</f>
        <v>0</v>
      </c>
      <c r="CZ63" s="127" cm="1">
        <f t="array" ref="CZ63">IF(52=52,IF(AM63="","",SUMPRODUCT(--ISNUMBER(SEARCH(" "&amp;DJ2264:DJ2363&amp;" ",DB63)))),"")</f>
        <v>0</v>
      </c>
      <c r="DA63" s="127" cm="1">
        <f t="array" ref="DA63">IF(52=52,IF(AM63="","",SUMPRODUCT(--ISNUMBER(SEARCH(" "&amp;DJ2364:DJ2406&amp;" ",DB63)))),"")</f>
        <v>0</v>
      </c>
      <c r="DB63" s="127" t="str">
        <f>IF(52=52,IF(AM63="","",SUBSTITUTE(SUBSTITUTE(SUBSTITUTE(SUBSTITUTE(SUBSTITUTE(SUBSTITUTE(SUBSTITUTE(SUBSTITUTE(SUBSTITUTE(SUBSTITUTE(SUBSTITUTE(SUBSTITUTE(SUBSTITUTE(SUBSTITUTE(SUBSTITUTE(SUBSTITUTE(AS63," "&amp;DJ2412&amp;" "," ")," "&amp;DJ2411&amp;" "," ")," "&amp;DJ2410&amp;" "," ")," "&amp;DJ2417&amp;" "," ")," "&amp;DJ2409&amp;" "," ")," "&amp;DJ2421&amp;" "," ")," "&amp;DJ2408&amp;" "," ")," "&amp;DJ2413&amp;" "," ")," "&amp;DJ2416&amp;" "," ")," "&amp;DJ2407&amp;" "," ")," "&amp;DJ2415&amp;" "," ")," "&amp;DJ2422&amp;" "," ")," "&amp;DJ2419&amp;" "," ")," "&amp;DJ2414&amp;" "," ")," "&amp;DJ2418&amp;" "," ")," "&amp;DJ2420&amp;" "," ")),"")</f>
        <v xml:space="preserve"> ▼ </v>
      </c>
      <c r="DC63" s="127" cm="1">
        <f t="array" ref="DC63">IF(52=52,IF(AM63="","",SUMPRODUCT(--ISNUMBER(SEARCH(" "&amp;DJ2423:DJ2427&amp;" ",DB63)))),"")</f>
        <v>0</v>
      </c>
      <c r="DD63" s="127" t="str">
        <f>IF(52=52,IF(AM63="","",IF(SUM(CY63:DA63)&gt;0,"X",IF(DC63&gt;0,"?",""))),"")</f>
        <v/>
      </c>
      <c r="DE63" s="152"/>
      <c r="DF63" s="160" t="s">
        <v>760</v>
      </c>
      <c r="DG63" s="160" t="s">
        <v>584</v>
      </c>
      <c r="DH63" s="160" t="s">
        <v>125</v>
      </c>
      <c r="DI63" s="160" t="s">
        <v>463</v>
      </c>
      <c r="DJ63" s="160" t="s">
        <v>463</v>
      </c>
      <c r="DK63" s="160" t="s">
        <v>588</v>
      </c>
      <c r="DL63" s="160" t="s">
        <v>589</v>
      </c>
      <c r="DM63" s="160" t="s">
        <v>590</v>
      </c>
      <c r="DN63" s="161" t="s">
        <v>591</v>
      </c>
      <c r="DP63" s="130">
        <v>1</v>
      </c>
    </row>
    <row r="64" spans="2:120" ht="30" customHeight="1">
      <c r="B64" s="165" t="str">
        <f t="shared" si="0"/>
        <v/>
      </c>
      <c r="C64" s="165" t="str">
        <f t="shared" si="1"/>
        <v/>
      </c>
      <c r="D64" s="165" t="str">
        <f>IF(UPPER(TRIM(N11))="X",C64,B64)</f>
        <v/>
      </c>
      <c r="E64" s="165" cm="1">
        <f t="array" ref="E64">IF(H63&lt;&gt;"",E63,IF(E63="","",IFERROR(MATCH(TRUE(),INDEX(INDEX(K:K,E63+1):K203&lt;&gt;"",0),0)+E63,"")))</f>
        <v>48</v>
      </c>
      <c r="F64" s="165" t="str" cm="1">
        <f t="array" ref="F64">IF(E64="","",IF(H63&lt;&gt;"",H63,INDEX(D:D,E64)))</f>
        <v>►collez votre texte colonne 1️⃣</v>
      </c>
      <c r="G64" s="165" t="str">
        <f t="shared" si="2"/>
        <v>►collez votre texte colonne 1️⃣</v>
      </c>
      <c r="H64" s="174" t="str">
        <f t="shared" si="3"/>
        <v/>
      </c>
      <c r="I64" s="184" t="str">
        <f>IF(AND(F64&lt;&gt;"",N10&gt;0,M64&gt;N10),"Mot &gt; limite","")</f>
        <v/>
      </c>
      <c r="J64" s="175" t="str">
        <f>IF(K64="","",COUNTIF(K18:K64,"&lt;&gt;"))</f>
        <v/>
      </c>
      <c r="K64" s="111"/>
      <c r="L64" s="175" t="str">
        <f t="shared" si="4"/>
        <v/>
      </c>
      <c r="M64" s="135">
        <f>IF(OR(F64="",N10="",N10&lt;=0),"",IF(LEN(F64)&lt;=N10,LEN(F64),IFERROR(FIND("♦",SUBSTITUTE(LEFT(F64,N10)," ","♦",LEN(LEFT(F64,N10))-LEN(SUBSTITUTE(LEFT(F64,N10)," ","")))),FIND(" ",F64&amp;" ",N10+1)-1)))</f>
        <v>31</v>
      </c>
      <c r="N64" s="176">
        <f t="shared" si="5"/>
        <v>47</v>
      </c>
      <c r="O64" s="177" t="str">
        <f t="shared" si="6"/>
        <v>►collez votre texte colonne 1️⃣</v>
      </c>
      <c r="P64" s="176">
        <f t="shared" si="7"/>
        <v>5</v>
      </c>
      <c r="Q64" s="176">
        <f t="shared" si="8"/>
        <v>31</v>
      </c>
      <c r="S64" s="178">
        <v>47</v>
      </c>
      <c r="T64" s="179" t="str">
        <f t="shared" si="10"/>
        <v>►collez votre texte colonne 1️⃣</v>
      </c>
      <c r="U64" s="180" t="str">
        <f t="shared" si="11"/>
        <v>►collez votre texte colonne 1️⃣</v>
      </c>
      <c r="V64" s="181" t="str">
        <f>IF(53=53,IF(T64="","",IF(W64="X",""&amp;"Céréales contenant du gluten","")&amp;IF(X64="X",IF(COUNTIF(W64:W64,"X")&gt;0,", ","")&amp;"Crustacés","")&amp;IF(Y64="X",IF(COUNTIF(W64:X64,"X")&gt;0,", ","")&amp;"Œufs","")&amp;IF(Z64="X",IF(COUNTIF(W64:Y64,"X")&gt;0,", ","")&amp;"Poissons","")&amp;IF(AA64="X",IF(COUNTIF(W64:Z64,"X")&gt;0,", ","")&amp;"Arachides","")&amp;IF(AB64="X",IF(COUNTIF(W64:AA64,"X")&gt;0,", ","")&amp;"Soja","")&amp;IF(AC64="X",IF(COUNTIF(W64:AB64,"X")&gt;0,", ","")&amp;"Lait","")&amp;IF(AD64="X",IF(COUNTIF(W64:AC64,"X")&gt;0,", ","")&amp;"Fruits à coque","")&amp;IF(AE64="X",IF(COUNTIF(W64:AD64,"X")&gt;0,", ","")&amp;"Céleri","")&amp;IF(AF64="X",IF(COUNTIF(W64:AE64,"X")&gt;0,", ","")&amp;"Moutarde","")&amp;IF(AG64="X",IF(COUNTIF(W64:AF64,"X")&gt;0,", ","")&amp;"Sésame","")&amp;IF(AH64="X",IF(COUNTIF(W64:AG64,"X")&gt;0,", ","")&amp;"Sulfites","")&amp;IF(AI64="X",IF(COUNTIF(W64:AH64,"X")&gt;0,", ","")&amp;"Lupin","")&amp;IF(AJ64="X",IF(COUNTIF(W64:AI64,"X")&gt;0,", ","")&amp;"Mollusques","")),"")</f>
        <v/>
      </c>
      <c r="W64" s="182" t="str">
        <f>IF(53=53,IF(T64="","",AX64),"")</f>
        <v/>
      </c>
      <c r="X64" s="182" t="str">
        <f>IF(53=53,IF(T64="","",BA64),"")</f>
        <v/>
      </c>
      <c r="Y64" s="182" t="str">
        <f>IF(53=53,IF(T64="","",BE64),"")</f>
        <v/>
      </c>
      <c r="Z64" s="182" t="str">
        <f>IF(53=53,IF(T64="","",IF(ISNUMBER(SEARCH(" colin ",AS64)),"X",BR64)),"")</f>
        <v/>
      </c>
      <c r="AA64" s="182" t="str">
        <f>IF(53=53,IF(T64="","",BT64),"")</f>
        <v/>
      </c>
      <c r="AB64" s="182" t="str">
        <f>IF(53=53,IF(T64="","",BX64),"")</f>
        <v/>
      </c>
      <c r="AC64" s="182" t="str">
        <f>IF(53=53,IF(T64="","",CE64),"")</f>
        <v/>
      </c>
      <c r="AD64" s="182" t="str">
        <f>IF(53=53,IF(T64="","",CI64),"")</f>
        <v/>
      </c>
      <c r="AE64" s="182" t="str">
        <f>IF(53=53,IF(T64="","",CL64),"")</f>
        <v/>
      </c>
      <c r="AF64" s="182" t="str">
        <f>IF(53=53,IF(T64="","",CO64),"")</f>
        <v/>
      </c>
      <c r="AG64" s="182" t="str">
        <f>IF(53=53,IF(T64="","",CR64),"")</f>
        <v/>
      </c>
      <c r="AH64" s="182" t="str">
        <f>IF(53=53,IF(T64="","",CU64),"")</f>
        <v/>
      </c>
      <c r="AI64" s="182" t="str">
        <f>IF(53=53,IF(T64="","",CX64),"")</f>
        <v/>
      </c>
      <c r="AJ64" s="182" t="str">
        <f>IF(53=53,IF(T64="","",DD64),"")</f>
        <v/>
      </c>
      <c r="AK64" s="183" t="str">
        <f>IF(53=53,IF(T64="","",IF(W64="?",""&amp;"Céréales contenant du gluten","")&amp;IF(X64="?",IF(COUNTIF(W64:W64,"~?")&gt;0,", ","")&amp;"Crustacés","")&amp;IF(Y64="?",IF(COUNTIF(W64:X64,"~?")&gt;0,", ","")&amp;"Œufs","")&amp;IF(Z64="?",IF(COUNTIF(W64:Y64,"~?")&gt;0,", ","")&amp;"Poissons","")&amp;IF(AA64="?",IF(COUNTIF(W64:Z64,"~?")&gt;0,", ","")&amp;"Arachides","")&amp;IF(AB64="?",IF(COUNTIF(W64:AA64,"~?")&gt;0,", ","")&amp;"Soja","")&amp;IF(AC64="?",IF(COUNTIF(W64:AB64,"~?")&gt;0,", ","")&amp;"Lait","")&amp;IF(AD64="?",IF(COUNTIF(W64:AC64,"~?")&gt;0,", ","")&amp;"Fruits à coque","")&amp;IF(AE64="?",IF(COUNTIF(W64:AD64,"~?")&gt;0,", ","")&amp;"Céleri","")&amp;IF(AF64="?",IF(COUNTIF(W64:AE64,"~?")&gt;0,", ","")&amp;"Moutarde","")&amp;IF(AG64="?",IF(COUNTIF(W64:AF64,"~?")&gt;0,", ","")&amp;"Sésame","")&amp;IF(AH64="?",IF(COUNTIF(W64:AG64,"~?")&gt;0,", ","")&amp;"Sulfites","")&amp;IF(AI64="?",IF(COUNTIF(W64:AH64,"~?")&gt;0,", ","")&amp;"Lupin","")&amp;IF(AJ64="?",IF(COUNTIF(W64:AI64,"~?")&gt;0,", ","")&amp;"Mollusques","")),"")</f>
        <v/>
      </c>
      <c r="AM64" s="127" t="str">
        <f>IF(53=53,IF(T64="","",T64),"")</f>
        <v>►collez votre texte colonne 1️⃣</v>
      </c>
      <c r="AN64" s="127" t="str">
        <f>IF(53=53,LOWER(CLEAN(SUBSTITUTE(SUBSTITUTE(SUBSTITUTE(SUBSTITUTE(AM64,CHAR(160)," ")," "," "),CHAR(10)," "),CHAR(13)," "))),"")</f>
        <v>►collez votre texte colonne 1️⃣</v>
      </c>
      <c r="AO64" s="127" t="str">
        <f>IF(53=53,SUBSTITUTE(SUBSTITUTE(SUBSTITUTE(SUBSTITUTE(SUBSTITUTE(SUBSTITUTE(SUBSTITUTE(SUBSTITUTE(SUBSTITUTE(SUBSTITUTE(SUBSTITUTE(SUBSTITUTE(AN64,"œ","oe"),"æ","ae"),"à","a"),"á","a"),"â","a"),"ä","a"),"ã","a"),"ç","c"),"è","e"),"é","e"),"ê","e"),"ë","e"),"")</f>
        <v>►collez votre texte colonne 1️⃣</v>
      </c>
      <c r="AP64" s="127" t="str">
        <f>IF(53=53,SUBSTITUTE(SUBSTITUTE(SUBSTITUTE(SUBSTITUTE(SUBSTITUTE(SUBSTITUTE(SUBSTITUTE(SUBSTITUTE(SUBSTITUTE(SUBSTITUTE(SUBSTITUTE(SUBSTITUTE(SUBSTITUTE(SUBSTITUTE(SUBSTITUTE(SUBSTITUTE(AO64,"ì","i"),"í","i"),"î","i"),"ï","i"),"ñ","n"),"ò","o"),"ó","o"),"ô","o"),"ö","o"),"õ","o"),"ù","u"),"ú","u"),"û","u"),"ü","u"),"ý","y"),"ÿ","y"),"")</f>
        <v>►collez votre texte colonne 1️⃣</v>
      </c>
      <c r="AQ64" s="127" t="str">
        <f>IF(53=53,SUBSTITUTE(SUBSTITUTE(SUBSTITUTE(SUBSTITUTE(SUBSTITUTE(SUBSTITUTE(SUBSTITUTE(SUBSTITUTE(SUBSTITUTE(SUBSTITUTE(SUBSTITUTE(SUBSTITUTE(SUBSTITUTE(SUBSTITUTE(AP64,"’"," "),"`"," "),"–"," "),"—"," "),"-"," "),"'"," "),"/"," "),"_"," "),","," "),"."," "),"("," "),")"," "),";"," "),":"," "),"")</f>
        <v>►collez votre texte colonne 1️⃣</v>
      </c>
      <c r="AR64" s="127" t="str">
        <f>IF(53=53,SUBSTITUTE(SUBSTITUTE(SUBSTITUTE(SUBSTITUTE(SUBSTITUTE(SUBSTITUTE(SUBSTITUTE(SUBSTITUTE(SUBSTITUTE(SUBSTITUTE(SUBSTITUTE(SUBSTITUTE(SUBSTITUTE(SUBSTITUTE(SUBSTITUTE(AQ64,"!"," "),"?"," "),"+"," "),"*"," "),"&amp;"," "),"["," "),"]"," "),"{"," "),"}"," "),"%"," "),"="," "),"\"," "),"|"," "),"&lt;"," "),"&gt;"," "),"")</f>
        <v>►collez votre texte colonne 1️⃣</v>
      </c>
      <c r="AS64" s="127" t="str">
        <f>IF(53=53," "&amp;TRIM(SUBSTITUTE(SUBSTITUTE(SUBSTITUTE(SUBSTITUTE(SUBSTITUTE(SUBSTITUTE(AR64,CHAR(34)," "),"  "," "),"  "," "),"  "," "),"  "," "),"  "," "))&amp;" ","")</f>
        <v xml:space="preserve"> ►collez votre texte colonne 1️⃣ </v>
      </c>
      <c r="AT64" s="127" cm="1">
        <f t="array" ref="AT64">IF(53=53,IF(AM64="","",SUMPRODUCT(--ISNUMBER(SEARCH(" "&amp;DJ13:DJ112&amp;" ",AV64)))),"")</f>
        <v>0</v>
      </c>
      <c r="AU64" s="127" cm="1">
        <f t="array" ref="AU64">IF(53=53,IF(AM64="","",SUMPRODUCT(--ISNUMBER(SEARCH(" "&amp;DJ113:DJ162&amp;" ",AV64)))),"")</f>
        <v>0</v>
      </c>
      <c r="AV64" s="127" t="str">
        <f>IF(AM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►collez votre texte colonne 1️⃣ </v>
      </c>
      <c r="AW64" s="127" cm="1">
        <f t="array" ref="AW64">IF(AM64="","",SUMPRODUCT(--ISNUMBER(SEARCH(" "&amp;DJ195:DJ216&amp;" ",AV64)))+--ISNUMBER(SEARCH(" "&amp;DJ2465&amp;" ",AV64)))</f>
        <v>0</v>
      </c>
      <c r="AX64" s="127" t="str" cm="1">
        <f t="array" ref="AX64">IF(53=53,IF(AM64="","",IF(SUM(AT64:AU64)+SUMPRODUCT(--ISNUMBER(SEARCH(" "&amp;DJ2429:DJ2431&amp;" ",AV64)))&gt;0,"X",IF(AW64&gt;0,"?",""))),"")</f>
        <v/>
      </c>
      <c r="AY64" s="127" cm="1">
        <f t="array" ref="AY64">IF(53=53,IF(AM64="","",SUMPRODUCT(--ISNUMBER(SEARCH(" "&amp;DJ217:DJ316&amp;" ",AS64)))),"")</f>
        <v>0</v>
      </c>
      <c r="AZ64" s="127" cm="1">
        <f t="array" ref="AZ64">IF(53=53,IF(AM64="","",SUMPRODUCT(--ISNUMBER(SEARCH(" "&amp;DJ317:DJ351&amp;" ",AS64)))),"")</f>
        <v>0</v>
      </c>
      <c r="BA64" s="127" t="str">
        <f>IF(53=53,IF(AM64="","",IF((SUM(AY64:AZ64))-(0)&gt;0,"X",IF((0)-(0)&gt;0,"?",""))),"")</f>
        <v/>
      </c>
      <c r="BB64" s="127" cm="1">
        <f t="array" ref="BB64">IF(53=53,IF(AM64="","",SUMPRODUCT(--ISNUMBER(SEARCH(" "&amp;DJ352:DJ409&amp;" ",AS64)))),"")</f>
        <v>0</v>
      </c>
      <c r="BC64" s="127" cm="1">
        <f t="array" ref="BC64">IF(53=53,IF(AM64="","",SUMPRODUCT(--ISNUMBER(SEARCH(" "&amp;DJ410:DJ437&amp;" ",BD64)))+SUMPRODUCT(--ISNUMBER(SEARCH(" "&amp;DJ2451:DJ2464&amp;" ",BD64)))),"")</f>
        <v>0</v>
      </c>
      <c r="BD64" s="127" t="str">
        <f>IF(53=53,IF(AM64="","",SUBSTITUTE(SUBSTITUTE(SUBSTITUTE(SUBSTITUTE(SUBSTITUTE(SUBSTITUTE(SUBSTITUTE(SUBSTITUTE(SUBSTITUTE(SUBSTITUTE(SUBSTITUTE(SUBSTITUTE(SUBSTITUTE(SUBSTITUTE(AS64," "&amp;DJ2466&amp;" "," ")," "&amp;DJ444&amp;" "," ")," "&amp;DJ442&amp;" "," ")," "&amp;DJ2449&amp;" "," ")," "&amp;DJ2450&amp;" "," ")," "&amp;DJ439&amp;" "," ")," "&amp;DJ443&amp;" "," ")," "&amp;DJ445&amp;" "," ")," "&amp;DJ440&amp;" "," ")," "&amp;DJ438&amp;" "," ")," "&amp;DJ1378&amp;" "," ")," "&amp;DJ446&amp;" "," ")," "&amp;DJ1377&amp;" "," ")," "&amp;DJ441&amp;" "," ")),"")</f>
        <v xml:space="preserve"> ►collez votre texte colonne 1️⃣ </v>
      </c>
      <c r="BE64" s="127" t="str">
        <f>IF(53=53,IF(AM64="","",IF(BB64&gt;0,"X",IF(BC64&gt;0,"?",""))),"")</f>
        <v/>
      </c>
      <c r="BF64" s="127" cm="1">
        <f t="array" ref="BF64">IF(53=53,IF(AM64="","",SUMPRODUCT(--ISNUMBER(SEARCH(" "&amp;DJ447:DJ546&amp;" ",BP64)))),"")</f>
        <v>0</v>
      </c>
      <c r="BG64" s="127" cm="1">
        <f t="array" ref="BG64">IF(53=53,IF(AM64="","",SUMPRODUCT(--ISNUMBER(SEARCH(" "&amp;DJ547:DJ646&amp;" ",BP64)))),"")</f>
        <v>0</v>
      </c>
      <c r="BH64" s="127" cm="1">
        <f t="array" ref="BH64">IF(53=53,IF(AM64="","",SUMPRODUCT(--ISNUMBER(SEARCH(" "&amp;DJ647:DJ746&amp;" ",BP64)))),"")</f>
        <v>0</v>
      </c>
      <c r="BI64" s="127" cm="1">
        <f t="array" ref="BI64">IF(53=53,IF(AM64="","",SUMPRODUCT(--ISNUMBER(SEARCH(" "&amp;DJ747:DJ846&amp;" ",BP64)))),"")</f>
        <v>0</v>
      </c>
      <c r="BJ64" s="127" cm="1">
        <f t="array" ref="BJ64">IF(53=53,IF(AM64="","",SUMPRODUCT(--ISNUMBER(SEARCH(" "&amp;DJ847:DJ946&amp;" ",BP64)))),"")</f>
        <v>0</v>
      </c>
      <c r="BK64" s="127" cm="1">
        <f t="array" ref="BK64">IF(53=53,IF(AM64="","",SUMPRODUCT(--ISNUMBER(SEARCH(" "&amp;DJ947:DJ1046&amp;" ",BP64)))),"")</f>
        <v>0</v>
      </c>
      <c r="BL64" s="127" cm="1">
        <f t="array" ref="BL64">IF(53=53,IF(AM64="","",SUMPRODUCT(--ISNUMBER(SEARCH(" "&amp;DJ1047:DJ1146&amp;" ",BP64)))),"")</f>
        <v>0</v>
      </c>
      <c r="BM64" s="127" cm="1">
        <f t="array" ref="BM64">IF(53=53,IF(AM64="","",SUMPRODUCT(--ISNUMBER(SEARCH(" "&amp;DJ1147:DJ1246&amp;" ",BP64)))),"")</f>
        <v>0</v>
      </c>
      <c r="BN64" s="127" cm="1">
        <f t="array" ref="BN64">IF(53=53,IF(AM64="","",SUMPRODUCT(--ISNUMBER(SEARCH(" "&amp;DJ1247:DJ1346&amp;" ",BP64)))),"")</f>
        <v>0</v>
      </c>
      <c r="BO64" s="127" cm="1">
        <f t="array" ref="BO64">IF(53=53,IF(AM64="","",SUMPRODUCT(--ISNUMBER(SEARCH(" "&amp;DJ1347:DJ1374&amp;" ",BP64)))),"")</f>
        <v>0</v>
      </c>
      <c r="BP64" s="127" t="str">
        <f>IF(53=53,IF(AM64="","",SUBSTITUTE(SUBSTITUTE(SUBSTITUTE(SUBSTITUTE(SUBSTITUTE(SUBSTITUTE(SUBSTITUTE(SUBSTITUTE(SUBSTITUTE(AS64," "&amp;DJ1376&amp;" "," ")," "&amp;DJ1375&amp;" "," ")," "&amp;DJ1381&amp;" "," ")," "&amp;DJ1382&amp;" "," ")," "&amp;DJ1378&amp;" "," ")," "&amp;DJ1380&amp;" "," ")," "&amp;DJ1377&amp;" "," ")," "&amp;DJ1379&amp;" "," ")," "&amp;DJ1383&amp;" "," ")),"")</f>
        <v xml:space="preserve"> ►collez votre texte colonne 1️⃣ </v>
      </c>
      <c r="BQ64" s="127" cm="1">
        <f t="array" ref="BQ64">IF(53=53,IF(AM64="","",SUMPRODUCT(--ISNUMBER(SEARCH(" "&amp;DJ1384:DJ1394&amp;" ",BP64)))),"")</f>
        <v>0</v>
      </c>
      <c r="BR64" s="127" t="str" cm="1">
        <f t="array" ref="BR64">IF(53=53,IF(AM64="","",IF(SUM(BF64:BO64)+SUMPRODUCT(--ISNUMBER(SEARCH(" "&amp;DJ2432:DJ2433&amp;" ",BP64)))&gt;0,"X",IF(BQ64&gt;0,"?",""))),"")</f>
        <v/>
      </c>
      <c r="BS64" s="127" cm="1">
        <f t="array" ref="BS64">IF(53=53,IF(AM64="","",SUMPRODUCT(--ISNUMBER(SEARCH(" "&amp;DJ1395:DJ1415&amp;" ",AS64)))),"")</f>
        <v>0</v>
      </c>
      <c r="BT64" s="127" t="str">
        <f>IF(53=53,IF(AM64="","",IF((BS64)-(0)&gt;0,"X",IF((0)-(0)&gt;0,"?",""))),"")</f>
        <v/>
      </c>
      <c r="BU64" s="127" cm="1">
        <f t="array" ref="BU64">IF(53=53,IF(AM64="","",SUMPRODUCT(--ISNUMBER(SEARCH(" "&amp;DJ1416:DJ1453&amp;" ",BV64)))),"")</f>
        <v>0</v>
      </c>
      <c r="BV64" s="127" t="str">
        <f>IF(53=53,IF(AM64="","",SUBSTITUTE(SUBSTITUTE(AS64," "&amp;DJ1454&amp;" "," ")," "&amp;DJ1455&amp;" "," ")),"")</f>
        <v xml:space="preserve"> ►collez votre texte colonne 1️⃣ </v>
      </c>
      <c r="BW64" s="127" cm="1">
        <f t="array" ref="BW64">IF(53=53,IF(AM64="","",SUMPRODUCT(--ISNUMBER(SEARCH(" "&amp;DJ1456:DJ1466&amp;" ",BV64)))),"")</f>
        <v>0</v>
      </c>
      <c r="BX64" s="127" t="str">
        <f>IF(53=53,IF(AM64="","",IF(BU64&gt;0,"X",IF(BW64&gt;0,"?",""))),"")</f>
        <v/>
      </c>
      <c r="BY64" s="127" cm="1">
        <f t="array" ref="BY64">IF(53=53,IF(AM64="","",SUMPRODUCT(--ISNUMBER(SEARCH(" "&amp;DJ1467:DJ1566&amp;" ",CB64)))),"")</f>
        <v>0</v>
      </c>
      <c r="BZ64" s="127" cm="1">
        <f t="array" ref="BZ64">IF(53=53,IF(AM64="","",SUMPRODUCT(--ISNUMBER(SEARCH(" "&amp;DJ1567:DJ1666&amp;" ",CB64)))),"")</f>
        <v>0</v>
      </c>
      <c r="CA64" s="127" cm="1">
        <f t="array" ref="CA64">IF(53=53,IF(AM64="","",SUMPRODUCT(--ISNUMBER(SEARCH(" "&amp;DJ1667:DJ1750&amp;" ",CB64)))),"")</f>
        <v>0</v>
      </c>
      <c r="CB64" s="127" t="str">
        <f>IF(53=53,IF(AM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►collez votre texte colonne 1️⃣ </v>
      </c>
      <c r="CC64" s="127" cm="1">
        <f t="array" ref="CC64">IF(53=53,IF(AM64="","",SUMPRODUCT(--ISNUMBER(SEARCH(" "&amp;DJ1801:DJ1880&amp;" ",CD64)))+SUMPRODUCT(--ISNUMBER(SEARCH(" "&amp;DJ2451:DJ2464&amp;" ",CD64)))),"")</f>
        <v>0</v>
      </c>
      <c r="CD64" s="127" t="str">
        <f>IF(53=53,IF(AM64="","",SUBSTITUTE(SUBSTITUTE(SUBSTITUTE(SUBSTITUTE(SUBSTITUTE(SUBSTITUTE(SUBSTITUTE(SUBSTITUTE(SUBSTITUTE(SUBSTITUTE(SUBSTITUTE(SUBSTITUTE(SUBSTITUTE(CB64," "&amp;DJ1887&amp;" "," ")," "&amp;DJ1885&amp;" "," ")," "&amp;DJ2449&amp;" "," ")," "&amp;DJ2450&amp;" "," ")," "&amp;DJ1882&amp;" "," ")," "&amp;DJ1886&amp;" "," ")," "&amp;DJ1888&amp;" "," ")," "&amp;DJ1883&amp;" "," ")," "&amp;DJ1881&amp;" "," ")," "&amp;DJ1378&amp;" "," ")," "&amp;DJ1889&amp;" "," ")," "&amp;DJ1377&amp;" "," ")," "&amp;DJ1884&amp;" "," ")),"")</f>
        <v xml:space="preserve"> ►collez votre texte colonne 1️⃣ </v>
      </c>
      <c r="CE64" s="127" t="str" cm="1">
        <f t="array" ref="CE64">IF(53=53,IF(AM64="","",IF(SUM(BY64:CA64)+SUMPRODUCT(--ISNUMBER(SEARCH(" "&amp;DJ2434:DJ2435&amp;" ",CB64)))&gt;0,"X",IF(CC64&gt;0,"?",""))),"")</f>
        <v/>
      </c>
      <c r="CF64" s="127" cm="1">
        <f t="array" ref="CF64">IF(53=53,IF(AM64="","",SUMPRODUCT(--ISNUMBER(SEARCH(" "&amp;DJ1890:DJ1947&amp;" ",CG64)))),"")</f>
        <v>0</v>
      </c>
      <c r="CG64" s="127" t="str">
        <f>IF(53=53,IF(AM64="","",SUBSTITUTE(SUBSTITUTE(SUBSTITUTE(SUBSTITUTE(SUBSTITUTE(SUBSTITUTE(SUBSTITUTE(SUBSTITUTE(SUBSTITUTE(SUBSTITUTE(SUBSTITUTE(SUBSTITUTE(SUBSTITUTE(SUBSTITUTE(SUBSTITUTE(SUBSTITUTE(SUBSTITUTE(SUBSTITUTE(SUBSTITUTE(SUBSTITUTE(SUBSTITUTE(SUBSTITUTE(SUBSTITUTE(AS64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►collez votre texte colonne 1️⃣ </v>
      </c>
      <c r="CH64" s="127" cm="1">
        <f t="array" ref="CH64">IF(53=53,IF(AM64="","",SUMPRODUCT(--ISNUMBER(SEARCH(" "&amp;DJ1971:DJ1987&amp;" ",CG64)))),"")</f>
        <v>0</v>
      </c>
      <c r="CI64" s="127" t="str">
        <f>IF(53=53,IF(AM64="","",IF(CF64&gt;0,"X",IF(CH64&gt;0,"?",""))),"")</f>
        <v/>
      </c>
      <c r="CJ64" s="127" cm="1">
        <f t="array" ref="CJ64">IF(53=53,IF(AM64="","",SUMPRODUCT(--ISNUMBER(SEARCH(" "&amp;DJ1988:DJ2001&amp;" ",AS64)))),"")</f>
        <v>0</v>
      </c>
      <c r="CK64" s="127" cm="1">
        <f t="array" ref="CK64">IF(53=53,IF(AM64="","",SUMPRODUCT(--ISNUMBER(SEARCH(" "&amp;DJ2002:DJ2016&amp;" ",AS64)))),"")</f>
        <v>0</v>
      </c>
      <c r="CL64" s="127" t="str">
        <f>IF(53=53,IF(AM64="","",IF((CJ64)-(0)&gt;0,"X",IF((CK64)-(0)&gt;0,"?",""))),"")</f>
        <v/>
      </c>
      <c r="CM64" s="127" cm="1">
        <f t="array" ref="CM64">IF(53=53,IF(AM64="","",SUMPRODUCT(--ISNUMBER(SEARCH(" "&amp;DJ2017:DJ2034&amp;" ",AS64)))),"")</f>
        <v>0</v>
      </c>
      <c r="CN64" s="127" cm="1">
        <f t="array" ref="CN64">IF(53=53,IF(AM64="","",SUMPRODUCT(--ISNUMBER(SEARCH(" "&amp;DJ2035:DJ2049&amp;" ",AS64)))),"")</f>
        <v>0</v>
      </c>
      <c r="CO64" s="127" t="str">
        <f>IF(53=53,IF(AM64="","",IF((CM64)-(0)&gt;0,"X",IF((CN64)-(0)&gt;0,"?",""))),"")</f>
        <v/>
      </c>
      <c r="CP64" s="127" cm="1">
        <f t="array" ref="CP64">IF(53=53,IF(AM64="","",SUMPRODUCT(--ISNUMBER(SEARCH(" "&amp;DJ2050:DJ2068&amp;" ",AS64)))),"")</f>
        <v>0</v>
      </c>
      <c r="CQ64" s="127" cm="1">
        <f t="array" ref="CQ64">IF(53=53,IF(AM64="","",SUMPRODUCT(--ISNUMBER(SEARCH(" "&amp;DJ2069:DJ2083&amp;" ",AS64)))),"")</f>
        <v>0</v>
      </c>
      <c r="CR64" s="127" t="str">
        <f>IF(53=53,IF(AM64="","",IF((CP64)-(0)&gt;0,"X",IF((CQ64)-(0)&gt;0,"?",""))),"")</f>
        <v/>
      </c>
      <c r="CS64" s="127" cm="1">
        <f t="array" ref="CS64">IF(53=53,IF(AM64="","",SUMPRODUCT(--ISNUMBER(SEARCH(" "&amp;DJ2084:DJ2104&amp;" ",AS64)))),"")</f>
        <v>0</v>
      </c>
      <c r="CT64" s="127" cm="1">
        <f t="array" ref="CT64">IF(53=53,IF(AM64="","",SUMPRODUCT(--ISNUMBER(SEARCH(" "&amp;DJ2105:DJ2144&amp;" ",SUBSTITUTE(SUBSTITUTE(AS64," "&amp;DJ1378&amp;" "," ")," "&amp;DJ1377&amp;" "," "))))+--ISNUMBER(SEARCH("poiré",AN64))),"")</f>
        <v>0</v>
      </c>
      <c r="CU64" s="127" t="str">
        <f>IF(53=53,IF(AM64="","",IF(OR(CS64&gt;0,ISNUMBER(SEARCH(" vinaigre de vin ",AS64)),ISNUMBER(SEARCH(" vinaigre au vin ",AS64))),"X",IF(CT64&gt;0,"?",""))),"")</f>
        <v/>
      </c>
      <c r="CV64" s="127" cm="1">
        <f t="array" ref="CV64">IF(53=53,IF(AM64="","",SUMPRODUCT(--ISNUMBER(SEARCH(" "&amp;DJ2145:DJ2157&amp;" ",AS64)))),"")</f>
        <v>0</v>
      </c>
      <c r="CW64" s="127" cm="1">
        <f t="array" ref="CW64">IF(53=53,IF(AM64="","",SUMPRODUCT(--ISNUMBER(SEARCH(" "&amp;DJ2158:DJ2163&amp;" ",AS64)))),"")</f>
        <v>0</v>
      </c>
      <c r="CX64" s="127" t="str">
        <f>IF(53=53,IF(AM64="","",IF((CV64)-(0)&gt;0,"X",IF((CW64)-(0)&gt;0,"?",""))),"")</f>
        <v/>
      </c>
      <c r="CY64" s="127" cm="1">
        <f t="array" ref="CY64">IF(53=53,IF(AM64="","",SUMPRODUCT(--ISNUMBER(SEARCH(" "&amp;DJ2164:DJ2263&amp;" ",DB64)))),"")</f>
        <v>0</v>
      </c>
      <c r="CZ64" s="127" cm="1">
        <f t="array" ref="CZ64">IF(53=53,IF(AM64="","",SUMPRODUCT(--ISNUMBER(SEARCH(" "&amp;DJ2264:DJ2363&amp;" ",DB64)))),"")</f>
        <v>0</v>
      </c>
      <c r="DA64" s="127" cm="1">
        <f t="array" ref="DA64">IF(53=53,IF(AM64="","",SUMPRODUCT(--ISNUMBER(SEARCH(" "&amp;DJ2364:DJ2406&amp;" ",DB64)))),"")</f>
        <v>0</v>
      </c>
      <c r="DB64" s="127" t="str">
        <f>IF(53=53,IF(AM64="","",SUBSTITUTE(SUBSTITUTE(SUBSTITUTE(SUBSTITUTE(SUBSTITUTE(SUBSTITUTE(SUBSTITUTE(SUBSTITUTE(SUBSTITUTE(SUBSTITUTE(SUBSTITUTE(SUBSTITUTE(SUBSTITUTE(SUBSTITUTE(SUBSTITUTE(SUBSTITUTE(AS64," "&amp;DJ2412&amp;" "," ")," "&amp;DJ2411&amp;" "," ")," "&amp;DJ2410&amp;" "," ")," "&amp;DJ2417&amp;" "," ")," "&amp;DJ2409&amp;" "," ")," "&amp;DJ2421&amp;" "," ")," "&amp;DJ2408&amp;" "," ")," "&amp;DJ2413&amp;" "," ")," "&amp;DJ2416&amp;" "," ")," "&amp;DJ2407&amp;" "," ")," "&amp;DJ2415&amp;" "," ")," "&amp;DJ2422&amp;" "," ")," "&amp;DJ2419&amp;" "," ")," "&amp;DJ2414&amp;" "," ")," "&amp;DJ2418&amp;" "," ")," "&amp;DJ2420&amp;" "," ")),"")</f>
        <v xml:space="preserve"> ►collez votre texte colonne 1️⃣ </v>
      </c>
      <c r="DC64" s="127" cm="1">
        <f t="array" ref="DC64">IF(53=53,IF(AM64="","",SUMPRODUCT(--ISNUMBER(SEARCH(" "&amp;DJ2423:DJ2427&amp;" ",DB64)))),"")</f>
        <v>0</v>
      </c>
      <c r="DD64" s="127" t="str">
        <f>IF(53=53,IF(AM64="","",IF(SUM(CY64:DA64)&gt;0,"X",IF(DC64&gt;0,"?",""))),"")</f>
        <v/>
      </c>
      <c r="DE64" s="152"/>
      <c r="DF64" s="160" t="s">
        <v>761</v>
      </c>
      <c r="DG64" s="160" t="s">
        <v>584</v>
      </c>
      <c r="DH64" s="160" t="s">
        <v>125</v>
      </c>
      <c r="DI64" s="160" t="s">
        <v>762</v>
      </c>
      <c r="DJ64" s="160" t="s">
        <v>762</v>
      </c>
      <c r="DK64" s="160" t="s">
        <v>588</v>
      </c>
      <c r="DL64" s="160" t="s">
        <v>589</v>
      </c>
      <c r="DM64" s="160" t="s">
        <v>590</v>
      </c>
      <c r="DN64" s="161" t="s">
        <v>591</v>
      </c>
      <c r="DP64" s="130">
        <v>1</v>
      </c>
    </row>
    <row r="65" spans="2:120" ht="30" customHeight="1">
      <c r="B65" s="165" t="str">
        <f t="shared" si="0"/>
        <v>6. Portez à ébullition, puis baissez le feu et laissez mijoter à feu doux pendant environ 3 heures, en remuant de temps en temps. La viande doit être tendre et la sauce onctueuse.</v>
      </c>
      <c r="C65" s="165" t="str">
        <f t="shared" si="1"/>
        <v>6 Portez à ébullition puis baissez le feu et laissez mijoter à feu doux pendant environ 3 heures en remuant de temps en temps La viande doit être tendre et la sauce onctueuse</v>
      </c>
      <c r="D65" s="165" t="str">
        <f>IF(UPPER(TRIM(N11))="X",C65,B65)</f>
        <v>6. Portez à ébullition, puis baissez le feu et laissez mijoter à feu doux pendant environ 3 heures, en remuant de temps en temps. La viande doit être tendre et la sauce onctueuse.</v>
      </c>
      <c r="E65" s="165" cm="1">
        <f t="array" ref="E65">IF(H64&lt;&gt;"",E64,IF(E64="","",IFERROR(MATCH(TRUE(),INDEX(INDEX(K:K,E64+1):K203&lt;&gt;"",0),0)+E64,"")))</f>
        <v>50</v>
      </c>
      <c r="F65" s="165" t="str" cm="1">
        <f t="array" ref="F65">IF(E65="","",IF(H64&lt;&gt;"",H64,INDEX(D:D,E65)))</f>
        <v>bœuf bourguignon de grand-mère</v>
      </c>
      <c r="G65" s="165" t="str">
        <f t="shared" si="2"/>
        <v>bœuf bourguignon de grand-mère</v>
      </c>
      <c r="H65" s="174" t="str">
        <f t="shared" si="3"/>
        <v/>
      </c>
      <c r="I65" s="184" t="str">
        <f>IF(AND(F65&lt;&gt;"",N10&gt;0,M65&gt;N10),"Mot &gt; limite","")</f>
        <v/>
      </c>
      <c r="J65" s="175">
        <f>IF(K65="","",COUNTIF(K18:K65,"&lt;&gt;"))</f>
        <v>41</v>
      </c>
      <c r="K65" s="111" t="s">
        <v>30</v>
      </c>
      <c r="L65" s="175">
        <f t="shared" si="4"/>
        <v>179</v>
      </c>
      <c r="M65" s="135">
        <f>IF(OR(F65="",N10="",N10&lt;=0),"",IF(LEN(F65)&lt;=N10,LEN(F65),IFERROR(FIND("♦",SUBSTITUTE(LEFT(F65,N10)," ","♦",LEN(LEFT(F65,N10))-LEN(SUBSTITUTE(LEFT(F65,N10)," ","")))),FIND(" ",F65&amp;" ",N10+1)-1)))</f>
        <v>30</v>
      </c>
      <c r="N65" s="176">
        <f t="shared" si="5"/>
        <v>48</v>
      </c>
      <c r="O65" s="177" t="str">
        <f t="shared" si="6"/>
        <v>bœuf bourguignon de grand-mère</v>
      </c>
      <c r="P65" s="176">
        <f t="shared" si="7"/>
        <v>4</v>
      </c>
      <c r="Q65" s="176">
        <f t="shared" si="8"/>
        <v>30</v>
      </c>
      <c r="S65" s="178">
        <v>48</v>
      </c>
      <c r="T65" s="179" t="str">
        <f t="shared" si="10"/>
        <v>bœuf bourguignon de grand-mère</v>
      </c>
      <c r="U65" s="180" t="str">
        <f t="shared" si="11"/>
        <v>bœuf bourguignon de grand-mère</v>
      </c>
      <c r="V65" s="181" t="str">
        <f>IF(54=54,IF(T65="","",IF(W65="X",""&amp;"Céréales contenant du gluten","")&amp;IF(X65="X",IF(COUNTIF(W65:W65,"X")&gt;0,", ","")&amp;"Crustacés","")&amp;IF(Y65="X",IF(COUNTIF(W65:X65,"X")&gt;0,", ","")&amp;"Œufs","")&amp;IF(Z65="X",IF(COUNTIF(W65:Y65,"X")&gt;0,", ","")&amp;"Poissons","")&amp;IF(AA65="X",IF(COUNTIF(W65:Z65,"X")&gt;0,", ","")&amp;"Arachides","")&amp;IF(AB65="X",IF(COUNTIF(W65:AA65,"X")&gt;0,", ","")&amp;"Soja","")&amp;IF(AC65="X",IF(COUNTIF(W65:AB65,"X")&gt;0,", ","")&amp;"Lait","")&amp;IF(AD65="X",IF(COUNTIF(W65:AC65,"X")&gt;0,", ","")&amp;"Fruits à coque","")&amp;IF(AE65="X",IF(COUNTIF(W65:AD65,"X")&gt;0,", ","")&amp;"Céleri","")&amp;IF(AF65="X",IF(COUNTIF(W65:AE65,"X")&gt;0,", ","")&amp;"Moutarde","")&amp;IF(AG65="X",IF(COUNTIF(W65:AF65,"X")&gt;0,", ","")&amp;"Sésame","")&amp;IF(AH65="X",IF(COUNTIF(W65:AG65,"X")&gt;0,", ","")&amp;"Sulfites","")&amp;IF(AI65="X",IF(COUNTIF(W65:AH65,"X")&gt;0,", ","")&amp;"Lupin","")&amp;IF(AJ65="X",IF(COUNTIF(W65:AI65,"X")&gt;0,", ","")&amp;"Mollusques","")),"")</f>
        <v/>
      </c>
      <c r="W65" s="182" t="str">
        <f>IF(54=54,IF(T65="","",AX65),"")</f>
        <v/>
      </c>
      <c r="X65" s="182" t="str">
        <f>IF(54=54,IF(T65="","",BA65),"")</f>
        <v/>
      </c>
      <c r="Y65" s="182" t="str">
        <f>IF(54=54,IF(T65="","",BE65),"")</f>
        <v/>
      </c>
      <c r="Z65" s="182" t="str">
        <f>IF(54=54,IF(T65="","",IF(ISNUMBER(SEARCH(" colin ",AS65)),"X",BR65)),"")</f>
        <v/>
      </c>
      <c r="AA65" s="182" t="str">
        <f>IF(54=54,IF(T65="","",BT65),"")</f>
        <v/>
      </c>
      <c r="AB65" s="182" t="str">
        <f>IF(54=54,IF(T65="","",BX65),"")</f>
        <v/>
      </c>
      <c r="AC65" s="182" t="str">
        <f>IF(54=54,IF(T65="","",CE65),"")</f>
        <v/>
      </c>
      <c r="AD65" s="182" t="str">
        <f>IF(54=54,IF(T65="","",CI65),"")</f>
        <v/>
      </c>
      <c r="AE65" s="182" t="str">
        <f>IF(54=54,IF(T65="","",CL65),"")</f>
        <v/>
      </c>
      <c r="AF65" s="182" t="str">
        <f>IF(54=54,IF(T65="","",CO65),"")</f>
        <v/>
      </c>
      <c r="AG65" s="182" t="str">
        <f>IF(54=54,IF(T65="","",CR65),"")</f>
        <v/>
      </c>
      <c r="AH65" s="182" t="str">
        <f>IF(54=54,IF(T65="","",CU65),"")</f>
        <v/>
      </c>
      <c r="AI65" s="182" t="str">
        <f>IF(54=54,IF(T65="","",CX65),"")</f>
        <v/>
      </c>
      <c r="AJ65" s="182" t="str">
        <f>IF(54=54,IF(T65="","",DD65),"")</f>
        <v/>
      </c>
      <c r="AK65" s="183" t="str">
        <f>IF(54=54,IF(T65="","",IF(W65="?",""&amp;"Céréales contenant du gluten","")&amp;IF(X65="?",IF(COUNTIF(W65:W65,"~?")&gt;0,", ","")&amp;"Crustacés","")&amp;IF(Y65="?",IF(COUNTIF(W65:X65,"~?")&gt;0,", ","")&amp;"Œufs","")&amp;IF(Z65="?",IF(COUNTIF(W65:Y65,"~?")&gt;0,", ","")&amp;"Poissons","")&amp;IF(AA65="?",IF(COUNTIF(W65:Z65,"~?")&gt;0,", ","")&amp;"Arachides","")&amp;IF(AB65="?",IF(COUNTIF(W65:AA65,"~?")&gt;0,", ","")&amp;"Soja","")&amp;IF(AC65="?",IF(COUNTIF(W65:AB65,"~?")&gt;0,", ","")&amp;"Lait","")&amp;IF(AD65="?",IF(COUNTIF(W65:AC65,"~?")&gt;0,", ","")&amp;"Fruits à coque","")&amp;IF(AE65="?",IF(COUNTIF(W65:AD65,"~?")&gt;0,", ","")&amp;"Céleri","")&amp;IF(AF65="?",IF(COUNTIF(W65:AE65,"~?")&gt;0,", ","")&amp;"Moutarde","")&amp;IF(AG65="?",IF(COUNTIF(W65:AF65,"~?")&gt;0,", ","")&amp;"Sésame","")&amp;IF(AH65="?",IF(COUNTIF(W65:AG65,"~?")&gt;0,", ","")&amp;"Sulfites","")&amp;IF(AI65="?",IF(COUNTIF(W65:AH65,"~?")&gt;0,", ","")&amp;"Lupin","")&amp;IF(AJ65="?",IF(COUNTIF(W65:AI65,"~?")&gt;0,", ","")&amp;"Mollusques","")),"")</f>
        <v/>
      </c>
      <c r="AM65" s="127" t="str">
        <f>IF(54=54,IF(T65="","",T65),"")</f>
        <v>bœuf bourguignon de grand-mère</v>
      </c>
      <c r="AN65" s="127" t="str">
        <f>IF(54=54,LOWER(CLEAN(SUBSTITUTE(SUBSTITUTE(SUBSTITUTE(SUBSTITUTE(AM65,CHAR(160)," ")," "," "),CHAR(10)," "),CHAR(13)," "))),"")</f>
        <v>bœuf bourguignon de grand-mère</v>
      </c>
      <c r="AO65" s="127" t="str">
        <f>IF(54=54,SUBSTITUTE(SUBSTITUTE(SUBSTITUTE(SUBSTITUTE(SUBSTITUTE(SUBSTITUTE(SUBSTITUTE(SUBSTITUTE(SUBSTITUTE(SUBSTITUTE(SUBSTITUTE(SUBSTITUTE(AN65,"œ","oe"),"æ","ae"),"à","a"),"á","a"),"â","a"),"ä","a"),"ã","a"),"ç","c"),"è","e"),"é","e"),"ê","e"),"ë","e"),"")</f>
        <v>boeuf bourguignon de grand-mere</v>
      </c>
      <c r="AP65" s="127" t="str">
        <f>IF(54=54,SUBSTITUTE(SUBSTITUTE(SUBSTITUTE(SUBSTITUTE(SUBSTITUTE(SUBSTITUTE(SUBSTITUTE(SUBSTITUTE(SUBSTITUTE(SUBSTITUTE(SUBSTITUTE(SUBSTITUTE(SUBSTITUTE(SUBSTITUTE(SUBSTITUTE(SUBSTITUTE(AO65,"ì","i"),"í","i"),"î","i"),"ï","i"),"ñ","n"),"ò","o"),"ó","o"),"ô","o"),"ö","o"),"õ","o"),"ù","u"),"ú","u"),"û","u"),"ü","u"),"ý","y"),"ÿ","y"),"")</f>
        <v>boeuf bourguignon de grand-mere</v>
      </c>
      <c r="AQ65" s="127" t="str">
        <f>IF(54=54,SUBSTITUTE(SUBSTITUTE(SUBSTITUTE(SUBSTITUTE(SUBSTITUTE(SUBSTITUTE(SUBSTITUTE(SUBSTITUTE(SUBSTITUTE(SUBSTITUTE(SUBSTITUTE(SUBSTITUTE(SUBSTITUTE(SUBSTITUTE(AP65,"’"," "),"`"," "),"–"," "),"—"," "),"-"," "),"'"," "),"/"," "),"_"," "),","," "),"."," "),"("," "),")"," "),";"," "),":"," "),"")</f>
        <v>boeuf bourguignon de grand mere</v>
      </c>
      <c r="AR65" s="127" t="str">
        <f>IF(54=54,SUBSTITUTE(SUBSTITUTE(SUBSTITUTE(SUBSTITUTE(SUBSTITUTE(SUBSTITUTE(SUBSTITUTE(SUBSTITUTE(SUBSTITUTE(SUBSTITUTE(SUBSTITUTE(SUBSTITUTE(SUBSTITUTE(SUBSTITUTE(SUBSTITUTE(AQ65,"!"," "),"?"," "),"+"," "),"*"," "),"&amp;"," "),"["," "),"]"," "),"{"," "),"}"," "),"%"," "),"="," "),"\"," "),"|"," "),"&lt;"," "),"&gt;"," "),"")</f>
        <v>boeuf bourguignon de grand mere</v>
      </c>
      <c r="AS65" s="127" t="str">
        <f>IF(54=54," "&amp;TRIM(SUBSTITUTE(SUBSTITUTE(SUBSTITUTE(SUBSTITUTE(SUBSTITUTE(SUBSTITUTE(AR65,CHAR(34)," "),"  "," "),"  "," "),"  "," "),"  "," "),"  "," "))&amp;" ","")</f>
        <v xml:space="preserve"> boeuf bourguignon de grand mere </v>
      </c>
      <c r="AT65" s="127" cm="1">
        <f t="array" ref="AT65">IF(54=54,IF(AM65="","",SUMPRODUCT(--ISNUMBER(SEARCH(" "&amp;DJ13:DJ112&amp;" ",AV65)))),"")</f>
        <v>0</v>
      </c>
      <c r="AU65" s="127" cm="1">
        <f t="array" ref="AU65">IF(54=54,IF(AM65="","",SUMPRODUCT(--ISNUMBER(SEARCH(" "&amp;DJ113:DJ162&amp;" ",AV65)))),"")</f>
        <v>0</v>
      </c>
      <c r="AV65" s="127" t="str">
        <f>IF(AM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boeuf bourguignon de grand mere </v>
      </c>
      <c r="AW65" s="127" cm="1">
        <f t="array" ref="AW65">IF(AM65="","",SUMPRODUCT(--ISNUMBER(SEARCH(" "&amp;DJ195:DJ216&amp;" ",AV65)))+--ISNUMBER(SEARCH(" "&amp;DJ2465&amp;" ",AV65)))</f>
        <v>0</v>
      </c>
      <c r="AX65" s="127" t="str" cm="1">
        <f t="array" ref="AX65">IF(54=54,IF(AM65="","",IF(SUM(AT65:AU65)+SUMPRODUCT(--ISNUMBER(SEARCH(" "&amp;DJ2429:DJ2431&amp;" ",AV65)))&gt;0,"X",IF(AW65&gt;0,"?",""))),"")</f>
        <v/>
      </c>
      <c r="AY65" s="127" cm="1">
        <f t="array" ref="AY65">IF(54=54,IF(AM65="","",SUMPRODUCT(--ISNUMBER(SEARCH(" "&amp;DJ217:DJ316&amp;" ",AS65)))),"")</f>
        <v>0</v>
      </c>
      <c r="AZ65" s="127" cm="1">
        <f t="array" ref="AZ65">IF(54=54,IF(AM65="","",SUMPRODUCT(--ISNUMBER(SEARCH(" "&amp;DJ317:DJ351&amp;" ",AS65)))),"")</f>
        <v>0</v>
      </c>
      <c r="BA65" s="127" t="str">
        <f>IF(54=54,IF(AM65="","",IF((SUM(AY65:AZ65))-(0)&gt;0,"X",IF((0)-(0)&gt;0,"?",""))),"")</f>
        <v/>
      </c>
      <c r="BB65" s="127" cm="1">
        <f t="array" ref="BB65">IF(54=54,IF(AM65="","",SUMPRODUCT(--ISNUMBER(SEARCH(" "&amp;DJ352:DJ409&amp;" ",AS65)))),"")</f>
        <v>0</v>
      </c>
      <c r="BC65" s="127" cm="1">
        <f t="array" ref="BC65">IF(54=54,IF(AM65="","",SUMPRODUCT(--ISNUMBER(SEARCH(" "&amp;DJ410:DJ437&amp;" ",BD65)))+SUMPRODUCT(--ISNUMBER(SEARCH(" "&amp;DJ2451:DJ2464&amp;" ",BD65)))),"")</f>
        <v>0</v>
      </c>
      <c r="BD65" s="127" t="str">
        <f>IF(54=54,IF(AM65="","",SUBSTITUTE(SUBSTITUTE(SUBSTITUTE(SUBSTITUTE(SUBSTITUTE(SUBSTITUTE(SUBSTITUTE(SUBSTITUTE(SUBSTITUTE(SUBSTITUTE(SUBSTITUTE(SUBSTITUTE(SUBSTITUTE(SUBSTITUTE(AS65," "&amp;DJ2466&amp;" "," ")," "&amp;DJ444&amp;" "," ")," "&amp;DJ442&amp;" "," ")," "&amp;DJ2449&amp;" "," ")," "&amp;DJ2450&amp;" "," ")," "&amp;DJ439&amp;" "," ")," "&amp;DJ443&amp;" "," ")," "&amp;DJ445&amp;" "," ")," "&amp;DJ440&amp;" "," ")," "&amp;DJ438&amp;" "," ")," "&amp;DJ1378&amp;" "," ")," "&amp;DJ446&amp;" "," ")," "&amp;DJ1377&amp;" "," ")," "&amp;DJ441&amp;" "," ")),"")</f>
        <v xml:space="preserve"> boeuf bourguignon de grand mere </v>
      </c>
      <c r="BE65" s="127" t="str">
        <f>IF(54=54,IF(AM65="","",IF(BB65&gt;0,"X",IF(BC65&gt;0,"?",""))),"")</f>
        <v/>
      </c>
      <c r="BF65" s="127" cm="1">
        <f t="array" ref="BF65">IF(54=54,IF(AM65="","",SUMPRODUCT(--ISNUMBER(SEARCH(" "&amp;DJ447:DJ546&amp;" ",BP65)))),"")</f>
        <v>0</v>
      </c>
      <c r="BG65" s="127" cm="1">
        <f t="array" ref="BG65">IF(54=54,IF(AM65="","",SUMPRODUCT(--ISNUMBER(SEARCH(" "&amp;DJ547:DJ646&amp;" ",BP65)))),"")</f>
        <v>0</v>
      </c>
      <c r="BH65" s="127" cm="1">
        <f t="array" ref="BH65">IF(54=54,IF(AM65="","",SUMPRODUCT(--ISNUMBER(SEARCH(" "&amp;DJ647:DJ746&amp;" ",BP65)))),"")</f>
        <v>0</v>
      </c>
      <c r="BI65" s="127" cm="1">
        <f t="array" ref="BI65">IF(54=54,IF(AM65="","",SUMPRODUCT(--ISNUMBER(SEARCH(" "&amp;DJ747:DJ846&amp;" ",BP65)))),"")</f>
        <v>0</v>
      </c>
      <c r="BJ65" s="127" cm="1">
        <f t="array" ref="BJ65">IF(54=54,IF(AM65="","",SUMPRODUCT(--ISNUMBER(SEARCH(" "&amp;DJ847:DJ946&amp;" ",BP65)))),"")</f>
        <v>0</v>
      </c>
      <c r="BK65" s="127" cm="1">
        <f t="array" ref="BK65">IF(54=54,IF(AM65="","",SUMPRODUCT(--ISNUMBER(SEARCH(" "&amp;DJ947:DJ1046&amp;" ",BP65)))),"")</f>
        <v>0</v>
      </c>
      <c r="BL65" s="127" cm="1">
        <f t="array" ref="BL65">IF(54=54,IF(AM65="","",SUMPRODUCT(--ISNUMBER(SEARCH(" "&amp;DJ1047:DJ1146&amp;" ",BP65)))),"")</f>
        <v>0</v>
      </c>
      <c r="BM65" s="127" cm="1">
        <f t="array" ref="BM65">IF(54=54,IF(AM65="","",SUMPRODUCT(--ISNUMBER(SEARCH(" "&amp;DJ1147:DJ1246&amp;" ",BP65)))),"")</f>
        <v>0</v>
      </c>
      <c r="BN65" s="127" cm="1">
        <f t="array" ref="BN65">IF(54=54,IF(AM65="","",SUMPRODUCT(--ISNUMBER(SEARCH(" "&amp;DJ1247:DJ1346&amp;" ",BP65)))),"")</f>
        <v>0</v>
      </c>
      <c r="BO65" s="127" cm="1">
        <f t="array" ref="BO65">IF(54=54,IF(AM65="","",SUMPRODUCT(--ISNUMBER(SEARCH(" "&amp;DJ1347:DJ1374&amp;" ",BP65)))),"")</f>
        <v>0</v>
      </c>
      <c r="BP65" s="127" t="str">
        <f>IF(54=54,IF(AM65="","",SUBSTITUTE(SUBSTITUTE(SUBSTITUTE(SUBSTITUTE(SUBSTITUTE(SUBSTITUTE(SUBSTITUTE(SUBSTITUTE(SUBSTITUTE(AS65," "&amp;DJ1376&amp;" "," ")," "&amp;DJ1375&amp;" "," ")," "&amp;DJ1381&amp;" "," ")," "&amp;DJ1382&amp;" "," ")," "&amp;DJ1378&amp;" "," ")," "&amp;DJ1380&amp;" "," ")," "&amp;DJ1377&amp;" "," ")," "&amp;DJ1379&amp;" "," ")," "&amp;DJ1383&amp;" "," ")),"")</f>
        <v xml:space="preserve"> boeuf bourguignon de grand mere </v>
      </c>
      <c r="BQ65" s="127" cm="1">
        <f t="array" ref="BQ65">IF(54=54,IF(AM65="","",SUMPRODUCT(--ISNUMBER(SEARCH(" "&amp;DJ1384:DJ1394&amp;" ",BP65)))),"")</f>
        <v>0</v>
      </c>
      <c r="BR65" s="127" t="str" cm="1">
        <f t="array" ref="BR65">IF(54=54,IF(AM65="","",IF(SUM(BF65:BO65)+SUMPRODUCT(--ISNUMBER(SEARCH(" "&amp;DJ2432:DJ2433&amp;" ",BP65)))&gt;0,"X",IF(BQ65&gt;0,"?",""))),"")</f>
        <v/>
      </c>
      <c r="BS65" s="127" cm="1">
        <f t="array" ref="BS65">IF(54=54,IF(AM65="","",SUMPRODUCT(--ISNUMBER(SEARCH(" "&amp;DJ1395:DJ1415&amp;" ",AS65)))),"")</f>
        <v>0</v>
      </c>
      <c r="BT65" s="127" t="str">
        <f>IF(54=54,IF(AM65="","",IF((BS65)-(0)&gt;0,"X",IF((0)-(0)&gt;0,"?",""))),"")</f>
        <v/>
      </c>
      <c r="BU65" s="127" cm="1">
        <f t="array" ref="BU65">IF(54=54,IF(AM65="","",SUMPRODUCT(--ISNUMBER(SEARCH(" "&amp;DJ1416:DJ1453&amp;" ",BV65)))),"")</f>
        <v>0</v>
      </c>
      <c r="BV65" s="127" t="str">
        <f>IF(54=54,IF(AM65="","",SUBSTITUTE(SUBSTITUTE(AS65," "&amp;DJ1454&amp;" "," ")," "&amp;DJ1455&amp;" "," ")),"")</f>
        <v xml:space="preserve"> boeuf bourguignon de grand mere </v>
      </c>
      <c r="BW65" s="127" cm="1">
        <f t="array" ref="BW65">IF(54=54,IF(AM65="","",SUMPRODUCT(--ISNUMBER(SEARCH(" "&amp;DJ1456:DJ1466&amp;" ",BV65)))),"")</f>
        <v>0</v>
      </c>
      <c r="BX65" s="127" t="str">
        <f>IF(54=54,IF(AM65="","",IF(BU65&gt;0,"X",IF(BW65&gt;0,"?",""))),"")</f>
        <v/>
      </c>
      <c r="BY65" s="127" cm="1">
        <f t="array" ref="BY65">IF(54=54,IF(AM65="","",SUMPRODUCT(--ISNUMBER(SEARCH(" "&amp;DJ1467:DJ1566&amp;" ",CB65)))),"")</f>
        <v>0</v>
      </c>
      <c r="BZ65" s="127" cm="1">
        <f t="array" ref="BZ65">IF(54=54,IF(AM65="","",SUMPRODUCT(--ISNUMBER(SEARCH(" "&amp;DJ1567:DJ1666&amp;" ",CB65)))),"")</f>
        <v>0</v>
      </c>
      <c r="CA65" s="127" cm="1">
        <f t="array" ref="CA65">IF(54=54,IF(AM65="","",SUMPRODUCT(--ISNUMBER(SEARCH(" "&amp;DJ1667:DJ1750&amp;" ",CB65)))),"")</f>
        <v>0</v>
      </c>
      <c r="CB65" s="127" t="str">
        <f>IF(54=54,IF(AM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boeuf bourguignon de grand mere </v>
      </c>
      <c r="CC65" s="127" cm="1">
        <f t="array" ref="CC65">IF(54=54,IF(AM65="","",SUMPRODUCT(--ISNUMBER(SEARCH(" "&amp;DJ1801:DJ1880&amp;" ",CD65)))+SUMPRODUCT(--ISNUMBER(SEARCH(" "&amp;DJ2451:DJ2464&amp;" ",CD65)))),"")</f>
        <v>0</v>
      </c>
      <c r="CD65" s="127" t="str">
        <f>IF(54=54,IF(AM65="","",SUBSTITUTE(SUBSTITUTE(SUBSTITUTE(SUBSTITUTE(SUBSTITUTE(SUBSTITUTE(SUBSTITUTE(SUBSTITUTE(SUBSTITUTE(SUBSTITUTE(SUBSTITUTE(SUBSTITUTE(SUBSTITUTE(CB65," "&amp;DJ1887&amp;" "," ")," "&amp;DJ1885&amp;" "," ")," "&amp;DJ2449&amp;" "," ")," "&amp;DJ2450&amp;" "," ")," "&amp;DJ1882&amp;" "," ")," "&amp;DJ1886&amp;" "," ")," "&amp;DJ1888&amp;" "," ")," "&amp;DJ1883&amp;" "," ")," "&amp;DJ1881&amp;" "," ")," "&amp;DJ1378&amp;" "," ")," "&amp;DJ1889&amp;" "," ")," "&amp;DJ1377&amp;" "," ")," "&amp;DJ1884&amp;" "," ")),"")</f>
        <v xml:space="preserve"> boeuf bourguignon de grand mere </v>
      </c>
      <c r="CE65" s="127" t="str" cm="1">
        <f t="array" ref="CE65">IF(54=54,IF(AM65="","",IF(SUM(BY65:CA65)+SUMPRODUCT(--ISNUMBER(SEARCH(" "&amp;DJ2434:DJ2435&amp;" ",CB65)))&gt;0,"X",IF(CC65&gt;0,"?",""))),"")</f>
        <v/>
      </c>
      <c r="CF65" s="127" cm="1">
        <f t="array" ref="CF65">IF(54=54,IF(AM65="","",SUMPRODUCT(--ISNUMBER(SEARCH(" "&amp;DJ1890:DJ1947&amp;" ",CG65)))),"")</f>
        <v>0</v>
      </c>
      <c r="CG65" s="127" t="str">
        <f>IF(54=54,IF(AM65="","",SUBSTITUTE(SUBSTITUTE(SUBSTITUTE(SUBSTITUTE(SUBSTITUTE(SUBSTITUTE(SUBSTITUTE(SUBSTITUTE(SUBSTITUTE(SUBSTITUTE(SUBSTITUTE(SUBSTITUTE(SUBSTITUTE(SUBSTITUTE(SUBSTITUTE(SUBSTITUTE(SUBSTITUTE(SUBSTITUTE(SUBSTITUTE(SUBSTITUTE(SUBSTITUTE(SUBSTITUTE(SUBSTITUTE(AS65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boeuf bourguignon de grand mere </v>
      </c>
      <c r="CH65" s="127" cm="1">
        <f t="array" ref="CH65">IF(54=54,IF(AM65="","",SUMPRODUCT(--ISNUMBER(SEARCH(" "&amp;DJ1971:DJ1987&amp;" ",CG65)))),"")</f>
        <v>0</v>
      </c>
      <c r="CI65" s="127" t="str">
        <f>IF(54=54,IF(AM65="","",IF(CF65&gt;0,"X",IF(CH65&gt;0,"?",""))),"")</f>
        <v/>
      </c>
      <c r="CJ65" s="127" cm="1">
        <f t="array" ref="CJ65">IF(54=54,IF(AM65="","",SUMPRODUCT(--ISNUMBER(SEARCH(" "&amp;DJ1988:DJ2001&amp;" ",AS65)))),"")</f>
        <v>0</v>
      </c>
      <c r="CK65" s="127" cm="1">
        <f t="array" ref="CK65">IF(54=54,IF(AM65="","",SUMPRODUCT(--ISNUMBER(SEARCH(" "&amp;DJ2002:DJ2016&amp;" ",AS65)))),"")</f>
        <v>0</v>
      </c>
      <c r="CL65" s="127" t="str">
        <f>IF(54=54,IF(AM65="","",IF((CJ65)-(0)&gt;0,"X",IF((CK65)-(0)&gt;0,"?",""))),"")</f>
        <v/>
      </c>
      <c r="CM65" s="127" cm="1">
        <f t="array" ref="CM65">IF(54=54,IF(AM65="","",SUMPRODUCT(--ISNUMBER(SEARCH(" "&amp;DJ2017:DJ2034&amp;" ",AS65)))),"")</f>
        <v>0</v>
      </c>
      <c r="CN65" s="127" cm="1">
        <f t="array" ref="CN65">IF(54=54,IF(AM65="","",SUMPRODUCT(--ISNUMBER(SEARCH(" "&amp;DJ2035:DJ2049&amp;" ",AS65)))),"")</f>
        <v>0</v>
      </c>
      <c r="CO65" s="127" t="str">
        <f>IF(54=54,IF(AM65="","",IF((CM65)-(0)&gt;0,"X",IF((CN65)-(0)&gt;0,"?",""))),"")</f>
        <v/>
      </c>
      <c r="CP65" s="127" cm="1">
        <f t="array" ref="CP65">IF(54=54,IF(AM65="","",SUMPRODUCT(--ISNUMBER(SEARCH(" "&amp;DJ2050:DJ2068&amp;" ",AS65)))),"")</f>
        <v>0</v>
      </c>
      <c r="CQ65" s="127" cm="1">
        <f t="array" ref="CQ65">IF(54=54,IF(AM65="","",SUMPRODUCT(--ISNUMBER(SEARCH(" "&amp;DJ2069:DJ2083&amp;" ",AS65)))),"")</f>
        <v>0</v>
      </c>
      <c r="CR65" s="127" t="str">
        <f>IF(54=54,IF(AM65="","",IF((CP65)-(0)&gt;0,"X",IF((CQ65)-(0)&gt;0,"?",""))),"")</f>
        <v/>
      </c>
      <c r="CS65" s="127" cm="1">
        <f t="array" ref="CS65">IF(54=54,IF(AM65="","",SUMPRODUCT(--ISNUMBER(SEARCH(" "&amp;DJ2084:DJ2104&amp;" ",AS65)))),"")</f>
        <v>0</v>
      </c>
      <c r="CT65" s="127" cm="1">
        <f t="array" ref="CT65">IF(54=54,IF(AM65="","",SUMPRODUCT(--ISNUMBER(SEARCH(" "&amp;DJ2105:DJ2144&amp;" ",SUBSTITUTE(SUBSTITUTE(AS65," "&amp;DJ1378&amp;" "," ")," "&amp;DJ1377&amp;" "," "))))+--ISNUMBER(SEARCH("poiré",AN65))),"")</f>
        <v>0</v>
      </c>
      <c r="CU65" s="127" t="str">
        <f>IF(54=54,IF(AM65="","",IF(OR(CS65&gt;0,ISNUMBER(SEARCH(" vinaigre de vin ",AS65)),ISNUMBER(SEARCH(" vinaigre au vin ",AS65))),"X",IF(CT65&gt;0,"?",""))),"")</f>
        <v/>
      </c>
      <c r="CV65" s="127" cm="1">
        <f t="array" ref="CV65">IF(54=54,IF(AM65="","",SUMPRODUCT(--ISNUMBER(SEARCH(" "&amp;DJ2145:DJ2157&amp;" ",AS65)))),"")</f>
        <v>0</v>
      </c>
      <c r="CW65" s="127" cm="1">
        <f t="array" ref="CW65">IF(54=54,IF(AM65="","",SUMPRODUCT(--ISNUMBER(SEARCH(" "&amp;DJ2158:DJ2163&amp;" ",AS65)))),"")</f>
        <v>0</v>
      </c>
      <c r="CX65" s="127" t="str">
        <f>IF(54=54,IF(AM65="","",IF((CV65)-(0)&gt;0,"X",IF((CW65)-(0)&gt;0,"?",""))),"")</f>
        <v/>
      </c>
      <c r="CY65" s="127" cm="1">
        <f t="array" ref="CY65">IF(54=54,IF(AM65="","",SUMPRODUCT(--ISNUMBER(SEARCH(" "&amp;DJ2164:DJ2263&amp;" ",DB65)))),"")</f>
        <v>0</v>
      </c>
      <c r="CZ65" s="127" cm="1">
        <f t="array" ref="CZ65">IF(54=54,IF(AM65="","",SUMPRODUCT(--ISNUMBER(SEARCH(" "&amp;DJ2264:DJ2363&amp;" ",DB65)))),"")</f>
        <v>0</v>
      </c>
      <c r="DA65" s="127" cm="1">
        <f t="array" ref="DA65">IF(54=54,IF(AM65="","",SUMPRODUCT(--ISNUMBER(SEARCH(" "&amp;DJ2364:DJ2406&amp;" ",DB65)))),"")</f>
        <v>0</v>
      </c>
      <c r="DB65" s="127" t="str">
        <f>IF(54=54,IF(AM65="","",SUBSTITUTE(SUBSTITUTE(SUBSTITUTE(SUBSTITUTE(SUBSTITUTE(SUBSTITUTE(SUBSTITUTE(SUBSTITUTE(SUBSTITUTE(SUBSTITUTE(SUBSTITUTE(SUBSTITUTE(SUBSTITUTE(SUBSTITUTE(SUBSTITUTE(SUBSTITUTE(AS65," "&amp;DJ2412&amp;" "," ")," "&amp;DJ2411&amp;" "," ")," "&amp;DJ2410&amp;" "," ")," "&amp;DJ2417&amp;" "," ")," "&amp;DJ2409&amp;" "," ")," "&amp;DJ2421&amp;" "," ")," "&amp;DJ2408&amp;" "," ")," "&amp;DJ2413&amp;" "," ")," "&amp;DJ2416&amp;" "," ")," "&amp;DJ2407&amp;" "," ")," "&amp;DJ2415&amp;" "," ")," "&amp;DJ2422&amp;" "," ")," "&amp;DJ2419&amp;" "," ")," "&amp;DJ2414&amp;" "," ")," "&amp;DJ2418&amp;" "," ")," "&amp;DJ2420&amp;" "," ")),"")</f>
        <v xml:space="preserve"> boeuf bourguignon de grand mere </v>
      </c>
      <c r="DC65" s="127" cm="1">
        <f t="array" ref="DC65">IF(54=54,IF(AM65="","",SUMPRODUCT(--ISNUMBER(SEARCH(" "&amp;DJ2423:DJ2427&amp;" ",DB65)))),"")</f>
        <v>0</v>
      </c>
      <c r="DD65" s="127" t="str">
        <f>IF(54=54,IF(AM65="","",IF(SUM(CY65:DA65)&gt;0,"X",IF(DC65&gt;0,"?",""))),"")</f>
        <v/>
      </c>
      <c r="DE65" s="152"/>
      <c r="DF65" s="160" t="s">
        <v>763</v>
      </c>
      <c r="DG65" s="160" t="s">
        <v>584</v>
      </c>
      <c r="DH65" s="160" t="s">
        <v>125</v>
      </c>
      <c r="DI65" s="160" t="s">
        <v>764</v>
      </c>
      <c r="DJ65" s="160" t="s">
        <v>764</v>
      </c>
      <c r="DK65" s="160" t="s">
        <v>588</v>
      </c>
      <c r="DL65" s="160" t="s">
        <v>589</v>
      </c>
      <c r="DM65" s="160" t="s">
        <v>590</v>
      </c>
      <c r="DN65" s="161" t="s">
        <v>591</v>
      </c>
      <c r="DP65" s="130">
        <v>1</v>
      </c>
    </row>
    <row r="66" spans="2:120" ht="30" customHeight="1">
      <c r="B66" s="165" t="str">
        <f t="shared" si="0"/>
        <v/>
      </c>
      <c r="C66" s="165" t="str">
        <f t="shared" si="1"/>
        <v/>
      </c>
      <c r="D66" s="165" t="str">
        <f>IF(UPPER(TRIM(N11))="X",C66,B66)</f>
        <v/>
      </c>
      <c r="E66" s="165" cm="1">
        <f t="array" ref="E66">IF(H65&lt;&gt;"",E65,IF(E65="","",IFERROR(MATCH(TRUE(),INDEX(INDEX(K:K,E65+1):K203&lt;&gt;"",0),0)+E65,"")))</f>
        <v>51</v>
      </c>
      <c r="F66" s="165" t="str" cm="1">
        <f t="array" ref="F66">IF(E66="","",IF(H65&lt;&gt;"",H65,INDEX(D:D,E66)))</f>
        <v>Préparation</v>
      </c>
      <c r="G66" s="165" t="str">
        <f t="shared" si="2"/>
        <v>Préparation</v>
      </c>
      <c r="H66" s="174" t="str">
        <f t="shared" si="3"/>
        <v/>
      </c>
      <c r="I66" s="184" t="str">
        <f>IF(AND(F66&lt;&gt;"",N10&gt;0,M66&gt;N10),"Mot &gt; limite","")</f>
        <v/>
      </c>
      <c r="J66" s="175" t="str">
        <f>IF(K66="","",COUNTIF(K18:K66,"&lt;&gt;"))</f>
        <v/>
      </c>
      <c r="K66" s="111"/>
      <c r="L66" s="175" t="str">
        <f t="shared" si="4"/>
        <v/>
      </c>
      <c r="M66" s="135">
        <f>IF(OR(F66="",N10="",N10&lt;=0),"",IF(LEN(F66)&lt;=N10,LEN(F66),IFERROR(FIND("♦",SUBSTITUTE(LEFT(F66,N10)," ","♦",LEN(LEFT(F66,N10))-LEN(SUBSTITUTE(LEFT(F66,N10)," ","")))),FIND(" ",F66&amp;" ",N10+1)-1)))</f>
        <v>11</v>
      </c>
      <c r="N66" s="176">
        <f t="shared" si="5"/>
        <v>49</v>
      </c>
      <c r="O66" s="177" t="str">
        <f t="shared" si="6"/>
        <v>Préparation</v>
      </c>
      <c r="P66" s="176">
        <f t="shared" si="7"/>
        <v>1</v>
      </c>
      <c r="Q66" s="176">
        <f t="shared" si="8"/>
        <v>11</v>
      </c>
      <c r="S66" s="178">
        <v>49</v>
      </c>
      <c r="T66" s="179" t="str">
        <f t="shared" si="10"/>
        <v>Préparation</v>
      </c>
      <c r="U66" s="180" t="str">
        <f t="shared" si="11"/>
        <v>Préparation</v>
      </c>
      <c r="V66" s="181" t="str">
        <f>IF(55=55,IF(T66="","",IF(W66="X",""&amp;"Céréales contenant du gluten","")&amp;IF(X66="X",IF(COUNTIF(W66:W66,"X")&gt;0,", ","")&amp;"Crustacés","")&amp;IF(Y66="X",IF(COUNTIF(W66:X66,"X")&gt;0,", ","")&amp;"Œufs","")&amp;IF(Z66="X",IF(COUNTIF(W66:Y66,"X")&gt;0,", ","")&amp;"Poissons","")&amp;IF(AA66="X",IF(COUNTIF(W66:Z66,"X")&gt;0,", ","")&amp;"Arachides","")&amp;IF(AB66="X",IF(COUNTIF(W66:AA66,"X")&gt;0,", ","")&amp;"Soja","")&amp;IF(AC66="X",IF(COUNTIF(W66:AB66,"X")&gt;0,", ","")&amp;"Lait","")&amp;IF(AD66="X",IF(COUNTIF(W66:AC66,"X")&gt;0,", ","")&amp;"Fruits à coque","")&amp;IF(AE66="X",IF(COUNTIF(W66:AD66,"X")&gt;0,", ","")&amp;"Céleri","")&amp;IF(AF66="X",IF(COUNTIF(W66:AE66,"X")&gt;0,", ","")&amp;"Moutarde","")&amp;IF(AG66="X",IF(COUNTIF(W66:AF66,"X")&gt;0,", ","")&amp;"Sésame","")&amp;IF(AH66="X",IF(COUNTIF(W66:AG66,"X")&gt;0,", ","")&amp;"Sulfites","")&amp;IF(AI66="X",IF(COUNTIF(W66:AH66,"X")&gt;0,", ","")&amp;"Lupin","")&amp;IF(AJ66="X",IF(COUNTIF(W66:AI66,"X")&gt;0,", ","")&amp;"Mollusques","")),"")</f>
        <v/>
      </c>
      <c r="W66" s="182" t="str">
        <f>IF(55=55,IF(T66="","",AX66),"")</f>
        <v/>
      </c>
      <c r="X66" s="182" t="str">
        <f>IF(55=55,IF(T66="","",BA66),"")</f>
        <v/>
      </c>
      <c r="Y66" s="182" t="str">
        <f>IF(55=55,IF(T66="","",BE66),"")</f>
        <v/>
      </c>
      <c r="Z66" s="182" t="str">
        <f>IF(55=55,IF(T66="","",IF(ISNUMBER(SEARCH(" colin ",AS66)),"X",BR66)),"")</f>
        <v/>
      </c>
      <c r="AA66" s="182" t="str">
        <f>IF(55=55,IF(T66="","",BT66),"")</f>
        <v/>
      </c>
      <c r="AB66" s="182" t="str">
        <f>IF(55=55,IF(T66="","",BX66),"")</f>
        <v/>
      </c>
      <c r="AC66" s="182" t="str">
        <f>IF(55=55,IF(T66="","",CE66),"")</f>
        <v/>
      </c>
      <c r="AD66" s="182" t="str">
        <f>IF(55=55,IF(T66="","",CI66),"")</f>
        <v/>
      </c>
      <c r="AE66" s="182" t="str">
        <f>IF(55=55,IF(T66="","",CL66),"")</f>
        <v/>
      </c>
      <c r="AF66" s="182" t="str">
        <f>IF(55=55,IF(T66="","",CO66),"")</f>
        <v/>
      </c>
      <c r="AG66" s="182" t="str">
        <f>IF(55=55,IF(T66="","",CR66),"")</f>
        <v/>
      </c>
      <c r="AH66" s="182" t="str">
        <f>IF(55=55,IF(T66="","",CU66),"")</f>
        <v/>
      </c>
      <c r="AI66" s="182" t="str">
        <f>IF(55=55,IF(T66="","",CX66),"")</f>
        <v/>
      </c>
      <c r="AJ66" s="182" t="str">
        <f>IF(55=55,IF(T66="","",DD66),"")</f>
        <v/>
      </c>
      <c r="AK66" s="183" t="str">
        <f>IF(55=55,IF(T66="","",IF(W66="?",""&amp;"Céréales contenant du gluten","")&amp;IF(X66="?",IF(COUNTIF(W66:W66,"~?")&gt;0,", ","")&amp;"Crustacés","")&amp;IF(Y66="?",IF(COUNTIF(W66:X66,"~?")&gt;0,", ","")&amp;"Œufs","")&amp;IF(Z66="?",IF(COUNTIF(W66:Y66,"~?")&gt;0,", ","")&amp;"Poissons","")&amp;IF(AA66="?",IF(COUNTIF(W66:Z66,"~?")&gt;0,", ","")&amp;"Arachides","")&amp;IF(AB66="?",IF(COUNTIF(W66:AA66,"~?")&gt;0,", ","")&amp;"Soja","")&amp;IF(AC66="?",IF(COUNTIF(W66:AB66,"~?")&gt;0,", ","")&amp;"Lait","")&amp;IF(AD66="?",IF(COUNTIF(W66:AC66,"~?")&gt;0,", ","")&amp;"Fruits à coque","")&amp;IF(AE66="?",IF(COUNTIF(W66:AD66,"~?")&gt;0,", ","")&amp;"Céleri","")&amp;IF(AF66="?",IF(COUNTIF(W66:AE66,"~?")&gt;0,", ","")&amp;"Moutarde","")&amp;IF(AG66="?",IF(COUNTIF(W66:AF66,"~?")&gt;0,", ","")&amp;"Sésame","")&amp;IF(AH66="?",IF(COUNTIF(W66:AG66,"~?")&gt;0,", ","")&amp;"Sulfites","")&amp;IF(AI66="?",IF(COUNTIF(W66:AH66,"~?")&gt;0,", ","")&amp;"Lupin","")&amp;IF(AJ66="?",IF(COUNTIF(W66:AI66,"~?")&gt;0,", ","")&amp;"Mollusques","")),"")</f>
        <v/>
      </c>
      <c r="AM66" s="127" t="str">
        <f>IF(55=55,IF(T66="","",T66),"")</f>
        <v>Préparation</v>
      </c>
      <c r="AN66" s="127" t="str">
        <f>IF(55=55,LOWER(CLEAN(SUBSTITUTE(SUBSTITUTE(SUBSTITUTE(SUBSTITUTE(AM66,CHAR(160)," ")," "," "),CHAR(10)," "),CHAR(13)," "))),"")</f>
        <v>préparation</v>
      </c>
      <c r="AO66" s="127" t="str">
        <f>IF(55=55,SUBSTITUTE(SUBSTITUTE(SUBSTITUTE(SUBSTITUTE(SUBSTITUTE(SUBSTITUTE(SUBSTITUTE(SUBSTITUTE(SUBSTITUTE(SUBSTITUTE(SUBSTITUTE(SUBSTITUTE(AN66,"œ","oe"),"æ","ae"),"à","a"),"á","a"),"â","a"),"ä","a"),"ã","a"),"ç","c"),"è","e"),"é","e"),"ê","e"),"ë","e"),"")</f>
        <v>preparation</v>
      </c>
      <c r="AP66" s="127" t="str">
        <f>IF(55=55,SUBSTITUTE(SUBSTITUTE(SUBSTITUTE(SUBSTITUTE(SUBSTITUTE(SUBSTITUTE(SUBSTITUTE(SUBSTITUTE(SUBSTITUTE(SUBSTITUTE(SUBSTITUTE(SUBSTITUTE(SUBSTITUTE(SUBSTITUTE(SUBSTITUTE(SUBSTITUTE(AO66,"ì","i"),"í","i"),"î","i"),"ï","i"),"ñ","n"),"ò","o"),"ó","o"),"ô","o"),"ö","o"),"õ","o"),"ù","u"),"ú","u"),"û","u"),"ü","u"),"ý","y"),"ÿ","y"),"")</f>
        <v>preparation</v>
      </c>
      <c r="AQ66" s="127" t="str">
        <f>IF(55=55,SUBSTITUTE(SUBSTITUTE(SUBSTITUTE(SUBSTITUTE(SUBSTITUTE(SUBSTITUTE(SUBSTITUTE(SUBSTITUTE(SUBSTITUTE(SUBSTITUTE(SUBSTITUTE(SUBSTITUTE(SUBSTITUTE(SUBSTITUTE(AP66,"’"," "),"`"," "),"–"," "),"—"," "),"-"," "),"'"," "),"/"," "),"_"," "),","," "),"."," "),"("," "),")"," "),";"," "),":"," "),"")</f>
        <v>preparation</v>
      </c>
      <c r="AR66" s="127" t="str">
        <f>IF(55=55,SUBSTITUTE(SUBSTITUTE(SUBSTITUTE(SUBSTITUTE(SUBSTITUTE(SUBSTITUTE(SUBSTITUTE(SUBSTITUTE(SUBSTITUTE(SUBSTITUTE(SUBSTITUTE(SUBSTITUTE(SUBSTITUTE(SUBSTITUTE(SUBSTITUTE(AQ66,"!"," "),"?"," "),"+"," "),"*"," "),"&amp;"," "),"["," "),"]"," "),"{"," "),"}"," "),"%"," "),"="," "),"\"," "),"|"," "),"&lt;"," "),"&gt;"," "),"")</f>
        <v>preparation</v>
      </c>
      <c r="AS66" s="127" t="str">
        <f>IF(55=55," "&amp;TRIM(SUBSTITUTE(SUBSTITUTE(SUBSTITUTE(SUBSTITUTE(SUBSTITUTE(SUBSTITUTE(AR66,CHAR(34)," "),"  "," "),"  "," "),"  "," "),"  "," "),"  "," "))&amp;" ","")</f>
        <v xml:space="preserve"> preparation </v>
      </c>
      <c r="AT66" s="127" cm="1">
        <f t="array" ref="AT66">IF(55=55,IF(AM66="","",SUMPRODUCT(--ISNUMBER(SEARCH(" "&amp;DJ13:DJ112&amp;" ",AV66)))),"")</f>
        <v>0</v>
      </c>
      <c r="AU66" s="127" cm="1">
        <f t="array" ref="AU66">IF(55=55,IF(AM66="","",SUMPRODUCT(--ISNUMBER(SEARCH(" "&amp;DJ113:DJ162&amp;" ",AV66)))),"")</f>
        <v>0</v>
      </c>
      <c r="AV66" s="127" t="str">
        <f>IF(AM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preparation </v>
      </c>
      <c r="AW66" s="127" cm="1">
        <f t="array" ref="AW66">IF(AM66="","",SUMPRODUCT(--ISNUMBER(SEARCH(" "&amp;DJ195:DJ216&amp;" ",AV66)))+--ISNUMBER(SEARCH(" "&amp;DJ2465&amp;" ",AV66)))</f>
        <v>0</v>
      </c>
      <c r="AX66" s="127" t="str" cm="1">
        <f t="array" ref="AX66">IF(55=55,IF(AM66="","",IF(SUM(AT66:AU66)+SUMPRODUCT(--ISNUMBER(SEARCH(" "&amp;DJ2429:DJ2431&amp;" ",AV66)))&gt;0,"X",IF(AW66&gt;0,"?",""))),"")</f>
        <v/>
      </c>
      <c r="AY66" s="127" cm="1">
        <f t="array" ref="AY66">IF(55=55,IF(AM66="","",SUMPRODUCT(--ISNUMBER(SEARCH(" "&amp;DJ217:DJ316&amp;" ",AS66)))),"")</f>
        <v>0</v>
      </c>
      <c r="AZ66" s="127" cm="1">
        <f t="array" ref="AZ66">IF(55=55,IF(AM66="","",SUMPRODUCT(--ISNUMBER(SEARCH(" "&amp;DJ317:DJ351&amp;" ",AS66)))),"")</f>
        <v>0</v>
      </c>
      <c r="BA66" s="127" t="str">
        <f>IF(55=55,IF(AM66="","",IF((SUM(AY66:AZ66))-(0)&gt;0,"X",IF((0)-(0)&gt;0,"?",""))),"")</f>
        <v/>
      </c>
      <c r="BB66" s="127" cm="1">
        <f t="array" ref="BB66">IF(55=55,IF(AM66="","",SUMPRODUCT(--ISNUMBER(SEARCH(" "&amp;DJ352:DJ409&amp;" ",AS66)))),"")</f>
        <v>0</v>
      </c>
      <c r="BC66" s="127" cm="1">
        <f t="array" ref="BC66">IF(55=55,IF(AM66="","",SUMPRODUCT(--ISNUMBER(SEARCH(" "&amp;DJ410:DJ437&amp;" ",BD66)))+SUMPRODUCT(--ISNUMBER(SEARCH(" "&amp;DJ2451:DJ2464&amp;" ",BD66)))),"")</f>
        <v>0</v>
      </c>
      <c r="BD66" s="127" t="str">
        <f>IF(55=55,IF(AM66="","",SUBSTITUTE(SUBSTITUTE(SUBSTITUTE(SUBSTITUTE(SUBSTITUTE(SUBSTITUTE(SUBSTITUTE(SUBSTITUTE(SUBSTITUTE(SUBSTITUTE(SUBSTITUTE(SUBSTITUTE(SUBSTITUTE(SUBSTITUTE(AS66," "&amp;DJ2466&amp;" "," ")," "&amp;DJ444&amp;" "," ")," "&amp;DJ442&amp;" "," ")," "&amp;DJ2449&amp;" "," ")," "&amp;DJ2450&amp;" "," ")," "&amp;DJ439&amp;" "," ")," "&amp;DJ443&amp;" "," ")," "&amp;DJ445&amp;" "," ")," "&amp;DJ440&amp;" "," ")," "&amp;DJ438&amp;" "," ")," "&amp;DJ1378&amp;" "," ")," "&amp;DJ446&amp;" "," ")," "&amp;DJ1377&amp;" "," ")," "&amp;DJ441&amp;" "," ")),"")</f>
        <v xml:space="preserve"> preparation </v>
      </c>
      <c r="BE66" s="127" t="str">
        <f>IF(55=55,IF(AM66="","",IF(BB66&gt;0,"X",IF(BC66&gt;0,"?",""))),"")</f>
        <v/>
      </c>
      <c r="BF66" s="127" cm="1">
        <f t="array" ref="BF66">IF(55=55,IF(AM66="","",SUMPRODUCT(--ISNUMBER(SEARCH(" "&amp;DJ447:DJ546&amp;" ",BP66)))),"")</f>
        <v>0</v>
      </c>
      <c r="BG66" s="127" cm="1">
        <f t="array" ref="BG66">IF(55=55,IF(AM66="","",SUMPRODUCT(--ISNUMBER(SEARCH(" "&amp;DJ547:DJ646&amp;" ",BP66)))),"")</f>
        <v>0</v>
      </c>
      <c r="BH66" s="127" cm="1">
        <f t="array" ref="BH66">IF(55=55,IF(AM66="","",SUMPRODUCT(--ISNUMBER(SEARCH(" "&amp;DJ647:DJ746&amp;" ",BP66)))),"")</f>
        <v>0</v>
      </c>
      <c r="BI66" s="127" cm="1">
        <f t="array" ref="BI66">IF(55=55,IF(AM66="","",SUMPRODUCT(--ISNUMBER(SEARCH(" "&amp;DJ747:DJ846&amp;" ",BP66)))),"")</f>
        <v>0</v>
      </c>
      <c r="BJ66" s="127" cm="1">
        <f t="array" ref="BJ66">IF(55=55,IF(AM66="","",SUMPRODUCT(--ISNUMBER(SEARCH(" "&amp;DJ847:DJ946&amp;" ",BP66)))),"")</f>
        <v>0</v>
      </c>
      <c r="BK66" s="127" cm="1">
        <f t="array" ref="BK66">IF(55=55,IF(AM66="","",SUMPRODUCT(--ISNUMBER(SEARCH(" "&amp;DJ947:DJ1046&amp;" ",BP66)))),"")</f>
        <v>0</v>
      </c>
      <c r="BL66" s="127" cm="1">
        <f t="array" ref="BL66">IF(55=55,IF(AM66="","",SUMPRODUCT(--ISNUMBER(SEARCH(" "&amp;DJ1047:DJ1146&amp;" ",BP66)))),"")</f>
        <v>0</v>
      </c>
      <c r="BM66" s="127" cm="1">
        <f t="array" ref="BM66">IF(55=55,IF(AM66="","",SUMPRODUCT(--ISNUMBER(SEARCH(" "&amp;DJ1147:DJ1246&amp;" ",BP66)))),"")</f>
        <v>0</v>
      </c>
      <c r="BN66" s="127" cm="1">
        <f t="array" ref="BN66">IF(55=55,IF(AM66="","",SUMPRODUCT(--ISNUMBER(SEARCH(" "&amp;DJ1247:DJ1346&amp;" ",BP66)))),"")</f>
        <v>0</v>
      </c>
      <c r="BO66" s="127" cm="1">
        <f t="array" ref="BO66">IF(55=55,IF(AM66="","",SUMPRODUCT(--ISNUMBER(SEARCH(" "&amp;DJ1347:DJ1374&amp;" ",BP66)))),"")</f>
        <v>0</v>
      </c>
      <c r="BP66" s="127" t="str">
        <f>IF(55=55,IF(AM66="","",SUBSTITUTE(SUBSTITUTE(SUBSTITUTE(SUBSTITUTE(SUBSTITUTE(SUBSTITUTE(SUBSTITUTE(SUBSTITUTE(SUBSTITUTE(AS66," "&amp;DJ1376&amp;" "," ")," "&amp;DJ1375&amp;" "," ")," "&amp;DJ1381&amp;" "," ")," "&amp;DJ1382&amp;" "," ")," "&amp;DJ1378&amp;" "," ")," "&amp;DJ1380&amp;" "," ")," "&amp;DJ1377&amp;" "," ")," "&amp;DJ1379&amp;" "," ")," "&amp;DJ1383&amp;" "," ")),"")</f>
        <v xml:space="preserve"> preparation </v>
      </c>
      <c r="BQ66" s="127" cm="1">
        <f t="array" ref="BQ66">IF(55=55,IF(AM66="","",SUMPRODUCT(--ISNUMBER(SEARCH(" "&amp;DJ1384:DJ1394&amp;" ",BP66)))),"")</f>
        <v>0</v>
      </c>
      <c r="BR66" s="127" t="str" cm="1">
        <f t="array" ref="BR66">IF(55=55,IF(AM66="","",IF(SUM(BF66:BO66)+SUMPRODUCT(--ISNUMBER(SEARCH(" "&amp;DJ2432:DJ2433&amp;" ",BP66)))&gt;0,"X",IF(BQ66&gt;0,"?",""))),"")</f>
        <v/>
      </c>
      <c r="BS66" s="127" cm="1">
        <f t="array" ref="BS66">IF(55=55,IF(AM66="","",SUMPRODUCT(--ISNUMBER(SEARCH(" "&amp;DJ1395:DJ1415&amp;" ",AS66)))),"")</f>
        <v>0</v>
      </c>
      <c r="BT66" s="127" t="str">
        <f>IF(55=55,IF(AM66="","",IF((BS66)-(0)&gt;0,"X",IF((0)-(0)&gt;0,"?",""))),"")</f>
        <v/>
      </c>
      <c r="BU66" s="127" cm="1">
        <f t="array" ref="BU66">IF(55=55,IF(AM66="","",SUMPRODUCT(--ISNUMBER(SEARCH(" "&amp;DJ1416:DJ1453&amp;" ",BV66)))),"")</f>
        <v>0</v>
      </c>
      <c r="BV66" s="127" t="str">
        <f>IF(55=55,IF(AM66="","",SUBSTITUTE(SUBSTITUTE(AS66," "&amp;DJ1454&amp;" "," ")," "&amp;DJ1455&amp;" "," ")),"")</f>
        <v xml:space="preserve"> preparation </v>
      </c>
      <c r="BW66" s="127" cm="1">
        <f t="array" ref="BW66">IF(55=55,IF(AM66="","",SUMPRODUCT(--ISNUMBER(SEARCH(" "&amp;DJ1456:DJ1466&amp;" ",BV66)))),"")</f>
        <v>0</v>
      </c>
      <c r="BX66" s="127" t="str">
        <f>IF(55=55,IF(AM66="","",IF(BU66&gt;0,"X",IF(BW66&gt;0,"?",""))),"")</f>
        <v/>
      </c>
      <c r="BY66" s="127" cm="1">
        <f t="array" ref="BY66">IF(55=55,IF(AM66="","",SUMPRODUCT(--ISNUMBER(SEARCH(" "&amp;DJ1467:DJ1566&amp;" ",CB66)))),"")</f>
        <v>0</v>
      </c>
      <c r="BZ66" s="127" cm="1">
        <f t="array" ref="BZ66">IF(55=55,IF(AM66="","",SUMPRODUCT(--ISNUMBER(SEARCH(" "&amp;DJ1567:DJ1666&amp;" ",CB66)))),"")</f>
        <v>0</v>
      </c>
      <c r="CA66" s="127" cm="1">
        <f t="array" ref="CA66">IF(55=55,IF(AM66="","",SUMPRODUCT(--ISNUMBER(SEARCH(" "&amp;DJ1667:DJ1750&amp;" ",CB66)))),"")</f>
        <v>0</v>
      </c>
      <c r="CB66" s="127" t="str">
        <f>IF(55=55,IF(AM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preparation </v>
      </c>
      <c r="CC66" s="127" cm="1">
        <f t="array" ref="CC66">IF(55=55,IF(AM66="","",SUMPRODUCT(--ISNUMBER(SEARCH(" "&amp;DJ1801:DJ1880&amp;" ",CD66)))+SUMPRODUCT(--ISNUMBER(SEARCH(" "&amp;DJ2451:DJ2464&amp;" ",CD66)))),"")</f>
        <v>0</v>
      </c>
      <c r="CD66" s="127" t="str">
        <f>IF(55=55,IF(AM66="","",SUBSTITUTE(SUBSTITUTE(SUBSTITUTE(SUBSTITUTE(SUBSTITUTE(SUBSTITUTE(SUBSTITUTE(SUBSTITUTE(SUBSTITUTE(SUBSTITUTE(SUBSTITUTE(SUBSTITUTE(SUBSTITUTE(CB66," "&amp;DJ1887&amp;" "," ")," "&amp;DJ1885&amp;" "," ")," "&amp;DJ2449&amp;" "," ")," "&amp;DJ2450&amp;" "," ")," "&amp;DJ1882&amp;" "," ")," "&amp;DJ1886&amp;" "," ")," "&amp;DJ1888&amp;" "," ")," "&amp;DJ1883&amp;" "," ")," "&amp;DJ1881&amp;" "," ")," "&amp;DJ1378&amp;" "," ")," "&amp;DJ1889&amp;" "," ")," "&amp;DJ1377&amp;" "," ")," "&amp;DJ1884&amp;" "," ")),"")</f>
        <v xml:space="preserve"> preparation </v>
      </c>
      <c r="CE66" s="127" t="str" cm="1">
        <f t="array" ref="CE66">IF(55=55,IF(AM66="","",IF(SUM(BY66:CA66)+SUMPRODUCT(--ISNUMBER(SEARCH(" "&amp;DJ2434:DJ2435&amp;" ",CB66)))&gt;0,"X",IF(CC66&gt;0,"?",""))),"")</f>
        <v/>
      </c>
      <c r="CF66" s="127" cm="1">
        <f t="array" ref="CF66">IF(55=55,IF(AM66="","",SUMPRODUCT(--ISNUMBER(SEARCH(" "&amp;DJ1890:DJ1947&amp;" ",CG66)))),"")</f>
        <v>0</v>
      </c>
      <c r="CG66" s="127" t="str">
        <f>IF(55=55,IF(AM66="","",SUBSTITUTE(SUBSTITUTE(SUBSTITUTE(SUBSTITUTE(SUBSTITUTE(SUBSTITUTE(SUBSTITUTE(SUBSTITUTE(SUBSTITUTE(SUBSTITUTE(SUBSTITUTE(SUBSTITUTE(SUBSTITUTE(SUBSTITUTE(SUBSTITUTE(SUBSTITUTE(SUBSTITUTE(SUBSTITUTE(SUBSTITUTE(SUBSTITUTE(SUBSTITUTE(SUBSTITUTE(SUBSTITUTE(AS66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preparation </v>
      </c>
      <c r="CH66" s="127" cm="1">
        <f t="array" ref="CH66">IF(55=55,IF(AM66="","",SUMPRODUCT(--ISNUMBER(SEARCH(" "&amp;DJ1971:DJ1987&amp;" ",CG66)))),"")</f>
        <v>0</v>
      </c>
      <c r="CI66" s="127" t="str">
        <f>IF(55=55,IF(AM66="","",IF(CF66&gt;0,"X",IF(CH66&gt;0,"?",""))),"")</f>
        <v/>
      </c>
      <c r="CJ66" s="127" cm="1">
        <f t="array" ref="CJ66">IF(55=55,IF(AM66="","",SUMPRODUCT(--ISNUMBER(SEARCH(" "&amp;DJ1988:DJ2001&amp;" ",AS66)))),"")</f>
        <v>0</v>
      </c>
      <c r="CK66" s="127" cm="1">
        <f t="array" ref="CK66">IF(55=55,IF(AM66="","",SUMPRODUCT(--ISNUMBER(SEARCH(" "&amp;DJ2002:DJ2016&amp;" ",AS66)))),"")</f>
        <v>0</v>
      </c>
      <c r="CL66" s="127" t="str">
        <f>IF(55=55,IF(AM66="","",IF((CJ66)-(0)&gt;0,"X",IF((CK66)-(0)&gt;0,"?",""))),"")</f>
        <v/>
      </c>
      <c r="CM66" s="127" cm="1">
        <f t="array" ref="CM66">IF(55=55,IF(AM66="","",SUMPRODUCT(--ISNUMBER(SEARCH(" "&amp;DJ2017:DJ2034&amp;" ",AS66)))),"")</f>
        <v>0</v>
      </c>
      <c r="CN66" s="127" cm="1">
        <f t="array" ref="CN66">IF(55=55,IF(AM66="","",SUMPRODUCT(--ISNUMBER(SEARCH(" "&amp;DJ2035:DJ2049&amp;" ",AS66)))),"")</f>
        <v>0</v>
      </c>
      <c r="CO66" s="127" t="str">
        <f>IF(55=55,IF(AM66="","",IF((CM66)-(0)&gt;0,"X",IF((CN66)-(0)&gt;0,"?",""))),"")</f>
        <v/>
      </c>
      <c r="CP66" s="127" cm="1">
        <f t="array" ref="CP66">IF(55=55,IF(AM66="","",SUMPRODUCT(--ISNUMBER(SEARCH(" "&amp;DJ2050:DJ2068&amp;" ",AS66)))),"")</f>
        <v>0</v>
      </c>
      <c r="CQ66" s="127" cm="1">
        <f t="array" ref="CQ66">IF(55=55,IF(AM66="","",SUMPRODUCT(--ISNUMBER(SEARCH(" "&amp;DJ2069:DJ2083&amp;" ",AS66)))),"")</f>
        <v>0</v>
      </c>
      <c r="CR66" s="127" t="str">
        <f>IF(55=55,IF(AM66="","",IF((CP66)-(0)&gt;0,"X",IF((CQ66)-(0)&gt;0,"?",""))),"")</f>
        <v/>
      </c>
      <c r="CS66" s="127" cm="1">
        <f t="array" ref="CS66">IF(55=55,IF(AM66="","",SUMPRODUCT(--ISNUMBER(SEARCH(" "&amp;DJ2084:DJ2104&amp;" ",AS66)))),"")</f>
        <v>0</v>
      </c>
      <c r="CT66" s="127" cm="1">
        <f t="array" ref="CT66">IF(55=55,IF(AM66="","",SUMPRODUCT(--ISNUMBER(SEARCH(" "&amp;DJ2105:DJ2144&amp;" ",SUBSTITUTE(SUBSTITUTE(AS66," "&amp;DJ1378&amp;" "," ")," "&amp;DJ1377&amp;" "," "))))+--ISNUMBER(SEARCH("poiré",AN66))),"")</f>
        <v>0</v>
      </c>
      <c r="CU66" s="127" t="str">
        <f>IF(55=55,IF(AM66="","",IF(OR(CS66&gt;0,ISNUMBER(SEARCH(" vinaigre de vin ",AS66)),ISNUMBER(SEARCH(" vinaigre au vin ",AS66))),"X",IF(CT66&gt;0,"?",""))),"")</f>
        <v/>
      </c>
      <c r="CV66" s="127" cm="1">
        <f t="array" ref="CV66">IF(55=55,IF(AM66="","",SUMPRODUCT(--ISNUMBER(SEARCH(" "&amp;DJ2145:DJ2157&amp;" ",AS66)))),"")</f>
        <v>0</v>
      </c>
      <c r="CW66" s="127" cm="1">
        <f t="array" ref="CW66">IF(55=55,IF(AM66="","",SUMPRODUCT(--ISNUMBER(SEARCH(" "&amp;DJ2158:DJ2163&amp;" ",AS66)))),"")</f>
        <v>0</v>
      </c>
      <c r="CX66" s="127" t="str">
        <f>IF(55=55,IF(AM66="","",IF((CV66)-(0)&gt;0,"X",IF((CW66)-(0)&gt;0,"?",""))),"")</f>
        <v/>
      </c>
      <c r="CY66" s="127" cm="1">
        <f t="array" ref="CY66">IF(55=55,IF(AM66="","",SUMPRODUCT(--ISNUMBER(SEARCH(" "&amp;DJ2164:DJ2263&amp;" ",DB66)))),"")</f>
        <v>0</v>
      </c>
      <c r="CZ66" s="127" cm="1">
        <f t="array" ref="CZ66">IF(55=55,IF(AM66="","",SUMPRODUCT(--ISNUMBER(SEARCH(" "&amp;DJ2264:DJ2363&amp;" ",DB66)))),"")</f>
        <v>0</v>
      </c>
      <c r="DA66" s="127" cm="1">
        <f t="array" ref="DA66">IF(55=55,IF(AM66="","",SUMPRODUCT(--ISNUMBER(SEARCH(" "&amp;DJ2364:DJ2406&amp;" ",DB66)))),"")</f>
        <v>0</v>
      </c>
      <c r="DB66" s="127" t="str">
        <f>IF(55=55,IF(AM66="","",SUBSTITUTE(SUBSTITUTE(SUBSTITUTE(SUBSTITUTE(SUBSTITUTE(SUBSTITUTE(SUBSTITUTE(SUBSTITUTE(SUBSTITUTE(SUBSTITUTE(SUBSTITUTE(SUBSTITUTE(SUBSTITUTE(SUBSTITUTE(SUBSTITUTE(SUBSTITUTE(AS66," "&amp;DJ2412&amp;" "," ")," "&amp;DJ2411&amp;" "," ")," "&amp;DJ2410&amp;" "," ")," "&amp;DJ2417&amp;" "," ")," "&amp;DJ2409&amp;" "," ")," "&amp;DJ2421&amp;" "," ")," "&amp;DJ2408&amp;" "," ")," "&amp;DJ2413&amp;" "," ")," "&amp;DJ2416&amp;" "," ")," "&amp;DJ2407&amp;" "," ")," "&amp;DJ2415&amp;" "," ")," "&amp;DJ2422&amp;" "," ")," "&amp;DJ2419&amp;" "," ")," "&amp;DJ2414&amp;" "," ")," "&amp;DJ2418&amp;" "," ")," "&amp;DJ2420&amp;" "," ")),"")</f>
        <v xml:space="preserve"> preparation </v>
      </c>
      <c r="DC66" s="127" cm="1">
        <f t="array" ref="DC66">IF(55=55,IF(AM66="","",SUMPRODUCT(--ISNUMBER(SEARCH(" "&amp;DJ2423:DJ2427&amp;" ",DB66)))),"")</f>
        <v>0</v>
      </c>
      <c r="DD66" s="127" t="str">
        <f>IF(55=55,IF(AM66="","",IF(SUM(CY66:DA66)&gt;0,"X",IF(DC66&gt;0,"?",""))),"")</f>
        <v/>
      </c>
      <c r="DE66" s="152"/>
      <c r="DF66" s="160" t="s">
        <v>765</v>
      </c>
      <c r="DG66" s="160" t="s">
        <v>584</v>
      </c>
      <c r="DH66" s="160" t="s">
        <v>125</v>
      </c>
      <c r="DI66" s="160" t="s">
        <v>464</v>
      </c>
      <c r="DJ66" s="160" t="s">
        <v>464</v>
      </c>
      <c r="DK66" s="160" t="s">
        <v>588</v>
      </c>
      <c r="DL66" s="160" t="s">
        <v>589</v>
      </c>
      <c r="DM66" s="160" t="s">
        <v>590</v>
      </c>
      <c r="DN66" s="161" t="s">
        <v>591</v>
      </c>
      <c r="DP66" s="130">
        <v>1</v>
      </c>
    </row>
    <row r="67" spans="2:120" ht="30" customHeight="1">
      <c r="B67" s="165" t="str">
        <f t="shared" si="0"/>
        <v>7. Pendant ce temps, faites revenir les champignons dans une poêle avec un peu d’huile d’olive pendant environ 5 minutes.</v>
      </c>
      <c r="C67" s="165" t="str">
        <f t="shared" si="1"/>
        <v>7 Pendant ce temps faites revenir les champignons dans une poêle avec un peu d’huile d’olive pendant environ 5 minutes</v>
      </c>
      <c r="D67" s="165" t="str">
        <f>IF(UPPER(TRIM(N11))="X",C67,B67)</f>
        <v>7. Pendant ce temps, faites revenir les champignons dans une poêle avec un peu d’huile d’olive pendant environ 5 minutes.</v>
      </c>
      <c r="E67" s="165" cm="1">
        <f t="array" ref="E67">IF(H66&lt;&gt;"",E66,IF(E66="","",IFERROR(MATCH(TRUE(),INDEX(INDEX(K:K,E66+1):K203&lt;&gt;"",0),0)+E66,"")))</f>
        <v>52</v>
      </c>
      <c r="F67" s="165" t="str" cm="1">
        <f t="array" ref="F67">IF(E67="","",IF(H66&lt;&gt;"",H66,INDEX(D:D,E67)))</f>
        <v>►</v>
      </c>
      <c r="G67" s="165" t="str">
        <f t="shared" si="2"/>
        <v>►</v>
      </c>
      <c r="H67" s="174" t="str">
        <f t="shared" si="3"/>
        <v/>
      </c>
      <c r="I67" s="184" t="str">
        <f>IF(AND(F67&lt;&gt;"",N10&gt;0,M67&gt;N10),"Mot &gt; limite","")</f>
        <v/>
      </c>
      <c r="J67" s="175">
        <f>IF(K67="","",COUNTIF(K18:K67,"&lt;&gt;"))</f>
        <v>42</v>
      </c>
      <c r="K67" s="111" t="s">
        <v>31</v>
      </c>
      <c r="L67" s="175">
        <f t="shared" si="4"/>
        <v>121</v>
      </c>
      <c r="M67" s="135">
        <f>IF(OR(F67="",N10="",N10&lt;=0),"",IF(LEN(F67)&lt;=N10,LEN(F67),IFERROR(FIND("♦",SUBSTITUTE(LEFT(F67,N10)," ","♦",LEN(LEFT(F67,N10))-LEN(SUBSTITUTE(LEFT(F67,N10)," ","")))),FIND(" ",F67&amp;" ",N10+1)-1)))</f>
        <v>1</v>
      </c>
      <c r="N67" s="176">
        <f t="shared" si="5"/>
        <v>50</v>
      </c>
      <c r="O67" s="177" t="str">
        <f t="shared" si="6"/>
        <v>►</v>
      </c>
      <c r="P67" s="176">
        <f t="shared" si="7"/>
        <v>1</v>
      </c>
      <c r="Q67" s="176">
        <f t="shared" si="8"/>
        <v>1</v>
      </c>
      <c r="S67" s="178">
        <v>50</v>
      </c>
      <c r="T67" s="179" t="str">
        <f t="shared" si="10"/>
        <v>►</v>
      </c>
      <c r="U67" s="180" t="str">
        <f t="shared" si="11"/>
        <v>►</v>
      </c>
      <c r="V67" s="181" t="str">
        <f>IF(56=56,IF(T67="","",IF(W67="X",""&amp;"Céréales contenant du gluten","")&amp;IF(X67="X",IF(COUNTIF(W67:W67,"X")&gt;0,", ","")&amp;"Crustacés","")&amp;IF(Y67="X",IF(COUNTIF(W67:X67,"X")&gt;0,", ","")&amp;"Œufs","")&amp;IF(Z67="X",IF(COUNTIF(W67:Y67,"X")&gt;0,", ","")&amp;"Poissons","")&amp;IF(AA67="X",IF(COUNTIF(W67:Z67,"X")&gt;0,", ","")&amp;"Arachides","")&amp;IF(AB67="X",IF(COUNTIF(W67:AA67,"X")&gt;0,", ","")&amp;"Soja","")&amp;IF(AC67="X",IF(COUNTIF(W67:AB67,"X")&gt;0,", ","")&amp;"Lait","")&amp;IF(AD67="X",IF(COUNTIF(W67:AC67,"X")&gt;0,", ","")&amp;"Fruits à coque","")&amp;IF(AE67="X",IF(COUNTIF(W67:AD67,"X")&gt;0,", ","")&amp;"Céleri","")&amp;IF(AF67="X",IF(COUNTIF(W67:AE67,"X")&gt;0,", ","")&amp;"Moutarde","")&amp;IF(AG67="X",IF(COUNTIF(W67:AF67,"X")&gt;0,", ","")&amp;"Sésame","")&amp;IF(AH67="X",IF(COUNTIF(W67:AG67,"X")&gt;0,", ","")&amp;"Sulfites","")&amp;IF(AI67="X",IF(COUNTIF(W67:AH67,"X")&gt;0,", ","")&amp;"Lupin","")&amp;IF(AJ67="X",IF(COUNTIF(W67:AI67,"X")&gt;0,", ","")&amp;"Mollusques","")),"")</f>
        <v/>
      </c>
      <c r="W67" s="182" t="str">
        <f>IF(56=56,IF(T67="","",AX67),"")</f>
        <v/>
      </c>
      <c r="X67" s="182" t="str">
        <f>IF(56=56,IF(T67="","",BA67),"")</f>
        <v/>
      </c>
      <c r="Y67" s="182" t="str">
        <f>IF(56=56,IF(T67="","",BE67),"")</f>
        <v/>
      </c>
      <c r="Z67" s="182" t="str">
        <f>IF(56=56,IF(T67="","",IF(ISNUMBER(SEARCH(" colin ",AS67)),"X",BR67)),"")</f>
        <v/>
      </c>
      <c r="AA67" s="182" t="str">
        <f>IF(56=56,IF(T67="","",BT67),"")</f>
        <v/>
      </c>
      <c r="AB67" s="182" t="str">
        <f>IF(56=56,IF(T67="","",BX67),"")</f>
        <v/>
      </c>
      <c r="AC67" s="182" t="str">
        <f>IF(56=56,IF(T67="","",CE67),"")</f>
        <v/>
      </c>
      <c r="AD67" s="182" t="str">
        <f>IF(56=56,IF(T67="","",CI67),"")</f>
        <v/>
      </c>
      <c r="AE67" s="182" t="str">
        <f>IF(56=56,IF(T67="","",CL67),"")</f>
        <v/>
      </c>
      <c r="AF67" s="182" t="str">
        <f>IF(56=56,IF(T67="","",CO67),"")</f>
        <v/>
      </c>
      <c r="AG67" s="182" t="str">
        <f>IF(56=56,IF(T67="","",CR67),"")</f>
        <v/>
      </c>
      <c r="AH67" s="182" t="str">
        <f>IF(56=56,IF(T67="","",CU67),"")</f>
        <v/>
      </c>
      <c r="AI67" s="182" t="str">
        <f>IF(56=56,IF(T67="","",CX67),"")</f>
        <v/>
      </c>
      <c r="AJ67" s="182" t="str">
        <f>IF(56=56,IF(T67="","",DD67),"")</f>
        <v/>
      </c>
      <c r="AK67" s="183" t="str">
        <f>IF(56=56,IF(T67="","",IF(W67="?",""&amp;"Céréales contenant du gluten","")&amp;IF(X67="?",IF(COUNTIF(W67:W67,"~?")&gt;0,", ","")&amp;"Crustacés","")&amp;IF(Y67="?",IF(COUNTIF(W67:X67,"~?")&gt;0,", ","")&amp;"Œufs","")&amp;IF(Z67="?",IF(COUNTIF(W67:Y67,"~?")&gt;0,", ","")&amp;"Poissons","")&amp;IF(AA67="?",IF(COUNTIF(W67:Z67,"~?")&gt;0,", ","")&amp;"Arachides","")&amp;IF(AB67="?",IF(COUNTIF(W67:AA67,"~?")&gt;0,", ","")&amp;"Soja","")&amp;IF(AC67="?",IF(COUNTIF(W67:AB67,"~?")&gt;0,", ","")&amp;"Lait","")&amp;IF(AD67="?",IF(COUNTIF(W67:AC67,"~?")&gt;0,", ","")&amp;"Fruits à coque","")&amp;IF(AE67="?",IF(COUNTIF(W67:AD67,"~?")&gt;0,", ","")&amp;"Céleri","")&amp;IF(AF67="?",IF(COUNTIF(W67:AE67,"~?")&gt;0,", ","")&amp;"Moutarde","")&amp;IF(AG67="?",IF(COUNTIF(W67:AF67,"~?")&gt;0,", ","")&amp;"Sésame","")&amp;IF(AH67="?",IF(COUNTIF(W67:AG67,"~?")&gt;0,", ","")&amp;"Sulfites","")&amp;IF(AI67="?",IF(COUNTIF(W67:AH67,"~?")&gt;0,", ","")&amp;"Lupin","")&amp;IF(AJ67="?",IF(COUNTIF(W67:AI67,"~?")&gt;0,", ","")&amp;"Mollusques","")),"")</f>
        <v/>
      </c>
      <c r="AM67" s="127" t="str">
        <f>IF(56=56,IF(T67="","",T67),"")</f>
        <v>►</v>
      </c>
      <c r="AN67" s="127" t="str">
        <f>IF(56=56,LOWER(CLEAN(SUBSTITUTE(SUBSTITUTE(SUBSTITUTE(SUBSTITUTE(AM67,CHAR(160)," ")," "," "),CHAR(10)," "),CHAR(13)," "))),"")</f>
        <v>►</v>
      </c>
      <c r="AO67" s="127" t="str">
        <f>IF(56=56,SUBSTITUTE(SUBSTITUTE(SUBSTITUTE(SUBSTITUTE(SUBSTITUTE(SUBSTITUTE(SUBSTITUTE(SUBSTITUTE(SUBSTITUTE(SUBSTITUTE(SUBSTITUTE(SUBSTITUTE(AN67,"œ","oe"),"æ","ae"),"à","a"),"á","a"),"â","a"),"ä","a"),"ã","a"),"ç","c"),"è","e"),"é","e"),"ê","e"),"ë","e"),"")</f>
        <v>►</v>
      </c>
      <c r="AP67" s="127" t="str">
        <f>IF(56=56,SUBSTITUTE(SUBSTITUTE(SUBSTITUTE(SUBSTITUTE(SUBSTITUTE(SUBSTITUTE(SUBSTITUTE(SUBSTITUTE(SUBSTITUTE(SUBSTITUTE(SUBSTITUTE(SUBSTITUTE(SUBSTITUTE(SUBSTITUTE(SUBSTITUTE(SUBSTITUTE(AO67,"ì","i"),"í","i"),"î","i"),"ï","i"),"ñ","n"),"ò","o"),"ó","o"),"ô","o"),"ö","o"),"õ","o"),"ù","u"),"ú","u"),"û","u"),"ü","u"),"ý","y"),"ÿ","y"),"")</f>
        <v>►</v>
      </c>
      <c r="AQ67" s="127" t="str">
        <f>IF(56=56,SUBSTITUTE(SUBSTITUTE(SUBSTITUTE(SUBSTITUTE(SUBSTITUTE(SUBSTITUTE(SUBSTITUTE(SUBSTITUTE(SUBSTITUTE(SUBSTITUTE(SUBSTITUTE(SUBSTITUTE(SUBSTITUTE(SUBSTITUTE(AP67,"’"," "),"`"," "),"–"," "),"—"," "),"-"," "),"'"," "),"/"," "),"_"," "),","," "),"."," "),"("," "),")"," "),";"," "),":"," "),"")</f>
        <v>►</v>
      </c>
      <c r="AR67" s="127" t="str">
        <f>IF(56=56,SUBSTITUTE(SUBSTITUTE(SUBSTITUTE(SUBSTITUTE(SUBSTITUTE(SUBSTITUTE(SUBSTITUTE(SUBSTITUTE(SUBSTITUTE(SUBSTITUTE(SUBSTITUTE(SUBSTITUTE(SUBSTITUTE(SUBSTITUTE(SUBSTITUTE(AQ67,"!"," "),"?"," "),"+"," "),"*"," "),"&amp;"," "),"["," "),"]"," "),"{"," "),"}"," "),"%"," "),"="," "),"\"," "),"|"," "),"&lt;"," "),"&gt;"," "),"")</f>
        <v>►</v>
      </c>
      <c r="AS67" s="127" t="str">
        <f>IF(56=56," "&amp;TRIM(SUBSTITUTE(SUBSTITUTE(SUBSTITUTE(SUBSTITUTE(SUBSTITUTE(SUBSTITUTE(AR67,CHAR(34)," "),"  "," "),"  "," "),"  "," "),"  "," "),"  "," "))&amp;" ","")</f>
        <v xml:space="preserve"> ► </v>
      </c>
      <c r="AT67" s="127" cm="1">
        <f t="array" ref="AT67">IF(56=56,IF(AM67="","",SUMPRODUCT(--ISNUMBER(SEARCH(" "&amp;DJ13:DJ112&amp;" ",AV67)))),"")</f>
        <v>0</v>
      </c>
      <c r="AU67" s="127" cm="1">
        <f t="array" ref="AU67">IF(56=56,IF(AM67="","",SUMPRODUCT(--ISNUMBER(SEARCH(" "&amp;DJ113:DJ162&amp;" ",AV67)))),"")</f>
        <v>0</v>
      </c>
      <c r="AV67" s="127" t="str">
        <f>IF(AM67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v>
      </c>
      <c r="AW67" s="127" cm="1">
        <f t="array" ref="AW67">IF(AM67="","",SUMPRODUCT(--ISNUMBER(SEARCH(" "&amp;DJ195:DJ216&amp;" ",AV67)))+--ISNUMBER(SEARCH(" "&amp;DJ2465&amp;" ",AV67)))</f>
        <v>0</v>
      </c>
      <c r="AX67" s="127" t="str" cm="1">
        <f t="array" ref="AX67">IF(56=56,IF(AM67="","",IF(SUM(AT67:AU67)+SUMPRODUCT(--ISNUMBER(SEARCH(" "&amp;DJ2429:DJ2431&amp;" ",AV67)))&gt;0,"X",IF(AW67&gt;0,"?",""))),"")</f>
        <v/>
      </c>
      <c r="AY67" s="127" cm="1">
        <f t="array" ref="AY67">IF(56=56,IF(AM67="","",SUMPRODUCT(--ISNUMBER(SEARCH(" "&amp;DJ217:DJ316&amp;" ",AS67)))),"")</f>
        <v>0</v>
      </c>
      <c r="AZ67" s="127" cm="1">
        <f t="array" ref="AZ67">IF(56=56,IF(AM67="","",SUMPRODUCT(--ISNUMBER(SEARCH(" "&amp;DJ317:DJ351&amp;" ",AS67)))),"")</f>
        <v>0</v>
      </c>
      <c r="BA67" s="127" t="str">
        <f>IF(56=56,IF(AM67="","",IF((SUM(AY67:AZ67))-(0)&gt;0,"X",IF((0)-(0)&gt;0,"?",""))),"")</f>
        <v/>
      </c>
      <c r="BB67" s="127" cm="1">
        <f t="array" ref="BB67">IF(56=56,IF(AM67="","",SUMPRODUCT(--ISNUMBER(SEARCH(" "&amp;DJ352:DJ409&amp;" ",AS67)))),"")</f>
        <v>0</v>
      </c>
      <c r="BC67" s="127" cm="1">
        <f t="array" ref="BC67">IF(56=56,IF(AM67="","",SUMPRODUCT(--ISNUMBER(SEARCH(" "&amp;DJ410:DJ437&amp;" ",BD67)))+SUMPRODUCT(--ISNUMBER(SEARCH(" "&amp;DJ2451:DJ2464&amp;" ",BD67)))),"")</f>
        <v>0</v>
      </c>
      <c r="BD67" s="127" t="str">
        <f>IF(56=56,IF(AM67="","",SUBSTITUTE(SUBSTITUTE(SUBSTITUTE(SUBSTITUTE(SUBSTITUTE(SUBSTITUTE(SUBSTITUTE(SUBSTITUTE(SUBSTITUTE(SUBSTITUTE(SUBSTITUTE(SUBSTITUTE(SUBSTITUTE(SUBSTITUTE(AS67," "&amp;DJ2466&amp;" "," ")," "&amp;DJ444&amp;" "," ")," "&amp;DJ442&amp;" "," ")," "&amp;DJ2449&amp;" "," ")," "&amp;DJ2450&amp;" "," ")," "&amp;DJ439&amp;" "," ")," "&amp;DJ443&amp;" "," ")," "&amp;DJ445&amp;" "," ")," "&amp;DJ440&amp;" "," ")," "&amp;DJ438&amp;" "," ")," "&amp;DJ1378&amp;" "," ")," "&amp;DJ446&amp;" "," ")," "&amp;DJ1377&amp;" "," ")," "&amp;DJ441&amp;" "," ")),"")</f>
        <v xml:space="preserve"> ► </v>
      </c>
      <c r="BE67" s="127" t="str">
        <f>IF(56=56,IF(AM67="","",IF(BB67&gt;0,"X",IF(BC67&gt;0,"?",""))),"")</f>
        <v/>
      </c>
      <c r="BF67" s="127" cm="1">
        <f t="array" ref="BF67">IF(56=56,IF(AM67="","",SUMPRODUCT(--ISNUMBER(SEARCH(" "&amp;DJ447:DJ546&amp;" ",BP67)))),"")</f>
        <v>0</v>
      </c>
      <c r="BG67" s="127" cm="1">
        <f t="array" ref="BG67">IF(56=56,IF(AM67="","",SUMPRODUCT(--ISNUMBER(SEARCH(" "&amp;DJ547:DJ646&amp;" ",BP67)))),"")</f>
        <v>0</v>
      </c>
      <c r="BH67" s="127" cm="1">
        <f t="array" ref="BH67">IF(56=56,IF(AM67="","",SUMPRODUCT(--ISNUMBER(SEARCH(" "&amp;DJ647:DJ746&amp;" ",BP67)))),"")</f>
        <v>0</v>
      </c>
      <c r="BI67" s="127" cm="1">
        <f t="array" ref="BI67">IF(56=56,IF(AM67="","",SUMPRODUCT(--ISNUMBER(SEARCH(" "&amp;DJ747:DJ846&amp;" ",BP67)))),"")</f>
        <v>0</v>
      </c>
      <c r="BJ67" s="127" cm="1">
        <f t="array" ref="BJ67">IF(56=56,IF(AM67="","",SUMPRODUCT(--ISNUMBER(SEARCH(" "&amp;DJ847:DJ946&amp;" ",BP67)))),"")</f>
        <v>0</v>
      </c>
      <c r="BK67" s="127" cm="1">
        <f t="array" ref="BK67">IF(56=56,IF(AM67="","",SUMPRODUCT(--ISNUMBER(SEARCH(" "&amp;DJ947:DJ1046&amp;" ",BP67)))),"")</f>
        <v>0</v>
      </c>
      <c r="BL67" s="127" cm="1">
        <f t="array" ref="BL67">IF(56=56,IF(AM67="","",SUMPRODUCT(--ISNUMBER(SEARCH(" "&amp;DJ1047:DJ1146&amp;" ",BP67)))),"")</f>
        <v>0</v>
      </c>
      <c r="BM67" s="127" cm="1">
        <f t="array" ref="BM67">IF(56=56,IF(AM67="","",SUMPRODUCT(--ISNUMBER(SEARCH(" "&amp;DJ1147:DJ1246&amp;" ",BP67)))),"")</f>
        <v>0</v>
      </c>
      <c r="BN67" s="127" cm="1">
        <f t="array" ref="BN67">IF(56=56,IF(AM67="","",SUMPRODUCT(--ISNUMBER(SEARCH(" "&amp;DJ1247:DJ1346&amp;" ",BP67)))),"")</f>
        <v>0</v>
      </c>
      <c r="BO67" s="127" cm="1">
        <f t="array" ref="BO67">IF(56=56,IF(AM67="","",SUMPRODUCT(--ISNUMBER(SEARCH(" "&amp;DJ1347:DJ1374&amp;" ",BP67)))),"")</f>
        <v>0</v>
      </c>
      <c r="BP67" s="127" t="str">
        <f>IF(56=56,IF(AM67="","",SUBSTITUTE(SUBSTITUTE(SUBSTITUTE(SUBSTITUTE(SUBSTITUTE(SUBSTITUTE(SUBSTITUTE(SUBSTITUTE(SUBSTITUTE(AS67," "&amp;DJ1376&amp;" "," ")," "&amp;DJ1375&amp;" "," ")," "&amp;DJ1381&amp;" "," ")," "&amp;DJ1382&amp;" "," ")," "&amp;DJ1378&amp;" "," ")," "&amp;DJ1380&amp;" "," ")," "&amp;DJ1377&amp;" "," ")," "&amp;DJ1379&amp;" "," ")," "&amp;DJ1383&amp;" "," ")),"")</f>
        <v xml:space="preserve"> ► </v>
      </c>
      <c r="BQ67" s="127" cm="1">
        <f t="array" ref="BQ67">IF(56=56,IF(AM67="","",SUMPRODUCT(--ISNUMBER(SEARCH(" "&amp;DJ1384:DJ1394&amp;" ",BP67)))),"")</f>
        <v>0</v>
      </c>
      <c r="BR67" s="127" t="str" cm="1">
        <f t="array" ref="BR67">IF(56=56,IF(AM67="","",IF(SUM(BF67:BO67)+SUMPRODUCT(--ISNUMBER(SEARCH(" "&amp;DJ2432:DJ2433&amp;" ",BP67)))&gt;0,"X",IF(BQ67&gt;0,"?",""))),"")</f>
        <v/>
      </c>
      <c r="BS67" s="127" cm="1">
        <f t="array" ref="BS67">IF(56=56,IF(AM67="","",SUMPRODUCT(--ISNUMBER(SEARCH(" "&amp;DJ1395:DJ1415&amp;" ",AS67)))),"")</f>
        <v>0</v>
      </c>
      <c r="BT67" s="127" t="str">
        <f>IF(56=56,IF(AM67="","",IF((BS67)-(0)&gt;0,"X",IF((0)-(0)&gt;0,"?",""))),"")</f>
        <v/>
      </c>
      <c r="BU67" s="127" cm="1">
        <f t="array" ref="BU67">IF(56=56,IF(AM67="","",SUMPRODUCT(--ISNUMBER(SEARCH(" "&amp;DJ1416:DJ1453&amp;" ",BV67)))),"")</f>
        <v>0</v>
      </c>
      <c r="BV67" s="127" t="str">
        <f>IF(56=56,IF(AM67="","",SUBSTITUTE(SUBSTITUTE(AS67," "&amp;DJ1454&amp;" "," ")," "&amp;DJ1455&amp;" "," ")),"")</f>
        <v xml:space="preserve"> ► </v>
      </c>
      <c r="BW67" s="127" cm="1">
        <f t="array" ref="BW67">IF(56=56,IF(AM67="","",SUMPRODUCT(--ISNUMBER(SEARCH(" "&amp;DJ1456:DJ1466&amp;" ",BV67)))),"")</f>
        <v>0</v>
      </c>
      <c r="BX67" s="127" t="str">
        <f>IF(56=56,IF(AM67="","",IF(BU67&gt;0,"X",IF(BW67&gt;0,"?",""))),"")</f>
        <v/>
      </c>
      <c r="BY67" s="127" cm="1">
        <f t="array" ref="BY67">IF(56=56,IF(AM67="","",SUMPRODUCT(--ISNUMBER(SEARCH(" "&amp;DJ1467:DJ1566&amp;" ",CB67)))),"")</f>
        <v>0</v>
      </c>
      <c r="BZ67" s="127" cm="1">
        <f t="array" ref="BZ67">IF(56=56,IF(AM67="","",SUMPRODUCT(--ISNUMBER(SEARCH(" "&amp;DJ1567:DJ1666&amp;" ",CB67)))),"")</f>
        <v>0</v>
      </c>
      <c r="CA67" s="127" cm="1">
        <f t="array" ref="CA67">IF(56=56,IF(AM67="","",SUMPRODUCT(--ISNUMBER(SEARCH(" "&amp;DJ1667:DJ1750&amp;" ",CB67)))),"")</f>
        <v>0</v>
      </c>
      <c r="CB67" s="127" t="str">
        <f>IF(56=56,IF(AM67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v>
      </c>
      <c r="CC67" s="127" cm="1">
        <f t="array" ref="CC67">IF(56=56,IF(AM67="","",SUMPRODUCT(--ISNUMBER(SEARCH(" "&amp;DJ1801:DJ1880&amp;" ",CD67)))+SUMPRODUCT(--ISNUMBER(SEARCH(" "&amp;DJ2451:DJ2464&amp;" ",CD67)))),"")</f>
        <v>0</v>
      </c>
      <c r="CD67" s="127" t="str">
        <f>IF(56=56,IF(AM67="","",SUBSTITUTE(SUBSTITUTE(SUBSTITUTE(SUBSTITUTE(SUBSTITUTE(SUBSTITUTE(SUBSTITUTE(SUBSTITUTE(SUBSTITUTE(SUBSTITUTE(SUBSTITUTE(SUBSTITUTE(SUBSTITUTE(CB67," "&amp;DJ1887&amp;" "," ")," "&amp;DJ1885&amp;" "," ")," "&amp;DJ2449&amp;" "," ")," "&amp;DJ2450&amp;" "," ")," "&amp;DJ1882&amp;" "," ")," "&amp;DJ1886&amp;" "," ")," "&amp;DJ1888&amp;" "," ")," "&amp;DJ1883&amp;" "," ")," "&amp;DJ1881&amp;" "," ")," "&amp;DJ1378&amp;" "," ")," "&amp;DJ1889&amp;" "," ")," "&amp;DJ1377&amp;" "," ")," "&amp;DJ1884&amp;" "," ")),"")</f>
        <v xml:space="preserve"> ► </v>
      </c>
      <c r="CE67" s="127" t="str" cm="1">
        <f t="array" ref="CE67">IF(56=56,IF(AM67="","",IF(SUM(BY67:CA67)+SUMPRODUCT(--ISNUMBER(SEARCH(" "&amp;DJ2434:DJ2435&amp;" ",CB67)))&gt;0,"X",IF(CC67&gt;0,"?",""))),"")</f>
        <v/>
      </c>
      <c r="CF67" s="127" cm="1">
        <f t="array" ref="CF67">IF(56=56,IF(AM67="","",SUMPRODUCT(--ISNUMBER(SEARCH(" "&amp;DJ1890:DJ1947&amp;" ",CG67)))),"")</f>
        <v>0</v>
      </c>
      <c r="CG67" s="127" t="str">
        <f>IF(56=56,IF(AM67="","",SUBSTITUTE(SUBSTITUTE(SUBSTITUTE(SUBSTITUTE(SUBSTITUTE(SUBSTITUTE(SUBSTITUTE(SUBSTITUTE(SUBSTITUTE(SUBSTITUTE(SUBSTITUTE(SUBSTITUTE(SUBSTITUTE(SUBSTITUTE(SUBSTITUTE(SUBSTITUTE(SUBSTITUTE(SUBSTITUTE(SUBSTITUTE(SUBSTITUTE(SUBSTITUTE(SUBSTITUTE(SUBSTITUTE(AS67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v>
      </c>
      <c r="CH67" s="127" cm="1">
        <f t="array" ref="CH67">IF(56=56,IF(AM67="","",SUMPRODUCT(--ISNUMBER(SEARCH(" "&amp;DJ1971:DJ1987&amp;" ",CG67)))),"")</f>
        <v>0</v>
      </c>
      <c r="CI67" s="127" t="str">
        <f>IF(56=56,IF(AM67="","",IF(CF67&gt;0,"X",IF(CH67&gt;0,"?",""))),"")</f>
        <v/>
      </c>
      <c r="CJ67" s="127" cm="1">
        <f t="array" ref="CJ67">IF(56=56,IF(AM67="","",SUMPRODUCT(--ISNUMBER(SEARCH(" "&amp;DJ1988:DJ2001&amp;" ",AS67)))),"")</f>
        <v>0</v>
      </c>
      <c r="CK67" s="127" cm="1">
        <f t="array" ref="CK67">IF(56=56,IF(AM67="","",SUMPRODUCT(--ISNUMBER(SEARCH(" "&amp;DJ2002:DJ2016&amp;" ",AS67)))),"")</f>
        <v>0</v>
      </c>
      <c r="CL67" s="127" t="str">
        <f>IF(56=56,IF(AM67="","",IF((CJ67)-(0)&gt;0,"X",IF((CK67)-(0)&gt;0,"?",""))),"")</f>
        <v/>
      </c>
      <c r="CM67" s="127" cm="1">
        <f t="array" ref="CM67">IF(56=56,IF(AM67="","",SUMPRODUCT(--ISNUMBER(SEARCH(" "&amp;DJ2017:DJ2034&amp;" ",AS67)))),"")</f>
        <v>0</v>
      </c>
      <c r="CN67" s="127" cm="1">
        <f t="array" ref="CN67">IF(56=56,IF(AM67="","",SUMPRODUCT(--ISNUMBER(SEARCH(" "&amp;DJ2035:DJ2049&amp;" ",AS67)))),"")</f>
        <v>0</v>
      </c>
      <c r="CO67" s="127" t="str">
        <f>IF(56=56,IF(AM67="","",IF((CM67)-(0)&gt;0,"X",IF((CN67)-(0)&gt;0,"?",""))),"")</f>
        <v/>
      </c>
      <c r="CP67" s="127" cm="1">
        <f t="array" ref="CP67">IF(56=56,IF(AM67="","",SUMPRODUCT(--ISNUMBER(SEARCH(" "&amp;DJ2050:DJ2068&amp;" ",AS67)))),"")</f>
        <v>0</v>
      </c>
      <c r="CQ67" s="127" cm="1">
        <f t="array" ref="CQ67">IF(56=56,IF(AM67="","",SUMPRODUCT(--ISNUMBER(SEARCH(" "&amp;DJ2069:DJ2083&amp;" ",AS67)))),"")</f>
        <v>0</v>
      </c>
      <c r="CR67" s="127" t="str">
        <f>IF(56=56,IF(AM67="","",IF((CP67)-(0)&gt;0,"X",IF((CQ67)-(0)&gt;0,"?",""))),"")</f>
        <v/>
      </c>
      <c r="CS67" s="127" cm="1">
        <f t="array" ref="CS67">IF(56=56,IF(AM67="","",SUMPRODUCT(--ISNUMBER(SEARCH(" "&amp;DJ2084:DJ2104&amp;" ",AS67)))),"")</f>
        <v>0</v>
      </c>
      <c r="CT67" s="127" cm="1">
        <f t="array" ref="CT67">IF(56=56,IF(AM67="","",SUMPRODUCT(--ISNUMBER(SEARCH(" "&amp;DJ2105:DJ2144&amp;" ",SUBSTITUTE(SUBSTITUTE(AS67," "&amp;DJ1378&amp;" "," ")," "&amp;DJ1377&amp;" "," "))))+--ISNUMBER(SEARCH("poiré",AN67))),"")</f>
        <v>0</v>
      </c>
      <c r="CU67" s="127" t="str">
        <f>IF(56=56,IF(AM67="","",IF(OR(CS67&gt;0,ISNUMBER(SEARCH(" vinaigre de vin ",AS67)),ISNUMBER(SEARCH(" vinaigre au vin ",AS67))),"X",IF(CT67&gt;0,"?",""))),"")</f>
        <v/>
      </c>
      <c r="CV67" s="127" cm="1">
        <f t="array" ref="CV67">IF(56=56,IF(AM67="","",SUMPRODUCT(--ISNUMBER(SEARCH(" "&amp;DJ2145:DJ2157&amp;" ",AS67)))),"")</f>
        <v>0</v>
      </c>
      <c r="CW67" s="127" cm="1">
        <f t="array" ref="CW67">IF(56=56,IF(AM67="","",SUMPRODUCT(--ISNUMBER(SEARCH(" "&amp;DJ2158:DJ2163&amp;" ",AS67)))),"")</f>
        <v>0</v>
      </c>
      <c r="CX67" s="127" t="str">
        <f>IF(56=56,IF(AM67="","",IF((CV67)-(0)&gt;0,"X",IF((CW67)-(0)&gt;0,"?",""))),"")</f>
        <v/>
      </c>
      <c r="CY67" s="127" cm="1">
        <f t="array" ref="CY67">IF(56=56,IF(AM67="","",SUMPRODUCT(--ISNUMBER(SEARCH(" "&amp;DJ2164:DJ2263&amp;" ",DB67)))),"")</f>
        <v>0</v>
      </c>
      <c r="CZ67" s="127" cm="1">
        <f t="array" ref="CZ67">IF(56=56,IF(AM67="","",SUMPRODUCT(--ISNUMBER(SEARCH(" "&amp;DJ2264:DJ2363&amp;" ",DB67)))),"")</f>
        <v>0</v>
      </c>
      <c r="DA67" s="127" cm="1">
        <f t="array" ref="DA67">IF(56=56,IF(AM67="","",SUMPRODUCT(--ISNUMBER(SEARCH(" "&amp;DJ2364:DJ2406&amp;" ",DB67)))),"")</f>
        <v>0</v>
      </c>
      <c r="DB67" s="127" t="str">
        <f>IF(56=56,IF(AM67="","",SUBSTITUTE(SUBSTITUTE(SUBSTITUTE(SUBSTITUTE(SUBSTITUTE(SUBSTITUTE(SUBSTITUTE(SUBSTITUTE(SUBSTITUTE(SUBSTITUTE(SUBSTITUTE(SUBSTITUTE(SUBSTITUTE(SUBSTITUTE(SUBSTITUTE(SUBSTITUTE(AS67," "&amp;DJ2412&amp;" "," ")," "&amp;DJ2411&amp;" "," ")," "&amp;DJ2410&amp;" "," ")," "&amp;DJ2417&amp;" "," ")," "&amp;DJ2409&amp;" "," ")," "&amp;DJ2421&amp;" "," ")," "&amp;DJ2408&amp;" "," ")," "&amp;DJ2413&amp;" "," ")," "&amp;DJ2416&amp;" "," ")," "&amp;DJ2407&amp;" "," ")," "&amp;DJ2415&amp;" "," ")," "&amp;DJ2422&amp;" "," ")," "&amp;DJ2419&amp;" "," ")," "&amp;DJ2414&amp;" "," ")," "&amp;DJ2418&amp;" "," ")," "&amp;DJ2420&amp;" "," ")),"")</f>
        <v xml:space="preserve"> ► </v>
      </c>
      <c r="DC67" s="127" cm="1">
        <f t="array" ref="DC67">IF(56=56,IF(AM67="","",SUMPRODUCT(--ISNUMBER(SEARCH(" "&amp;DJ2423:DJ2427&amp;" ",DB67)))),"")</f>
        <v>0</v>
      </c>
      <c r="DD67" s="127" t="str">
        <f>IF(56=56,IF(AM67="","",IF(SUM(CY67:DA67)&gt;0,"X",IF(DC67&gt;0,"?",""))),"")</f>
        <v/>
      </c>
      <c r="DE67" s="152"/>
      <c r="DF67" s="160" t="s">
        <v>766</v>
      </c>
      <c r="DG67" s="160" t="s">
        <v>584</v>
      </c>
      <c r="DH67" s="160" t="s">
        <v>125</v>
      </c>
      <c r="DI67" s="160" t="s">
        <v>767</v>
      </c>
      <c r="DJ67" s="160" t="s">
        <v>767</v>
      </c>
      <c r="DK67" s="160" t="s">
        <v>588</v>
      </c>
      <c r="DL67" s="160" t="s">
        <v>589</v>
      </c>
      <c r="DM67" s="160" t="s">
        <v>590</v>
      </c>
      <c r="DN67" s="161" t="s">
        <v>591</v>
      </c>
      <c r="DP67" s="130">
        <v>1</v>
      </c>
    </row>
    <row r="68" spans="2:120" ht="30" customHeight="1">
      <c r="B68" s="165" t="str">
        <f t="shared" si="0"/>
        <v/>
      </c>
      <c r="C68" s="165" t="str">
        <f t="shared" si="1"/>
        <v/>
      </c>
      <c r="D68" s="165" t="str">
        <f>IF(UPPER(TRIM(N11))="X",C68,B68)</f>
        <v/>
      </c>
      <c r="E68" s="165" cm="1">
        <f t="array" ref="E68">IF(H67&lt;&gt;"",E67,IF(E67="","",IFERROR(MATCH(TRUE(),INDEX(INDEX(K:K,E67+1):K203&lt;&gt;"",0),0)+E67,"")))</f>
        <v>53</v>
      </c>
      <c r="F68" s="165" t="str" cm="1">
        <f t="array" ref="F68">IF(E68="","",IF(H67&lt;&gt;"",H67,INDEX(D:D,E68)))</f>
        <v>Portez à ébullition, puis baissez le feu et</v>
      </c>
      <c r="G68" s="165" t="str">
        <f t="shared" si="2"/>
        <v>Portez à ébullition, puis baissez le feu et</v>
      </c>
      <c r="H68" s="174" t="str">
        <f t="shared" si="3"/>
        <v/>
      </c>
      <c r="I68" s="184" t="str">
        <f>IF(AND(F68&lt;&gt;"",N10&gt;0,M68&gt;N10),"Mot &gt; limite","")</f>
        <v/>
      </c>
      <c r="J68" s="175" t="str">
        <f>IF(K68="","",COUNTIF(K18:K68,"&lt;&gt;"))</f>
        <v/>
      </c>
      <c r="K68" s="111"/>
      <c r="L68" s="175" t="str">
        <f t="shared" si="4"/>
        <v/>
      </c>
      <c r="M68" s="135">
        <f>IF(OR(F68="",N10="",N10&lt;=0),"",IF(LEN(F68)&lt;=N10,LEN(F68),IFERROR(FIND("♦",SUBSTITUTE(LEFT(F68,N10)," ","♦",LEN(LEFT(F68,N10))-LEN(SUBSTITUTE(LEFT(F68,N10)," ","")))),FIND(" ",F68&amp;" ",N10+1)-1)))</f>
        <v>43</v>
      </c>
      <c r="N68" s="176">
        <f t="shared" si="5"/>
        <v>51</v>
      </c>
      <c r="O68" s="177" t="str">
        <f t="shared" si="6"/>
        <v>Portez à ébullition, puis baissez le feu et</v>
      </c>
      <c r="P68" s="176">
        <f t="shared" si="7"/>
        <v>8</v>
      </c>
      <c r="Q68" s="176">
        <f t="shared" si="8"/>
        <v>43</v>
      </c>
      <c r="S68" s="178">
        <v>51</v>
      </c>
      <c r="T68" s="179" t="str">
        <f t="shared" si="10"/>
        <v>Portez à ébullition, puis baissez le feu et</v>
      </c>
      <c r="U68" s="180" t="str">
        <f t="shared" si="11"/>
        <v>Portez à ébullition, puis baissez le feu et</v>
      </c>
      <c r="V68" s="181" t="str">
        <f>IF(57=57,IF(T68="","",IF(W68="X",""&amp;"Céréales contenant du gluten","")&amp;IF(X68="X",IF(COUNTIF(W68:W68,"X")&gt;0,", ","")&amp;"Crustacés","")&amp;IF(Y68="X",IF(COUNTIF(W68:X68,"X")&gt;0,", ","")&amp;"Œufs","")&amp;IF(Z68="X",IF(COUNTIF(W68:Y68,"X")&gt;0,", ","")&amp;"Poissons","")&amp;IF(AA68="X",IF(COUNTIF(W68:Z68,"X")&gt;0,", ","")&amp;"Arachides","")&amp;IF(AB68="X",IF(COUNTIF(W68:AA68,"X")&gt;0,", ","")&amp;"Soja","")&amp;IF(AC68="X",IF(COUNTIF(W68:AB68,"X")&gt;0,", ","")&amp;"Lait","")&amp;IF(AD68="X",IF(COUNTIF(W68:AC68,"X")&gt;0,", ","")&amp;"Fruits à coque","")&amp;IF(AE68="X",IF(COUNTIF(W68:AD68,"X")&gt;0,", ","")&amp;"Céleri","")&amp;IF(AF68="X",IF(COUNTIF(W68:AE68,"X")&gt;0,", ","")&amp;"Moutarde","")&amp;IF(AG68="X",IF(COUNTIF(W68:AF68,"X")&gt;0,", ","")&amp;"Sésame","")&amp;IF(AH68="X",IF(COUNTIF(W68:AG68,"X")&gt;0,", ","")&amp;"Sulfites","")&amp;IF(AI68="X",IF(COUNTIF(W68:AH68,"X")&gt;0,", ","")&amp;"Lupin","")&amp;IF(AJ68="X",IF(COUNTIF(W68:AI68,"X")&gt;0,", ","")&amp;"Mollusques","")),"")</f>
        <v/>
      </c>
      <c r="W68" s="182" t="str">
        <f>IF(57=57,IF(T68="","",AX68),"")</f>
        <v/>
      </c>
      <c r="X68" s="182" t="str">
        <f>IF(57=57,IF(T68="","",BA68),"")</f>
        <v/>
      </c>
      <c r="Y68" s="182" t="str">
        <f>IF(57=57,IF(T68="","",BE68),"")</f>
        <v/>
      </c>
      <c r="Z68" s="182" t="str">
        <f>IF(57=57,IF(T68="","",IF(ISNUMBER(SEARCH(" colin ",AS68)),"X",BR68)),"")</f>
        <v/>
      </c>
      <c r="AA68" s="182" t="str">
        <f>IF(57=57,IF(T68="","",BT68),"")</f>
        <v/>
      </c>
      <c r="AB68" s="182" t="str">
        <f>IF(57=57,IF(T68="","",BX68),"")</f>
        <v/>
      </c>
      <c r="AC68" s="182" t="str">
        <f>IF(57=57,IF(T68="","",CE68),"")</f>
        <v/>
      </c>
      <c r="AD68" s="182" t="str">
        <f>IF(57=57,IF(T68="","",CI68),"")</f>
        <v/>
      </c>
      <c r="AE68" s="182" t="str">
        <f>IF(57=57,IF(T68="","",CL68),"")</f>
        <v/>
      </c>
      <c r="AF68" s="182" t="str">
        <f>IF(57=57,IF(T68="","",CO68),"")</f>
        <v/>
      </c>
      <c r="AG68" s="182" t="str">
        <f>IF(57=57,IF(T68="","",CR68),"")</f>
        <v/>
      </c>
      <c r="AH68" s="182" t="str">
        <f>IF(57=57,IF(T68="","",CU68),"")</f>
        <v/>
      </c>
      <c r="AI68" s="182" t="str">
        <f>IF(57=57,IF(T68="","",CX68),"")</f>
        <v/>
      </c>
      <c r="AJ68" s="182" t="str">
        <f>IF(57=57,IF(T68="","",DD68),"")</f>
        <v/>
      </c>
      <c r="AK68" s="183" t="str">
        <f>IF(57=57,IF(T68="","",IF(W68="?",""&amp;"Céréales contenant du gluten","")&amp;IF(X68="?",IF(COUNTIF(W68:W68,"~?")&gt;0,", ","")&amp;"Crustacés","")&amp;IF(Y68="?",IF(COUNTIF(W68:X68,"~?")&gt;0,", ","")&amp;"Œufs","")&amp;IF(Z68="?",IF(COUNTIF(W68:Y68,"~?")&gt;0,", ","")&amp;"Poissons","")&amp;IF(AA68="?",IF(COUNTIF(W68:Z68,"~?")&gt;0,", ","")&amp;"Arachides","")&amp;IF(AB68="?",IF(COUNTIF(W68:AA68,"~?")&gt;0,", ","")&amp;"Soja","")&amp;IF(AC68="?",IF(COUNTIF(W68:AB68,"~?")&gt;0,", ","")&amp;"Lait","")&amp;IF(AD68="?",IF(COUNTIF(W68:AC68,"~?")&gt;0,", ","")&amp;"Fruits à coque","")&amp;IF(AE68="?",IF(COUNTIF(W68:AD68,"~?")&gt;0,", ","")&amp;"Céleri","")&amp;IF(AF68="?",IF(COUNTIF(W68:AE68,"~?")&gt;0,", ","")&amp;"Moutarde","")&amp;IF(AG68="?",IF(COUNTIF(W68:AF68,"~?")&gt;0,", ","")&amp;"Sésame","")&amp;IF(AH68="?",IF(COUNTIF(W68:AG68,"~?")&gt;0,", ","")&amp;"Sulfites","")&amp;IF(AI68="?",IF(COUNTIF(W68:AH68,"~?")&gt;0,", ","")&amp;"Lupin","")&amp;IF(AJ68="?",IF(COUNTIF(W68:AI68,"~?")&gt;0,", ","")&amp;"Mollusques","")),"")</f>
        <v/>
      </c>
      <c r="AM68" s="127" t="str">
        <f>IF(57=57,IF(T68="","",T68),"")</f>
        <v>Portez à ébullition, puis baissez le feu et</v>
      </c>
      <c r="AN68" s="127" t="str">
        <f>IF(57=57,LOWER(CLEAN(SUBSTITUTE(SUBSTITUTE(SUBSTITUTE(SUBSTITUTE(AM68,CHAR(160)," ")," "," "),CHAR(10)," "),CHAR(13)," "))),"")</f>
        <v>portez à ébullition, puis baissez le feu et</v>
      </c>
      <c r="AO68" s="127" t="str">
        <f>IF(57=57,SUBSTITUTE(SUBSTITUTE(SUBSTITUTE(SUBSTITUTE(SUBSTITUTE(SUBSTITUTE(SUBSTITUTE(SUBSTITUTE(SUBSTITUTE(SUBSTITUTE(SUBSTITUTE(SUBSTITUTE(AN68,"œ","oe"),"æ","ae"),"à","a"),"á","a"),"â","a"),"ä","a"),"ã","a"),"ç","c"),"è","e"),"é","e"),"ê","e"),"ë","e"),"")</f>
        <v>portez a ebullition, puis baissez le feu et</v>
      </c>
      <c r="AP68" s="127" t="str">
        <f>IF(57=57,SUBSTITUTE(SUBSTITUTE(SUBSTITUTE(SUBSTITUTE(SUBSTITUTE(SUBSTITUTE(SUBSTITUTE(SUBSTITUTE(SUBSTITUTE(SUBSTITUTE(SUBSTITUTE(SUBSTITUTE(SUBSTITUTE(SUBSTITUTE(SUBSTITUTE(SUBSTITUTE(AO68,"ì","i"),"í","i"),"î","i"),"ï","i"),"ñ","n"),"ò","o"),"ó","o"),"ô","o"),"ö","o"),"õ","o"),"ù","u"),"ú","u"),"û","u"),"ü","u"),"ý","y"),"ÿ","y"),"")</f>
        <v>portez a ebullition, puis baissez le feu et</v>
      </c>
      <c r="AQ68" s="127" t="str">
        <f>IF(57=57,SUBSTITUTE(SUBSTITUTE(SUBSTITUTE(SUBSTITUTE(SUBSTITUTE(SUBSTITUTE(SUBSTITUTE(SUBSTITUTE(SUBSTITUTE(SUBSTITUTE(SUBSTITUTE(SUBSTITUTE(SUBSTITUTE(SUBSTITUTE(AP68,"’"," "),"`"," "),"–"," "),"—"," "),"-"," "),"'"," "),"/"," "),"_"," "),","," "),"."," "),"("," "),")"," "),";"," "),":"," "),"")</f>
        <v>portez a ebullition  puis baissez le feu et</v>
      </c>
      <c r="AR68" s="127" t="str">
        <f>IF(57=57,SUBSTITUTE(SUBSTITUTE(SUBSTITUTE(SUBSTITUTE(SUBSTITUTE(SUBSTITUTE(SUBSTITUTE(SUBSTITUTE(SUBSTITUTE(SUBSTITUTE(SUBSTITUTE(SUBSTITUTE(SUBSTITUTE(SUBSTITUTE(SUBSTITUTE(AQ68,"!"," "),"?"," "),"+"," "),"*"," "),"&amp;"," "),"["," "),"]"," "),"{"," "),"}"," "),"%"," "),"="," "),"\"," "),"|"," "),"&lt;"," "),"&gt;"," "),"")</f>
        <v>portez a ebullition  puis baissez le feu et</v>
      </c>
      <c r="AS68" s="127" t="str">
        <f>IF(57=57," "&amp;TRIM(SUBSTITUTE(SUBSTITUTE(SUBSTITUTE(SUBSTITUTE(SUBSTITUTE(SUBSTITUTE(AR68,CHAR(34)," "),"  "," "),"  "," "),"  "," "),"  "," "),"  "," "))&amp;" ","")</f>
        <v xml:space="preserve"> portez a ebullition puis baissez le feu et </v>
      </c>
      <c r="AT68" s="127" cm="1">
        <f t="array" ref="AT68">IF(57=57,IF(AM68="","",SUMPRODUCT(--ISNUMBER(SEARCH(" "&amp;DJ13:DJ112&amp;" ",AV68)))),"")</f>
        <v>0</v>
      </c>
      <c r="AU68" s="127" cm="1">
        <f t="array" ref="AU68">IF(57=57,IF(AM68="","",SUMPRODUCT(--ISNUMBER(SEARCH(" "&amp;DJ113:DJ162&amp;" ",AV68)))),"")</f>
        <v>0</v>
      </c>
      <c r="AV68" s="127" t="str">
        <f>IF(AM68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portez a ebullition puis baissez le feu et </v>
      </c>
      <c r="AW68" s="127" cm="1">
        <f t="array" ref="AW68">IF(AM68="","",SUMPRODUCT(--ISNUMBER(SEARCH(" "&amp;DJ195:DJ216&amp;" ",AV68)))+--ISNUMBER(SEARCH(" "&amp;DJ2465&amp;" ",AV68)))</f>
        <v>0</v>
      </c>
      <c r="AX68" s="127" t="str" cm="1">
        <f t="array" ref="AX68">IF(57=57,IF(AM68="","",IF(SUM(AT68:AU68)+SUMPRODUCT(--ISNUMBER(SEARCH(" "&amp;DJ2429:DJ2431&amp;" ",AV68)))&gt;0,"X",IF(AW68&gt;0,"?",""))),"")</f>
        <v/>
      </c>
      <c r="AY68" s="127" cm="1">
        <f t="array" ref="AY68">IF(57=57,IF(AM68="","",SUMPRODUCT(--ISNUMBER(SEARCH(" "&amp;DJ217:DJ316&amp;" ",AS68)))),"")</f>
        <v>0</v>
      </c>
      <c r="AZ68" s="127" cm="1">
        <f t="array" ref="AZ68">IF(57=57,IF(AM68="","",SUMPRODUCT(--ISNUMBER(SEARCH(" "&amp;DJ317:DJ351&amp;" ",AS68)))),"")</f>
        <v>0</v>
      </c>
      <c r="BA68" s="127" t="str">
        <f>IF(57=57,IF(AM68="","",IF((SUM(AY68:AZ68))-(0)&gt;0,"X",IF((0)-(0)&gt;0,"?",""))),"")</f>
        <v/>
      </c>
      <c r="BB68" s="127" cm="1">
        <f t="array" ref="BB68">IF(57=57,IF(AM68="","",SUMPRODUCT(--ISNUMBER(SEARCH(" "&amp;DJ352:DJ409&amp;" ",AS68)))),"")</f>
        <v>0</v>
      </c>
      <c r="BC68" s="127" cm="1">
        <f t="array" ref="BC68">IF(57=57,IF(AM68="","",SUMPRODUCT(--ISNUMBER(SEARCH(" "&amp;DJ410:DJ437&amp;" ",BD68)))+SUMPRODUCT(--ISNUMBER(SEARCH(" "&amp;DJ2451:DJ2464&amp;" ",BD68)))),"")</f>
        <v>0</v>
      </c>
      <c r="BD68" s="127" t="str">
        <f>IF(57=57,IF(AM68="","",SUBSTITUTE(SUBSTITUTE(SUBSTITUTE(SUBSTITUTE(SUBSTITUTE(SUBSTITUTE(SUBSTITUTE(SUBSTITUTE(SUBSTITUTE(SUBSTITUTE(SUBSTITUTE(SUBSTITUTE(SUBSTITUTE(SUBSTITUTE(AS68," "&amp;DJ2466&amp;" "," ")," "&amp;DJ444&amp;" "," ")," "&amp;DJ442&amp;" "," ")," "&amp;DJ2449&amp;" "," ")," "&amp;DJ2450&amp;" "," ")," "&amp;DJ439&amp;" "," ")," "&amp;DJ443&amp;" "," ")," "&amp;DJ445&amp;" "," ")," "&amp;DJ440&amp;" "," ")," "&amp;DJ438&amp;" "," ")," "&amp;DJ1378&amp;" "," ")," "&amp;DJ446&amp;" "," ")," "&amp;DJ1377&amp;" "," ")," "&amp;DJ441&amp;" "," ")),"")</f>
        <v xml:space="preserve"> portez a ebullition puis baissez le feu et </v>
      </c>
      <c r="BE68" s="127" t="str">
        <f>IF(57=57,IF(AM68="","",IF(BB68&gt;0,"X",IF(BC68&gt;0,"?",""))),"")</f>
        <v/>
      </c>
      <c r="BF68" s="127" cm="1">
        <f t="array" ref="BF68">IF(57=57,IF(AM68="","",SUMPRODUCT(--ISNUMBER(SEARCH(" "&amp;DJ447:DJ546&amp;" ",BP68)))),"")</f>
        <v>0</v>
      </c>
      <c r="BG68" s="127" cm="1">
        <f t="array" ref="BG68">IF(57=57,IF(AM68="","",SUMPRODUCT(--ISNUMBER(SEARCH(" "&amp;DJ547:DJ646&amp;" ",BP68)))),"")</f>
        <v>0</v>
      </c>
      <c r="BH68" s="127" cm="1">
        <f t="array" ref="BH68">IF(57=57,IF(AM68="","",SUMPRODUCT(--ISNUMBER(SEARCH(" "&amp;DJ647:DJ746&amp;" ",BP68)))),"")</f>
        <v>0</v>
      </c>
      <c r="BI68" s="127" cm="1">
        <f t="array" ref="BI68">IF(57=57,IF(AM68="","",SUMPRODUCT(--ISNUMBER(SEARCH(" "&amp;DJ747:DJ846&amp;" ",BP68)))),"")</f>
        <v>0</v>
      </c>
      <c r="BJ68" s="127" cm="1">
        <f t="array" ref="BJ68">IF(57=57,IF(AM68="","",SUMPRODUCT(--ISNUMBER(SEARCH(" "&amp;DJ847:DJ946&amp;" ",BP68)))),"")</f>
        <v>0</v>
      </c>
      <c r="BK68" s="127" cm="1">
        <f t="array" ref="BK68">IF(57=57,IF(AM68="","",SUMPRODUCT(--ISNUMBER(SEARCH(" "&amp;DJ947:DJ1046&amp;" ",BP68)))),"")</f>
        <v>0</v>
      </c>
      <c r="BL68" s="127" cm="1">
        <f t="array" ref="BL68">IF(57=57,IF(AM68="","",SUMPRODUCT(--ISNUMBER(SEARCH(" "&amp;DJ1047:DJ1146&amp;" ",BP68)))),"")</f>
        <v>0</v>
      </c>
      <c r="BM68" s="127" cm="1">
        <f t="array" ref="BM68">IF(57=57,IF(AM68="","",SUMPRODUCT(--ISNUMBER(SEARCH(" "&amp;DJ1147:DJ1246&amp;" ",BP68)))),"")</f>
        <v>0</v>
      </c>
      <c r="BN68" s="127" cm="1">
        <f t="array" ref="BN68">IF(57=57,IF(AM68="","",SUMPRODUCT(--ISNUMBER(SEARCH(" "&amp;DJ1247:DJ1346&amp;" ",BP68)))),"")</f>
        <v>0</v>
      </c>
      <c r="BO68" s="127" cm="1">
        <f t="array" ref="BO68">IF(57=57,IF(AM68="","",SUMPRODUCT(--ISNUMBER(SEARCH(" "&amp;DJ1347:DJ1374&amp;" ",BP68)))),"")</f>
        <v>0</v>
      </c>
      <c r="BP68" s="127" t="str">
        <f>IF(57=57,IF(AM68="","",SUBSTITUTE(SUBSTITUTE(SUBSTITUTE(SUBSTITUTE(SUBSTITUTE(SUBSTITUTE(SUBSTITUTE(SUBSTITUTE(SUBSTITUTE(AS68," "&amp;DJ1376&amp;" "," ")," "&amp;DJ1375&amp;" "," ")," "&amp;DJ1381&amp;" "," ")," "&amp;DJ1382&amp;" "," ")," "&amp;DJ1378&amp;" "," ")," "&amp;DJ1380&amp;" "," ")," "&amp;DJ1377&amp;" "," ")," "&amp;DJ1379&amp;" "," ")," "&amp;DJ1383&amp;" "," ")),"")</f>
        <v xml:space="preserve"> portez a ebullition puis baissez le feu et </v>
      </c>
      <c r="BQ68" s="127" cm="1">
        <f t="array" ref="BQ68">IF(57=57,IF(AM68="","",SUMPRODUCT(--ISNUMBER(SEARCH(" "&amp;DJ1384:DJ1394&amp;" ",BP68)))),"")</f>
        <v>0</v>
      </c>
      <c r="BR68" s="127" t="str" cm="1">
        <f t="array" ref="BR68">IF(57=57,IF(AM68="","",IF(SUM(BF68:BO68)+SUMPRODUCT(--ISNUMBER(SEARCH(" "&amp;DJ2432:DJ2433&amp;" ",BP68)))&gt;0,"X",IF(BQ68&gt;0,"?",""))),"")</f>
        <v/>
      </c>
      <c r="BS68" s="127" cm="1">
        <f t="array" ref="BS68">IF(57=57,IF(AM68="","",SUMPRODUCT(--ISNUMBER(SEARCH(" "&amp;DJ1395:DJ1415&amp;" ",AS68)))),"")</f>
        <v>0</v>
      </c>
      <c r="BT68" s="127" t="str">
        <f>IF(57=57,IF(AM68="","",IF((BS68)-(0)&gt;0,"X",IF((0)-(0)&gt;0,"?",""))),"")</f>
        <v/>
      </c>
      <c r="BU68" s="127" cm="1">
        <f t="array" ref="BU68">IF(57=57,IF(AM68="","",SUMPRODUCT(--ISNUMBER(SEARCH(" "&amp;DJ1416:DJ1453&amp;" ",BV68)))),"")</f>
        <v>0</v>
      </c>
      <c r="BV68" s="127" t="str">
        <f>IF(57=57,IF(AM68="","",SUBSTITUTE(SUBSTITUTE(AS68," "&amp;DJ1454&amp;" "," ")," "&amp;DJ1455&amp;" "," ")),"")</f>
        <v xml:space="preserve"> portez a ebullition puis baissez le feu et </v>
      </c>
      <c r="BW68" s="127" cm="1">
        <f t="array" ref="BW68">IF(57=57,IF(AM68="","",SUMPRODUCT(--ISNUMBER(SEARCH(" "&amp;DJ1456:DJ1466&amp;" ",BV68)))),"")</f>
        <v>0</v>
      </c>
      <c r="BX68" s="127" t="str">
        <f>IF(57=57,IF(AM68="","",IF(BU68&gt;0,"X",IF(BW68&gt;0,"?",""))),"")</f>
        <v/>
      </c>
      <c r="BY68" s="127" cm="1">
        <f t="array" ref="BY68">IF(57=57,IF(AM68="","",SUMPRODUCT(--ISNUMBER(SEARCH(" "&amp;DJ1467:DJ1566&amp;" ",CB68)))),"")</f>
        <v>0</v>
      </c>
      <c r="BZ68" s="127" cm="1">
        <f t="array" ref="BZ68">IF(57=57,IF(AM68="","",SUMPRODUCT(--ISNUMBER(SEARCH(" "&amp;DJ1567:DJ1666&amp;" ",CB68)))),"")</f>
        <v>0</v>
      </c>
      <c r="CA68" s="127" cm="1">
        <f t="array" ref="CA68">IF(57=57,IF(AM68="","",SUMPRODUCT(--ISNUMBER(SEARCH(" "&amp;DJ1667:DJ1750&amp;" ",CB68)))),"")</f>
        <v>0</v>
      </c>
      <c r="CB68" s="127" t="str">
        <f>IF(57=57,IF(AM68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portez a ebullition puis baissez le feu et </v>
      </c>
      <c r="CC68" s="127" cm="1">
        <f t="array" ref="CC68">IF(57=57,IF(AM68="","",SUMPRODUCT(--ISNUMBER(SEARCH(" "&amp;DJ1801:DJ1880&amp;" ",CD68)))+SUMPRODUCT(--ISNUMBER(SEARCH(" "&amp;DJ2451:DJ2464&amp;" ",CD68)))),"")</f>
        <v>0</v>
      </c>
      <c r="CD68" s="127" t="str">
        <f>IF(57=57,IF(AM68="","",SUBSTITUTE(SUBSTITUTE(SUBSTITUTE(SUBSTITUTE(SUBSTITUTE(SUBSTITUTE(SUBSTITUTE(SUBSTITUTE(SUBSTITUTE(SUBSTITUTE(SUBSTITUTE(SUBSTITUTE(SUBSTITUTE(CB68," "&amp;DJ1887&amp;" "," ")," "&amp;DJ1885&amp;" "," ")," "&amp;DJ2449&amp;" "," ")," "&amp;DJ2450&amp;" "," ")," "&amp;DJ1882&amp;" "," ")," "&amp;DJ1886&amp;" "," ")," "&amp;DJ1888&amp;" "," ")," "&amp;DJ1883&amp;" "," ")," "&amp;DJ1881&amp;" "," ")," "&amp;DJ1378&amp;" "," ")," "&amp;DJ1889&amp;" "," ")," "&amp;DJ1377&amp;" "," ")," "&amp;DJ1884&amp;" "," ")),"")</f>
        <v xml:space="preserve"> portez a ebullition puis baissez le feu et </v>
      </c>
      <c r="CE68" s="127" t="str" cm="1">
        <f t="array" ref="CE68">IF(57=57,IF(AM68="","",IF(SUM(BY68:CA68)+SUMPRODUCT(--ISNUMBER(SEARCH(" "&amp;DJ2434:DJ2435&amp;" ",CB68)))&gt;0,"X",IF(CC68&gt;0,"?",""))),"")</f>
        <v/>
      </c>
      <c r="CF68" s="127" cm="1">
        <f t="array" ref="CF68">IF(57=57,IF(AM68="","",SUMPRODUCT(--ISNUMBER(SEARCH(" "&amp;DJ1890:DJ1947&amp;" ",CG68)))),"")</f>
        <v>0</v>
      </c>
      <c r="CG68" s="127" t="str">
        <f>IF(57=57,IF(AM68="","",SUBSTITUTE(SUBSTITUTE(SUBSTITUTE(SUBSTITUTE(SUBSTITUTE(SUBSTITUTE(SUBSTITUTE(SUBSTITUTE(SUBSTITUTE(SUBSTITUTE(SUBSTITUTE(SUBSTITUTE(SUBSTITUTE(SUBSTITUTE(SUBSTITUTE(SUBSTITUTE(SUBSTITUTE(SUBSTITUTE(SUBSTITUTE(SUBSTITUTE(SUBSTITUTE(SUBSTITUTE(SUBSTITUTE(AS68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portez a ebullition puis baissez le feu et </v>
      </c>
      <c r="CH68" s="127" cm="1">
        <f t="array" ref="CH68">IF(57=57,IF(AM68="","",SUMPRODUCT(--ISNUMBER(SEARCH(" "&amp;DJ1971:DJ1987&amp;" ",CG68)))),"")</f>
        <v>0</v>
      </c>
      <c r="CI68" s="127" t="str">
        <f>IF(57=57,IF(AM68="","",IF(CF68&gt;0,"X",IF(CH68&gt;0,"?",""))),"")</f>
        <v/>
      </c>
      <c r="CJ68" s="127" cm="1">
        <f t="array" ref="CJ68">IF(57=57,IF(AM68="","",SUMPRODUCT(--ISNUMBER(SEARCH(" "&amp;DJ1988:DJ2001&amp;" ",AS68)))),"")</f>
        <v>0</v>
      </c>
      <c r="CK68" s="127" cm="1">
        <f t="array" ref="CK68">IF(57=57,IF(AM68="","",SUMPRODUCT(--ISNUMBER(SEARCH(" "&amp;DJ2002:DJ2016&amp;" ",AS68)))),"")</f>
        <v>0</v>
      </c>
      <c r="CL68" s="127" t="str">
        <f>IF(57=57,IF(AM68="","",IF((CJ68)-(0)&gt;0,"X",IF((CK68)-(0)&gt;0,"?",""))),"")</f>
        <v/>
      </c>
      <c r="CM68" s="127" cm="1">
        <f t="array" ref="CM68">IF(57=57,IF(AM68="","",SUMPRODUCT(--ISNUMBER(SEARCH(" "&amp;DJ2017:DJ2034&amp;" ",AS68)))),"")</f>
        <v>0</v>
      </c>
      <c r="CN68" s="127" cm="1">
        <f t="array" ref="CN68">IF(57=57,IF(AM68="","",SUMPRODUCT(--ISNUMBER(SEARCH(" "&amp;DJ2035:DJ2049&amp;" ",AS68)))),"")</f>
        <v>0</v>
      </c>
      <c r="CO68" s="127" t="str">
        <f>IF(57=57,IF(AM68="","",IF((CM68)-(0)&gt;0,"X",IF((CN68)-(0)&gt;0,"?",""))),"")</f>
        <v/>
      </c>
      <c r="CP68" s="127" cm="1">
        <f t="array" ref="CP68">IF(57=57,IF(AM68="","",SUMPRODUCT(--ISNUMBER(SEARCH(" "&amp;DJ2050:DJ2068&amp;" ",AS68)))),"")</f>
        <v>0</v>
      </c>
      <c r="CQ68" s="127" cm="1">
        <f t="array" ref="CQ68">IF(57=57,IF(AM68="","",SUMPRODUCT(--ISNUMBER(SEARCH(" "&amp;DJ2069:DJ2083&amp;" ",AS68)))),"")</f>
        <v>0</v>
      </c>
      <c r="CR68" s="127" t="str">
        <f>IF(57=57,IF(AM68="","",IF((CP68)-(0)&gt;0,"X",IF((CQ68)-(0)&gt;0,"?",""))),"")</f>
        <v/>
      </c>
      <c r="CS68" s="127" cm="1">
        <f t="array" ref="CS68">IF(57=57,IF(AM68="","",SUMPRODUCT(--ISNUMBER(SEARCH(" "&amp;DJ2084:DJ2104&amp;" ",AS68)))),"")</f>
        <v>0</v>
      </c>
      <c r="CT68" s="127" cm="1">
        <f t="array" ref="CT68">IF(57=57,IF(AM68="","",SUMPRODUCT(--ISNUMBER(SEARCH(" "&amp;DJ2105:DJ2144&amp;" ",SUBSTITUTE(SUBSTITUTE(AS68," "&amp;DJ1378&amp;" "," ")," "&amp;DJ1377&amp;" "," "))))+--ISNUMBER(SEARCH("poiré",AN68))),"")</f>
        <v>0</v>
      </c>
      <c r="CU68" s="127" t="str">
        <f>IF(57=57,IF(AM68="","",IF(OR(CS68&gt;0,ISNUMBER(SEARCH(" vinaigre de vin ",AS68)),ISNUMBER(SEARCH(" vinaigre au vin ",AS68))),"X",IF(CT68&gt;0,"?",""))),"")</f>
        <v/>
      </c>
      <c r="CV68" s="127" cm="1">
        <f t="array" ref="CV68">IF(57=57,IF(AM68="","",SUMPRODUCT(--ISNUMBER(SEARCH(" "&amp;DJ2145:DJ2157&amp;" ",AS68)))),"")</f>
        <v>0</v>
      </c>
      <c r="CW68" s="127" cm="1">
        <f t="array" ref="CW68">IF(57=57,IF(AM68="","",SUMPRODUCT(--ISNUMBER(SEARCH(" "&amp;DJ2158:DJ2163&amp;" ",AS68)))),"")</f>
        <v>0</v>
      </c>
      <c r="CX68" s="127" t="str">
        <f>IF(57=57,IF(AM68="","",IF((CV68)-(0)&gt;0,"X",IF((CW68)-(0)&gt;0,"?",""))),"")</f>
        <v/>
      </c>
      <c r="CY68" s="127" cm="1">
        <f t="array" ref="CY68">IF(57=57,IF(AM68="","",SUMPRODUCT(--ISNUMBER(SEARCH(" "&amp;DJ2164:DJ2263&amp;" ",DB68)))),"")</f>
        <v>0</v>
      </c>
      <c r="CZ68" s="127" cm="1">
        <f t="array" ref="CZ68">IF(57=57,IF(AM68="","",SUMPRODUCT(--ISNUMBER(SEARCH(" "&amp;DJ2264:DJ2363&amp;" ",DB68)))),"")</f>
        <v>0</v>
      </c>
      <c r="DA68" s="127" cm="1">
        <f t="array" ref="DA68">IF(57=57,IF(AM68="","",SUMPRODUCT(--ISNUMBER(SEARCH(" "&amp;DJ2364:DJ2406&amp;" ",DB68)))),"")</f>
        <v>0</v>
      </c>
      <c r="DB68" s="127" t="str">
        <f>IF(57=57,IF(AM68="","",SUBSTITUTE(SUBSTITUTE(SUBSTITUTE(SUBSTITUTE(SUBSTITUTE(SUBSTITUTE(SUBSTITUTE(SUBSTITUTE(SUBSTITUTE(SUBSTITUTE(SUBSTITUTE(SUBSTITUTE(SUBSTITUTE(SUBSTITUTE(SUBSTITUTE(SUBSTITUTE(AS68," "&amp;DJ2412&amp;" "," ")," "&amp;DJ2411&amp;" "," ")," "&amp;DJ2410&amp;" "," ")," "&amp;DJ2417&amp;" "," ")," "&amp;DJ2409&amp;" "," ")," "&amp;DJ2421&amp;" "," ")," "&amp;DJ2408&amp;" "," ")," "&amp;DJ2413&amp;" "," ")," "&amp;DJ2416&amp;" "," ")," "&amp;DJ2407&amp;" "," ")," "&amp;DJ2415&amp;" "," ")," "&amp;DJ2422&amp;" "," ")," "&amp;DJ2419&amp;" "," ")," "&amp;DJ2414&amp;" "," ")," "&amp;DJ2418&amp;" "," ")," "&amp;DJ2420&amp;" "," ")),"")</f>
        <v xml:space="preserve"> portez a ebullition puis baissez le feu et </v>
      </c>
      <c r="DC68" s="127" cm="1">
        <f t="array" ref="DC68">IF(57=57,IF(AM68="","",SUMPRODUCT(--ISNUMBER(SEARCH(" "&amp;DJ2423:DJ2427&amp;" ",DB68)))),"")</f>
        <v>0</v>
      </c>
      <c r="DD68" s="127" t="str">
        <f>IF(57=57,IF(AM68="","",IF(SUM(CY68:DA68)&gt;0,"X",IF(DC68&gt;0,"?",""))),"")</f>
        <v/>
      </c>
      <c r="DE68" s="152"/>
      <c r="DF68" s="160" t="s">
        <v>768</v>
      </c>
      <c r="DG68" s="160" t="s">
        <v>584</v>
      </c>
      <c r="DH68" s="160" t="s">
        <v>125</v>
      </c>
      <c r="DI68" s="160" t="s">
        <v>769</v>
      </c>
      <c r="DJ68" s="160" t="s">
        <v>770</v>
      </c>
      <c r="DK68" s="160" t="s">
        <v>588</v>
      </c>
      <c r="DL68" s="160" t="s">
        <v>589</v>
      </c>
      <c r="DM68" s="160" t="s">
        <v>590</v>
      </c>
      <c r="DN68" s="161" t="s">
        <v>591</v>
      </c>
      <c r="DP68" s="130">
        <v>1</v>
      </c>
    </row>
    <row r="69" spans="2:120" ht="30" customHeight="1">
      <c r="B69" s="165" t="str">
        <f t="shared" si="0"/>
        <v>8. Ajoutez les champignons dans la cocotte environ 30 minutes avant la fin de la cuisson.</v>
      </c>
      <c r="C69" s="165" t="str">
        <f t="shared" si="1"/>
        <v>8 Ajoutez les champignons dans la cocotte environ 30 minutes avant la fin de la cuisson</v>
      </c>
      <c r="D69" s="165" t="str">
        <f>IF(UPPER(TRIM(N11))="X",C69,B69)</f>
        <v>8. Ajoutez les champignons dans la cocotte environ 30 minutes avant la fin de la cuisson.</v>
      </c>
      <c r="E69" s="165" cm="1">
        <f t="array" ref="E69">IF(H68&lt;&gt;"",E68,IF(E68="","",IFERROR(MATCH(TRUE(),INDEX(INDEX(K:K,E68+1):K203&lt;&gt;"",0),0)+E68,"")))</f>
        <v>55</v>
      </c>
      <c r="F69" s="165" t="str" cm="1">
        <f t="array" ref="F69">IF(E69="","",IF(H68&lt;&gt;"",H68,INDEX(D:D,E69)))</f>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G69" s="165" t="str">
        <f t="shared" si="2"/>
        <v xml:space="preserve">1. Coupez la viande en cubes d’environ 4 cm et mettez-la dans un grand </v>
      </c>
      <c r="H69" s="174" t="str">
        <f t="shared" si="3"/>
        <v>saladier. Ajoutez-y les oignons coupés en rondelles, les carottes coupées en rondelles, les lardons, l’ail émincé et le bouquet garni. Versez le vin rouge sur le tout et laissez mariner au frais pendant 24 heures.</v>
      </c>
      <c r="I69" s="184" t="str">
        <f>IF(AND(F69&lt;&gt;"",N10&gt;0,M69&gt;N10),"Mot &gt; limite","")</f>
        <v/>
      </c>
      <c r="J69" s="175">
        <f>IF(K69="","",COUNTIF(K18:K69,"&lt;&gt;"))</f>
        <v>43</v>
      </c>
      <c r="K69" s="111" t="s">
        <v>32</v>
      </c>
      <c r="L69" s="175">
        <f t="shared" si="4"/>
        <v>89</v>
      </c>
      <c r="M69" s="135">
        <f>IF(OR(F69="",N10="",N10&lt;=0),"",IF(LEN(F69)&lt;=N10,LEN(F69),IFERROR(FIND("♦",SUBSTITUTE(LEFT(F69,N10)," ","♦",LEN(LEFT(F69,N10))-LEN(SUBSTITUTE(LEFT(F69,N10)," ","")))),FIND(" ",F69&amp;" ",N10+1)-1)))</f>
        <v>71</v>
      </c>
      <c r="N69" s="176">
        <f t="shared" si="5"/>
        <v>52</v>
      </c>
      <c r="O69" s="177" t="str">
        <f t="shared" si="6"/>
        <v xml:space="preserve">1. Coupez la viande en cubes d’environ 4 cm et mettez-la dans un grand </v>
      </c>
      <c r="P69" s="176">
        <f t="shared" si="7"/>
        <v>14</v>
      </c>
      <c r="Q69" s="176">
        <f t="shared" si="8"/>
        <v>71</v>
      </c>
      <c r="S69" s="178">
        <v>52</v>
      </c>
      <c r="T69" s="179" t="str">
        <f t="shared" si="10"/>
        <v xml:space="preserve">1. Coupez la viande en cubes d’environ 4 cm et mettez-la dans un grand </v>
      </c>
      <c r="U69" s="180" t="str">
        <f t="shared" si="11"/>
        <v>1. Coupez la viande en cubes d’environ 4 cm et mettez-la dans un grand</v>
      </c>
      <c r="V69" s="181" t="str">
        <f>IF(58=58,IF(T69="","",IF(W69="X",""&amp;"Céréales contenant du gluten","")&amp;IF(X69="X",IF(COUNTIF(W69:W69,"X")&gt;0,", ","")&amp;"Crustacés","")&amp;IF(Y69="X",IF(COUNTIF(W69:X69,"X")&gt;0,", ","")&amp;"Œufs","")&amp;IF(Z69="X",IF(COUNTIF(W69:Y69,"X")&gt;0,", ","")&amp;"Poissons","")&amp;IF(AA69="X",IF(COUNTIF(W69:Z69,"X")&gt;0,", ","")&amp;"Arachides","")&amp;IF(AB69="X",IF(COUNTIF(W69:AA69,"X")&gt;0,", ","")&amp;"Soja","")&amp;IF(AC69="X",IF(COUNTIF(W69:AB69,"X")&gt;0,", ","")&amp;"Lait","")&amp;IF(AD69="X",IF(COUNTIF(W69:AC69,"X")&gt;0,", ","")&amp;"Fruits à coque","")&amp;IF(AE69="X",IF(COUNTIF(W69:AD69,"X")&gt;0,", ","")&amp;"Céleri","")&amp;IF(AF69="X",IF(COUNTIF(W69:AE69,"X")&gt;0,", ","")&amp;"Moutarde","")&amp;IF(AG69="X",IF(COUNTIF(W69:AF69,"X")&gt;0,", ","")&amp;"Sésame","")&amp;IF(AH69="X",IF(COUNTIF(W69:AG69,"X")&gt;0,", ","")&amp;"Sulfites","")&amp;IF(AI69="X",IF(COUNTIF(W69:AH69,"X")&gt;0,", ","")&amp;"Lupin","")&amp;IF(AJ69="X",IF(COUNTIF(W69:AI69,"X")&gt;0,", ","")&amp;"Mollusques","")),"")</f>
        <v/>
      </c>
      <c r="W69" s="182" t="str">
        <f>IF(58=58,IF(T69="","",AX69),"")</f>
        <v/>
      </c>
      <c r="X69" s="182" t="str">
        <f>IF(58=58,IF(T69="","",BA69),"")</f>
        <v/>
      </c>
      <c r="Y69" s="182" t="str">
        <f>IF(58=58,IF(T69="","",BE69),"")</f>
        <v/>
      </c>
      <c r="Z69" s="182" t="str">
        <f>IF(58=58,IF(T69="","",IF(ISNUMBER(SEARCH(" colin ",AS69)),"X",BR69)),"")</f>
        <v/>
      </c>
      <c r="AA69" s="182" t="str">
        <f>IF(58=58,IF(T69="","",BT69),"")</f>
        <v/>
      </c>
      <c r="AB69" s="182" t="str">
        <f>IF(58=58,IF(T69="","",BX69),"")</f>
        <v/>
      </c>
      <c r="AC69" s="182" t="str">
        <f>IF(58=58,IF(T69="","",CE69),"")</f>
        <v/>
      </c>
      <c r="AD69" s="182" t="str">
        <f>IF(58=58,IF(T69="","",CI69),"")</f>
        <v/>
      </c>
      <c r="AE69" s="182" t="str">
        <f>IF(58=58,IF(T69="","",CL69),"")</f>
        <v/>
      </c>
      <c r="AF69" s="182" t="str">
        <f>IF(58=58,IF(T69="","",CO69),"")</f>
        <v/>
      </c>
      <c r="AG69" s="182" t="str">
        <f>IF(58=58,IF(T69="","",CR69),"")</f>
        <v/>
      </c>
      <c r="AH69" s="182" t="str">
        <f>IF(58=58,IF(T69="","",CU69),"")</f>
        <v/>
      </c>
      <c r="AI69" s="182" t="str">
        <f>IF(58=58,IF(T69="","",CX69),"")</f>
        <v/>
      </c>
      <c r="AJ69" s="182" t="str">
        <f>IF(58=58,IF(T69="","",DD69),"")</f>
        <v/>
      </c>
      <c r="AK69" s="183" t="str">
        <f>IF(58=58,IF(T69="","",IF(W69="?",""&amp;"Céréales contenant du gluten","")&amp;IF(X69="?",IF(COUNTIF(W69:W69,"~?")&gt;0,", ","")&amp;"Crustacés","")&amp;IF(Y69="?",IF(COUNTIF(W69:X69,"~?")&gt;0,", ","")&amp;"Œufs","")&amp;IF(Z69="?",IF(COUNTIF(W69:Y69,"~?")&gt;0,", ","")&amp;"Poissons","")&amp;IF(AA69="?",IF(COUNTIF(W69:Z69,"~?")&gt;0,", ","")&amp;"Arachides","")&amp;IF(AB69="?",IF(COUNTIF(W69:AA69,"~?")&gt;0,", ","")&amp;"Soja","")&amp;IF(AC69="?",IF(COUNTIF(W69:AB69,"~?")&gt;0,", ","")&amp;"Lait","")&amp;IF(AD69="?",IF(COUNTIF(W69:AC69,"~?")&gt;0,", ","")&amp;"Fruits à coque","")&amp;IF(AE69="?",IF(COUNTIF(W69:AD69,"~?")&gt;0,", ","")&amp;"Céleri","")&amp;IF(AF69="?",IF(COUNTIF(W69:AE69,"~?")&gt;0,", ","")&amp;"Moutarde","")&amp;IF(AG69="?",IF(COUNTIF(W69:AF69,"~?")&gt;0,", ","")&amp;"Sésame","")&amp;IF(AH69="?",IF(COUNTIF(W69:AG69,"~?")&gt;0,", ","")&amp;"Sulfites","")&amp;IF(AI69="?",IF(COUNTIF(W69:AH69,"~?")&gt;0,", ","")&amp;"Lupin","")&amp;IF(AJ69="?",IF(COUNTIF(W69:AI69,"~?")&gt;0,", ","")&amp;"Mollusques","")),"")</f>
        <v/>
      </c>
      <c r="AM69" s="127" t="str">
        <f>IF(58=58,IF(T69="","",T69),"")</f>
        <v xml:space="preserve">1. Coupez la viande en cubes d’environ 4 cm et mettez-la dans un grand </v>
      </c>
      <c r="AN69" s="127" t="str">
        <f>IF(58=58,LOWER(CLEAN(SUBSTITUTE(SUBSTITUTE(SUBSTITUTE(SUBSTITUTE(AM69,CHAR(160)," ")," "," "),CHAR(10)," "),CHAR(13)," "))),"")</f>
        <v xml:space="preserve">1. coupez la viande en cubes d’environ 4 cm et mettez-la dans un grand </v>
      </c>
      <c r="AO69" s="127" t="str">
        <f>IF(58=58,SUBSTITUTE(SUBSTITUTE(SUBSTITUTE(SUBSTITUTE(SUBSTITUTE(SUBSTITUTE(SUBSTITUTE(SUBSTITUTE(SUBSTITUTE(SUBSTITUTE(SUBSTITUTE(SUBSTITUTE(AN69,"œ","oe"),"æ","ae"),"à","a"),"á","a"),"â","a"),"ä","a"),"ã","a"),"ç","c"),"è","e"),"é","e"),"ê","e"),"ë","e"),"")</f>
        <v xml:space="preserve">1. coupez la viande en cubes d’environ 4 cm et mettez-la dans un grand </v>
      </c>
      <c r="AP69" s="127" t="str">
        <f>IF(58=58,SUBSTITUTE(SUBSTITUTE(SUBSTITUTE(SUBSTITUTE(SUBSTITUTE(SUBSTITUTE(SUBSTITUTE(SUBSTITUTE(SUBSTITUTE(SUBSTITUTE(SUBSTITUTE(SUBSTITUTE(SUBSTITUTE(SUBSTITUTE(SUBSTITUTE(SUBSTITUTE(AO69,"ì","i"),"í","i"),"î","i"),"ï","i"),"ñ","n"),"ò","o"),"ó","o"),"ô","o"),"ö","o"),"õ","o"),"ù","u"),"ú","u"),"û","u"),"ü","u"),"ý","y"),"ÿ","y"),"")</f>
        <v xml:space="preserve">1. coupez la viande en cubes d’environ 4 cm et mettez-la dans un grand </v>
      </c>
      <c r="AQ69" s="127" t="str">
        <f>IF(58=58,SUBSTITUTE(SUBSTITUTE(SUBSTITUTE(SUBSTITUTE(SUBSTITUTE(SUBSTITUTE(SUBSTITUTE(SUBSTITUTE(SUBSTITUTE(SUBSTITUTE(SUBSTITUTE(SUBSTITUTE(SUBSTITUTE(SUBSTITUTE(AP69,"’"," "),"`"," "),"–"," "),"—"," "),"-"," "),"'"," "),"/"," "),"_"," "),","," "),"."," "),"("," "),")"," "),";"," "),":"," "),"")</f>
        <v xml:space="preserve">1  coupez la viande en cubes d environ 4 cm et mettez la dans un grand </v>
      </c>
      <c r="AR69" s="127" t="str">
        <f>IF(58=58,SUBSTITUTE(SUBSTITUTE(SUBSTITUTE(SUBSTITUTE(SUBSTITUTE(SUBSTITUTE(SUBSTITUTE(SUBSTITUTE(SUBSTITUTE(SUBSTITUTE(SUBSTITUTE(SUBSTITUTE(SUBSTITUTE(SUBSTITUTE(SUBSTITUTE(AQ69,"!"," "),"?"," "),"+"," "),"*"," "),"&amp;"," "),"["," "),"]"," "),"{"," "),"}"," "),"%"," "),"="," "),"\"," "),"|"," "),"&lt;"," "),"&gt;"," "),"")</f>
        <v xml:space="preserve">1  coupez la viande en cubes d environ 4 cm et mettez la dans un grand </v>
      </c>
      <c r="AS69" s="127" t="str">
        <f>IF(58=58," "&amp;TRIM(SUBSTITUTE(SUBSTITUTE(SUBSTITUTE(SUBSTITUTE(SUBSTITUTE(SUBSTITUTE(AR69,CHAR(34)," "),"  "," "),"  "," "),"  "," "),"  "," "),"  "," "))&amp;" ","")</f>
        <v xml:space="preserve"> 1 coupez la viande en cubes d environ 4 cm et mettez la dans un grand </v>
      </c>
      <c r="AT69" s="127" cm="1">
        <f t="array" ref="AT69">IF(58=58,IF(AM69="","",SUMPRODUCT(--ISNUMBER(SEARCH(" "&amp;DJ13:DJ112&amp;" ",AV69)))),"")</f>
        <v>0</v>
      </c>
      <c r="AU69" s="127" cm="1">
        <f t="array" ref="AU69">IF(58=58,IF(AM69="","",SUMPRODUCT(--ISNUMBER(SEARCH(" "&amp;DJ113:DJ162&amp;" ",AV69)))),"")</f>
        <v>0</v>
      </c>
      <c r="AV69" s="127" t="str">
        <f>IF(AM69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1 coupez la viande en cubes d environ 4 cm et mettez la dans un grand </v>
      </c>
      <c r="AW69" s="127" cm="1">
        <f t="array" ref="AW69">IF(AM69="","",SUMPRODUCT(--ISNUMBER(SEARCH(" "&amp;DJ195:DJ216&amp;" ",AV69)))+--ISNUMBER(SEARCH(" "&amp;DJ2465&amp;" ",AV69)))</f>
        <v>0</v>
      </c>
      <c r="AX69" s="127" t="str" cm="1">
        <f t="array" ref="AX69">IF(58=58,IF(AM69="","",IF(SUM(AT69:AU69)+SUMPRODUCT(--ISNUMBER(SEARCH(" "&amp;DJ2429:DJ2431&amp;" ",AV69)))&gt;0,"X",IF(AW69&gt;0,"?",""))),"")</f>
        <v/>
      </c>
      <c r="AY69" s="127" cm="1">
        <f t="array" ref="AY69">IF(58=58,IF(AM69="","",SUMPRODUCT(--ISNUMBER(SEARCH(" "&amp;DJ217:DJ316&amp;" ",AS69)))),"")</f>
        <v>0</v>
      </c>
      <c r="AZ69" s="127" cm="1">
        <f t="array" ref="AZ69">IF(58=58,IF(AM69="","",SUMPRODUCT(--ISNUMBER(SEARCH(" "&amp;DJ317:DJ351&amp;" ",AS69)))),"")</f>
        <v>0</v>
      </c>
      <c r="BA69" s="127" t="str">
        <f>IF(58=58,IF(AM69="","",IF((SUM(AY69:AZ69))-(0)&gt;0,"X",IF((0)-(0)&gt;0,"?",""))),"")</f>
        <v/>
      </c>
      <c r="BB69" s="127" cm="1">
        <f t="array" ref="BB69">IF(58=58,IF(AM69="","",SUMPRODUCT(--ISNUMBER(SEARCH(" "&amp;DJ352:DJ409&amp;" ",AS69)))),"")</f>
        <v>0</v>
      </c>
      <c r="BC69" s="127" cm="1">
        <f t="array" ref="BC69">IF(58=58,IF(AM69="","",SUMPRODUCT(--ISNUMBER(SEARCH(" "&amp;DJ410:DJ437&amp;" ",BD69)))+SUMPRODUCT(--ISNUMBER(SEARCH(" "&amp;DJ2451:DJ2464&amp;" ",BD69)))),"")</f>
        <v>0</v>
      </c>
      <c r="BD69" s="127" t="str">
        <f>IF(58=58,IF(AM69="","",SUBSTITUTE(SUBSTITUTE(SUBSTITUTE(SUBSTITUTE(SUBSTITUTE(SUBSTITUTE(SUBSTITUTE(SUBSTITUTE(SUBSTITUTE(SUBSTITUTE(SUBSTITUTE(SUBSTITUTE(SUBSTITUTE(SUBSTITUTE(AS69," "&amp;DJ2466&amp;" "," ")," "&amp;DJ444&amp;" "," ")," "&amp;DJ442&amp;" "," ")," "&amp;DJ2449&amp;" "," ")," "&amp;DJ2450&amp;" "," ")," "&amp;DJ439&amp;" "," ")," "&amp;DJ443&amp;" "," ")," "&amp;DJ445&amp;" "," ")," "&amp;DJ440&amp;" "," ")," "&amp;DJ438&amp;" "," ")," "&amp;DJ1378&amp;" "," ")," "&amp;DJ446&amp;" "," ")," "&amp;DJ1377&amp;" "," ")," "&amp;DJ441&amp;" "," ")),"")</f>
        <v xml:space="preserve"> 1 coupez la viande en cubes d environ 4 cm et mettez la dans un grand </v>
      </c>
      <c r="BE69" s="127" t="str">
        <f>IF(58=58,IF(AM69="","",IF(BB69&gt;0,"X",IF(BC69&gt;0,"?",""))),"")</f>
        <v/>
      </c>
      <c r="BF69" s="127" cm="1">
        <f t="array" ref="BF69">IF(58=58,IF(AM69="","",SUMPRODUCT(--ISNUMBER(SEARCH(" "&amp;DJ447:DJ546&amp;" ",BP69)))),"")</f>
        <v>0</v>
      </c>
      <c r="BG69" s="127" cm="1">
        <f t="array" ref="BG69">IF(58=58,IF(AM69="","",SUMPRODUCT(--ISNUMBER(SEARCH(" "&amp;DJ547:DJ646&amp;" ",BP69)))),"")</f>
        <v>0</v>
      </c>
      <c r="BH69" s="127" cm="1">
        <f t="array" ref="BH69">IF(58=58,IF(AM69="","",SUMPRODUCT(--ISNUMBER(SEARCH(" "&amp;DJ647:DJ746&amp;" ",BP69)))),"")</f>
        <v>0</v>
      </c>
      <c r="BI69" s="127" cm="1">
        <f t="array" ref="BI69">IF(58=58,IF(AM69="","",SUMPRODUCT(--ISNUMBER(SEARCH(" "&amp;DJ747:DJ846&amp;" ",BP69)))),"")</f>
        <v>0</v>
      </c>
      <c r="BJ69" s="127" cm="1">
        <f t="array" ref="BJ69">IF(58=58,IF(AM69="","",SUMPRODUCT(--ISNUMBER(SEARCH(" "&amp;DJ847:DJ946&amp;" ",BP69)))),"")</f>
        <v>0</v>
      </c>
      <c r="BK69" s="127" cm="1">
        <f t="array" ref="BK69">IF(58=58,IF(AM69="","",SUMPRODUCT(--ISNUMBER(SEARCH(" "&amp;DJ947:DJ1046&amp;" ",BP69)))),"")</f>
        <v>0</v>
      </c>
      <c r="BL69" s="127" cm="1">
        <f t="array" ref="BL69">IF(58=58,IF(AM69="","",SUMPRODUCT(--ISNUMBER(SEARCH(" "&amp;DJ1047:DJ1146&amp;" ",BP69)))),"")</f>
        <v>0</v>
      </c>
      <c r="BM69" s="127" cm="1">
        <f t="array" ref="BM69">IF(58=58,IF(AM69="","",SUMPRODUCT(--ISNUMBER(SEARCH(" "&amp;DJ1147:DJ1246&amp;" ",BP69)))),"")</f>
        <v>0</v>
      </c>
      <c r="BN69" s="127" cm="1">
        <f t="array" ref="BN69">IF(58=58,IF(AM69="","",SUMPRODUCT(--ISNUMBER(SEARCH(" "&amp;DJ1247:DJ1346&amp;" ",BP69)))),"")</f>
        <v>0</v>
      </c>
      <c r="BO69" s="127" cm="1">
        <f t="array" ref="BO69">IF(58=58,IF(AM69="","",SUMPRODUCT(--ISNUMBER(SEARCH(" "&amp;DJ1347:DJ1374&amp;" ",BP69)))),"")</f>
        <v>0</v>
      </c>
      <c r="BP69" s="127" t="str">
        <f>IF(58=58,IF(AM69="","",SUBSTITUTE(SUBSTITUTE(SUBSTITUTE(SUBSTITUTE(SUBSTITUTE(SUBSTITUTE(SUBSTITUTE(SUBSTITUTE(SUBSTITUTE(AS69," "&amp;DJ1376&amp;" "," ")," "&amp;DJ1375&amp;" "," ")," "&amp;DJ1381&amp;" "," ")," "&amp;DJ1382&amp;" "," ")," "&amp;DJ1378&amp;" "," ")," "&amp;DJ1380&amp;" "," ")," "&amp;DJ1377&amp;" "," ")," "&amp;DJ1379&amp;" "," ")," "&amp;DJ1383&amp;" "," ")),"")</f>
        <v xml:space="preserve"> 1 coupez la viande en cubes d environ 4 cm et mettez la dans un grand </v>
      </c>
      <c r="BQ69" s="127" cm="1">
        <f t="array" ref="BQ69">IF(58=58,IF(AM69="","",SUMPRODUCT(--ISNUMBER(SEARCH(" "&amp;DJ1384:DJ1394&amp;" ",BP69)))),"")</f>
        <v>0</v>
      </c>
      <c r="BR69" s="127" t="str" cm="1">
        <f t="array" ref="BR69">IF(58=58,IF(AM69="","",IF(SUM(BF69:BO69)+SUMPRODUCT(--ISNUMBER(SEARCH(" "&amp;DJ2432:DJ2433&amp;" ",BP69)))&gt;0,"X",IF(BQ69&gt;0,"?",""))),"")</f>
        <v/>
      </c>
      <c r="BS69" s="127" cm="1">
        <f t="array" ref="BS69">IF(58=58,IF(AM69="","",SUMPRODUCT(--ISNUMBER(SEARCH(" "&amp;DJ1395:DJ1415&amp;" ",AS69)))),"")</f>
        <v>0</v>
      </c>
      <c r="BT69" s="127" t="str">
        <f>IF(58=58,IF(AM69="","",IF((BS69)-(0)&gt;0,"X",IF((0)-(0)&gt;0,"?",""))),"")</f>
        <v/>
      </c>
      <c r="BU69" s="127" cm="1">
        <f t="array" ref="BU69">IF(58=58,IF(AM69="","",SUMPRODUCT(--ISNUMBER(SEARCH(" "&amp;DJ1416:DJ1453&amp;" ",BV69)))),"")</f>
        <v>0</v>
      </c>
      <c r="BV69" s="127" t="str">
        <f>IF(58=58,IF(AM69="","",SUBSTITUTE(SUBSTITUTE(AS69," "&amp;DJ1454&amp;" "," ")," "&amp;DJ1455&amp;" "," ")),"")</f>
        <v xml:space="preserve"> 1 coupez la viande en cubes d environ 4 cm et mettez la dans un grand </v>
      </c>
      <c r="BW69" s="127" cm="1">
        <f t="array" ref="BW69">IF(58=58,IF(AM69="","",SUMPRODUCT(--ISNUMBER(SEARCH(" "&amp;DJ1456:DJ1466&amp;" ",BV69)))),"")</f>
        <v>0</v>
      </c>
      <c r="BX69" s="127" t="str">
        <f>IF(58=58,IF(AM69="","",IF(BU69&gt;0,"X",IF(BW69&gt;0,"?",""))),"")</f>
        <v/>
      </c>
      <c r="BY69" s="127" cm="1">
        <f t="array" ref="BY69">IF(58=58,IF(AM69="","",SUMPRODUCT(--ISNUMBER(SEARCH(" "&amp;DJ1467:DJ1566&amp;" ",CB69)))),"")</f>
        <v>0</v>
      </c>
      <c r="BZ69" s="127" cm="1">
        <f t="array" ref="BZ69">IF(58=58,IF(AM69="","",SUMPRODUCT(--ISNUMBER(SEARCH(" "&amp;DJ1567:DJ1666&amp;" ",CB69)))),"")</f>
        <v>0</v>
      </c>
      <c r="CA69" s="127" cm="1">
        <f t="array" ref="CA69">IF(58=58,IF(AM69="","",SUMPRODUCT(--ISNUMBER(SEARCH(" "&amp;DJ1667:DJ1750&amp;" ",CB69)))),"")</f>
        <v>0</v>
      </c>
      <c r="CB69" s="127" t="str">
        <f>IF(58=58,IF(AM69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1 coupez la viande en cubes d environ 4 cm et mettez la dans un grand </v>
      </c>
      <c r="CC69" s="127" cm="1">
        <f t="array" ref="CC69">IF(58=58,IF(AM69="","",SUMPRODUCT(--ISNUMBER(SEARCH(" "&amp;DJ1801:DJ1880&amp;" ",CD69)))+SUMPRODUCT(--ISNUMBER(SEARCH(" "&amp;DJ2451:DJ2464&amp;" ",CD69)))),"")</f>
        <v>0</v>
      </c>
      <c r="CD69" s="127" t="str">
        <f>IF(58=58,IF(AM69="","",SUBSTITUTE(SUBSTITUTE(SUBSTITUTE(SUBSTITUTE(SUBSTITUTE(SUBSTITUTE(SUBSTITUTE(SUBSTITUTE(SUBSTITUTE(SUBSTITUTE(SUBSTITUTE(SUBSTITUTE(SUBSTITUTE(CB69," "&amp;DJ1887&amp;" "," ")," "&amp;DJ1885&amp;" "," ")," "&amp;DJ2449&amp;" "," ")," "&amp;DJ2450&amp;" "," ")," "&amp;DJ1882&amp;" "," ")," "&amp;DJ1886&amp;" "," ")," "&amp;DJ1888&amp;" "," ")," "&amp;DJ1883&amp;" "," ")," "&amp;DJ1881&amp;" "," ")," "&amp;DJ1378&amp;" "," ")," "&amp;DJ1889&amp;" "," ")," "&amp;DJ1377&amp;" "," ")," "&amp;DJ1884&amp;" "," ")),"")</f>
        <v xml:space="preserve"> 1 coupez la viande en cubes d environ 4 cm et mettez la dans un grand </v>
      </c>
      <c r="CE69" s="127" t="str" cm="1">
        <f t="array" ref="CE69">IF(58=58,IF(AM69="","",IF(SUM(BY69:CA69)+SUMPRODUCT(--ISNUMBER(SEARCH(" "&amp;DJ2434:DJ2435&amp;" ",CB69)))&gt;0,"X",IF(CC69&gt;0,"?",""))),"")</f>
        <v/>
      </c>
      <c r="CF69" s="127" cm="1">
        <f t="array" ref="CF69">IF(58=58,IF(AM69="","",SUMPRODUCT(--ISNUMBER(SEARCH(" "&amp;DJ1890:DJ1947&amp;" ",CG69)))),"")</f>
        <v>0</v>
      </c>
      <c r="CG69" s="127" t="str">
        <f>IF(58=58,IF(AM69="","",SUBSTITUTE(SUBSTITUTE(SUBSTITUTE(SUBSTITUTE(SUBSTITUTE(SUBSTITUTE(SUBSTITUTE(SUBSTITUTE(SUBSTITUTE(SUBSTITUTE(SUBSTITUTE(SUBSTITUTE(SUBSTITUTE(SUBSTITUTE(SUBSTITUTE(SUBSTITUTE(SUBSTITUTE(SUBSTITUTE(SUBSTITUTE(SUBSTITUTE(SUBSTITUTE(SUBSTITUTE(SUBSTITUTE(AS69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1 coupez la viande en cubes d environ 4 cm et mettez la dans un grand </v>
      </c>
      <c r="CH69" s="127" cm="1">
        <f t="array" ref="CH69">IF(58=58,IF(AM69="","",SUMPRODUCT(--ISNUMBER(SEARCH(" "&amp;DJ1971:DJ1987&amp;" ",CG69)))),"")</f>
        <v>0</v>
      </c>
      <c r="CI69" s="127" t="str">
        <f>IF(58=58,IF(AM69="","",IF(CF69&gt;0,"X",IF(CH69&gt;0,"?",""))),"")</f>
        <v/>
      </c>
      <c r="CJ69" s="127" cm="1">
        <f t="array" ref="CJ69">IF(58=58,IF(AM69="","",SUMPRODUCT(--ISNUMBER(SEARCH(" "&amp;DJ1988:DJ2001&amp;" ",AS69)))),"")</f>
        <v>0</v>
      </c>
      <c r="CK69" s="127" cm="1">
        <f t="array" ref="CK69">IF(58=58,IF(AM69="","",SUMPRODUCT(--ISNUMBER(SEARCH(" "&amp;DJ2002:DJ2016&amp;" ",AS69)))),"")</f>
        <v>0</v>
      </c>
      <c r="CL69" s="127" t="str">
        <f>IF(58=58,IF(AM69="","",IF((CJ69)-(0)&gt;0,"X",IF((CK69)-(0)&gt;0,"?",""))),"")</f>
        <v/>
      </c>
      <c r="CM69" s="127" cm="1">
        <f t="array" ref="CM69">IF(58=58,IF(AM69="","",SUMPRODUCT(--ISNUMBER(SEARCH(" "&amp;DJ2017:DJ2034&amp;" ",AS69)))),"")</f>
        <v>0</v>
      </c>
      <c r="CN69" s="127" cm="1">
        <f t="array" ref="CN69">IF(58=58,IF(AM69="","",SUMPRODUCT(--ISNUMBER(SEARCH(" "&amp;DJ2035:DJ2049&amp;" ",AS69)))),"")</f>
        <v>0</v>
      </c>
      <c r="CO69" s="127" t="str">
        <f>IF(58=58,IF(AM69="","",IF((CM69)-(0)&gt;0,"X",IF((CN69)-(0)&gt;0,"?",""))),"")</f>
        <v/>
      </c>
      <c r="CP69" s="127" cm="1">
        <f t="array" ref="CP69">IF(58=58,IF(AM69="","",SUMPRODUCT(--ISNUMBER(SEARCH(" "&amp;DJ2050:DJ2068&amp;" ",AS69)))),"")</f>
        <v>0</v>
      </c>
      <c r="CQ69" s="127" cm="1">
        <f t="array" ref="CQ69">IF(58=58,IF(AM69="","",SUMPRODUCT(--ISNUMBER(SEARCH(" "&amp;DJ2069:DJ2083&amp;" ",AS69)))),"")</f>
        <v>0</v>
      </c>
      <c r="CR69" s="127" t="str">
        <f>IF(58=58,IF(AM69="","",IF((CP69)-(0)&gt;0,"X",IF((CQ69)-(0)&gt;0,"?",""))),"")</f>
        <v/>
      </c>
      <c r="CS69" s="127" cm="1">
        <f t="array" ref="CS69">IF(58=58,IF(AM69="","",SUMPRODUCT(--ISNUMBER(SEARCH(" "&amp;DJ2084:DJ2104&amp;" ",AS69)))),"")</f>
        <v>0</v>
      </c>
      <c r="CT69" s="127" cm="1">
        <f t="array" ref="CT69">IF(58=58,IF(AM69="","",SUMPRODUCT(--ISNUMBER(SEARCH(" "&amp;DJ2105:DJ2144&amp;" ",SUBSTITUTE(SUBSTITUTE(AS69," "&amp;DJ1378&amp;" "," ")," "&amp;DJ1377&amp;" "," "))))+--ISNUMBER(SEARCH("poiré",AN69))),"")</f>
        <v>0</v>
      </c>
      <c r="CU69" s="127" t="str">
        <f>IF(58=58,IF(AM69="","",IF(OR(CS69&gt;0,ISNUMBER(SEARCH(" vinaigre de vin ",AS69)),ISNUMBER(SEARCH(" vinaigre au vin ",AS69))),"X",IF(CT69&gt;0,"?",""))),"")</f>
        <v/>
      </c>
      <c r="CV69" s="127" cm="1">
        <f t="array" ref="CV69">IF(58=58,IF(AM69="","",SUMPRODUCT(--ISNUMBER(SEARCH(" "&amp;DJ2145:DJ2157&amp;" ",AS69)))),"")</f>
        <v>0</v>
      </c>
      <c r="CW69" s="127" cm="1">
        <f t="array" ref="CW69">IF(58=58,IF(AM69="","",SUMPRODUCT(--ISNUMBER(SEARCH(" "&amp;DJ2158:DJ2163&amp;" ",AS69)))),"")</f>
        <v>0</v>
      </c>
      <c r="CX69" s="127" t="str">
        <f>IF(58=58,IF(AM69="","",IF((CV69)-(0)&gt;0,"X",IF((CW69)-(0)&gt;0,"?",""))),"")</f>
        <v/>
      </c>
      <c r="CY69" s="127" cm="1">
        <f t="array" ref="CY69">IF(58=58,IF(AM69="","",SUMPRODUCT(--ISNUMBER(SEARCH(" "&amp;DJ2164:DJ2263&amp;" ",DB69)))),"")</f>
        <v>0</v>
      </c>
      <c r="CZ69" s="127" cm="1">
        <f t="array" ref="CZ69">IF(58=58,IF(AM69="","",SUMPRODUCT(--ISNUMBER(SEARCH(" "&amp;DJ2264:DJ2363&amp;" ",DB69)))),"")</f>
        <v>0</v>
      </c>
      <c r="DA69" s="127" cm="1">
        <f t="array" ref="DA69">IF(58=58,IF(AM69="","",SUMPRODUCT(--ISNUMBER(SEARCH(" "&amp;DJ2364:DJ2406&amp;" ",DB69)))),"")</f>
        <v>0</v>
      </c>
      <c r="DB69" s="127" t="str">
        <f>IF(58=58,IF(AM69="","",SUBSTITUTE(SUBSTITUTE(SUBSTITUTE(SUBSTITUTE(SUBSTITUTE(SUBSTITUTE(SUBSTITUTE(SUBSTITUTE(SUBSTITUTE(SUBSTITUTE(SUBSTITUTE(SUBSTITUTE(SUBSTITUTE(SUBSTITUTE(SUBSTITUTE(SUBSTITUTE(AS69," "&amp;DJ2412&amp;" "," ")," "&amp;DJ2411&amp;" "," ")," "&amp;DJ2410&amp;" "," ")," "&amp;DJ2417&amp;" "," ")," "&amp;DJ2409&amp;" "," ")," "&amp;DJ2421&amp;" "," ")," "&amp;DJ2408&amp;" "," ")," "&amp;DJ2413&amp;" "," ")," "&amp;DJ2416&amp;" "," ")," "&amp;DJ2407&amp;" "," ")," "&amp;DJ2415&amp;" "," ")," "&amp;DJ2422&amp;" "," ")," "&amp;DJ2419&amp;" "," ")," "&amp;DJ2414&amp;" "," ")," "&amp;DJ2418&amp;" "," ")," "&amp;DJ2420&amp;" "," ")),"")</f>
        <v xml:space="preserve"> 1 coupez la viande en cubes d environ 4 cm et mettez la dans un grand </v>
      </c>
      <c r="DC69" s="127" cm="1">
        <f t="array" ref="DC69">IF(58=58,IF(AM69="","",SUMPRODUCT(--ISNUMBER(SEARCH(" "&amp;DJ2423:DJ2427&amp;" ",DB69)))),"")</f>
        <v>0</v>
      </c>
      <c r="DD69" s="127" t="str">
        <f>IF(58=58,IF(AM69="","",IF(SUM(CY69:DA69)&gt;0,"X",IF(DC69&gt;0,"?",""))),"")</f>
        <v/>
      </c>
      <c r="DE69" s="152"/>
      <c r="DF69" s="160" t="s">
        <v>771</v>
      </c>
      <c r="DG69" s="160" t="s">
        <v>584</v>
      </c>
      <c r="DH69" s="160" t="s">
        <v>125</v>
      </c>
      <c r="DI69" s="160" t="s">
        <v>772</v>
      </c>
      <c r="DJ69" s="160" t="s">
        <v>772</v>
      </c>
      <c r="DK69" s="160" t="s">
        <v>588</v>
      </c>
      <c r="DL69" s="160" t="s">
        <v>589</v>
      </c>
      <c r="DM69" s="160" t="s">
        <v>590</v>
      </c>
      <c r="DN69" s="161" t="s">
        <v>591</v>
      </c>
      <c r="DP69" s="130">
        <v>1</v>
      </c>
    </row>
    <row r="70" spans="2:120" ht="30" customHeight="1">
      <c r="B70" s="165" t="str">
        <f t="shared" si="0"/>
        <v/>
      </c>
      <c r="C70" s="165" t="str">
        <f t="shared" si="1"/>
        <v/>
      </c>
      <c r="D70" s="165" t="str">
        <f>IF(UPPER(TRIM(N11))="X",C70,B70)</f>
        <v/>
      </c>
      <c r="E70" s="165" cm="1">
        <f t="array" ref="E70">IF(H69&lt;&gt;"",E69,IF(E69="","",IFERROR(MATCH(TRUE(),INDEX(INDEX(K:K,E69+1):K203&lt;&gt;"",0),0)+E69,"")))</f>
        <v>55</v>
      </c>
      <c r="F70" s="165" t="str" cm="1">
        <f t="array" ref="F70">IF(E70="","",IF(H69&lt;&gt;"",H69,INDEX(D:D,E70)))</f>
        <v>saladier. Ajoutez-y les oignons coupés en rondelles, les carottes coupées en rondelles, les lardons, l’ail émincé et le bouquet garni. Versez le vin rouge sur le tout et laissez mariner au frais pendant 24 heures.</v>
      </c>
      <c r="G70" s="165" t="str">
        <f t="shared" si="2"/>
        <v xml:space="preserve">saladier. Ajoutez-y les oignons coupés en rondelles, les carottes coupées en </v>
      </c>
      <c r="H70" s="174" t="str">
        <f t="shared" si="3"/>
        <v>rondelles, les lardons, l’ail émincé et le bouquet garni. Versez le vin rouge sur le tout et laissez mariner au frais pendant 24 heures.</v>
      </c>
      <c r="I70" s="184" t="str">
        <f>IF(AND(F70&lt;&gt;"",N10&gt;0,M70&gt;N10),"Mot &gt; limite","")</f>
        <v/>
      </c>
      <c r="J70" s="175" t="str">
        <f>IF(K70="","",COUNTIF(K18:K70,"&lt;&gt;"))</f>
        <v/>
      </c>
      <c r="K70" s="111"/>
      <c r="L70" s="175" t="str">
        <f t="shared" si="4"/>
        <v/>
      </c>
      <c r="M70" s="135">
        <f>IF(OR(F70="",N10="",N10&lt;=0),"",IF(LEN(F70)&lt;=N10,LEN(F70),IFERROR(FIND("♦",SUBSTITUTE(LEFT(F70,N10)," ","♦",LEN(LEFT(F70,N10))-LEN(SUBSTITUTE(LEFT(F70,N10)," ","")))),FIND(" ",F70&amp;" ",N10+1)-1)))</f>
        <v>77</v>
      </c>
      <c r="N70" s="176">
        <f t="shared" si="5"/>
        <v>53</v>
      </c>
      <c r="O70" s="177" t="str">
        <f t="shared" si="6"/>
        <v xml:space="preserve">saladier. Ajoutez-y les oignons coupés en rondelles, les carottes coupées en </v>
      </c>
      <c r="P70" s="176">
        <f t="shared" si="7"/>
        <v>11</v>
      </c>
      <c r="Q70" s="176">
        <f t="shared" si="8"/>
        <v>77</v>
      </c>
      <c r="S70" s="178">
        <v>53</v>
      </c>
      <c r="T70" s="179" t="str">
        <f t="shared" si="10"/>
        <v xml:space="preserve">saladier. Ajoutez-y les oignons coupés en rondelles, les carottes coupées en </v>
      </c>
      <c r="U70" s="180" t="str">
        <f t="shared" si="11"/>
        <v>saladier. Ajoutez-y les oignons coupés en rondelles, les carottes coupées en</v>
      </c>
      <c r="V70" s="181" t="str">
        <f>IF(59=59,IF(T70="","",IF(W70="X",""&amp;"Céréales contenant du gluten","")&amp;IF(X70="X",IF(COUNTIF(W70:W70,"X")&gt;0,", ","")&amp;"Crustacés","")&amp;IF(Y70="X",IF(COUNTIF(W70:X70,"X")&gt;0,", ","")&amp;"Œufs","")&amp;IF(Z70="X",IF(COUNTIF(W70:Y70,"X")&gt;0,", ","")&amp;"Poissons","")&amp;IF(AA70="X",IF(COUNTIF(W70:Z70,"X")&gt;0,", ","")&amp;"Arachides","")&amp;IF(AB70="X",IF(COUNTIF(W70:AA70,"X")&gt;0,", ","")&amp;"Soja","")&amp;IF(AC70="X",IF(COUNTIF(W70:AB70,"X")&gt;0,", ","")&amp;"Lait","")&amp;IF(AD70="X",IF(COUNTIF(W70:AC70,"X")&gt;0,", ","")&amp;"Fruits à coque","")&amp;IF(AE70="X",IF(COUNTIF(W70:AD70,"X")&gt;0,", ","")&amp;"Céleri","")&amp;IF(AF70="X",IF(COUNTIF(W70:AE70,"X")&gt;0,", ","")&amp;"Moutarde","")&amp;IF(AG70="X",IF(COUNTIF(W70:AF70,"X")&gt;0,", ","")&amp;"Sésame","")&amp;IF(AH70="X",IF(COUNTIF(W70:AG70,"X")&gt;0,", ","")&amp;"Sulfites","")&amp;IF(AI70="X",IF(COUNTIF(W70:AH70,"X")&gt;0,", ","")&amp;"Lupin","")&amp;IF(AJ70="X",IF(COUNTIF(W70:AI70,"X")&gt;0,", ","")&amp;"Mollusques","")),"")</f>
        <v/>
      </c>
      <c r="W70" s="182" t="str">
        <f>IF(59=59,IF(T70="","",AX70),"")</f>
        <v/>
      </c>
      <c r="X70" s="182" t="str">
        <f>IF(59=59,IF(T70="","",BA70),"")</f>
        <v/>
      </c>
      <c r="Y70" s="182" t="str">
        <f>IF(59=59,IF(T70="","",BE70),"")</f>
        <v/>
      </c>
      <c r="Z70" s="182" t="str">
        <f>IF(59=59,IF(T70="","",IF(ISNUMBER(SEARCH(" colin ",AS70)),"X",BR70)),"")</f>
        <v/>
      </c>
      <c r="AA70" s="182" t="str">
        <f>IF(59=59,IF(T70="","",BT70),"")</f>
        <v/>
      </c>
      <c r="AB70" s="182" t="str">
        <f>IF(59=59,IF(T70="","",BX70),"")</f>
        <v/>
      </c>
      <c r="AC70" s="182" t="str">
        <f>IF(59=59,IF(T70="","",CE70),"")</f>
        <v/>
      </c>
      <c r="AD70" s="182" t="str">
        <f>IF(59=59,IF(T70="","",CI70),"")</f>
        <v/>
      </c>
      <c r="AE70" s="182" t="str">
        <f>IF(59=59,IF(T70="","",CL70),"")</f>
        <v/>
      </c>
      <c r="AF70" s="182" t="str">
        <f>IF(59=59,IF(T70="","",CO70),"")</f>
        <v/>
      </c>
      <c r="AG70" s="182" t="str">
        <f>IF(59=59,IF(T70="","",CR70),"")</f>
        <v/>
      </c>
      <c r="AH70" s="182" t="str">
        <f>IF(59=59,IF(T70="","",CU70),"")</f>
        <v/>
      </c>
      <c r="AI70" s="182" t="str">
        <f>IF(59=59,IF(T70="","",CX70),"")</f>
        <v/>
      </c>
      <c r="AJ70" s="182" t="str">
        <f>IF(59=59,IF(T70="","",DD70),"")</f>
        <v/>
      </c>
      <c r="AK70" s="183" t="str">
        <f>IF(59=59,IF(T70="","",IF(W70="?",""&amp;"Céréales contenant du gluten","")&amp;IF(X70="?",IF(COUNTIF(W70:W70,"~?")&gt;0,", ","")&amp;"Crustacés","")&amp;IF(Y70="?",IF(COUNTIF(W70:X70,"~?")&gt;0,", ","")&amp;"Œufs","")&amp;IF(Z70="?",IF(COUNTIF(W70:Y70,"~?")&gt;0,", ","")&amp;"Poissons","")&amp;IF(AA70="?",IF(COUNTIF(W70:Z70,"~?")&gt;0,", ","")&amp;"Arachides","")&amp;IF(AB70="?",IF(COUNTIF(W70:AA70,"~?")&gt;0,", ","")&amp;"Soja","")&amp;IF(AC70="?",IF(COUNTIF(W70:AB70,"~?")&gt;0,", ","")&amp;"Lait","")&amp;IF(AD70="?",IF(COUNTIF(W70:AC70,"~?")&gt;0,", ","")&amp;"Fruits à coque","")&amp;IF(AE70="?",IF(COUNTIF(W70:AD70,"~?")&gt;0,", ","")&amp;"Céleri","")&amp;IF(AF70="?",IF(COUNTIF(W70:AE70,"~?")&gt;0,", ","")&amp;"Moutarde","")&amp;IF(AG70="?",IF(COUNTIF(W70:AF70,"~?")&gt;0,", ","")&amp;"Sésame","")&amp;IF(AH70="?",IF(COUNTIF(W70:AG70,"~?")&gt;0,", ","")&amp;"Sulfites","")&amp;IF(AI70="?",IF(COUNTIF(W70:AH70,"~?")&gt;0,", ","")&amp;"Lupin","")&amp;IF(AJ70="?",IF(COUNTIF(W70:AI70,"~?")&gt;0,", ","")&amp;"Mollusques","")),"")</f>
        <v/>
      </c>
      <c r="AM70" s="127" t="str">
        <f>IF(59=59,IF(T70="","",T70),"")</f>
        <v xml:space="preserve">saladier. Ajoutez-y les oignons coupés en rondelles, les carottes coupées en </v>
      </c>
      <c r="AN70" s="127" t="str">
        <f>IF(59=59,LOWER(CLEAN(SUBSTITUTE(SUBSTITUTE(SUBSTITUTE(SUBSTITUTE(AM70,CHAR(160)," ")," "," "),CHAR(10)," "),CHAR(13)," "))),"")</f>
        <v xml:space="preserve">saladier. ajoutez-y les oignons coupés en rondelles, les carottes coupées en </v>
      </c>
      <c r="AO70" s="127" t="str">
        <f>IF(59=59,SUBSTITUTE(SUBSTITUTE(SUBSTITUTE(SUBSTITUTE(SUBSTITUTE(SUBSTITUTE(SUBSTITUTE(SUBSTITUTE(SUBSTITUTE(SUBSTITUTE(SUBSTITUTE(SUBSTITUTE(AN70,"œ","oe"),"æ","ae"),"à","a"),"á","a"),"â","a"),"ä","a"),"ã","a"),"ç","c"),"è","e"),"é","e"),"ê","e"),"ë","e"),"")</f>
        <v xml:space="preserve">saladier. ajoutez-y les oignons coupes en rondelles, les carottes coupees en </v>
      </c>
      <c r="AP70" s="127" t="str">
        <f>IF(59=59,SUBSTITUTE(SUBSTITUTE(SUBSTITUTE(SUBSTITUTE(SUBSTITUTE(SUBSTITUTE(SUBSTITUTE(SUBSTITUTE(SUBSTITUTE(SUBSTITUTE(SUBSTITUTE(SUBSTITUTE(SUBSTITUTE(SUBSTITUTE(SUBSTITUTE(SUBSTITUTE(AO70,"ì","i"),"í","i"),"î","i"),"ï","i"),"ñ","n"),"ò","o"),"ó","o"),"ô","o"),"ö","o"),"õ","o"),"ù","u"),"ú","u"),"û","u"),"ü","u"),"ý","y"),"ÿ","y"),"")</f>
        <v xml:space="preserve">saladier. ajoutez-y les oignons coupes en rondelles, les carottes coupees en </v>
      </c>
      <c r="AQ70" s="127" t="str">
        <f>IF(59=59,SUBSTITUTE(SUBSTITUTE(SUBSTITUTE(SUBSTITUTE(SUBSTITUTE(SUBSTITUTE(SUBSTITUTE(SUBSTITUTE(SUBSTITUTE(SUBSTITUTE(SUBSTITUTE(SUBSTITUTE(SUBSTITUTE(SUBSTITUTE(AP70,"’"," "),"`"," "),"–"," "),"—"," "),"-"," "),"'"," "),"/"," "),"_"," "),","," "),"."," "),"("," "),")"," "),";"," "),":"," "),"")</f>
        <v xml:space="preserve">saladier  ajoutez y les oignons coupes en rondelles  les carottes coupees en </v>
      </c>
      <c r="AR70" s="127" t="str">
        <f>IF(59=59,SUBSTITUTE(SUBSTITUTE(SUBSTITUTE(SUBSTITUTE(SUBSTITUTE(SUBSTITUTE(SUBSTITUTE(SUBSTITUTE(SUBSTITUTE(SUBSTITUTE(SUBSTITUTE(SUBSTITUTE(SUBSTITUTE(SUBSTITUTE(SUBSTITUTE(AQ70,"!"," "),"?"," "),"+"," "),"*"," "),"&amp;"," "),"["," "),"]"," "),"{"," "),"}"," "),"%"," "),"="," "),"\"," "),"|"," "),"&lt;"," "),"&gt;"," "),"")</f>
        <v xml:space="preserve">saladier  ajoutez y les oignons coupes en rondelles  les carottes coupees en </v>
      </c>
      <c r="AS70" s="127" t="str">
        <f>IF(59=59," "&amp;TRIM(SUBSTITUTE(SUBSTITUTE(SUBSTITUTE(SUBSTITUTE(SUBSTITUTE(SUBSTITUTE(AR70,CHAR(34)," "),"  "," "),"  "," "),"  "," "),"  "," "),"  "," "))&amp;" ","")</f>
        <v xml:space="preserve"> saladier ajoutez y les oignons coupes en rondelles les carottes coupees en </v>
      </c>
      <c r="AT70" s="127" cm="1">
        <f t="array" ref="AT70">IF(59=59,IF(AM70="","",SUMPRODUCT(--ISNUMBER(SEARCH(" "&amp;DJ13:DJ112&amp;" ",AV70)))),"")</f>
        <v>0</v>
      </c>
      <c r="AU70" s="127" cm="1">
        <f t="array" ref="AU70">IF(59=59,IF(AM70="","",SUMPRODUCT(--ISNUMBER(SEARCH(" "&amp;DJ113:DJ162&amp;" ",AV70)))),"")</f>
        <v>0</v>
      </c>
      <c r="AV70" s="127" t="str">
        <f>IF(AM70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saladier ajoutez y les oignons coupes en rondelles les carottes coupees en </v>
      </c>
      <c r="AW70" s="127" cm="1">
        <f t="array" ref="AW70">IF(AM70="","",SUMPRODUCT(--ISNUMBER(SEARCH(" "&amp;DJ195:DJ216&amp;" ",AV70)))+--ISNUMBER(SEARCH(" "&amp;DJ2465&amp;" ",AV70)))</f>
        <v>0</v>
      </c>
      <c r="AX70" s="127" t="str" cm="1">
        <f t="array" ref="AX70">IF(59=59,IF(AM70="","",IF(SUM(AT70:AU70)+SUMPRODUCT(--ISNUMBER(SEARCH(" "&amp;DJ2429:DJ2431&amp;" ",AV70)))&gt;0,"X",IF(AW70&gt;0,"?",""))),"")</f>
        <v/>
      </c>
      <c r="AY70" s="127" cm="1">
        <f t="array" ref="AY70">IF(59=59,IF(AM70="","",SUMPRODUCT(--ISNUMBER(SEARCH(" "&amp;DJ217:DJ316&amp;" ",AS70)))),"")</f>
        <v>0</v>
      </c>
      <c r="AZ70" s="127" cm="1">
        <f t="array" ref="AZ70">IF(59=59,IF(AM70="","",SUMPRODUCT(--ISNUMBER(SEARCH(" "&amp;DJ317:DJ351&amp;" ",AS70)))),"")</f>
        <v>0</v>
      </c>
      <c r="BA70" s="127" t="str">
        <f>IF(59=59,IF(AM70="","",IF((SUM(AY70:AZ70))-(0)&gt;0,"X",IF((0)-(0)&gt;0,"?",""))),"")</f>
        <v/>
      </c>
      <c r="BB70" s="127" cm="1">
        <f t="array" ref="BB70">IF(59=59,IF(AM70="","",SUMPRODUCT(--ISNUMBER(SEARCH(" "&amp;DJ352:DJ409&amp;" ",AS70)))),"")</f>
        <v>0</v>
      </c>
      <c r="BC70" s="127" cm="1">
        <f t="array" ref="BC70">IF(59=59,IF(AM70="","",SUMPRODUCT(--ISNUMBER(SEARCH(" "&amp;DJ410:DJ437&amp;" ",BD70)))+SUMPRODUCT(--ISNUMBER(SEARCH(" "&amp;DJ2451:DJ2464&amp;" ",BD70)))),"")</f>
        <v>0</v>
      </c>
      <c r="BD70" s="127" t="str">
        <f>IF(59=59,IF(AM70="","",SUBSTITUTE(SUBSTITUTE(SUBSTITUTE(SUBSTITUTE(SUBSTITUTE(SUBSTITUTE(SUBSTITUTE(SUBSTITUTE(SUBSTITUTE(SUBSTITUTE(SUBSTITUTE(SUBSTITUTE(SUBSTITUTE(SUBSTITUTE(AS70," "&amp;DJ2466&amp;" "," ")," "&amp;DJ444&amp;" "," ")," "&amp;DJ442&amp;" "," ")," "&amp;DJ2449&amp;" "," ")," "&amp;DJ2450&amp;" "," ")," "&amp;DJ439&amp;" "," ")," "&amp;DJ443&amp;" "," ")," "&amp;DJ445&amp;" "," ")," "&amp;DJ440&amp;" "," ")," "&amp;DJ438&amp;" "," ")," "&amp;DJ1378&amp;" "," ")," "&amp;DJ446&amp;" "," ")," "&amp;DJ1377&amp;" "," ")," "&amp;DJ441&amp;" "," ")),"")</f>
        <v xml:space="preserve"> saladier ajoutez y les oignons coupes en rondelles les carottes coupees en </v>
      </c>
      <c r="BE70" s="127" t="str">
        <f>IF(59=59,IF(AM70="","",IF(BB70&gt;0,"X",IF(BC70&gt;0,"?",""))),"")</f>
        <v/>
      </c>
      <c r="BF70" s="127" cm="1">
        <f t="array" ref="BF70">IF(59=59,IF(AM70="","",SUMPRODUCT(--ISNUMBER(SEARCH(" "&amp;DJ447:DJ546&amp;" ",BP70)))),"")</f>
        <v>0</v>
      </c>
      <c r="BG70" s="127" cm="1">
        <f t="array" ref="BG70">IF(59=59,IF(AM70="","",SUMPRODUCT(--ISNUMBER(SEARCH(" "&amp;DJ547:DJ646&amp;" ",BP70)))),"")</f>
        <v>0</v>
      </c>
      <c r="BH70" s="127" cm="1">
        <f t="array" ref="BH70">IF(59=59,IF(AM70="","",SUMPRODUCT(--ISNUMBER(SEARCH(" "&amp;DJ647:DJ746&amp;" ",BP70)))),"")</f>
        <v>0</v>
      </c>
      <c r="BI70" s="127" cm="1">
        <f t="array" ref="BI70">IF(59=59,IF(AM70="","",SUMPRODUCT(--ISNUMBER(SEARCH(" "&amp;DJ747:DJ846&amp;" ",BP70)))),"")</f>
        <v>0</v>
      </c>
      <c r="BJ70" s="127" cm="1">
        <f t="array" ref="BJ70">IF(59=59,IF(AM70="","",SUMPRODUCT(--ISNUMBER(SEARCH(" "&amp;DJ847:DJ946&amp;" ",BP70)))),"")</f>
        <v>0</v>
      </c>
      <c r="BK70" s="127" cm="1">
        <f t="array" ref="BK70">IF(59=59,IF(AM70="","",SUMPRODUCT(--ISNUMBER(SEARCH(" "&amp;DJ947:DJ1046&amp;" ",BP70)))),"")</f>
        <v>0</v>
      </c>
      <c r="BL70" s="127" cm="1">
        <f t="array" ref="BL70">IF(59=59,IF(AM70="","",SUMPRODUCT(--ISNUMBER(SEARCH(" "&amp;DJ1047:DJ1146&amp;" ",BP70)))),"")</f>
        <v>0</v>
      </c>
      <c r="BM70" s="127" cm="1">
        <f t="array" ref="BM70">IF(59=59,IF(AM70="","",SUMPRODUCT(--ISNUMBER(SEARCH(" "&amp;DJ1147:DJ1246&amp;" ",BP70)))),"")</f>
        <v>0</v>
      </c>
      <c r="BN70" s="127" cm="1">
        <f t="array" ref="BN70">IF(59=59,IF(AM70="","",SUMPRODUCT(--ISNUMBER(SEARCH(" "&amp;DJ1247:DJ1346&amp;" ",BP70)))),"")</f>
        <v>0</v>
      </c>
      <c r="BO70" s="127" cm="1">
        <f t="array" ref="BO70">IF(59=59,IF(AM70="","",SUMPRODUCT(--ISNUMBER(SEARCH(" "&amp;DJ1347:DJ1374&amp;" ",BP70)))),"")</f>
        <v>0</v>
      </c>
      <c r="BP70" s="127" t="str">
        <f>IF(59=59,IF(AM70="","",SUBSTITUTE(SUBSTITUTE(SUBSTITUTE(SUBSTITUTE(SUBSTITUTE(SUBSTITUTE(SUBSTITUTE(SUBSTITUTE(SUBSTITUTE(AS70," "&amp;DJ1376&amp;" "," ")," "&amp;DJ1375&amp;" "," ")," "&amp;DJ1381&amp;" "," ")," "&amp;DJ1382&amp;" "," ")," "&amp;DJ1378&amp;" "," ")," "&amp;DJ1380&amp;" "," ")," "&amp;DJ1377&amp;" "," ")," "&amp;DJ1379&amp;" "," ")," "&amp;DJ1383&amp;" "," ")),"")</f>
        <v xml:space="preserve"> saladier ajoutez y les oignons coupes en rondelles les carottes coupees en </v>
      </c>
      <c r="BQ70" s="127" cm="1">
        <f t="array" ref="BQ70">IF(59=59,IF(AM70="","",SUMPRODUCT(--ISNUMBER(SEARCH(" "&amp;DJ1384:DJ1394&amp;" ",BP70)))),"")</f>
        <v>0</v>
      </c>
      <c r="BR70" s="127" t="str" cm="1">
        <f t="array" ref="BR70">IF(59=59,IF(AM70="","",IF(SUM(BF70:BO70)+SUMPRODUCT(--ISNUMBER(SEARCH(" "&amp;DJ2432:DJ2433&amp;" ",BP70)))&gt;0,"X",IF(BQ70&gt;0,"?",""))),"")</f>
        <v/>
      </c>
      <c r="BS70" s="127" cm="1">
        <f t="array" ref="BS70">IF(59=59,IF(AM70="","",SUMPRODUCT(--ISNUMBER(SEARCH(" "&amp;DJ1395:DJ1415&amp;" ",AS70)))),"")</f>
        <v>0</v>
      </c>
      <c r="BT70" s="127" t="str">
        <f>IF(59=59,IF(AM70="","",IF((BS70)-(0)&gt;0,"X",IF((0)-(0)&gt;0,"?",""))),"")</f>
        <v/>
      </c>
      <c r="BU70" s="127" cm="1">
        <f t="array" ref="BU70">IF(59=59,IF(AM70="","",SUMPRODUCT(--ISNUMBER(SEARCH(" "&amp;DJ1416:DJ1453&amp;" ",BV70)))),"")</f>
        <v>0</v>
      </c>
      <c r="BV70" s="127" t="str">
        <f>IF(59=59,IF(AM70="","",SUBSTITUTE(SUBSTITUTE(AS70," "&amp;DJ1454&amp;" "," ")," "&amp;DJ1455&amp;" "," ")),"")</f>
        <v xml:space="preserve"> saladier ajoutez y les oignons coupes en rondelles les carottes coupees en </v>
      </c>
      <c r="BW70" s="127" cm="1">
        <f t="array" ref="BW70">IF(59=59,IF(AM70="","",SUMPRODUCT(--ISNUMBER(SEARCH(" "&amp;DJ1456:DJ1466&amp;" ",BV70)))),"")</f>
        <v>0</v>
      </c>
      <c r="BX70" s="127" t="str">
        <f>IF(59=59,IF(AM70="","",IF(BU70&gt;0,"X",IF(BW70&gt;0,"?",""))),"")</f>
        <v/>
      </c>
      <c r="BY70" s="127" cm="1">
        <f t="array" ref="BY70">IF(59=59,IF(AM70="","",SUMPRODUCT(--ISNUMBER(SEARCH(" "&amp;DJ1467:DJ1566&amp;" ",CB70)))),"")</f>
        <v>0</v>
      </c>
      <c r="BZ70" s="127" cm="1">
        <f t="array" ref="BZ70">IF(59=59,IF(AM70="","",SUMPRODUCT(--ISNUMBER(SEARCH(" "&amp;DJ1567:DJ1666&amp;" ",CB70)))),"")</f>
        <v>0</v>
      </c>
      <c r="CA70" s="127" cm="1">
        <f t="array" ref="CA70">IF(59=59,IF(AM70="","",SUMPRODUCT(--ISNUMBER(SEARCH(" "&amp;DJ1667:DJ1750&amp;" ",CB70)))),"")</f>
        <v>0</v>
      </c>
      <c r="CB70" s="127" t="str">
        <f>IF(59=59,IF(AM70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saladier ajoutez y les oignons coupes en rondelles les carottes coupees en </v>
      </c>
      <c r="CC70" s="127" cm="1">
        <f t="array" ref="CC70">IF(59=59,IF(AM70="","",SUMPRODUCT(--ISNUMBER(SEARCH(" "&amp;DJ1801:DJ1880&amp;" ",CD70)))+SUMPRODUCT(--ISNUMBER(SEARCH(" "&amp;DJ2451:DJ2464&amp;" ",CD70)))),"")</f>
        <v>0</v>
      </c>
      <c r="CD70" s="127" t="str">
        <f>IF(59=59,IF(AM70="","",SUBSTITUTE(SUBSTITUTE(SUBSTITUTE(SUBSTITUTE(SUBSTITUTE(SUBSTITUTE(SUBSTITUTE(SUBSTITUTE(SUBSTITUTE(SUBSTITUTE(SUBSTITUTE(SUBSTITUTE(SUBSTITUTE(CB70," "&amp;DJ1887&amp;" "," ")," "&amp;DJ1885&amp;" "," ")," "&amp;DJ2449&amp;" "," ")," "&amp;DJ2450&amp;" "," ")," "&amp;DJ1882&amp;" "," ")," "&amp;DJ1886&amp;" "," ")," "&amp;DJ1888&amp;" "," ")," "&amp;DJ1883&amp;" "," ")," "&amp;DJ1881&amp;" "," ")," "&amp;DJ1378&amp;" "," ")," "&amp;DJ1889&amp;" "," ")," "&amp;DJ1377&amp;" "," ")," "&amp;DJ1884&amp;" "," ")),"")</f>
        <v xml:space="preserve"> saladier ajoutez y les oignons coupes en rondelles les carottes coupees en </v>
      </c>
      <c r="CE70" s="127" t="str" cm="1">
        <f t="array" ref="CE70">IF(59=59,IF(AM70="","",IF(SUM(BY70:CA70)+SUMPRODUCT(--ISNUMBER(SEARCH(" "&amp;DJ2434:DJ2435&amp;" ",CB70)))&gt;0,"X",IF(CC70&gt;0,"?",""))),"")</f>
        <v/>
      </c>
      <c r="CF70" s="127" cm="1">
        <f t="array" ref="CF70">IF(59=59,IF(AM70="","",SUMPRODUCT(--ISNUMBER(SEARCH(" "&amp;DJ1890:DJ1947&amp;" ",CG70)))),"")</f>
        <v>0</v>
      </c>
      <c r="CG70" s="127" t="str">
        <f>IF(59=59,IF(AM70="","",SUBSTITUTE(SUBSTITUTE(SUBSTITUTE(SUBSTITUTE(SUBSTITUTE(SUBSTITUTE(SUBSTITUTE(SUBSTITUTE(SUBSTITUTE(SUBSTITUTE(SUBSTITUTE(SUBSTITUTE(SUBSTITUTE(SUBSTITUTE(SUBSTITUTE(SUBSTITUTE(SUBSTITUTE(SUBSTITUTE(SUBSTITUTE(SUBSTITUTE(SUBSTITUTE(SUBSTITUTE(SUBSTITUTE(AS70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saladier ajoutez y les oignons coupes en rondelles les carottes coupees en </v>
      </c>
      <c r="CH70" s="127" cm="1">
        <f t="array" ref="CH70">IF(59=59,IF(AM70="","",SUMPRODUCT(--ISNUMBER(SEARCH(" "&amp;DJ1971:DJ1987&amp;" ",CG70)))),"")</f>
        <v>0</v>
      </c>
      <c r="CI70" s="127" t="str">
        <f>IF(59=59,IF(AM70="","",IF(CF70&gt;0,"X",IF(CH70&gt;0,"?",""))),"")</f>
        <v/>
      </c>
      <c r="CJ70" s="127" cm="1">
        <f t="array" ref="CJ70">IF(59=59,IF(AM70="","",SUMPRODUCT(--ISNUMBER(SEARCH(" "&amp;DJ1988:DJ2001&amp;" ",AS70)))),"")</f>
        <v>0</v>
      </c>
      <c r="CK70" s="127" cm="1">
        <f t="array" ref="CK70">IF(59=59,IF(AM70="","",SUMPRODUCT(--ISNUMBER(SEARCH(" "&amp;DJ2002:DJ2016&amp;" ",AS70)))),"")</f>
        <v>0</v>
      </c>
      <c r="CL70" s="127" t="str">
        <f>IF(59=59,IF(AM70="","",IF((CJ70)-(0)&gt;0,"X",IF((CK70)-(0)&gt;0,"?",""))),"")</f>
        <v/>
      </c>
      <c r="CM70" s="127" cm="1">
        <f t="array" ref="CM70">IF(59=59,IF(AM70="","",SUMPRODUCT(--ISNUMBER(SEARCH(" "&amp;DJ2017:DJ2034&amp;" ",AS70)))),"")</f>
        <v>0</v>
      </c>
      <c r="CN70" s="127" cm="1">
        <f t="array" ref="CN70">IF(59=59,IF(AM70="","",SUMPRODUCT(--ISNUMBER(SEARCH(" "&amp;DJ2035:DJ2049&amp;" ",AS70)))),"")</f>
        <v>0</v>
      </c>
      <c r="CO70" s="127" t="str">
        <f>IF(59=59,IF(AM70="","",IF((CM70)-(0)&gt;0,"X",IF((CN70)-(0)&gt;0,"?",""))),"")</f>
        <v/>
      </c>
      <c r="CP70" s="127" cm="1">
        <f t="array" ref="CP70">IF(59=59,IF(AM70="","",SUMPRODUCT(--ISNUMBER(SEARCH(" "&amp;DJ2050:DJ2068&amp;" ",AS70)))),"")</f>
        <v>0</v>
      </c>
      <c r="CQ70" s="127" cm="1">
        <f t="array" ref="CQ70">IF(59=59,IF(AM70="","",SUMPRODUCT(--ISNUMBER(SEARCH(" "&amp;DJ2069:DJ2083&amp;" ",AS70)))),"")</f>
        <v>0</v>
      </c>
      <c r="CR70" s="127" t="str">
        <f>IF(59=59,IF(AM70="","",IF((CP70)-(0)&gt;0,"X",IF((CQ70)-(0)&gt;0,"?",""))),"")</f>
        <v/>
      </c>
      <c r="CS70" s="127" cm="1">
        <f t="array" ref="CS70">IF(59=59,IF(AM70="","",SUMPRODUCT(--ISNUMBER(SEARCH(" "&amp;DJ2084:DJ2104&amp;" ",AS70)))),"")</f>
        <v>0</v>
      </c>
      <c r="CT70" s="127" cm="1">
        <f t="array" ref="CT70">IF(59=59,IF(AM70="","",SUMPRODUCT(--ISNUMBER(SEARCH(" "&amp;DJ2105:DJ2144&amp;" ",SUBSTITUTE(SUBSTITUTE(AS70," "&amp;DJ1378&amp;" "," ")," "&amp;DJ1377&amp;" "," "))))+--ISNUMBER(SEARCH("poiré",AN70))),"")</f>
        <v>0</v>
      </c>
      <c r="CU70" s="127" t="str">
        <f>IF(59=59,IF(AM70="","",IF(OR(CS70&gt;0,ISNUMBER(SEARCH(" vinaigre de vin ",AS70)),ISNUMBER(SEARCH(" vinaigre au vin ",AS70))),"X",IF(CT70&gt;0,"?",""))),"")</f>
        <v/>
      </c>
      <c r="CV70" s="127" cm="1">
        <f t="array" ref="CV70">IF(59=59,IF(AM70="","",SUMPRODUCT(--ISNUMBER(SEARCH(" "&amp;DJ2145:DJ2157&amp;" ",AS70)))),"")</f>
        <v>0</v>
      </c>
      <c r="CW70" s="127" cm="1">
        <f t="array" ref="CW70">IF(59=59,IF(AM70="","",SUMPRODUCT(--ISNUMBER(SEARCH(" "&amp;DJ2158:DJ2163&amp;" ",AS70)))),"")</f>
        <v>0</v>
      </c>
      <c r="CX70" s="127" t="str">
        <f>IF(59=59,IF(AM70="","",IF((CV70)-(0)&gt;0,"X",IF((CW70)-(0)&gt;0,"?",""))),"")</f>
        <v/>
      </c>
      <c r="CY70" s="127" cm="1">
        <f t="array" ref="CY70">IF(59=59,IF(AM70="","",SUMPRODUCT(--ISNUMBER(SEARCH(" "&amp;DJ2164:DJ2263&amp;" ",DB70)))),"")</f>
        <v>0</v>
      </c>
      <c r="CZ70" s="127" cm="1">
        <f t="array" ref="CZ70">IF(59=59,IF(AM70="","",SUMPRODUCT(--ISNUMBER(SEARCH(" "&amp;DJ2264:DJ2363&amp;" ",DB70)))),"")</f>
        <v>0</v>
      </c>
      <c r="DA70" s="127" cm="1">
        <f t="array" ref="DA70">IF(59=59,IF(AM70="","",SUMPRODUCT(--ISNUMBER(SEARCH(" "&amp;DJ2364:DJ2406&amp;" ",DB70)))),"")</f>
        <v>0</v>
      </c>
      <c r="DB70" s="127" t="str">
        <f>IF(59=59,IF(AM70="","",SUBSTITUTE(SUBSTITUTE(SUBSTITUTE(SUBSTITUTE(SUBSTITUTE(SUBSTITUTE(SUBSTITUTE(SUBSTITUTE(SUBSTITUTE(SUBSTITUTE(SUBSTITUTE(SUBSTITUTE(SUBSTITUTE(SUBSTITUTE(SUBSTITUTE(SUBSTITUTE(AS70," "&amp;DJ2412&amp;" "," ")," "&amp;DJ2411&amp;" "," ")," "&amp;DJ2410&amp;" "," ")," "&amp;DJ2417&amp;" "," ")," "&amp;DJ2409&amp;" "," ")," "&amp;DJ2421&amp;" "," ")," "&amp;DJ2408&amp;" "," ")," "&amp;DJ2413&amp;" "," ")," "&amp;DJ2416&amp;" "," ")," "&amp;DJ2407&amp;" "," ")," "&amp;DJ2415&amp;" "," ")," "&amp;DJ2422&amp;" "," ")," "&amp;DJ2419&amp;" "," ")," "&amp;DJ2414&amp;" "," ")," "&amp;DJ2418&amp;" "," ")," "&amp;DJ2420&amp;" "," ")),"")</f>
        <v xml:space="preserve"> saladier ajoutez y les oignons coupes en rondelles les carottes coupees en </v>
      </c>
      <c r="DC70" s="127" cm="1">
        <f t="array" ref="DC70">IF(59=59,IF(AM70="","",SUMPRODUCT(--ISNUMBER(SEARCH(" "&amp;DJ2423:DJ2427&amp;" ",DB70)))),"")</f>
        <v>0</v>
      </c>
      <c r="DD70" s="127" t="str">
        <f>IF(59=59,IF(AM70="","",IF(SUM(CY70:DA70)&gt;0,"X",IF(DC70&gt;0,"?",""))),"")</f>
        <v/>
      </c>
      <c r="DE70" s="152"/>
      <c r="DF70" s="160" t="s">
        <v>773</v>
      </c>
      <c r="DG70" s="160" t="s">
        <v>584</v>
      </c>
      <c r="DH70" s="160" t="s">
        <v>125</v>
      </c>
      <c r="DI70" s="160" t="s">
        <v>774</v>
      </c>
      <c r="DJ70" s="160" t="s">
        <v>774</v>
      </c>
      <c r="DK70" s="160" t="s">
        <v>588</v>
      </c>
      <c r="DL70" s="160" t="s">
        <v>589</v>
      </c>
      <c r="DM70" s="160" t="s">
        <v>590</v>
      </c>
      <c r="DN70" s="161" t="s">
        <v>591</v>
      </c>
      <c r="DP70" s="130">
        <v>1</v>
      </c>
    </row>
    <row r="71" spans="2:120" ht="30" customHeight="1">
      <c r="B71" s="165" t="str">
        <f t="shared" si="0"/>
        <v>9. Servez le bœuf bourguignon bien chaud accompagné de pommes de terre, de pâtes ou de riz.</v>
      </c>
      <c r="C71" s="165" t="str">
        <f t="shared" si="1"/>
        <v>9 Servez le bœuf bourguignon bien chaud accompagné de pommes de terre de pâtes ou de riz</v>
      </c>
      <c r="D71" s="165" t="str">
        <f>IF(UPPER(TRIM(N11))="X",C71,B71)</f>
        <v>9. Servez le bœuf bourguignon bien chaud accompagné de pommes de terre, de pâtes ou de riz.</v>
      </c>
      <c r="E71" s="165" cm="1">
        <f t="array" ref="E71">IF(H70&lt;&gt;"",E70,IF(E70="","",IFERROR(MATCH(TRUE(),INDEX(INDEX(K:K,E70+1):K203&lt;&gt;"",0),0)+E70,"")))</f>
        <v>55</v>
      </c>
      <c r="F71" s="165" t="str" cm="1">
        <f t="array" ref="F71">IF(E71="","",IF(H70&lt;&gt;"",H70,INDEX(D:D,E71)))</f>
        <v>rondelles, les lardons, l’ail émincé et le bouquet garni. Versez le vin rouge sur le tout et laissez mariner au frais pendant 24 heures.</v>
      </c>
      <c r="G71" s="165" t="str">
        <f t="shared" si="2"/>
        <v xml:space="preserve">rondelles, les lardons, l’ail émincé et le bouquet garni. Versez le vin rouge </v>
      </c>
      <c r="H71" s="174" t="str">
        <f t="shared" si="3"/>
        <v>sur le tout et laissez mariner au frais pendant 24 heures.</v>
      </c>
      <c r="I71" s="184" t="str">
        <f>IF(AND(F71&lt;&gt;"",N10&gt;0,M71&gt;N10),"Mot &gt; limite","")</f>
        <v/>
      </c>
      <c r="J71" s="175">
        <f>IF(K71="","",COUNTIF(K18:K71,"&lt;&gt;"))</f>
        <v>44</v>
      </c>
      <c r="K71" s="111" t="s">
        <v>33</v>
      </c>
      <c r="L71" s="175">
        <f t="shared" si="4"/>
        <v>91</v>
      </c>
      <c r="M71" s="135">
        <f>IF(OR(F71="",N10="",N10&lt;=0),"",IF(LEN(F71)&lt;=N10,LEN(F71),IFERROR(FIND("♦",SUBSTITUTE(LEFT(F71,N10)," ","♦",LEN(LEFT(F71,N10))-LEN(SUBSTITUTE(LEFT(F71,N10)," ","")))),FIND(" ",F71&amp;" ",N10+1)-1)))</f>
        <v>78</v>
      </c>
      <c r="N71" s="176">
        <f t="shared" si="5"/>
        <v>54</v>
      </c>
      <c r="O71" s="177" t="str">
        <f t="shared" si="6"/>
        <v xml:space="preserve">rondelles, les lardons, l’ail émincé et le bouquet garni. Versez le vin rouge </v>
      </c>
      <c r="P71" s="176">
        <f t="shared" si="7"/>
        <v>13</v>
      </c>
      <c r="Q71" s="176">
        <f t="shared" si="8"/>
        <v>78</v>
      </c>
      <c r="S71" s="178">
        <v>54</v>
      </c>
      <c r="T71" s="179" t="str">
        <f t="shared" si="10"/>
        <v xml:space="preserve">rondelles, les lardons, l’ail émincé et le bouquet garni. Versez le vin rouge </v>
      </c>
      <c r="U71" s="180" t="str">
        <f t="shared" si="11"/>
        <v>rondelles, les lardons, l’ail émincé et le bouquet garni. Versez le vin rouge ?</v>
      </c>
      <c r="V71" s="181" t="str">
        <f>IF(60=60,IF(T71="","",IF(W71="X",""&amp;"Céréales contenant du gluten","")&amp;IF(X71="X",IF(COUNTIF(W71:W71,"X")&gt;0,", ","")&amp;"Crustacés","")&amp;IF(Y71="X",IF(COUNTIF(W71:X71,"X")&gt;0,", ","")&amp;"Œufs","")&amp;IF(Z71="X",IF(COUNTIF(W71:Y71,"X")&gt;0,", ","")&amp;"Poissons","")&amp;IF(AA71="X",IF(COUNTIF(W71:Z71,"X")&gt;0,", ","")&amp;"Arachides","")&amp;IF(AB71="X",IF(COUNTIF(W71:AA71,"X")&gt;0,", ","")&amp;"Soja","")&amp;IF(AC71="X",IF(COUNTIF(W71:AB71,"X")&gt;0,", ","")&amp;"Lait","")&amp;IF(AD71="X",IF(COUNTIF(W71:AC71,"X")&gt;0,", ","")&amp;"Fruits à coque","")&amp;IF(AE71="X",IF(COUNTIF(W71:AD71,"X")&gt;0,", ","")&amp;"Céleri","")&amp;IF(AF71="X",IF(COUNTIF(W71:AE71,"X")&gt;0,", ","")&amp;"Moutarde","")&amp;IF(AG71="X",IF(COUNTIF(W71:AF71,"X")&gt;0,", ","")&amp;"Sésame","")&amp;IF(AH71="X",IF(COUNTIF(W71:AG71,"X")&gt;0,", ","")&amp;"Sulfites","")&amp;IF(AI71="X",IF(COUNTIF(W71:AH71,"X")&gt;0,", ","")&amp;"Lupin","")&amp;IF(AJ71="X",IF(COUNTIF(W71:AI71,"X")&gt;0,", ","")&amp;"Mollusques","")),"")</f>
        <v/>
      </c>
      <c r="W71" s="182" t="str">
        <f>IF(60=60,IF(T71="","",AX71),"")</f>
        <v/>
      </c>
      <c r="X71" s="182" t="str">
        <f>IF(60=60,IF(T71="","",BA71),"")</f>
        <v/>
      </c>
      <c r="Y71" s="182" t="str">
        <f>IF(60=60,IF(T71="","",BE71),"")</f>
        <v>?</v>
      </c>
      <c r="Z71" s="182" t="str">
        <f>IF(60=60,IF(T71="","",IF(ISNUMBER(SEARCH(" colin ",AS71)),"X",BR71)),"")</f>
        <v/>
      </c>
      <c r="AA71" s="182" t="str">
        <f>IF(60=60,IF(T71="","",BT71),"")</f>
        <v/>
      </c>
      <c r="AB71" s="182" t="str">
        <f>IF(60=60,IF(T71="","",BX71),"")</f>
        <v/>
      </c>
      <c r="AC71" s="182" t="str">
        <f>IF(60=60,IF(T71="","",CE71),"")</f>
        <v>?</v>
      </c>
      <c r="AD71" s="182" t="str">
        <f>IF(60=60,IF(T71="","",CI71),"")</f>
        <v/>
      </c>
      <c r="AE71" s="182" t="str">
        <f>IF(60=60,IF(T71="","",CL71),"")</f>
        <v/>
      </c>
      <c r="AF71" s="182" t="str">
        <f>IF(60=60,IF(T71="","",CO71),"")</f>
        <v/>
      </c>
      <c r="AG71" s="182" t="str">
        <f>IF(60=60,IF(T71="","",CR71),"")</f>
        <v/>
      </c>
      <c r="AH71" s="182" t="str">
        <f>IF(60=60,IF(T71="","",CU71),"")</f>
        <v>?</v>
      </c>
      <c r="AI71" s="182" t="str">
        <f>IF(60=60,IF(T71="","",CX71),"")</f>
        <v/>
      </c>
      <c r="AJ71" s="182" t="str">
        <f>IF(60=60,IF(T71="","",DD71),"")</f>
        <v/>
      </c>
      <c r="AK71" s="183" t="str">
        <f>IF(60=60,IF(T71="","",IF(W71="?",""&amp;"Céréales contenant du gluten","")&amp;IF(X71="?",IF(COUNTIF(W71:W71,"~?")&gt;0,", ","")&amp;"Crustacés","")&amp;IF(Y71="?",IF(COUNTIF(W71:X71,"~?")&gt;0,", ","")&amp;"Œufs","")&amp;IF(Z71="?",IF(COUNTIF(W71:Y71,"~?")&gt;0,", ","")&amp;"Poissons","")&amp;IF(AA71="?",IF(COUNTIF(W71:Z71,"~?")&gt;0,", ","")&amp;"Arachides","")&amp;IF(AB71="?",IF(COUNTIF(W71:AA71,"~?")&gt;0,", ","")&amp;"Soja","")&amp;IF(AC71="?",IF(COUNTIF(W71:AB71,"~?")&gt;0,", ","")&amp;"Lait","")&amp;IF(AD71="?",IF(COUNTIF(W71:AC71,"~?")&gt;0,", ","")&amp;"Fruits à coque","")&amp;IF(AE71="?",IF(COUNTIF(W71:AD71,"~?")&gt;0,", ","")&amp;"Céleri","")&amp;IF(AF71="?",IF(COUNTIF(W71:AE71,"~?")&gt;0,", ","")&amp;"Moutarde","")&amp;IF(AG71="?",IF(COUNTIF(W71:AF71,"~?")&gt;0,", ","")&amp;"Sésame","")&amp;IF(AH71="?",IF(COUNTIF(W71:AG71,"~?")&gt;0,", ","")&amp;"Sulfites","")&amp;IF(AI71="?",IF(COUNTIF(W71:AH71,"~?")&gt;0,", ","")&amp;"Lupin","")&amp;IF(AJ71="?",IF(COUNTIF(W71:AI71,"~?")&gt;0,", ","")&amp;"Mollusques","")),"")</f>
        <v>Œufs, Lait, Sulfites</v>
      </c>
      <c r="AM71" s="127" t="str">
        <f>IF(60=60,IF(T71="","",T71),"")</f>
        <v xml:space="preserve">rondelles, les lardons, l’ail émincé et le bouquet garni. Versez le vin rouge </v>
      </c>
      <c r="AN71" s="127" t="str">
        <f>IF(60=60,LOWER(CLEAN(SUBSTITUTE(SUBSTITUTE(SUBSTITUTE(SUBSTITUTE(AM71,CHAR(160)," ")," "," "),CHAR(10)," "),CHAR(13)," "))),"")</f>
        <v xml:space="preserve">rondelles, les lardons, l’ail émincé et le bouquet garni. versez le vin rouge </v>
      </c>
      <c r="AO71" s="127" t="str">
        <f>IF(60=60,SUBSTITUTE(SUBSTITUTE(SUBSTITUTE(SUBSTITUTE(SUBSTITUTE(SUBSTITUTE(SUBSTITUTE(SUBSTITUTE(SUBSTITUTE(SUBSTITUTE(SUBSTITUTE(SUBSTITUTE(AN71,"œ","oe"),"æ","ae"),"à","a"),"á","a"),"â","a"),"ä","a"),"ã","a"),"ç","c"),"è","e"),"é","e"),"ê","e"),"ë","e"),"")</f>
        <v xml:space="preserve">rondelles, les lardons, l’ail emince et le bouquet garni. versez le vin rouge </v>
      </c>
      <c r="AP71" s="127" t="str">
        <f>IF(60=60,SUBSTITUTE(SUBSTITUTE(SUBSTITUTE(SUBSTITUTE(SUBSTITUTE(SUBSTITUTE(SUBSTITUTE(SUBSTITUTE(SUBSTITUTE(SUBSTITUTE(SUBSTITUTE(SUBSTITUTE(SUBSTITUTE(SUBSTITUTE(SUBSTITUTE(SUBSTITUTE(AO71,"ì","i"),"í","i"),"î","i"),"ï","i"),"ñ","n"),"ò","o"),"ó","o"),"ô","o"),"ö","o"),"õ","o"),"ù","u"),"ú","u"),"û","u"),"ü","u"),"ý","y"),"ÿ","y"),"")</f>
        <v xml:space="preserve">rondelles, les lardons, l’ail emince et le bouquet garni. versez le vin rouge </v>
      </c>
      <c r="AQ71" s="127" t="str">
        <f>IF(60=60,SUBSTITUTE(SUBSTITUTE(SUBSTITUTE(SUBSTITUTE(SUBSTITUTE(SUBSTITUTE(SUBSTITUTE(SUBSTITUTE(SUBSTITUTE(SUBSTITUTE(SUBSTITUTE(SUBSTITUTE(SUBSTITUTE(SUBSTITUTE(AP71,"’"," "),"`"," "),"–"," "),"—"," "),"-"," "),"'"," "),"/"," "),"_"," "),","," "),"."," "),"("," "),")"," "),";"," "),":"," "),"")</f>
        <v xml:space="preserve">rondelles  les lardons  l ail emince et le bouquet garni  versez le vin rouge </v>
      </c>
      <c r="AR71" s="127" t="str">
        <f>IF(60=60,SUBSTITUTE(SUBSTITUTE(SUBSTITUTE(SUBSTITUTE(SUBSTITUTE(SUBSTITUTE(SUBSTITUTE(SUBSTITUTE(SUBSTITUTE(SUBSTITUTE(SUBSTITUTE(SUBSTITUTE(SUBSTITUTE(SUBSTITUTE(SUBSTITUTE(AQ71,"!"," "),"?"," "),"+"," "),"*"," "),"&amp;"," "),"["," "),"]"," "),"{"," "),"}"," "),"%"," "),"="," "),"\"," "),"|"," "),"&lt;"," "),"&gt;"," "),"")</f>
        <v xml:space="preserve">rondelles  les lardons  l ail emince et le bouquet garni  versez le vin rouge </v>
      </c>
      <c r="AS71" s="127" t="str">
        <f>IF(60=60," "&amp;TRIM(SUBSTITUTE(SUBSTITUTE(SUBSTITUTE(SUBSTITUTE(SUBSTITUTE(SUBSTITUTE(AR71,CHAR(34)," "),"  "," "),"  "," "),"  "," "),"  "," "),"  "," "))&amp;" ","")</f>
        <v xml:space="preserve"> rondelles les lardons l ail emince et le bouquet garni versez le vin rouge </v>
      </c>
      <c r="AT71" s="127" cm="1">
        <f t="array" ref="AT71">IF(60=60,IF(AM71="","",SUMPRODUCT(--ISNUMBER(SEARCH(" "&amp;DJ13:DJ112&amp;" ",AV71)))),"")</f>
        <v>0</v>
      </c>
      <c r="AU71" s="127" cm="1">
        <f t="array" ref="AU71">IF(60=60,IF(AM71="","",SUMPRODUCT(--ISNUMBER(SEARCH(" "&amp;DJ113:DJ162&amp;" ",AV71)))),"")</f>
        <v>0</v>
      </c>
      <c r="AV71" s="127" t="str">
        <f>IF(AM71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rondelles les lardons l ail emince et le bouquet garni versez le vin rouge </v>
      </c>
      <c r="AW71" s="127" cm="1">
        <f t="array" ref="AW71">IF(AM71="","",SUMPRODUCT(--ISNUMBER(SEARCH(" "&amp;DJ195:DJ216&amp;" ",AV71)))+--ISNUMBER(SEARCH(" "&amp;DJ2465&amp;" ",AV71)))</f>
        <v>0</v>
      </c>
      <c r="AX71" s="127" t="str" cm="1">
        <f t="array" ref="AX71">IF(60=60,IF(AM71="","",IF(SUM(AT71:AU71)+SUMPRODUCT(--ISNUMBER(SEARCH(" "&amp;DJ2429:DJ2431&amp;" ",AV71)))&gt;0,"X",IF(AW71&gt;0,"?",""))),"")</f>
        <v/>
      </c>
      <c r="AY71" s="127" cm="1">
        <f t="array" ref="AY71">IF(60=60,IF(AM71="","",SUMPRODUCT(--ISNUMBER(SEARCH(" "&amp;DJ217:DJ316&amp;" ",AS71)))),"")</f>
        <v>0</v>
      </c>
      <c r="AZ71" s="127" cm="1">
        <f t="array" ref="AZ71">IF(60=60,IF(AM71="","",SUMPRODUCT(--ISNUMBER(SEARCH(" "&amp;DJ317:DJ351&amp;" ",AS71)))),"")</f>
        <v>0</v>
      </c>
      <c r="BA71" s="127" t="str">
        <f>IF(60=60,IF(AM71="","",IF((SUM(AY71:AZ71))-(0)&gt;0,"X",IF((0)-(0)&gt;0,"?",""))),"")</f>
        <v/>
      </c>
      <c r="BB71" s="127" cm="1">
        <f t="array" ref="BB71">IF(60=60,IF(AM71="","",SUMPRODUCT(--ISNUMBER(SEARCH(" "&amp;DJ352:DJ409&amp;" ",AS71)))),"")</f>
        <v>0</v>
      </c>
      <c r="BC71" s="127" cm="1">
        <f t="array" ref="BC71">IF(60=60,IF(AM71="","",SUMPRODUCT(--ISNUMBER(SEARCH(" "&amp;DJ410:DJ437&amp;" ",BD71)))+SUMPRODUCT(--ISNUMBER(SEARCH(" "&amp;DJ2451:DJ2464&amp;" ",BD71)))),"")</f>
        <v>1</v>
      </c>
      <c r="BD71" s="127" t="str">
        <f>IF(60=60,IF(AM71="","",SUBSTITUTE(SUBSTITUTE(SUBSTITUTE(SUBSTITUTE(SUBSTITUTE(SUBSTITUTE(SUBSTITUTE(SUBSTITUTE(SUBSTITUTE(SUBSTITUTE(SUBSTITUTE(SUBSTITUTE(SUBSTITUTE(SUBSTITUTE(AS71," "&amp;DJ2466&amp;" "," ")," "&amp;DJ444&amp;" "," ")," "&amp;DJ442&amp;" "," ")," "&amp;DJ2449&amp;" "," ")," "&amp;DJ2450&amp;" "," ")," "&amp;DJ439&amp;" "," ")," "&amp;DJ443&amp;" "," ")," "&amp;DJ445&amp;" "," ")," "&amp;DJ440&amp;" "," ")," "&amp;DJ438&amp;" "," ")," "&amp;DJ1378&amp;" "," ")," "&amp;DJ446&amp;" "," ")," "&amp;DJ1377&amp;" "," ")," "&amp;DJ441&amp;" "," ")),"")</f>
        <v xml:space="preserve"> rondelles les lardons l ail emince et le bouquet garni versez le vin rouge </v>
      </c>
      <c r="BE71" s="127" t="str">
        <f>IF(60=60,IF(AM71="","",IF(BB71&gt;0,"X",IF(BC71&gt;0,"?",""))),"")</f>
        <v>?</v>
      </c>
      <c r="BF71" s="127" cm="1">
        <f t="array" ref="BF71">IF(60=60,IF(AM71="","",SUMPRODUCT(--ISNUMBER(SEARCH(" "&amp;DJ447:DJ546&amp;" ",BP71)))),"")</f>
        <v>0</v>
      </c>
      <c r="BG71" s="127" cm="1">
        <f t="array" ref="BG71">IF(60=60,IF(AM71="","",SUMPRODUCT(--ISNUMBER(SEARCH(" "&amp;DJ547:DJ646&amp;" ",BP71)))),"")</f>
        <v>0</v>
      </c>
      <c r="BH71" s="127" cm="1">
        <f t="array" ref="BH71">IF(60=60,IF(AM71="","",SUMPRODUCT(--ISNUMBER(SEARCH(" "&amp;DJ647:DJ746&amp;" ",BP71)))),"")</f>
        <v>0</v>
      </c>
      <c r="BI71" s="127" cm="1">
        <f t="array" ref="BI71">IF(60=60,IF(AM71="","",SUMPRODUCT(--ISNUMBER(SEARCH(" "&amp;DJ747:DJ846&amp;" ",BP71)))),"")</f>
        <v>0</v>
      </c>
      <c r="BJ71" s="127" cm="1">
        <f t="array" ref="BJ71">IF(60=60,IF(AM71="","",SUMPRODUCT(--ISNUMBER(SEARCH(" "&amp;DJ847:DJ946&amp;" ",BP71)))),"")</f>
        <v>0</v>
      </c>
      <c r="BK71" s="127" cm="1">
        <f t="array" ref="BK71">IF(60=60,IF(AM71="","",SUMPRODUCT(--ISNUMBER(SEARCH(" "&amp;DJ947:DJ1046&amp;" ",BP71)))),"")</f>
        <v>0</v>
      </c>
      <c r="BL71" s="127" cm="1">
        <f t="array" ref="BL71">IF(60=60,IF(AM71="","",SUMPRODUCT(--ISNUMBER(SEARCH(" "&amp;DJ1047:DJ1146&amp;" ",BP71)))),"")</f>
        <v>0</v>
      </c>
      <c r="BM71" s="127" cm="1">
        <f t="array" ref="BM71">IF(60=60,IF(AM71="","",SUMPRODUCT(--ISNUMBER(SEARCH(" "&amp;DJ1147:DJ1246&amp;" ",BP71)))),"")</f>
        <v>0</v>
      </c>
      <c r="BN71" s="127" cm="1">
        <f t="array" ref="BN71">IF(60=60,IF(AM71="","",SUMPRODUCT(--ISNUMBER(SEARCH(" "&amp;DJ1247:DJ1346&amp;" ",BP71)))),"")</f>
        <v>0</v>
      </c>
      <c r="BO71" s="127" cm="1">
        <f t="array" ref="BO71">IF(60=60,IF(AM71="","",SUMPRODUCT(--ISNUMBER(SEARCH(" "&amp;DJ1347:DJ1374&amp;" ",BP71)))),"")</f>
        <v>0</v>
      </c>
      <c r="BP71" s="127" t="str">
        <f>IF(60=60,IF(AM71="","",SUBSTITUTE(SUBSTITUTE(SUBSTITUTE(SUBSTITUTE(SUBSTITUTE(SUBSTITUTE(SUBSTITUTE(SUBSTITUTE(SUBSTITUTE(AS71," "&amp;DJ1376&amp;" "," ")," "&amp;DJ1375&amp;" "," ")," "&amp;DJ1381&amp;" "," ")," "&amp;DJ1382&amp;" "," ")," "&amp;DJ1378&amp;" "," ")," "&amp;DJ1380&amp;" "," ")," "&amp;DJ1377&amp;" "," ")," "&amp;DJ1379&amp;" "," ")," "&amp;DJ1383&amp;" "," ")),"")</f>
        <v xml:space="preserve"> rondelles les lardons l ail emince et le bouquet garni versez le vin rouge </v>
      </c>
      <c r="BQ71" s="127" cm="1">
        <f t="array" ref="BQ71">IF(60=60,IF(AM71="","",SUMPRODUCT(--ISNUMBER(SEARCH(" "&amp;DJ1384:DJ1394&amp;" ",BP71)))),"")</f>
        <v>0</v>
      </c>
      <c r="BR71" s="127" t="str" cm="1">
        <f t="array" ref="BR71">IF(60=60,IF(AM71="","",IF(SUM(BF71:BO71)+SUMPRODUCT(--ISNUMBER(SEARCH(" "&amp;DJ2432:DJ2433&amp;" ",BP71)))&gt;0,"X",IF(BQ71&gt;0,"?",""))),"")</f>
        <v/>
      </c>
      <c r="BS71" s="127" cm="1">
        <f t="array" ref="BS71">IF(60=60,IF(AM71="","",SUMPRODUCT(--ISNUMBER(SEARCH(" "&amp;DJ1395:DJ1415&amp;" ",AS71)))),"")</f>
        <v>0</v>
      </c>
      <c r="BT71" s="127" t="str">
        <f>IF(60=60,IF(AM71="","",IF((BS71)-(0)&gt;0,"X",IF((0)-(0)&gt;0,"?",""))),"")</f>
        <v/>
      </c>
      <c r="BU71" s="127" cm="1">
        <f t="array" ref="BU71">IF(60=60,IF(AM71="","",SUMPRODUCT(--ISNUMBER(SEARCH(" "&amp;DJ1416:DJ1453&amp;" ",BV71)))),"")</f>
        <v>0</v>
      </c>
      <c r="BV71" s="127" t="str">
        <f>IF(60=60,IF(AM71="","",SUBSTITUTE(SUBSTITUTE(AS71," "&amp;DJ1454&amp;" "," ")," "&amp;DJ1455&amp;" "," ")),"")</f>
        <v xml:space="preserve"> rondelles les lardons l ail emince et le bouquet garni versez le vin rouge </v>
      </c>
      <c r="BW71" s="127" cm="1">
        <f t="array" ref="BW71">IF(60=60,IF(AM71="","",SUMPRODUCT(--ISNUMBER(SEARCH(" "&amp;DJ1456:DJ1466&amp;" ",BV71)))),"")</f>
        <v>0</v>
      </c>
      <c r="BX71" s="127" t="str">
        <f>IF(60=60,IF(AM71="","",IF(BU71&gt;0,"X",IF(BW71&gt;0,"?",""))),"")</f>
        <v/>
      </c>
      <c r="BY71" s="127" cm="1">
        <f t="array" ref="BY71">IF(60=60,IF(AM71="","",SUMPRODUCT(--ISNUMBER(SEARCH(" "&amp;DJ1467:DJ1566&amp;" ",CB71)))),"")</f>
        <v>0</v>
      </c>
      <c r="BZ71" s="127" cm="1">
        <f t="array" ref="BZ71">IF(60=60,IF(AM71="","",SUMPRODUCT(--ISNUMBER(SEARCH(" "&amp;DJ1567:DJ1666&amp;" ",CB71)))),"")</f>
        <v>0</v>
      </c>
      <c r="CA71" s="127" cm="1">
        <f t="array" ref="CA71">IF(60=60,IF(AM71="","",SUMPRODUCT(--ISNUMBER(SEARCH(" "&amp;DJ1667:DJ1750&amp;" ",CB71)))),"")</f>
        <v>0</v>
      </c>
      <c r="CB71" s="127" t="str">
        <f>IF(60=60,IF(AM71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rondelles les lardons l ail emince et le bouquet garni versez le vin rouge </v>
      </c>
      <c r="CC71" s="127" cm="1">
        <f t="array" ref="CC71">IF(60=60,IF(AM71="","",SUMPRODUCT(--ISNUMBER(SEARCH(" "&amp;DJ1801:DJ1880&amp;" ",CD71)))+SUMPRODUCT(--ISNUMBER(SEARCH(" "&amp;DJ2451:DJ2464&amp;" ",CD71)))),"")</f>
        <v>1</v>
      </c>
      <c r="CD71" s="127" t="str">
        <f>IF(60=60,IF(AM71="","",SUBSTITUTE(SUBSTITUTE(SUBSTITUTE(SUBSTITUTE(SUBSTITUTE(SUBSTITUTE(SUBSTITUTE(SUBSTITUTE(SUBSTITUTE(SUBSTITUTE(SUBSTITUTE(SUBSTITUTE(SUBSTITUTE(CB71," "&amp;DJ1887&amp;" "," ")," "&amp;DJ1885&amp;" "," ")," "&amp;DJ2449&amp;" "," ")," "&amp;DJ2450&amp;" "," ")," "&amp;DJ1882&amp;" "," ")," "&amp;DJ1886&amp;" "," ")," "&amp;DJ1888&amp;" "," ")," "&amp;DJ1883&amp;" "," ")," "&amp;DJ1881&amp;" "," ")," "&amp;DJ1378&amp;" "," ")," "&amp;DJ1889&amp;" "," ")," "&amp;DJ1377&amp;" "," ")," "&amp;DJ1884&amp;" "," ")),"")</f>
        <v xml:space="preserve"> rondelles les lardons l ail emince et le bouquet garni versez le vin rouge </v>
      </c>
      <c r="CE71" s="127" t="str" cm="1">
        <f t="array" ref="CE71">IF(60=60,IF(AM71="","",IF(SUM(BY71:CA71)+SUMPRODUCT(--ISNUMBER(SEARCH(" "&amp;DJ2434:DJ2435&amp;" ",CB71)))&gt;0,"X",IF(CC71&gt;0,"?",""))),"")</f>
        <v>?</v>
      </c>
      <c r="CF71" s="127" cm="1">
        <f t="array" ref="CF71">IF(60=60,IF(AM71="","",SUMPRODUCT(--ISNUMBER(SEARCH(" "&amp;DJ1890:DJ1947&amp;" ",CG71)))),"")</f>
        <v>0</v>
      </c>
      <c r="CG71" s="127" t="str">
        <f>IF(60=60,IF(AM71="","",SUBSTITUTE(SUBSTITUTE(SUBSTITUTE(SUBSTITUTE(SUBSTITUTE(SUBSTITUTE(SUBSTITUTE(SUBSTITUTE(SUBSTITUTE(SUBSTITUTE(SUBSTITUTE(SUBSTITUTE(SUBSTITUTE(SUBSTITUTE(SUBSTITUTE(SUBSTITUTE(SUBSTITUTE(SUBSTITUTE(SUBSTITUTE(SUBSTITUTE(SUBSTITUTE(SUBSTITUTE(SUBSTITUTE(AS71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rondelles les lardons l ail emince et le bouquet garni versez le vin rouge </v>
      </c>
      <c r="CH71" s="127" cm="1">
        <f t="array" ref="CH71">IF(60=60,IF(AM71="","",SUMPRODUCT(--ISNUMBER(SEARCH(" "&amp;DJ1971:DJ1987&amp;" ",CG71)))),"")</f>
        <v>0</v>
      </c>
      <c r="CI71" s="127" t="str">
        <f>IF(60=60,IF(AM71="","",IF(CF71&gt;0,"X",IF(CH71&gt;0,"?",""))),"")</f>
        <v/>
      </c>
      <c r="CJ71" s="127" cm="1">
        <f t="array" ref="CJ71">IF(60=60,IF(AM71="","",SUMPRODUCT(--ISNUMBER(SEARCH(" "&amp;DJ1988:DJ2001&amp;" ",AS71)))),"")</f>
        <v>0</v>
      </c>
      <c r="CK71" s="127" cm="1">
        <f t="array" ref="CK71">IF(60=60,IF(AM71="","",SUMPRODUCT(--ISNUMBER(SEARCH(" "&amp;DJ2002:DJ2016&amp;" ",AS71)))),"")</f>
        <v>0</v>
      </c>
      <c r="CL71" s="127" t="str">
        <f>IF(60=60,IF(AM71="","",IF((CJ71)-(0)&gt;0,"X",IF((CK71)-(0)&gt;0,"?",""))),"")</f>
        <v/>
      </c>
      <c r="CM71" s="127" cm="1">
        <f t="array" ref="CM71">IF(60=60,IF(AM71="","",SUMPRODUCT(--ISNUMBER(SEARCH(" "&amp;DJ2017:DJ2034&amp;" ",AS71)))),"")</f>
        <v>0</v>
      </c>
      <c r="CN71" s="127" cm="1">
        <f t="array" ref="CN71">IF(60=60,IF(AM71="","",SUMPRODUCT(--ISNUMBER(SEARCH(" "&amp;DJ2035:DJ2049&amp;" ",AS71)))),"")</f>
        <v>0</v>
      </c>
      <c r="CO71" s="127" t="str">
        <f>IF(60=60,IF(AM71="","",IF((CM71)-(0)&gt;0,"X",IF((CN71)-(0)&gt;0,"?",""))),"")</f>
        <v/>
      </c>
      <c r="CP71" s="127" cm="1">
        <f t="array" ref="CP71">IF(60=60,IF(AM71="","",SUMPRODUCT(--ISNUMBER(SEARCH(" "&amp;DJ2050:DJ2068&amp;" ",AS71)))),"")</f>
        <v>0</v>
      </c>
      <c r="CQ71" s="127" cm="1">
        <f t="array" ref="CQ71">IF(60=60,IF(AM71="","",SUMPRODUCT(--ISNUMBER(SEARCH(" "&amp;DJ2069:DJ2083&amp;" ",AS71)))),"")</f>
        <v>0</v>
      </c>
      <c r="CR71" s="127" t="str">
        <f>IF(60=60,IF(AM71="","",IF((CP71)-(0)&gt;0,"X",IF((CQ71)-(0)&gt;0,"?",""))),"")</f>
        <v/>
      </c>
      <c r="CS71" s="127" cm="1">
        <f t="array" ref="CS71">IF(60=60,IF(AM71="","",SUMPRODUCT(--ISNUMBER(SEARCH(" "&amp;DJ2084:DJ2104&amp;" ",AS71)))),"")</f>
        <v>0</v>
      </c>
      <c r="CT71" s="127" cm="1">
        <f t="array" ref="CT71">IF(60=60,IF(AM71="","",SUMPRODUCT(--ISNUMBER(SEARCH(" "&amp;DJ2105:DJ2144&amp;" ",SUBSTITUTE(SUBSTITUTE(AS71," "&amp;DJ1378&amp;" "," ")," "&amp;DJ1377&amp;" "," "))))+--ISNUMBER(SEARCH("poiré",AN71))),"")</f>
        <v>2</v>
      </c>
      <c r="CU71" s="127" t="str">
        <f>IF(60=60,IF(AM71="","",IF(OR(CS71&gt;0,ISNUMBER(SEARCH(" vinaigre de vin ",AS71)),ISNUMBER(SEARCH(" vinaigre au vin ",AS71))),"X",IF(CT71&gt;0,"?",""))),"")</f>
        <v>?</v>
      </c>
      <c r="CV71" s="127" cm="1">
        <f t="array" ref="CV71">IF(60=60,IF(AM71="","",SUMPRODUCT(--ISNUMBER(SEARCH(" "&amp;DJ2145:DJ2157&amp;" ",AS71)))),"")</f>
        <v>0</v>
      </c>
      <c r="CW71" s="127" cm="1">
        <f t="array" ref="CW71">IF(60=60,IF(AM71="","",SUMPRODUCT(--ISNUMBER(SEARCH(" "&amp;DJ2158:DJ2163&amp;" ",AS71)))),"")</f>
        <v>0</v>
      </c>
      <c r="CX71" s="127" t="str">
        <f>IF(60=60,IF(AM71="","",IF((CV71)-(0)&gt;0,"X",IF((CW71)-(0)&gt;0,"?",""))),"")</f>
        <v/>
      </c>
      <c r="CY71" s="127" cm="1">
        <f t="array" ref="CY71">IF(60=60,IF(AM71="","",SUMPRODUCT(--ISNUMBER(SEARCH(" "&amp;DJ2164:DJ2263&amp;" ",DB71)))),"")</f>
        <v>0</v>
      </c>
      <c r="CZ71" s="127" cm="1">
        <f t="array" ref="CZ71">IF(60=60,IF(AM71="","",SUMPRODUCT(--ISNUMBER(SEARCH(" "&amp;DJ2264:DJ2363&amp;" ",DB71)))),"")</f>
        <v>0</v>
      </c>
      <c r="DA71" s="127" cm="1">
        <f t="array" ref="DA71">IF(60=60,IF(AM71="","",SUMPRODUCT(--ISNUMBER(SEARCH(" "&amp;DJ2364:DJ2406&amp;" ",DB71)))),"")</f>
        <v>0</v>
      </c>
      <c r="DB71" s="127" t="str">
        <f>IF(60=60,IF(AM71="","",SUBSTITUTE(SUBSTITUTE(SUBSTITUTE(SUBSTITUTE(SUBSTITUTE(SUBSTITUTE(SUBSTITUTE(SUBSTITUTE(SUBSTITUTE(SUBSTITUTE(SUBSTITUTE(SUBSTITUTE(SUBSTITUTE(SUBSTITUTE(SUBSTITUTE(SUBSTITUTE(AS71," "&amp;DJ2412&amp;" "," ")," "&amp;DJ2411&amp;" "," ")," "&amp;DJ2410&amp;" "," ")," "&amp;DJ2417&amp;" "," ")," "&amp;DJ2409&amp;" "," ")," "&amp;DJ2421&amp;" "," ")," "&amp;DJ2408&amp;" "," ")," "&amp;DJ2413&amp;" "," ")," "&amp;DJ2416&amp;" "," ")," "&amp;DJ2407&amp;" "," ")," "&amp;DJ2415&amp;" "," ")," "&amp;DJ2422&amp;" "," ")," "&amp;DJ2419&amp;" "," ")," "&amp;DJ2414&amp;" "," ")," "&amp;DJ2418&amp;" "," ")," "&amp;DJ2420&amp;" "," ")),"")</f>
        <v xml:space="preserve"> rondelles les lardons l ail emince et le bouquet garni versez le vin rouge </v>
      </c>
      <c r="DC71" s="127" cm="1">
        <f t="array" ref="DC71">IF(60=60,IF(AM71="","",SUMPRODUCT(--ISNUMBER(SEARCH(" "&amp;DJ2423:DJ2427&amp;" ",DB71)))),"")</f>
        <v>0</v>
      </c>
      <c r="DD71" s="127" t="str">
        <f>IF(60=60,IF(AM71="","",IF(SUM(CY71:DA71)&gt;0,"X",IF(DC71&gt;0,"?",""))),"")</f>
        <v/>
      </c>
      <c r="DE71" s="152"/>
      <c r="DF71" s="160" t="s">
        <v>775</v>
      </c>
      <c r="DG71" s="160" t="s">
        <v>584</v>
      </c>
      <c r="DH71" s="160" t="s">
        <v>125</v>
      </c>
      <c r="DI71" s="160" t="s">
        <v>776</v>
      </c>
      <c r="DJ71" s="160" t="s">
        <v>776</v>
      </c>
      <c r="DK71" s="160" t="s">
        <v>588</v>
      </c>
      <c r="DL71" s="160" t="s">
        <v>589</v>
      </c>
      <c r="DM71" s="160" t="s">
        <v>590</v>
      </c>
      <c r="DN71" s="161" t="s">
        <v>591</v>
      </c>
      <c r="DP71" s="130">
        <v>1</v>
      </c>
    </row>
    <row r="72" spans="2:120" ht="30" customHeight="1">
      <c r="B72" s="165" t="str">
        <f t="shared" si="0"/>
        <v>►</v>
      </c>
      <c r="C72" s="165" t="str">
        <f t="shared" si="1"/>
        <v>►</v>
      </c>
      <c r="D72" s="165" t="str">
        <f>IF(UPPER(TRIM(N11))="X",C72,B72)</f>
        <v>►</v>
      </c>
      <c r="E72" s="165" cm="1">
        <f t="array" ref="E72">IF(H71&lt;&gt;"",E71,IF(E71="","",IFERROR(MATCH(TRUE(),INDEX(INDEX(K:K,E71+1):K203&lt;&gt;"",0),0)+E71,"")))</f>
        <v>55</v>
      </c>
      <c r="F72" s="165" t="str" cm="1">
        <f t="array" ref="F72">IF(E72="","",IF(H71&lt;&gt;"",H71,INDEX(D:D,E72)))</f>
        <v>sur le tout et laissez mariner au frais pendant 24 heures.</v>
      </c>
      <c r="G72" s="165" t="str">
        <f t="shared" si="2"/>
        <v>sur le tout et laissez mariner au frais pendant 24 heures.</v>
      </c>
      <c r="H72" s="174" t="str">
        <f t="shared" si="3"/>
        <v/>
      </c>
      <c r="I72" s="184" t="str">
        <f>IF(AND(F72&lt;&gt;"",N10&gt;0,M72&gt;N10),"Mot &gt; limite","")</f>
        <v/>
      </c>
      <c r="J72" s="175">
        <f>IF(K72="","",COUNTIF(K18:K72,"&lt;&gt;"))</f>
        <v>45</v>
      </c>
      <c r="K72" s="111" t="s">
        <v>20</v>
      </c>
      <c r="L72" s="175">
        <f t="shared" si="4"/>
        <v>1</v>
      </c>
      <c r="M72" s="135">
        <f>IF(OR(F72="",N10="",N10&lt;=0),"",IF(LEN(F72)&lt;=N10,LEN(F72),IFERROR(FIND("♦",SUBSTITUTE(LEFT(F72,N10)," ","♦",LEN(LEFT(F72,N10))-LEN(SUBSTITUTE(LEFT(F72,N10)," ","")))),FIND(" ",F72&amp;" ",N10+1)-1)))</f>
        <v>58</v>
      </c>
      <c r="N72" s="176">
        <f t="shared" si="5"/>
        <v>55</v>
      </c>
      <c r="O72" s="177" t="str">
        <f t="shared" si="6"/>
        <v>sur le tout et laissez mariner au frais pendant 24 heures.</v>
      </c>
      <c r="P72" s="176">
        <f t="shared" si="7"/>
        <v>11</v>
      </c>
      <c r="Q72" s="176">
        <f t="shared" si="8"/>
        <v>58</v>
      </c>
      <c r="S72" s="178">
        <v>55</v>
      </c>
      <c r="T72" s="179" t="str">
        <f t="shared" si="10"/>
        <v>sur le tout et laissez mariner au frais pendant 24 heures.</v>
      </c>
      <c r="U72" s="180" t="str">
        <f t="shared" si="11"/>
        <v>sur le tout et laissez mariner au frais pendant 24 heures.</v>
      </c>
      <c r="V72" s="181" t="str">
        <f>IF(61=61,IF(T72="","",IF(W72="X",""&amp;"Céréales contenant du gluten","")&amp;IF(X72="X",IF(COUNTIF(W72:W72,"X")&gt;0,", ","")&amp;"Crustacés","")&amp;IF(Y72="X",IF(COUNTIF(W72:X72,"X")&gt;0,", ","")&amp;"Œufs","")&amp;IF(Z72="X",IF(COUNTIF(W72:Y72,"X")&gt;0,", ","")&amp;"Poissons","")&amp;IF(AA72="X",IF(COUNTIF(W72:Z72,"X")&gt;0,", ","")&amp;"Arachides","")&amp;IF(AB72="X",IF(COUNTIF(W72:AA72,"X")&gt;0,", ","")&amp;"Soja","")&amp;IF(AC72="X",IF(COUNTIF(W72:AB72,"X")&gt;0,", ","")&amp;"Lait","")&amp;IF(AD72="X",IF(COUNTIF(W72:AC72,"X")&gt;0,", ","")&amp;"Fruits à coque","")&amp;IF(AE72="X",IF(COUNTIF(W72:AD72,"X")&gt;0,", ","")&amp;"Céleri","")&amp;IF(AF72="X",IF(COUNTIF(W72:AE72,"X")&gt;0,", ","")&amp;"Moutarde","")&amp;IF(AG72="X",IF(COUNTIF(W72:AF72,"X")&gt;0,", ","")&amp;"Sésame","")&amp;IF(AH72="X",IF(COUNTIF(W72:AG72,"X")&gt;0,", ","")&amp;"Sulfites","")&amp;IF(AI72="X",IF(COUNTIF(W72:AH72,"X")&gt;0,", ","")&amp;"Lupin","")&amp;IF(AJ72="X",IF(COUNTIF(W72:AI72,"X")&gt;0,", ","")&amp;"Mollusques","")),"")</f>
        <v/>
      </c>
      <c r="W72" s="182" t="str">
        <f>IF(61=61,IF(T72="","",AX72),"")</f>
        <v/>
      </c>
      <c r="X72" s="182" t="str">
        <f>IF(61=61,IF(T72="","",BA72),"")</f>
        <v/>
      </c>
      <c r="Y72" s="182" t="str">
        <f>IF(61=61,IF(T72="","",BE72),"")</f>
        <v/>
      </c>
      <c r="Z72" s="182" t="str">
        <f>IF(61=61,IF(T72="","",IF(ISNUMBER(SEARCH(" colin ",AS72)),"X",BR72)),"")</f>
        <v/>
      </c>
      <c r="AA72" s="182" t="str">
        <f>IF(61=61,IF(T72="","",BT72),"")</f>
        <v/>
      </c>
      <c r="AB72" s="182" t="str">
        <f>IF(61=61,IF(T72="","",BX72),"")</f>
        <v/>
      </c>
      <c r="AC72" s="182" t="str">
        <f>IF(61=61,IF(T72="","",CE72),"")</f>
        <v/>
      </c>
      <c r="AD72" s="182" t="str">
        <f>IF(61=61,IF(T72="","",CI72),"")</f>
        <v/>
      </c>
      <c r="AE72" s="182" t="str">
        <f>IF(61=61,IF(T72="","",CL72),"")</f>
        <v/>
      </c>
      <c r="AF72" s="182" t="str">
        <f>IF(61=61,IF(T72="","",CO72),"")</f>
        <v/>
      </c>
      <c r="AG72" s="182" t="str">
        <f>IF(61=61,IF(T72="","",CR72),"")</f>
        <v/>
      </c>
      <c r="AH72" s="182" t="str">
        <f>IF(61=61,IF(T72="","",CU72),"")</f>
        <v/>
      </c>
      <c r="AI72" s="182" t="str">
        <f>IF(61=61,IF(T72="","",CX72),"")</f>
        <v/>
      </c>
      <c r="AJ72" s="182" t="str">
        <f>IF(61=61,IF(T72="","",DD72),"")</f>
        <v/>
      </c>
      <c r="AK72" s="183" t="str">
        <f>IF(61=61,IF(T72="","",IF(W72="?",""&amp;"Céréales contenant du gluten","")&amp;IF(X72="?",IF(COUNTIF(W72:W72,"~?")&gt;0,", ","")&amp;"Crustacés","")&amp;IF(Y72="?",IF(COUNTIF(W72:X72,"~?")&gt;0,", ","")&amp;"Œufs","")&amp;IF(Z72="?",IF(COUNTIF(W72:Y72,"~?")&gt;0,", ","")&amp;"Poissons","")&amp;IF(AA72="?",IF(COUNTIF(W72:Z72,"~?")&gt;0,", ","")&amp;"Arachides","")&amp;IF(AB72="?",IF(COUNTIF(W72:AA72,"~?")&gt;0,", ","")&amp;"Soja","")&amp;IF(AC72="?",IF(COUNTIF(W72:AB72,"~?")&gt;0,", ","")&amp;"Lait","")&amp;IF(AD72="?",IF(COUNTIF(W72:AC72,"~?")&gt;0,", ","")&amp;"Fruits à coque","")&amp;IF(AE72="?",IF(COUNTIF(W72:AD72,"~?")&gt;0,", ","")&amp;"Céleri","")&amp;IF(AF72="?",IF(COUNTIF(W72:AE72,"~?")&gt;0,", ","")&amp;"Moutarde","")&amp;IF(AG72="?",IF(COUNTIF(W72:AF72,"~?")&gt;0,", ","")&amp;"Sésame","")&amp;IF(AH72="?",IF(COUNTIF(W72:AG72,"~?")&gt;0,", ","")&amp;"Sulfites","")&amp;IF(AI72="?",IF(COUNTIF(W72:AH72,"~?")&gt;0,", ","")&amp;"Lupin","")&amp;IF(AJ72="?",IF(COUNTIF(W72:AI72,"~?")&gt;0,", ","")&amp;"Mollusques","")),"")</f>
        <v/>
      </c>
      <c r="AM72" s="127" t="str">
        <f>IF(61=61,IF(T72="","",T72),"")</f>
        <v>sur le tout et laissez mariner au frais pendant 24 heures.</v>
      </c>
      <c r="AN72" s="127" t="str">
        <f>IF(61=61,LOWER(CLEAN(SUBSTITUTE(SUBSTITUTE(SUBSTITUTE(SUBSTITUTE(AM72,CHAR(160)," ")," "," "),CHAR(10)," "),CHAR(13)," "))),"")</f>
        <v>sur le tout et laissez mariner au frais pendant 24 heures.</v>
      </c>
      <c r="AO72" s="127" t="str">
        <f>IF(61=61,SUBSTITUTE(SUBSTITUTE(SUBSTITUTE(SUBSTITUTE(SUBSTITUTE(SUBSTITUTE(SUBSTITUTE(SUBSTITUTE(SUBSTITUTE(SUBSTITUTE(SUBSTITUTE(SUBSTITUTE(AN72,"œ","oe"),"æ","ae"),"à","a"),"á","a"),"â","a"),"ä","a"),"ã","a"),"ç","c"),"è","e"),"é","e"),"ê","e"),"ë","e"),"")</f>
        <v>sur le tout et laissez mariner au frais pendant 24 heures.</v>
      </c>
      <c r="AP72" s="127" t="str">
        <f>IF(61=61,SUBSTITUTE(SUBSTITUTE(SUBSTITUTE(SUBSTITUTE(SUBSTITUTE(SUBSTITUTE(SUBSTITUTE(SUBSTITUTE(SUBSTITUTE(SUBSTITUTE(SUBSTITUTE(SUBSTITUTE(SUBSTITUTE(SUBSTITUTE(SUBSTITUTE(SUBSTITUTE(AO72,"ì","i"),"í","i"),"î","i"),"ï","i"),"ñ","n"),"ò","o"),"ó","o"),"ô","o"),"ö","o"),"õ","o"),"ù","u"),"ú","u"),"û","u"),"ü","u"),"ý","y"),"ÿ","y"),"")</f>
        <v>sur le tout et laissez mariner au frais pendant 24 heures.</v>
      </c>
      <c r="AQ72" s="127" t="str">
        <f>IF(61=61,SUBSTITUTE(SUBSTITUTE(SUBSTITUTE(SUBSTITUTE(SUBSTITUTE(SUBSTITUTE(SUBSTITUTE(SUBSTITUTE(SUBSTITUTE(SUBSTITUTE(SUBSTITUTE(SUBSTITUTE(SUBSTITUTE(SUBSTITUTE(AP72,"’"," "),"`"," "),"–"," "),"—"," "),"-"," "),"'"," "),"/"," "),"_"," "),","," "),"."," "),"("," "),")"," "),";"," "),":"," "),"")</f>
        <v xml:space="preserve">sur le tout et laissez mariner au frais pendant 24 heures </v>
      </c>
      <c r="AR72" s="127" t="str">
        <f>IF(61=61,SUBSTITUTE(SUBSTITUTE(SUBSTITUTE(SUBSTITUTE(SUBSTITUTE(SUBSTITUTE(SUBSTITUTE(SUBSTITUTE(SUBSTITUTE(SUBSTITUTE(SUBSTITUTE(SUBSTITUTE(SUBSTITUTE(SUBSTITUTE(SUBSTITUTE(AQ72,"!"," "),"?"," "),"+"," "),"*"," "),"&amp;"," "),"["," "),"]"," "),"{"," "),"}"," "),"%"," "),"="," "),"\"," "),"|"," "),"&lt;"," "),"&gt;"," "),"")</f>
        <v xml:space="preserve">sur le tout et laissez mariner au frais pendant 24 heures </v>
      </c>
      <c r="AS72" s="127" t="str">
        <f>IF(61=61," "&amp;TRIM(SUBSTITUTE(SUBSTITUTE(SUBSTITUTE(SUBSTITUTE(SUBSTITUTE(SUBSTITUTE(AR72,CHAR(34)," "),"  "," "),"  "," "),"  "," "),"  "," "),"  "," "))&amp;" ","")</f>
        <v xml:space="preserve"> sur le tout et laissez mariner au frais pendant 24 heures </v>
      </c>
      <c r="AT72" s="127" cm="1">
        <f t="array" ref="AT72">IF(61=61,IF(AM72="","",SUMPRODUCT(--ISNUMBER(SEARCH(" "&amp;DJ13:DJ112&amp;" ",AV72)))),"")</f>
        <v>0</v>
      </c>
      <c r="AU72" s="127" cm="1">
        <f t="array" ref="AU72">IF(61=61,IF(AM72="","",SUMPRODUCT(--ISNUMBER(SEARCH(" "&amp;DJ113:DJ162&amp;" ",AV72)))),"")</f>
        <v>0</v>
      </c>
      <c r="AV72" s="127" t="str">
        <f>IF(AM72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sur le tout et laissez mariner au frais pendant 24 heures </v>
      </c>
      <c r="AW72" s="127" cm="1">
        <f t="array" ref="AW72">IF(AM72="","",SUMPRODUCT(--ISNUMBER(SEARCH(" "&amp;DJ195:DJ216&amp;" ",AV72)))+--ISNUMBER(SEARCH(" "&amp;DJ2465&amp;" ",AV72)))</f>
        <v>0</v>
      </c>
      <c r="AX72" s="127" t="str" cm="1">
        <f t="array" ref="AX72">IF(61=61,IF(AM72="","",IF(SUM(AT72:AU72)+SUMPRODUCT(--ISNUMBER(SEARCH(" "&amp;DJ2429:DJ2431&amp;" ",AV72)))&gt;0,"X",IF(AW72&gt;0,"?",""))),"")</f>
        <v/>
      </c>
      <c r="AY72" s="127" cm="1">
        <f t="array" ref="AY72">IF(61=61,IF(AM72="","",SUMPRODUCT(--ISNUMBER(SEARCH(" "&amp;DJ217:DJ316&amp;" ",AS72)))),"")</f>
        <v>0</v>
      </c>
      <c r="AZ72" s="127" cm="1">
        <f t="array" ref="AZ72">IF(61=61,IF(AM72="","",SUMPRODUCT(--ISNUMBER(SEARCH(" "&amp;DJ317:DJ351&amp;" ",AS72)))),"")</f>
        <v>0</v>
      </c>
      <c r="BA72" s="127" t="str">
        <f>IF(61=61,IF(AM72="","",IF((SUM(AY72:AZ72))-(0)&gt;0,"X",IF((0)-(0)&gt;0,"?",""))),"")</f>
        <v/>
      </c>
      <c r="BB72" s="127" cm="1">
        <f t="array" ref="BB72">IF(61=61,IF(AM72="","",SUMPRODUCT(--ISNUMBER(SEARCH(" "&amp;DJ352:DJ409&amp;" ",AS72)))),"")</f>
        <v>0</v>
      </c>
      <c r="BC72" s="127" cm="1">
        <f t="array" ref="BC72">IF(61=61,IF(AM72="","",SUMPRODUCT(--ISNUMBER(SEARCH(" "&amp;DJ410:DJ437&amp;" ",BD72)))+SUMPRODUCT(--ISNUMBER(SEARCH(" "&amp;DJ2451:DJ2464&amp;" ",BD72)))),"")</f>
        <v>0</v>
      </c>
      <c r="BD72" s="127" t="str">
        <f>IF(61=61,IF(AM72="","",SUBSTITUTE(SUBSTITUTE(SUBSTITUTE(SUBSTITUTE(SUBSTITUTE(SUBSTITUTE(SUBSTITUTE(SUBSTITUTE(SUBSTITUTE(SUBSTITUTE(SUBSTITUTE(SUBSTITUTE(SUBSTITUTE(SUBSTITUTE(AS72," "&amp;DJ2466&amp;" "," ")," "&amp;DJ444&amp;" "," ")," "&amp;DJ442&amp;" "," ")," "&amp;DJ2449&amp;" "," ")," "&amp;DJ2450&amp;" "," ")," "&amp;DJ439&amp;" "," ")," "&amp;DJ443&amp;" "," ")," "&amp;DJ445&amp;" "," ")," "&amp;DJ440&amp;" "," ")," "&amp;DJ438&amp;" "," ")," "&amp;DJ1378&amp;" "," ")," "&amp;DJ446&amp;" "," ")," "&amp;DJ1377&amp;" "," ")," "&amp;DJ441&amp;" "," ")),"")</f>
        <v xml:space="preserve"> sur le tout et laissez mariner au frais pendant 24 heures </v>
      </c>
      <c r="BE72" s="127" t="str">
        <f>IF(61=61,IF(AM72="","",IF(BB72&gt;0,"X",IF(BC72&gt;0,"?",""))),"")</f>
        <v/>
      </c>
      <c r="BF72" s="127" cm="1">
        <f t="array" ref="BF72">IF(61=61,IF(AM72="","",SUMPRODUCT(--ISNUMBER(SEARCH(" "&amp;DJ447:DJ546&amp;" ",BP72)))),"")</f>
        <v>0</v>
      </c>
      <c r="BG72" s="127" cm="1">
        <f t="array" ref="BG72">IF(61=61,IF(AM72="","",SUMPRODUCT(--ISNUMBER(SEARCH(" "&amp;DJ547:DJ646&amp;" ",BP72)))),"")</f>
        <v>0</v>
      </c>
      <c r="BH72" s="127" cm="1">
        <f t="array" ref="BH72">IF(61=61,IF(AM72="","",SUMPRODUCT(--ISNUMBER(SEARCH(" "&amp;DJ647:DJ746&amp;" ",BP72)))),"")</f>
        <v>0</v>
      </c>
      <c r="BI72" s="127" cm="1">
        <f t="array" ref="BI72">IF(61=61,IF(AM72="","",SUMPRODUCT(--ISNUMBER(SEARCH(" "&amp;DJ747:DJ846&amp;" ",BP72)))),"")</f>
        <v>0</v>
      </c>
      <c r="BJ72" s="127" cm="1">
        <f t="array" ref="BJ72">IF(61=61,IF(AM72="","",SUMPRODUCT(--ISNUMBER(SEARCH(" "&amp;DJ847:DJ946&amp;" ",BP72)))),"")</f>
        <v>0</v>
      </c>
      <c r="BK72" s="127" cm="1">
        <f t="array" ref="BK72">IF(61=61,IF(AM72="","",SUMPRODUCT(--ISNUMBER(SEARCH(" "&amp;DJ947:DJ1046&amp;" ",BP72)))),"")</f>
        <v>0</v>
      </c>
      <c r="BL72" s="127" cm="1">
        <f t="array" ref="BL72">IF(61=61,IF(AM72="","",SUMPRODUCT(--ISNUMBER(SEARCH(" "&amp;DJ1047:DJ1146&amp;" ",BP72)))),"")</f>
        <v>0</v>
      </c>
      <c r="BM72" s="127" cm="1">
        <f t="array" ref="BM72">IF(61=61,IF(AM72="","",SUMPRODUCT(--ISNUMBER(SEARCH(" "&amp;DJ1147:DJ1246&amp;" ",BP72)))),"")</f>
        <v>0</v>
      </c>
      <c r="BN72" s="127" cm="1">
        <f t="array" ref="BN72">IF(61=61,IF(AM72="","",SUMPRODUCT(--ISNUMBER(SEARCH(" "&amp;DJ1247:DJ1346&amp;" ",BP72)))),"")</f>
        <v>0</v>
      </c>
      <c r="BO72" s="127" cm="1">
        <f t="array" ref="BO72">IF(61=61,IF(AM72="","",SUMPRODUCT(--ISNUMBER(SEARCH(" "&amp;DJ1347:DJ1374&amp;" ",BP72)))),"")</f>
        <v>0</v>
      </c>
      <c r="BP72" s="127" t="str">
        <f>IF(61=61,IF(AM72="","",SUBSTITUTE(SUBSTITUTE(SUBSTITUTE(SUBSTITUTE(SUBSTITUTE(SUBSTITUTE(SUBSTITUTE(SUBSTITUTE(SUBSTITUTE(AS72," "&amp;DJ1376&amp;" "," ")," "&amp;DJ1375&amp;" "," ")," "&amp;DJ1381&amp;" "," ")," "&amp;DJ1382&amp;" "," ")," "&amp;DJ1378&amp;" "," ")," "&amp;DJ1380&amp;" "," ")," "&amp;DJ1377&amp;" "," ")," "&amp;DJ1379&amp;" "," ")," "&amp;DJ1383&amp;" "," ")),"")</f>
        <v xml:space="preserve"> sur le tout et laissez mariner au frais pendant 24 heures </v>
      </c>
      <c r="BQ72" s="127" cm="1">
        <f t="array" ref="BQ72">IF(61=61,IF(AM72="","",SUMPRODUCT(--ISNUMBER(SEARCH(" "&amp;DJ1384:DJ1394&amp;" ",BP72)))),"")</f>
        <v>0</v>
      </c>
      <c r="BR72" s="127" t="str" cm="1">
        <f t="array" ref="BR72">IF(61=61,IF(AM72="","",IF(SUM(BF72:BO72)+SUMPRODUCT(--ISNUMBER(SEARCH(" "&amp;DJ2432:DJ2433&amp;" ",BP72)))&gt;0,"X",IF(BQ72&gt;0,"?",""))),"")</f>
        <v/>
      </c>
      <c r="BS72" s="127" cm="1">
        <f t="array" ref="BS72">IF(61=61,IF(AM72="","",SUMPRODUCT(--ISNUMBER(SEARCH(" "&amp;DJ1395:DJ1415&amp;" ",AS72)))),"")</f>
        <v>0</v>
      </c>
      <c r="BT72" s="127" t="str">
        <f>IF(61=61,IF(AM72="","",IF((BS72)-(0)&gt;0,"X",IF((0)-(0)&gt;0,"?",""))),"")</f>
        <v/>
      </c>
      <c r="BU72" s="127" cm="1">
        <f t="array" ref="BU72">IF(61=61,IF(AM72="","",SUMPRODUCT(--ISNUMBER(SEARCH(" "&amp;DJ1416:DJ1453&amp;" ",BV72)))),"")</f>
        <v>0</v>
      </c>
      <c r="BV72" s="127" t="str">
        <f>IF(61=61,IF(AM72="","",SUBSTITUTE(SUBSTITUTE(AS72," "&amp;DJ1454&amp;" "," ")," "&amp;DJ1455&amp;" "," ")),"")</f>
        <v xml:space="preserve"> sur le tout et laissez mariner au frais pendant 24 heures </v>
      </c>
      <c r="BW72" s="127" cm="1">
        <f t="array" ref="BW72">IF(61=61,IF(AM72="","",SUMPRODUCT(--ISNUMBER(SEARCH(" "&amp;DJ1456:DJ1466&amp;" ",BV72)))),"")</f>
        <v>0</v>
      </c>
      <c r="BX72" s="127" t="str">
        <f>IF(61=61,IF(AM72="","",IF(BU72&gt;0,"X",IF(BW72&gt;0,"?",""))),"")</f>
        <v/>
      </c>
      <c r="BY72" s="127" cm="1">
        <f t="array" ref="BY72">IF(61=61,IF(AM72="","",SUMPRODUCT(--ISNUMBER(SEARCH(" "&amp;DJ1467:DJ1566&amp;" ",CB72)))),"")</f>
        <v>0</v>
      </c>
      <c r="BZ72" s="127" cm="1">
        <f t="array" ref="BZ72">IF(61=61,IF(AM72="","",SUMPRODUCT(--ISNUMBER(SEARCH(" "&amp;DJ1567:DJ1666&amp;" ",CB72)))),"")</f>
        <v>0</v>
      </c>
      <c r="CA72" s="127" cm="1">
        <f t="array" ref="CA72">IF(61=61,IF(AM72="","",SUMPRODUCT(--ISNUMBER(SEARCH(" "&amp;DJ1667:DJ1750&amp;" ",CB72)))),"")</f>
        <v>0</v>
      </c>
      <c r="CB72" s="127" t="str">
        <f>IF(61=61,IF(AM72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sur le tout et laissez mariner au frais pendant 24 heures </v>
      </c>
      <c r="CC72" s="127" cm="1">
        <f t="array" ref="CC72">IF(61=61,IF(AM72="","",SUMPRODUCT(--ISNUMBER(SEARCH(" "&amp;DJ1801:DJ1880&amp;" ",CD72)))+SUMPRODUCT(--ISNUMBER(SEARCH(" "&amp;DJ2451:DJ2464&amp;" ",CD72)))),"")</f>
        <v>0</v>
      </c>
      <c r="CD72" s="127" t="str">
        <f>IF(61=61,IF(AM72="","",SUBSTITUTE(SUBSTITUTE(SUBSTITUTE(SUBSTITUTE(SUBSTITUTE(SUBSTITUTE(SUBSTITUTE(SUBSTITUTE(SUBSTITUTE(SUBSTITUTE(SUBSTITUTE(SUBSTITUTE(SUBSTITUTE(CB72," "&amp;DJ1887&amp;" "," ")," "&amp;DJ1885&amp;" "," ")," "&amp;DJ2449&amp;" "," ")," "&amp;DJ2450&amp;" "," ")," "&amp;DJ1882&amp;" "," ")," "&amp;DJ1886&amp;" "," ")," "&amp;DJ1888&amp;" "," ")," "&amp;DJ1883&amp;" "," ")," "&amp;DJ1881&amp;" "," ")," "&amp;DJ1378&amp;" "," ")," "&amp;DJ1889&amp;" "," ")," "&amp;DJ1377&amp;" "," ")," "&amp;DJ1884&amp;" "," ")),"")</f>
        <v xml:space="preserve"> sur le tout et laissez mariner au frais pendant 24 heures </v>
      </c>
      <c r="CE72" s="127" t="str" cm="1">
        <f t="array" ref="CE72">IF(61=61,IF(AM72="","",IF(SUM(BY72:CA72)+SUMPRODUCT(--ISNUMBER(SEARCH(" "&amp;DJ2434:DJ2435&amp;" ",CB72)))&gt;0,"X",IF(CC72&gt;0,"?",""))),"")</f>
        <v/>
      </c>
      <c r="CF72" s="127" cm="1">
        <f t="array" ref="CF72">IF(61=61,IF(AM72="","",SUMPRODUCT(--ISNUMBER(SEARCH(" "&amp;DJ1890:DJ1947&amp;" ",CG72)))),"")</f>
        <v>0</v>
      </c>
      <c r="CG72" s="127" t="str">
        <f>IF(61=61,IF(AM72="","",SUBSTITUTE(SUBSTITUTE(SUBSTITUTE(SUBSTITUTE(SUBSTITUTE(SUBSTITUTE(SUBSTITUTE(SUBSTITUTE(SUBSTITUTE(SUBSTITUTE(SUBSTITUTE(SUBSTITUTE(SUBSTITUTE(SUBSTITUTE(SUBSTITUTE(SUBSTITUTE(SUBSTITUTE(SUBSTITUTE(SUBSTITUTE(SUBSTITUTE(SUBSTITUTE(SUBSTITUTE(SUBSTITUTE(AS72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sur le tout et laissez mariner au frais pendant 24 heures </v>
      </c>
      <c r="CH72" s="127" cm="1">
        <f t="array" ref="CH72">IF(61=61,IF(AM72="","",SUMPRODUCT(--ISNUMBER(SEARCH(" "&amp;DJ1971:DJ1987&amp;" ",CG72)))),"")</f>
        <v>0</v>
      </c>
      <c r="CI72" s="127" t="str">
        <f>IF(61=61,IF(AM72="","",IF(CF72&gt;0,"X",IF(CH72&gt;0,"?",""))),"")</f>
        <v/>
      </c>
      <c r="CJ72" s="127" cm="1">
        <f t="array" ref="CJ72">IF(61=61,IF(AM72="","",SUMPRODUCT(--ISNUMBER(SEARCH(" "&amp;DJ1988:DJ2001&amp;" ",AS72)))),"")</f>
        <v>0</v>
      </c>
      <c r="CK72" s="127" cm="1">
        <f t="array" ref="CK72">IF(61=61,IF(AM72="","",SUMPRODUCT(--ISNUMBER(SEARCH(" "&amp;DJ2002:DJ2016&amp;" ",AS72)))),"")</f>
        <v>0</v>
      </c>
      <c r="CL72" s="127" t="str">
        <f>IF(61=61,IF(AM72="","",IF((CJ72)-(0)&gt;0,"X",IF((CK72)-(0)&gt;0,"?",""))),"")</f>
        <v/>
      </c>
      <c r="CM72" s="127" cm="1">
        <f t="array" ref="CM72">IF(61=61,IF(AM72="","",SUMPRODUCT(--ISNUMBER(SEARCH(" "&amp;DJ2017:DJ2034&amp;" ",AS72)))),"")</f>
        <v>0</v>
      </c>
      <c r="CN72" s="127" cm="1">
        <f t="array" ref="CN72">IF(61=61,IF(AM72="","",SUMPRODUCT(--ISNUMBER(SEARCH(" "&amp;DJ2035:DJ2049&amp;" ",AS72)))),"")</f>
        <v>0</v>
      </c>
      <c r="CO72" s="127" t="str">
        <f>IF(61=61,IF(AM72="","",IF((CM72)-(0)&gt;0,"X",IF((CN72)-(0)&gt;0,"?",""))),"")</f>
        <v/>
      </c>
      <c r="CP72" s="127" cm="1">
        <f t="array" ref="CP72">IF(61=61,IF(AM72="","",SUMPRODUCT(--ISNUMBER(SEARCH(" "&amp;DJ2050:DJ2068&amp;" ",AS72)))),"")</f>
        <v>0</v>
      </c>
      <c r="CQ72" s="127" cm="1">
        <f t="array" ref="CQ72">IF(61=61,IF(AM72="","",SUMPRODUCT(--ISNUMBER(SEARCH(" "&amp;DJ2069:DJ2083&amp;" ",AS72)))),"")</f>
        <v>0</v>
      </c>
      <c r="CR72" s="127" t="str">
        <f>IF(61=61,IF(AM72="","",IF((CP72)-(0)&gt;0,"X",IF((CQ72)-(0)&gt;0,"?",""))),"")</f>
        <v/>
      </c>
      <c r="CS72" s="127" cm="1">
        <f t="array" ref="CS72">IF(61=61,IF(AM72="","",SUMPRODUCT(--ISNUMBER(SEARCH(" "&amp;DJ2084:DJ2104&amp;" ",AS72)))),"")</f>
        <v>0</v>
      </c>
      <c r="CT72" s="127" cm="1">
        <f t="array" ref="CT72">IF(61=61,IF(AM72="","",SUMPRODUCT(--ISNUMBER(SEARCH(" "&amp;DJ2105:DJ2144&amp;" ",SUBSTITUTE(SUBSTITUTE(AS72," "&amp;DJ1378&amp;" "," ")," "&amp;DJ1377&amp;" "," "))))+--ISNUMBER(SEARCH("poiré",AN72))),"")</f>
        <v>0</v>
      </c>
      <c r="CU72" s="127" t="str">
        <f>IF(61=61,IF(AM72="","",IF(OR(CS72&gt;0,ISNUMBER(SEARCH(" vinaigre de vin ",AS72)),ISNUMBER(SEARCH(" vinaigre au vin ",AS72))),"X",IF(CT72&gt;0,"?",""))),"")</f>
        <v/>
      </c>
      <c r="CV72" s="127" cm="1">
        <f t="array" ref="CV72">IF(61=61,IF(AM72="","",SUMPRODUCT(--ISNUMBER(SEARCH(" "&amp;DJ2145:DJ2157&amp;" ",AS72)))),"")</f>
        <v>0</v>
      </c>
      <c r="CW72" s="127" cm="1">
        <f t="array" ref="CW72">IF(61=61,IF(AM72="","",SUMPRODUCT(--ISNUMBER(SEARCH(" "&amp;DJ2158:DJ2163&amp;" ",AS72)))),"")</f>
        <v>0</v>
      </c>
      <c r="CX72" s="127" t="str">
        <f>IF(61=61,IF(AM72="","",IF((CV72)-(0)&gt;0,"X",IF((CW72)-(0)&gt;0,"?",""))),"")</f>
        <v/>
      </c>
      <c r="CY72" s="127" cm="1">
        <f t="array" ref="CY72">IF(61=61,IF(AM72="","",SUMPRODUCT(--ISNUMBER(SEARCH(" "&amp;DJ2164:DJ2263&amp;" ",DB72)))),"")</f>
        <v>0</v>
      </c>
      <c r="CZ72" s="127" cm="1">
        <f t="array" ref="CZ72">IF(61=61,IF(AM72="","",SUMPRODUCT(--ISNUMBER(SEARCH(" "&amp;DJ2264:DJ2363&amp;" ",DB72)))),"")</f>
        <v>0</v>
      </c>
      <c r="DA72" s="127" cm="1">
        <f t="array" ref="DA72">IF(61=61,IF(AM72="","",SUMPRODUCT(--ISNUMBER(SEARCH(" "&amp;DJ2364:DJ2406&amp;" ",DB72)))),"")</f>
        <v>0</v>
      </c>
      <c r="DB72" s="127" t="str">
        <f>IF(61=61,IF(AM72="","",SUBSTITUTE(SUBSTITUTE(SUBSTITUTE(SUBSTITUTE(SUBSTITUTE(SUBSTITUTE(SUBSTITUTE(SUBSTITUTE(SUBSTITUTE(SUBSTITUTE(SUBSTITUTE(SUBSTITUTE(SUBSTITUTE(SUBSTITUTE(SUBSTITUTE(SUBSTITUTE(AS72," "&amp;DJ2412&amp;" "," ")," "&amp;DJ2411&amp;" "," ")," "&amp;DJ2410&amp;" "," ")," "&amp;DJ2417&amp;" "," ")," "&amp;DJ2409&amp;" "," ")," "&amp;DJ2421&amp;" "," ")," "&amp;DJ2408&amp;" "," ")," "&amp;DJ2413&amp;" "," ")," "&amp;DJ2416&amp;" "," ")," "&amp;DJ2407&amp;" "," ")," "&amp;DJ2415&amp;" "," ")," "&amp;DJ2422&amp;" "," ")," "&amp;DJ2419&amp;" "," ")," "&amp;DJ2414&amp;" "," ")," "&amp;DJ2418&amp;" "," ")," "&amp;DJ2420&amp;" "," ")),"")</f>
        <v xml:space="preserve"> sur le tout et laissez mariner au frais pendant 24 heures </v>
      </c>
      <c r="DC72" s="127" cm="1">
        <f t="array" ref="DC72">IF(61=61,IF(AM72="","",SUMPRODUCT(--ISNUMBER(SEARCH(" "&amp;DJ2423:DJ2427&amp;" ",DB72)))),"")</f>
        <v>0</v>
      </c>
      <c r="DD72" s="127" t="str">
        <f>IF(61=61,IF(AM72="","",IF(SUM(CY72:DA72)&gt;0,"X",IF(DC72&gt;0,"?",""))),"")</f>
        <v/>
      </c>
      <c r="DE72" s="152"/>
      <c r="DF72" s="160" t="s">
        <v>777</v>
      </c>
      <c r="DG72" s="160" t="s">
        <v>584</v>
      </c>
      <c r="DH72" s="160" t="s">
        <v>125</v>
      </c>
      <c r="DI72" s="160" t="s">
        <v>778</v>
      </c>
      <c r="DJ72" s="160" t="s">
        <v>778</v>
      </c>
      <c r="DK72" s="160" t="s">
        <v>588</v>
      </c>
      <c r="DL72" s="160" t="s">
        <v>589</v>
      </c>
      <c r="DM72" s="160" t="s">
        <v>590</v>
      </c>
      <c r="DN72" s="161" t="s">
        <v>591</v>
      </c>
      <c r="DP72" s="130">
        <v>1</v>
      </c>
    </row>
    <row r="73" spans="2:120" ht="30" customHeight="1">
      <c r="B73" s="165" t="str">
        <f t="shared" si="0"/>
        <v>Séparez le blanc du jaune d’œuf. Versez la farine dans un saladier et mélangez avec le sucre et la levure.</v>
      </c>
      <c r="C73" s="165" t="str">
        <f t="shared" si="1"/>
        <v>Séparez le blanc du jaune d’œuf Versez la farine dans un saladier et mélangez avec le sucre et la levure</v>
      </c>
      <c r="D73" s="165" t="str">
        <f>IF(UPPER(TRIM(N11))="X",C73,B73)</f>
        <v>Séparez le blanc du jaune d’œuf. Versez la farine dans un saladier et mélangez avec le sucre et la levure.</v>
      </c>
      <c r="E73" s="165" cm="1">
        <f t="array" ref="E73">IF(H72&lt;&gt;"",E72,IF(E72="","",IFERROR(MATCH(TRUE(),INDEX(INDEX(K:K,E72+1):K203&lt;&gt;"",0),0)+E72,"")))</f>
        <v>57</v>
      </c>
      <c r="F73" s="165" t="str" cm="1">
        <f t="array" ref="F73">IF(E73="","",IF(H72&lt;&gt;"",H72,INDEX(D:D,E73)))</f>
        <v>2. Le lendemain, sortez la viande et les légumes de la marinade et égouttez-les. Réservez la marinade.</v>
      </c>
      <c r="G73" s="165" t="str">
        <f t="shared" si="2"/>
        <v xml:space="preserve">2. Le lendemain, sortez la viande et les légumes de la marinade et </v>
      </c>
      <c r="H73" s="174" t="str">
        <f t="shared" si="3"/>
        <v>égouttez-les. Réservez la marinade.</v>
      </c>
      <c r="I73" s="184" t="str">
        <f>IF(AND(F73&lt;&gt;"",N10&gt;0,M73&gt;N10),"Mot &gt; limite","")</f>
        <v/>
      </c>
      <c r="J73" s="175">
        <f>IF(K73="","",COUNTIF(K18:K73,"&lt;&gt;"))</f>
        <v>46</v>
      </c>
      <c r="K73" s="111" t="s">
        <v>34</v>
      </c>
      <c r="L73" s="175">
        <f t="shared" si="4"/>
        <v>107</v>
      </c>
      <c r="M73" s="135">
        <f>IF(OR(F73="",N10="",N10&lt;=0),"",IF(LEN(F73)&lt;=N10,LEN(F73),IFERROR(FIND("♦",SUBSTITUTE(LEFT(F73,N10)," ","♦",LEN(LEFT(F73,N10))-LEN(SUBSTITUTE(LEFT(F73,N10)," ","")))),FIND(" ",F73&amp;" ",N10+1)-1)))</f>
        <v>67</v>
      </c>
      <c r="N73" s="176">
        <f t="shared" si="5"/>
        <v>56</v>
      </c>
      <c r="O73" s="177" t="str">
        <f t="shared" si="6"/>
        <v xml:space="preserve">2. Le lendemain, sortez la viande et les légumes de la marinade et </v>
      </c>
      <c r="P73" s="176">
        <f t="shared" si="7"/>
        <v>13</v>
      </c>
      <c r="Q73" s="176">
        <f t="shared" si="8"/>
        <v>67</v>
      </c>
      <c r="S73" s="178">
        <v>56</v>
      </c>
      <c r="T73" s="179" t="str">
        <f t="shared" si="10"/>
        <v xml:space="preserve">2. Le lendemain, sortez la viande et les légumes de la marinade et </v>
      </c>
      <c r="U73" s="180" t="str">
        <f t="shared" si="11"/>
        <v>2. Le lendemain, sortez la viande et les légumes de la marinade et ?</v>
      </c>
      <c r="V73" s="181" t="str">
        <f>IF(62=62,IF(T73="","",IF(W73="X",""&amp;"Céréales contenant du gluten","")&amp;IF(X73="X",IF(COUNTIF(W73:W73,"X")&gt;0,", ","")&amp;"Crustacés","")&amp;IF(Y73="X",IF(COUNTIF(W73:X73,"X")&gt;0,", ","")&amp;"Œufs","")&amp;IF(Z73="X",IF(COUNTIF(W73:Y73,"X")&gt;0,", ","")&amp;"Poissons","")&amp;IF(AA73="X",IF(COUNTIF(W73:Z73,"X")&gt;0,", ","")&amp;"Arachides","")&amp;IF(AB73="X",IF(COUNTIF(W73:AA73,"X")&gt;0,", ","")&amp;"Soja","")&amp;IF(AC73="X",IF(COUNTIF(W73:AB73,"X")&gt;0,", ","")&amp;"Lait","")&amp;IF(AD73="X",IF(COUNTIF(W73:AC73,"X")&gt;0,", ","")&amp;"Fruits à coque","")&amp;IF(AE73="X",IF(COUNTIF(W73:AD73,"X")&gt;0,", ","")&amp;"Céleri","")&amp;IF(AF73="X",IF(COUNTIF(W73:AE73,"X")&gt;0,", ","")&amp;"Moutarde","")&amp;IF(AG73="X",IF(COUNTIF(W73:AF73,"X")&gt;0,", ","")&amp;"Sésame","")&amp;IF(AH73="X",IF(COUNTIF(W73:AG73,"X")&gt;0,", ","")&amp;"Sulfites","")&amp;IF(AI73="X",IF(COUNTIF(W73:AH73,"X")&gt;0,", ","")&amp;"Lupin","")&amp;IF(AJ73="X",IF(COUNTIF(W73:AI73,"X")&gt;0,", ","")&amp;"Mollusques","")),"")</f>
        <v/>
      </c>
      <c r="W73" s="182" t="str">
        <f>IF(62=62,IF(T73="","",AX73),"")</f>
        <v/>
      </c>
      <c r="X73" s="182" t="str">
        <f>IF(62=62,IF(T73="","",BA73),"")</f>
        <v/>
      </c>
      <c r="Y73" s="182" t="str">
        <f>IF(62=62,IF(T73="","",BE73),"")</f>
        <v/>
      </c>
      <c r="Z73" s="182" t="str">
        <f>IF(62=62,IF(T73="","",IF(ISNUMBER(SEARCH(" colin ",AS73)),"X",BR73)),"")</f>
        <v/>
      </c>
      <c r="AA73" s="182" t="str">
        <f>IF(62=62,IF(T73="","",BT73),"")</f>
        <v/>
      </c>
      <c r="AB73" s="182" t="str">
        <f>IF(62=62,IF(T73="","",BX73),"")</f>
        <v/>
      </c>
      <c r="AC73" s="182" t="str">
        <f>IF(62=62,IF(T73="","",CE73),"")</f>
        <v/>
      </c>
      <c r="AD73" s="182" t="str">
        <f>IF(62=62,IF(T73="","",CI73),"")</f>
        <v/>
      </c>
      <c r="AE73" s="182" t="str">
        <f>IF(62=62,IF(T73="","",CL73),"")</f>
        <v/>
      </c>
      <c r="AF73" s="182" t="str">
        <f>IF(62=62,IF(T73="","",CO73),"")</f>
        <v>?</v>
      </c>
      <c r="AG73" s="182" t="str">
        <f>IF(62=62,IF(T73="","",CR73),"")</f>
        <v/>
      </c>
      <c r="AH73" s="182" t="str">
        <f>IF(62=62,IF(T73="","",CU73),"")</f>
        <v/>
      </c>
      <c r="AI73" s="182" t="str">
        <f>IF(62=62,IF(T73="","",CX73),"")</f>
        <v/>
      </c>
      <c r="AJ73" s="182" t="str">
        <f>IF(62=62,IF(T73="","",DD73),"")</f>
        <v/>
      </c>
      <c r="AK73" s="183" t="str">
        <f>IF(62=62,IF(T73="","",IF(W73="?",""&amp;"Céréales contenant du gluten","")&amp;IF(X73="?",IF(COUNTIF(W73:W73,"~?")&gt;0,", ","")&amp;"Crustacés","")&amp;IF(Y73="?",IF(COUNTIF(W73:X73,"~?")&gt;0,", ","")&amp;"Œufs","")&amp;IF(Z73="?",IF(COUNTIF(W73:Y73,"~?")&gt;0,", ","")&amp;"Poissons","")&amp;IF(AA73="?",IF(COUNTIF(W73:Z73,"~?")&gt;0,", ","")&amp;"Arachides","")&amp;IF(AB73="?",IF(COUNTIF(W73:AA73,"~?")&gt;0,", ","")&amp;"Soja","")&amp;IF(AC73="?",IF(COUNTIF(W73:AB73,"~?")&gt;0,", ","")&amp;"Lait","")&amp;IF(AD73="?",IF(COUNTIF(W73:AC73,"~?")&gt;0,", ","")&amp;"Fruits à coque","")&amp;IF(AE73="?",IF(COUNTIF(W73:AD73,"~?")&gt;0,", ","")&amp;"Céleri","")&amp;IF(AF73="?",IF(COUNTIF(W73:AE73,"~?")&gt;0,", ","")&amp;"Moutarde","")&amp;IF(AG73="?",IF(COUNTIF(W73:AF73,"~?")&gt;0,", ","")&amp;"Sésame","")&amp;IF(AH73="?",IF(COUNTIF(W73:AG73,"~?")&gt;0,", ","")&amp;"Sulfites","")&amp;IF(AI73="?",IF(COUNTIF(W73:AH73,"~?")&gt;0,", ","")&amp;"Lupin","")&amp;IF(AJ73="?",IF(COUNTIF(W73:AI73,"~?")&gt;0,", ","")&amp;"Mollusques","")),"")</f>
        <v>Moutarde</v>
      </c>
      <c r="AM73" s="127" t="str">
        <f>IF(62=62,IF(T73="","",T73),"")</f>
        <v xml:space="preserve">2. Le lendemain, sortez la viande et les légumes de la marinade et </v>
      </c>
      <c r="AN73" s="127" t="str">
        <f>IF(62=62,LOWER(CLEAN(SUBSTITUTE(SUBSTITUTE(SUBSTITUTE(SUBSTITUTE(AM73,CHAR(160)," ")," "," "),CHAR(10)," "),CHAR(13)," "))),"")</f>
        <v xml:space="preserve">2. le lendemain, sortez la viande et les légumes de la marinade et </v>
      </c>
      <c r="AO73" s="127" t="str">
        <f>IF(62=62,SUBSTITUTE(SUBSTITUTE(SUBSTITUTE(SUBSTITUTE(SUBSTITUTE(SUBSTITUTE(SUBSTITUTE(SUBSTITUTE(SUBSTITUTE(SUBSTITUTE(SUBSTITUTE(SUBSTITUTE(AN73,"œ","oe"),"æ","ae"),"à","a"),"á","a"),"â","a"),"ä","a"),"ã","a"),"ç","c"),"è","e"),"é","e"),"ê","e"),"ë","e"),"")</f>
        <v xml:space="preserve">2. le lendemain, sortez la viande et les legumes de la marinade et </v>
      </c>
      <c r="AP73" s="127" t="str">
        <f>IF(62=62,SUBSTITUTE(SUBSTITUTE(SUBSTITUTE(SUBSTITUTE(SUBSTITUTE(SUBSTITUTE(SUBSTITUTE(SUBSTITUTE(SUBSTITUTE(SUBSTITUTE(SUBSTITUTE(SUBSTITUTE(SUBSTITUTE(SUBSTITUTE(SUBSTITUTE(SUBSTITUTE(AO73,"ì","i"),"í","i"),"î","i"),"ï","i"),"ñ","n"),"ò","o"),"ó","o"),"ô","o"),"ö","o"),"õ","o"),"ù","u"),"ú","u"),"û","u"),"ü","u"),"ý","y"),"ÿ","y"),"")</f>
        <v xml:space="preserve">2. le lendemain, sortez la viande et les legumes de la marinade et </v>
      </c>
      <c r="AQ73" s="127" t="str">
        <f>IF(62=62,SUBSTITUTE(SUBSTITUTE(SUBSTITUTE(SUBSTITUTE(SUBSTITUTE(SUBSTITUTE(SUBSTITUTE(SUBSTITUTE(SUBSTITUTE(SUBSTITUTE(SUBSTITUTE(SUBSTITUTE(SUBSTITUTE(SUBSTITUTE(AP73,"’"," "),"`"," "),"–"," "),"—"," "),"-"," "),"'"," "),"/"," "),"_"," "),","," "),"."," "),"("," "),")"," "),";"," "),":"," "),"")</f>
        <v xml:space="preserve">2  le lendemain  sortez la viande et les legumes de la marinade et </v>
      </c>
      <c r="AR73" s="127" t="str">
        <f>IF(62=62,SUBSTITUTE(SUBSTITUTE(SUBSTITUTE(SUBSTITUTE(SUBSTITUTE(SUBSTITUTE(SUBSTITUTE(SUBSTITUTE(SUBSTITUTE(SUBSTITUTE(SUBSTITUTE(SUBSTITUTE(SUBSTITUTE(SUBSTITUTE(SUBSTITUTE(AQ73,"!"," "),"?"," "),"+"," "),"*"," "),"&amp;"," "),"["," "),"]"," "),"{"," "),"}"," "),"%"," "),"="," "),"\"," "),"|"," "),"&lt;"," "),"&gt;"," "),"")</f>
        <v xml:space="preserve">2  le lendemain  sortez la viande et les legumes de la marinade et </v>
      </c>
      <c r="AS73" s="127" t="str">
        <f>IF(62=62," "&amp;TRIM(SUBSTITUTE(SUBSTITUTE(SUBSTITUTE(SUBSTITUTE(SUBSTITUTE(SUBSTITUTE(AR73,CHAR(34)," "),"  "," "),"  "," "),"  "," "),"  "," "),"  "," "))&amp;" ","")</f>
        <v xml:space="preserve"> 2 le lendemain sortez la viande et les legumes de la marinade et </v>
      </c>
      <c r="AT73" s="127" cm="1">
        <f t="array" ref="AT73">IF(62=62,IF(AM73="","",SUMPRODUCT(--ISNUMBER(SEARCH(" "&amp;DJ13:DJ112&amp;" ",AV73)))),"")</f>
        <v>0</v>
      </c>
      <c r="AU73" s="127" cm="1">
        <f t="array" ref="AU73">IF(62=62,IF(AM73="","",SUMPRODUCT(--ISNUMBER(SEARCH(" "&amp;DJ113:DJ162&amp;" ",AV73)))),"")</f>
        <v>0</v>
      </c>
      <c r="AV73" s="127" t="str">
        <f>IF(AM73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2 le lendemain sortez la viande et les legumes de la marinade et </v>
      </c>
      <c r="AW73" s="127" cm="1">
        <f t="array" ref="AW73">IF(AM73="","",SUMPRODUCT(--ISNUMBER(SEARCH(" "&amp;DJ195:DJ216&amp;" ",AV73)))+--ISNUMBER(SEARCH(" "&amp;DJ2465&amp;" ",AV73)))</f>
        <v>0</v>
      </c>
      <c r="AX73" s="127" t="str" cm="1">
        <f t="array" ref="AX73">IF(62=62,IF(AM73="","",IF(SUM(AT73:AU73)+SUMPRODUCT(--ISNUMBER(SEARCH(" "&amp;DJ2429:DJ2431&amp;" ",AV73)))&gt;0,"X",IF(AW73&gt;0,"?",""))),"")</f>
        <v/>
      </c>
      <c r="AY73" s="127" cm="1">
        <f t="array" ref="AY73">IF(62=62,IF(AM73="","",SUMPRODUCT(--ISNUMBER(SEARCH(" "&amp;DJ217:DJ316&amp;" ",AS73)))),"")</f>
        <v>0</v>
      </c>
      <c r="AZ73" s="127" cm="1">
        <f t="array" ref="AZ73">IF(62=62,IF(AM73="","",SUMPRODUCT(--ISNUMBER(SEARCH(" "&amp;DJ317:DJ351&amp;" ",AS73)))),"")</f>
        <v>0</v>
      </c>
      <c r="BA73" s="127" t="str">
        <f>IF(62=62,IF(AM73="","",IF((SUM(AY73:AZ73))-(0)&gt;0,"X",IF((0)-(0)&gt;0,"?",""))),"")</f>
        <v/>
      </c>
      <c r="BB73" s="127" cm="1">
        <f t="array" ref="BB73">IF(62=62,IF(AM73="","",SUMPRODUCT(--ISNUMBER(SEARCH(" "&amp;DJ352:DJ409&amp;" ",AS73)))),"")</f>
        <v>0</v>
      </c>
      <c r="BC73" s="127" cm="1">
        <f t="array" ref="BC73">IF(62=62,IF(AM73="","",SUMPRODUCT(--ISNUMBER(SEARCH(" "&amp;DJ410:DJ437&amp;" ",BD73)))+SUMPRODUCT(--ISNUMBER(SEARCH(" "&amp;DJ2451:DJ2464&amp;" ",BD73)))),"")</f>
        <v>0</v>
      </c>
      <c r="BD73" s="127" t="str">
        <f>IF(62=62,IF(AM73="","",SUBSTITUTE(SUBSTITUTE(SUBSTITUTE(SUBSTITUTE(SUBSTITUTE(SUBSTITUTE(SUBSTITUTE(SUBSTITUTE(SUBSTITUTE(SUBSTITUTE(SUBSTITUTE(SUBSTITUTE(SUBSTITUTE(SUBSTITUTE(AS73," "&amp;DJ2466&amp;" "," ")," "&amp;DJ444&amp;" "," ")," "&amp;DJ442&amp;" "," ")," "&amp;DJ2449&amp;" "," ")," "&amp;DJ2450&amp;" "," ")," "&amp;DJ439&amp;" "," ")," "&amp;DJ443&amp;" "," ")," "&amp;DJ445&amp;" "," ")," "&amp;DJ440&amp;" "," ")," "&amp;DJ438&amp;" "," ")," "&amp;DJ1378&amp;" "," ")," "&amp;DJ446&amp;" "," ")," "&amp;DJ1377&amp;" "," ")," "&amp;DJ441&amp;" "," ")),"")</f>
        <v xml:space="preserve"> 2 le lendemain sortez la viande et les legumes de la marinade et </v>
      </c>
      <c r="BE73" s="127" t="str">
        <f>IF(62=62,IF(AM73="","",IF(BB73&gt;0,"X",IF(BC73&gt;0,"?",""))),"")</f>
        <v/>
      </c>
      <c r="BF73" s="127" cm="1">
        <f t="array" ref="BF73">IF(62=62,IF(AM73="","",SUMPRODUCT(--ISNUMBER(SEARCH(" "&amp;DJ447:DJ546&amp;" ",BP73)))),"")</f>
        <v>0</v>
      </c>
      <c r="BG73" s="127" cm="1">
        <f t="array" ref="BG73">IF(62=62,IF(AM73="","",SUMPRODUCT(--ISNUMBER(SEARCH(" "&amp;DJ547:DJ646&amp;" ",BP73)))),"")</f>
        <v>0</v>
      </c>
      <c r="BH73" s="127" cm="1">
        <f t="array" ref="BH73">IF(62=62,IF(AM73="","",SUMPRODUCT(--ISNUMBER(SEARCH(" "&amp;DJ647:DJ746&amp;" ",BP73)))),"")</f>
        <v>0</v>
      </c>
      <c r="BI73" s="127" cm="1">
        <f t="array" ref="BI73">IF(62=62,IF(AM73="","",SUMPRODUCT(--ISNUMBER(SEARCH(" "&amp;DJ747:DJ846&amp;" ",BP73)))),"")</f>
        <v>0</v>
      </c>
      <c r="BJ73" s="127" cm="1">
        <f t="array" ref="BJ73">IF(62=62,IF(AM73="","",SUMPRODUCT(--ISNUMBER(SEARCH(" "&amp;DJ847:DJ946&amp;" ",BP73)))),"")</f>
        <v>0</v>
      </c>
      <c r="BK73" s="127" cm="1">
        <f t="array" ref="BK73">IF(62=62,IF(AM73="","",SUMPRODUCT(--ISNUMBER(SEARCH(" "&amp;DJ947:DJ1046&amp;" ",BP73)))),"")</f>
        <v>0</v>
      </c>
      <c r="BL73" s="127" cm="1">
        <f t="array" ref="BL73">IF(62=62,IF(AM73="","",SUMPRODUCT(--ISNUMBER(SEARCH(" "&amp;DJ1047:DJ1146&amp;" ",BP73)))),"")</f>
        <v>0</v>
      </c>
      <c r="BM73" s="127" cm="1">
        <f t="array" ref="BM73">IF(62=62,IF(AM73="","",SUMPRODUCT(--ISNUMBER(SEARCH(" "&amp;DJ1147:DJ1246&amp;" ",BP73)))),"")</f>
        <v>0</v>
      </c>
      <c r="BN73" s="127" cm="1">
        <f t="array" ref="BN73">IF(62=62,IF(AM73="","",SUMPRODUCT(--ISNUMBER(SEARCH(" "&amp;DJ1247:DJ1346&amp;" ",BP73)))),"")</f>
        <v>0</v>
      </c>
      <c r="BO73" s="127" cm="1">
        <f t="array" ref="BO73">IF(62=62,IF(AM73="","",SUMPRODUCT(--ISNUMBER(SEARCH(" "&amp;DJ1347:DJ1374&amp;" ",BP73)))),"")</f>
        <v>0</v>
      </c>
      <c r="BP73" s="127" t="str">
        <f>IF(62=62,IF(AM73="","",SUBSTITUTE(SUBSTITUTE(SUBSTITUTE(SUBSTITUTE(SUBSTITUTE(SUBSTITUTE(SUBSTITUTE(SUBSTITUTE(SUBSTITUTE(AS73," "&amp;DJ1376&amp;" "," ")," "&amp;DJ1375&amp;" "," ")," "&amp;DJ1381&amp;" "," ")," "&amp;DJ1382&amp;" "," ")," "&amp;DJ1378&amp;" "," ")," "&amp;DJ1380&amp;" "," ")," "&amp;DJ1377&amp;" "," ")," "&amp;DJ1379&amp;" "," ")," "&amp;DJ1383&amp;" "," ")),"")</f>
        <v xml:space="preserve"> 2 le lendemain sortez la viande et les legumes de la marinade et </v>
      </c>
      <c r="BQ73" s="127" cm="1">
        <f t="array" ref="BQ73">IF(62=62,IF(AM73="","",SUMPRODUCT(--ISNUMBER(SEARCH(" "&amp;DJ1384:DJ1394&amp;" ",BP73)))),"")</f>
        <v>0</v>
      </c>
      <c r="BR73" s="127" t="str" cm="1">
        <f t="array" ref="BR73">IF(62=62,IF(AM73="","",IF(SUM(BF73:BO73)+SUMPRODUCT(--ISNUMBER(SEARCH(" "&amp;DJ2432:DJ2433&amp;" ",BP73)))&gt;0,"X",IF(BQ73&gt;0,"?",""))),"")</f>
        <v/>
      </c>
      <c r="BS73" s="127" cm="1">
        <f t="array" ref="BS73">IF(62=62,IF(AM73="","",SUMPRODUCT(--ISNUMBER(SEARCH(" "&amp;DJ1395:DJ1415&amp;" ",AS73)))),"")</f>
        <v>0</v>
      </c>
      <c r="BT73" s="127" t="str">
        <f>IF(62=62,IF(AM73="","",IF((BS73)-(0)&gt;0,"X",IF((0)-(0)&gt;0,"?",""))),"")</f>
        <v/>
      </c>
      <c r="BU73" s="127" cm="1">
        <f t="array" ref="BU73">IF(62=62,IF(AM73="","",SUMPRODUCT(--ISNUMBER(SEARCH(" "&amp;DJ1416:DJ1453&amp;" ",BV73)))),"")</f>
        <v>0</v>
      </c>
      <c r="BV73" s="127" t="str">
        <f>IF(62=62,IF(AM73="","",SUBSTITUTE(SUBSTITUTE(AS73," "&amp;DJ1454&amp;" "," ")," "&amp;DJ1455&amp;" "," ")),"")</f>
        <v xml:space="preserve"> 2 le lendemain sortez la viande et les legumes de la marinade et </v>
      </c>
      <c r="BW73" s="127" cm="1">
        <f t="array" ref="BW73">IF(62=62,IF(AM73="","",SUMPRODUCT(--ISNUMBER(SEARCH(" "&amp;DJ1456:DJ1466&amp;" ",BV73)))),"")</f>
        <v>0</v>
      </c>
      <c r="BX73" s="127" t="str">
        <f>IF(62=62,IF(AM73="","",IF(BU73&gt;0,"X",IF(BW73&gt;0,"?",""))),"")</f>
        <v/>
      </c>
      <c r="BY73" s="127" cm="1">
        <f t="array" ref="BY73">IF(62=62,IF(AM73="","",SUMPRODUCT(--ISNUMBER(SEARCH(" "&amp;DJ1467:DJ1566&amp;" ",CB73)))),"")</f>
        <v>0</v>
      </c>
      <c r="BZ73" s="127" cm="1">
        <f t="array" ref="BZ73">IF(62=62,IF(AM73="","",SUMPRODUCT(--ISNUMBER(SEARCH(" "&amp;DJ1567:DJ1666&amp;" ",CB73)))),"")</f>
        <v>0</v>
      </c>
      <c r="CA73" s="127" cm="1">
        <f t="array" ref="CA73">IF(62=62,IF(AM73="","",SUMPRODUCT(--ISNUMBER(SEARCH(" "&amp;DJ1667:DJ1750&amp;" ",CB73)))),"")</f>
        <v>0</v>
      </c>
      <c r="CB73" s="127" t="str">
        <f>IF(62=62,IF(AM73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2 le lendemain sortez la viande et les legumes de la marinade et </v>
      </c>
      <c r="CC73" s="127" cm="1">
        <f t="array" ref="CC73">IF(62=62,IF(AM73="","",SUMPRODUCT(--ISNUMBER(SEARCH(" "&amp;DJ1801:DJ1880&amp;" ",CD73)))+SUMPRODUCT(--ISNUMBER(SEARCH(" "&amp;DJ2451:DJ2464&amp;" ",CD73)))),"")</f>
        <v>0</v>
      </c>
      <c r="CD73" s="127" t="str">
        <f>IF(62=62,IF(AM73="","",SUBSTITUTE(SUBSTITUTE(SUBSTITUTE(SUBSTITUTE(SUBSTITUTE(SUBSTITUTE(SUBSTITUTE(SUBSTITUTE(SUBSTITUTE(SUBSTITUTE(SUBSTITUTE(SUBSTITUTE(SUBSTITUTE(CB73," "&amp;DJ1887&amp;" "," ")," "&amp;DJ1885&amp;" "," ")," "&amp;DJ2449&amp;" "," ")," "&amp;DJ2450&amp;" "," ")," "&amp;DJ1882&amp;" "," ")," "&amp;DJ1886&amp;" "," ")," "&amp;DJ1888&amp;" "," ")," "&amp;DJ1883&amp;" "," ")," "&amp;DJ1881&amp;" "," ")," "&amp;DJ1378&amp;" "," ")," "&amp;DJ1889&amp;" "," ")," "&amp;DJ1377&amp;" "," ")," "&amp;DJ1884&amp;" "," ")),"")</f>
        <v xml:space="preserve"> 2 le lendemain sortez la viande et les legumes de la marinade et </v>
      </c>
      <c r="CE73" s="127" t="str" cm="1">
        <f t="array" ref="CE73">IF(62=62,IF(AM73="","",IF(SUM(BY73:CA73)+SUMPRODUCT(--ISNUMBER(SEARCH(" "&amp;DJ2434:DJ2435&amp;" ",CB73)))&gt;0,"X",IF(CC73&gt;0,"?",""))),"")</f>
        <v/>
      </c>
      <c r="CF73" s="127" cm="1">
        <f t="array" ref="CF73">IF(62=62,IF(AM73="","",SUMPRODUCT(--ISNUMBER(SEARCH(" "&amp;DJ1890:DJ1947&amp;" ",CG73)))),"")</f>
        <v>0</v>
      </c>
      <c r="CG73" s="127" t="str">
        <f>IF(62=62,IF(AM73="","",SUBSTITUTE(SUBSTITUTE(SUBSTITUTE(SUBSTITUTE(SUBSTITUTE(SUBSTITUTE(SUBSTITUTE(SUBSTITUTE(SUBSTITUTE(SUBSTITUTE(SUBSTITUTE(SUBSTITUTE(SUBSTITUTE(SUBSTITUTE(SUBSTITUTE(SUBSTITUTE(SUBSTITUTE(SUBSTITUTE(SUBSTITUTE(SUBSTITUTE(SUBSTITUTE(SUBSTITUTE(SUBSTITUTE(AS73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2 le lendemain sortez la viande et les legumes de la marinade et </v>
      </c>
      <c r="CH73" s="127" cm="1">
        <f t="array" ref="CH73">IF(62=62,IF(AM73="","",SUMPRODUCT(--ISNUMBER(SEARCH(" "&amp;DJ1971:DJ1987&amp;" ",CG73)))),"")</f>
        <v>0</v>
      </c>
      <c r="CI73" s="127" t="str">
        <f>IF(62=62,IF(AM73="","",IF(CF73&gt;0,"X",IF(CH73&gt;0,"?",""))),"")</f>
        <v/>
      </c>
      <c r="CJ73" s="127" cm="1">
        <f t="array" ref="CJ73">IF(62=62,IF(AM73="","",SUMPRODUCT(--ISNUMBER(SEARCH(" "&amp;DJ1988:DJ2001&amp;" ",AS73)))),"")</f>
        <v>0</v>
      </c>
      <c r="CK73" s="127" cm="1">
        <f t="array" ref="CK73">IF(62=62,IF(AM73="","",SUMPRODUCT(--ISNUMBER(SEARCH(" "&amp;DJ2002:DJ2016&amp;" ",AS73)))),"")</f>
        <v>0</v>
      </c>
      <c r="CL73" s="127" t="str">
        <f>IF(62=62,IF(AM73="","",IF((CJ73)-(0)&gt;0,"X",IF((CK73)-(0)&gt;0,"?",""))),"")</f>
        <v/>
      </c>
      <c r="CM73" s="127" cm="1">
        <f t="array" ref="CM73">IF(62=62,IF(AM73="","",SUMPRODUCT(--ISNUMBER(SEARCH(" "&amp;DJ2017:DJ2034&amp;" ",AS73)))),"")</f>
        <v>0</v>
      </c>
      <c r="CN73" s="127" cm="1">
        <f t="array" ref="CN73">IF(62=62,IF(AM73="","",SUMPRODUCT(--ISNUMBER(SEARCH(" "&amp;DJ2035:DJ2049&amp;" ",AS73)))),"")</f>
        <v>1</v>
      </c>
      <c r="CO73" s="127" t="str">
        <f>IF(62=62,IF(AM73="","",IF((CM73)-(0)&gt;0,"X",IF((CN73)-(0)&gt;0,"?",""))),"")</f>
        <v>?</v>
      </c>
      <c r="CP73" s="127" cm="1">
        <f t="array" ref="CP73">IF(62=62,IF(AM73="","",SUMPRODUCT(--ISNUMBER(SEARCH(" "&amp;DJ2050:DJ2068&amp;" ",AS73)))),"")</f>
        <v>0</v>
      </c>
      <c r="CQ73" s="127" cm="1">
        <f t="array" ref="CQ73">IF(62=62,IF(AM73="","",SUMPRODUCT(--ISNUMBER(SEARCH(" "&amp;DJ2069:DJ2083&amp;" ",AS73)))),"")</f>
        <v>0</v>
      </c>
      <c r="CR73" s="127" t="str">
        <f>IF(62=62,IF(AM73="","",IF((CP73)-(0)&gt;0,"X",IF((CQ73)-(0)&gt;0,"?",""))),"")</f>
        <v/>
      </c>
      <c r="CS73" s="127" cm="1">
        <f t="array" ref="CS73">IF(62=62,IF(AM73="","",SUMPRODUCT(--ISNUMBER(SEARCH(" "&amp;DJ2084:DJ2104&amp;" ",AS73)))),"")</f>
        <v>0</v>
      </c>
      <c r="CT73" s="127" cm="1">
        <f t="array" ref="CT73">IF(62=62,IF(AM73="","",SUMPRODUCT(--ISNUMBER(SEARCH(" "&amp;DJ2105:DJ2144&amp;" ",SUBSTITUTE(SUBSTITUTE(AS73," "&amp;DJ1378&amp;" "," ")," "&amp;DJ1377&amp;" "," "))))+--ISNUMBER(SEARCH("poiré",AN73))),"")</f>
        <v>0</v>
      </c>
      <c r="CU73" s="127" t="str">
        <f>IF(62=62,IF(AM73="","",IF(OR(CS73&gt;0,ISNUMBER(SEARCH(" vinaigre de vin ",AS73)),ISNUMBER(SEARCH(" vinaigre au vin ",AS73))),"X",IF(CT73&gt;0,"?",""))),"")</f>
        <v/>
      </c>
      <c r="CV73" s="127" cm="1">
        <f t="array" ref="CV73">IF(62=62,IF(AM73="","",SUMPRODUCT(--ISNUMBER(SEARCH(" "&amp;DJ2145:DJ2157&amp;" ",AS73)))),"")</f>
        <v>0</v>
      </c>
      <c r="CW73" s="127" cm="1">
        <f t="array" ref="CW73">IF(62=62,IF(AM73="","",SUMPRODUCT(--ISNUMBER(SEARCH(" "&amp;DJ2158:DJ2163&amp;" ",AS73)))),"")</f>
        <v>0</v>
      </c>
      <c r="CX73" s="127" t="str">
        <f>IF(62=62,IF(AM73="","",IF((CV73)-(0)&gt;0,"X",IF((CW73)-(0)&gt;0,"?",""))),"")</f>
        <v/>
      </c>
      <c r="CY73" s="127" cm="1">
        <f t="array" ref="CY73">IF(62=62,IF(AM73="","",SUMPRODUCT(--ISNUMBER(SEARCH(" "&amp;DJ2164:DJ2263&amp;" ",DB73)))),"")</f>
        <v>0</v>
      </c>
      <c r="CZ73" s="127" cm="1">
        <f t="array" ref="CZ73">IF(62=62,IF(AM73="","",SUMPRODUCT(--ISNUMBER(SEARCH(" "&amp;DJ2264:DJ2363&amp;" ",DB73)))),"")</f>
        <v>0</v>
      </c>
      <c r="DA73" s="127" cm="1">
        <f t="array" ref="DA73">IF(62=62,IF(AM73="","",SUMPRODUCT(--ISNUMBER(SEARCH(" "&amp;DJ2364:DJ2406&amp;" ",DB73)))),"")</f>
        <v>0</v>
      </c>
      <c r="DB73" s="127" t="str">
        <f>IF(62=62,IF(AM73="","",SUBSTITUTE(SUBSTITUTE(SUBSTITUTE(SUBSTITUTE(SUBSTITUTE(SUBSTITUTE(SUBSTITUTE(SUBSTITUTE(SUBSTITUTE(SUBSTITUTE(SUBSTITUTE(SUBSTITUTE(SUBSTITUTE(SUBSTITUTE(SUBSTITUTE(SUBSTITUTE(AS73," "&amp;DJ2412&amp;" "," ")," "&amp;DJ2411&amp;" "," ")," "&amp;DJ2410&amp;" "," ")," "&amp;DJ2417&amp;" "," ")," "&amp;DJ2409&amp;" "," ")," "&amp;DJ2421&amp;" "," ")," "&amp;DJ2408&amp;" "," ")," "&amp;DJ2413&amp;" "," ")," "&amp;DJ2416&amp;" "," ")," "&amp;DJ2407&amp;" "," ")," "&amp;DJ2415&amp;" "," ")," "&amp;DJ2422&amp;" "," ")," "&amp;DJ2419&amp;" "," ")," "&amp;DJ2414&amp;" "," ")," "&amp;DJ2418&amp;" "," ")," "&amp;DJ2420&amp;" "," ")),"")</f>
        <v xml:space="preserve"> 2 le lendemain sortez la viande et les legumes de la marinade et </v>
      </c>
      <c r="DC73" s="127" cm="1">
        <f t="array" ref="DC73">IF(62=62,IF(AM73="","",SUMPRODUCT(--ISNUMBER(SEARCH(" "&amp;DJ2423:DJ2427&amp;" ",DB73)))),"")</f>
        <v>0</v>
      </c>
      <c r="DD73" s="127" t="str">
        <f>IF(62=62,IF(AM73="","",IF(SUM(CY73:DA73)&gt;0,"X",IF(DC73&gt;0,"?",""))),"")</f>
        <v/>
      </c>
      <c r="DE73" s="152"/>
      <c r="DF73" s="160" t="s">
        <v>779</v>
      </c>
      <c r="DG73" s="160" t="s">
        <v>584</v>
      </c>
      <c r="DH73" s="160" t="s">
        <v>125</v>
      </c>
      <c r="DI73" s="160" t="s">
        <v>186</v>
      </c>
      <c r="DJ73" s="160" t="s">
        <v>186</v>
      </c>
      <c r="DK73" s="160" t="s">
        <v>588</v>
      </c>
      <c r="DL73" s="160" t="s">
        <v>589</v>
      </c>
      <c r="DM73" s="160" t="s">
        <v>590</v>
      </c>
      <c r="DN73" s="161" t="s">
        <v>591</v>
      </c>
      <c r="DP73" s="130">
        <v>1</v>
      </c>
    </row>
    <row r="74" spans="2:120" ht="30" customHeight="1">
      <c r="B74" s="165" t="str">
        <f t="shared" si="0"/>
        <v>Faites un puits au centre, ajoutez le jaune d’œuf et délayez petit à petit avec le lait.</v>
      </c>
      <c r="C74" s="165" t="str">
        <f t="shared" si="1"/>
        <v>Faites un puits au centre ajoutez le jaune d’œuf et délayez petit à petit avec le lait</v>
      </c>
      <c r="D74" s="165" t="str">
        <f>IF(UPPER(TRIM(N11))="X",C74,B74)</f>
        <v>Faites un puits au centre, ajoutez le jaune d’œuf et délayez petit à petit avec le lait.</v>
      </c>
      <c r="E74" s="165" cm="1">
        <f t="array" ref="E74">IF(H73&lt;&gt;"",E73,IF(E73="","",IFERROR(MATCH(TRUE(),INDEX(INDEX(K:K,E73+1):K203&lt;&gt;"",0),0)+E73,"")))</f>
        <v>57</v>
      </c>
      <c r="F74" s="165" t="str" cm="1">
        <f t="array" ref="F74">IF(E74="","",IF(H73&lt;&gt;"",H73,INDEX(D:D,E74)))</f>
        <v>égouttez-les. Réservez la marinade.</v>
      </c>
      <c r="G74" s="165" t="str">
        <f t="shared" si="2"/>
        <v>égouttez-les. Réservez la marinade.</v>
      </c>
      <c r="H74" s="174" t="str">
        <f t="shared" si="3"/>
        <v/>
      </c>
      <c r="I74" s="184" t="str">
        <f>IF(AND(F74&lt;&gt;"",N10&gt;0,M74&gt;N10),"Mot &gt; limite","")</f>
        <v/>
      </c>
      <c r="J74" s="175">
        <f>IF(K74="","",COUNTIF(K18:K74,"&lt;&gt;"))</f>
        <v>47</v>
      </c>
      <c r="K74" s="111" t="s">
        <v>35</v>
      </c>
      <c r="L74" s="175">
        <f t="shared" si="4"/>
        <v>88</v>
      </c>
      <c r="M74" s="135">
        <f>IF(OR(F74="",N10="",N10&lt;=0),"",IF(LEN(F74)&lt;=N10,LEN(F74),IFERROR(FIND("♦",SUBSTITUTE(LEFT(F74,N10)," ","♦",LEN(LEFT(F74,N10))-LEN(SUBSTITUTE(LEFT(F74,N10)," ","")))),FIND(" ",F74&amp;" ",N10+1)-1)))</f>
        <v>35</v>
      </c>
      <c r="N74" s="176">
        <f t="shared" si="5"/>
        <v>57</v>
      </c>
      <c r="O74" s="177" t="str">
        <f t="shared" si="6"/>
        <v>égouttez-les. Réservez la marinade.</v>
      </c>
      <c r="P74" s="176">
        <f t="shared" si="7"/>
        <v>4</v>
      </c>
      <c r="Q74" s="176">
        <f t="shared" si="8"/>
        <v>35</v>
      </c>
      <c r="S74" s="178">
        <v>57</v>
      </c>
      <c r="T74" s="179" t="str">
        <f t="shared" si="10"/>
        <v>égouttez-les. Réservez la marinade.</v>
      </c>
      <c r="U74" s="180" t="str">
        <f t="shared" si="11"/>
        <v>égouttez-les. Réservez la marinade. ?</v>
      </c>
      <c r="V74" s="181" t="str">
        <f>IF(63=63,IF(T74="","",IF(W74="X",""&amp;"Céréales contenant du gluten","")&amp;IF(X74="X",IF(COUNTIF(W74:W74,"X")&gt;0,", ","")&amp;"Crustacés","")&amp;IF(Y74="X",IF(COUNTIF(W74:X74,"X")&gt;0,", ","")&amp;"Œufs","")&amp;IF(Z74="X",IF(COUNTIF(W74:Y74,"X")&gt;0,", ","")&amp;"Poissons","")&amp;IF(AA74="X",IF(COUNTIF(W74:Z74,"X")&gt;0,", ","")&amp;"Arachides","")&amp;IF(AB74="X",IF(COUNTIF(W74:AA74,"X")&gt;0,", ","")&amp;"Soja","")&amp;IF(AC74="X",IF(COUNTIF(W74:AB74,"X")&gt;0,", ","")&amp;"Lait","")&amp;IF(AD74="X",IF(COUNTIF(W74:AC74,"X")&gt;0,", ","")&amp;"Fruits à coque","")&amp;IF(AE74="X",IF(COUNTIF(W74:AD74,"X")&gt;0,", ","")&amp;"Céleri","")&amp;IF(AF74="X",IF(COUNTIF(W74:AE74,"X")&gt;0,", ","")&amp;"Moutarde","")&amp;IF(AG74="X",IF(COUNTIF(W74:AF74,"X")&gt;0,", ","")&amp;"Sésame","")&amp;IF(AH74="X",IF(COUNTIF(W74:AG74,"X")&gt;0,", ","")&amp;"Sulfites","")&amp;IF(AI74="X",IF(COUNTIF(W74:AH74,"X")&gt;0,", ","")&amp;"Lupin","")&amp;IF(AJ74="X",IF(COUNTIF(W74:AI74,"X")&gt;0,", ","")&amp;"Mollusques","")),"")</f>
        <v/>
      </c>
      <c r="W74" s="182" t="str">
        <f>IF(63=63,IF(T74="","",AX74),"")</f>
        <v/>
      </c>
      <c r="X74" s="182" t="str">
        <f>IF(63=63,IF(T74="","",BA74),"")</f>
        <v/>
      </c>
      <c r="Y74" s="182" t="str">
        <f>IF(63=63,IF(T74="","",BE74),"")</f>
        <v/>
      </c>
      <c r="Z74" s="182" t="str">
        <f>IF(63=63,IF(T74="","",IF(ISNUMBER(SEARCH(" colin ",AS74)),"X",BR74)),"")</f>
        <v/>
      </c>
      <c r="AA74" s="182" t="str">
        <f>IF(63=63,IF(T74="","",BT74),"")</f>
        <v/>
      </c>
      <c r="AB74" s="182" t="str">
        <f>IF(63=63,IF(T74="","",BX74),"")</f>
        <v/>
      </c>
      <c r="AC74" s="182" t="str">
        <f>IF(63=63,IF(T74="","",CE74),"")</f>
        <v/>
      </c>
      <c r="AD74" s="182" t="str">
        <f>IF(63=63,IF(T74="","",CI74),"")</f>
        <v/>
      </c>
      <c r="AE74" s="182" t="str">
        <f>IF(63=63,IF(T74="","",CL74),"")</f>
        <v/>
      </c>
      <c r="AF74" s="182" t="str">
        <f>IF(63=63,IF(T74="","",CO74),"")</f>
        <v>?</v>
      </c>
      <c r="AG74" s="182" t="str">
        <f>IF(63=63,IF(T74="","",CR74),"")</f>
        <v/>
      </c>
      <c r="AH74" s="182" t="str">
        <f>IF(63=63,IF(T74="","",CU74),"")</f>
        <v/>
      </c>
      <c r="AI74" s="182" t="str">
        <f>IF(63=63,IF(T74="","",CX74),"")</f>
        <v/>
      </c>
      <c r="AJ74" s="182" t="str">
        <f>IF(63=63,IF(T74="","",DD74),"")</f>
        <v/>
      </c>
      <c r="AK74" s="183" t="str">
        <f>IF(63=63,IF(T74="","",IF(W74="?",""&amp;"Céréales contenant du gluten","")&amp;IF(X74="?",IF(COUNTIF(W74:W74,"~?")&gt;0,", ","")&amp;"Crustacés","")&amp;IF(Y74="?",IF(COUNTIF(W74:X74,"~?")&gt;0,", ","")&amp;"Œufs","")&amp;IF(Z74="?",IF(COUNTIF(W74:Y74,"~?")&gt;0,", ","")&amp;"Poissons","")&amp;IF(AA74="?",IF(COUNTIF(W74:Z74,"~?")&gt;0,", ","")&amp;"Arachides","")&amp;IF(AB74="?",IF(COUNTIF(W74:AA74,"~?")&gt;0,", ","")&amp;"Soja","")&amp;IF(AC74="?",IF(COUNTIF(W74:AB74,"~?")&gt;0,", ","")&amp;"Lait","")&amp;IF(AD74="?",IF(COUNTIF(W74:AC74,"~?")&gt;0,", ","")&amp;"Fruits à coque","")&amp;IF(AE74="?",IF(COUNTIF(W74:AD74,"~?")&gt;0,", ","")&amp;"Céleri","")&amp;IF(AF74="?",IF(COUNTIF(W74:AE74,"~?")&gt;0,", ","")&amp;"Moutarde","")&amp;IF(AG74="?",IF(COUNTIF(W74:AF74,"~?")&gt;0,", ","")&amp;"Sésame","")&amp;IF(AH74="?",IF(COUNTIF(W74:AG74,"~?")&gt;0,", ","")&amp;"Sulfites","")&amp;IF(AI74="?",IF(COUNTIF(W74:AH74,"~?")&gt;0,", ","")&amp;"Lupin","")&amp;IF(AJ74="?",IF(COUNTIF(W74:AI74,"~?")&gt;0,", ","")&amp;"Mollusques","")),"")</f>
        <v>Moutarde</v>
      </c>
      <c r="AM74" s="127" t="str">
        <f>IF(63=63,IF(T74="","",T74),"")</f>
        <v>égouttez-les. Réservez la marinade.</v>
      </c>
      <c r="AN74" s="127" t="str">
        <f>IF(63=63,LOWER(CLEAN(SUBSTITUTE(SUBSTITUTE(SUBSTITUTE(SUBSTITUTE(AM74,CHAR(160)," ")," "," "),CHAR(10)," "),CHAR(13)," "))),"")</f>
        <v>égouttez-les. réservez la marinade.</v>
      </c>
      <c r="AO74" s="127" t="str">
        <f>IF(63=63,SUBSTITUTE(SUBSTITUTE(SUBSTITUTE(SUBSTITUTE(SUBSTITUTE(SUBSTITUTE(SUBSTITUTE(SUBSTITUTE(SUBSTITUTE(SUBSTITUTE(SUBSTITUTE(SUBSTITUTE(AN74,"œ","oe"),"æ","ae"),"à","a"),"á","a"),"â","a"),"ä","a"),"ã","a"),"ç","c"),"è","e"),"é","e"),"ê","e"),"ë","e"),"")</f>
        <v>egouttez-les. reservez la marinade.</v>
      </c>
      <c r="AP74" s="127" t="str">
        <f>IF(63=63,SUBSTITUTE(SUBSTITUTE(SUBSTITUTE(SUBSTITUTE(SUBSTITUTE(SUBSTITUTE(SUBSTITUTE(SUBSTITUTE(SUBSTITUTE(SUBSTITUTE(SUBSTITUTE(SUBSTITUTE(SUBSTITUTE(SUBSTITUTE(SUBSTITUTE(SUBSTITUTE(AO74,"ì","i"),"í","i"),"î","i"),"ï","i"),"ñ","n"),"ò","o"),"ó","o"),"ô","o"),"ö","o"),"õ","o"),"ù","u"),"ú","u"),"û","u"),"ü","u"),"ý","y"),"ÿ","y"),"")</f>
        <v>egouttez-les. reservez la marinade.</v>
      </c>
      <c r="AQ74" s="127" t="str">
        <f>IF(63=63,SUBSTITUTE(SUBSTITUTE(SUBSTITUTE(SUBSTITUTE(SUBSTITUTE(SUBSTITUTE(SUBSTITUTE(SUBSTITUTE(SUBSTITUTE(SUBSTITUTE(SUBSTITUTE(SUBSTITUTE(SUBSTITUTE(SUBSTITUTE(AP74,"’"," "),"`"," "),"–"," "),"—"," "),"-"," "),"'"," "),"/"," "),"_"," "),","," "),"."," "),"("," "),")"," "),";"," "),":"," "),"")</f>
        <v xml:space="preserve">egouttez les  reservez la marinade </v>
      </c>
      <c r="AR74" s="127" t="str">
        <f>IF(63=63,SUBSTITUTE(SUBSTITUTE(SUBSTITUTE(SUBSTITUTE(SUBSTITUTE(SUBSTITUTE(SUBSTITUTE(SUBSTITUTE(SUBSTITUTE(SUBSTITUTE(SUBSTITUTE(SUBSTITUTE(SUBSTITUTE(SUBSTITUTE(SUBSTITUTE(AQ74,"!"," "),"?"," "),"+"," "),"*"," "),"&amp;"," "),"["," "),"]"," "),"{"," "),"}"," "),"%"," "),"="," "),"\"," "),"|"," "),"&lt;"," "),"&gt;"," "),"")</f>
        <v xml:space="preserve">egouttez les  reservez la marinade </v>
      </c>
      <c r="AS74" s="127" t="str">
        <f>IF(63=63," "&amp;TRIM(SUBSTITUTE(SUBSTITUTE(SUBSTITUTE(SUBSTITUTE(SUBSTITUTE(SUBSTITUTE(AR74,CHAR(34)," "),"  "," "),"  "," "),"  "," "),"  "," "),"  "," "))&amp;" ","")</f>
        <v xml:space="preserve"> egouttez les reservez la marinade </v>
      </c>
      <c r="AT74" s="127" cm="1">
        <f t="array" ref="AT74">IF(63=63,IF(AM74="","",SUMPRODUCT(--ISNUMBER(SEARCH(" "&amp;DJ13:DJ112&amp;" ",AV74)))),"")</f>
        <v>0</v>
      </c>
      <c r="AU74" s="127" cm="1">
        <f t="array" ref="AU74">IF(63=63,IF(AM74="","",SUMPRODUCT(--ISNUMBER(SEARCH(" "&amp;DJ113:DJ162&amp;" ",AV74)))),"")</f>
        <v>0</v>
      </c>
      <c r="AV74" s="127" t="str">
        <f>IF(AM74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egouttez les reservez la marinade </v>
      </c>
      <c r="AW74" s="127" cm="1">
        <f t="array" ref="AW74">IF(AM74="","",SUMPRODUCT(--ISNUMBER(SEARCH(" "&amp;DJ195:DJ216&amp;" ",AV74)))+--ISNUMBER(SEARCH(" "&amp;DJ2465&amp;" ",AV74)))</f>
        <v>0</v>
      </c>
      <c r="AX74" s="127" t="str" cm="1">
        <f t="array" ref="AX74">IF(63=63,IF(AM74="","",IF(SUM(AT74:AU74)+SUMPRODUCT(--ISNUMBER(SEARCH(" "&amp;DJ2429:DJ2431&amp;" ",AV74)))&gt;0,"X",IF(AW74&gt;0,"?",""))),"")</f>
        <v/>
      </c>
      <c r="AY74" s="127" cm="1">
        <f t="array" ref="AY74">IF(63=63,IF(AM74="","",SUMPRODUCT(--ISNUMBER(SEARCH(" "&amp;DJ217:DJ316&amp;" ",AS74)))),"")</f>
        <v>0</v>
      </c>
      <c r="AZ74" s="127" cm="1">
        <f t="array" ref="AZ74">IF(63=63,IF(AM74="","",SUMPRODUCT(--ISNUMBER(SEARCH(" "&amp;DJ317:DJ351&amp;" ",AS74)))),"")</f>
        <v>0</v>
      </c>
      <c r="BA74" s="127" t="str">
        <f>IF(63=63,IF(AM74="","",IF((SUM(AY74:AZ74))-(0)&gt;0,"X",IF((0)-(0)&gt;0,"?",""))),"")</f>
        <v/>
      </c>
      <c r="BB74" s="127" cm="1">
        <f t="array" ref="BB74">IF(63=63,IF(AM74="","",SUMPRODUCT(--ISNUMBER(SEARCH(" "&amp;DJ352:DJ409&amp;" ",AS74)))),"")</f>
        <v>0</v>
      </c>
      <c r="BC74" s="127" cm="1">
        <f t="array" ref="BC74">IF(63=63,IF(AM74="","",SUMPRODUCT(--ISNUMBER(SEARCH(" "&amp;DJ410:DJ437&amp;" ",BD74)))+SUMPRODUCT(--ISNUMBER(SEARCH(" "&amp;DJ2451:DJ2464&amp;" ",BD74)))),"")</f>
        <v>0</v>
      </c>
      <c r="BD74" s="127" t="str">
        <f>IF(63=63,IF(AM74="","",SUBSTITUTE(SUBSTITUTE(SUBSTITUTE(SUBSTITUTE(SUBSTITUTE(SUBSTITUTE(SUBSTITUTE(SUBSTITUTE(SUBSTITUTE(SUBSTITUTE(SUBSTITUTE(SUBSTITUTE(SUBSTITUTE(SUBSTITUTE(AS74," "&amp;DJ2466&amp;" "," ")," "&amp;DJ444&amp;" "," ")," "&amp;DJ442&amp;" "," ")," "&amp;DJ2449&amp;" "," ")," "&amp;DJ2450&amp;" "," ")," "&amp;DJ439&amp;" "," ")," "&amp;DJ443&amp;" "," ")," "&amp;DJ445&amp;" "," ")," "&amp;DJ440&amp;" "," ")," "&amp;DJ438&amp;" "," ")," "&amp;DJ1378&amp;" "," ")," "&amp;DJ446&amp;" "," ")," "&amp;DJ1377&amp;" "," ")," "&amp;DJ441&amp;" "," ")),"")</f>
        <v xml:space="preserve"> egouttez les reservez la marinade </v>
      </c>
      <c r="BE74" s="127" t="str">
        <f>IF(63=63,IF(AM74="","",IF(BB74&gt;0,"X",IF(BC74&gt;0,"?",""))),"")</f>
        <v/>
      </c>
      <c r="BF74" s="127" cm="1">
        <f t="array" ref="BF74">IF(63=63,IF(AM74="","",SUMPRODUCT(--ISNUMBER(SEARCH(" "&amp;DJ447:DJ546&amp;" ",BP74)))),"")</f>
        <v>0</v>
      </c>
      <c r="BG74" s="127" cm="1">
        <f t="array" ref="BG74">IF(63=63,IF(AM74="","",SUMPRODUCT(--ISNUMBER(SEARCH(" "&amp;DJ547:DJ646&amp;" ",BP74)))),"")</f>
        <v>0</v>
      </c>
      <c r="BH74" s="127" cm="1">
        <f t="array" ref="BH74">IF(63=63,IF(AM74="","",SUMPRODUCT(--ISNUMBER(SEARCH(" "&amp;DJ647:DJ746&amp;" ",BP74)))),"")</f>
        <v>0</v>
      </c>
      <c r="BI74" s="127" cm="1">
        <f t="array" ref="BI74">IF(63=63,IF(AM74="","",SUMPRODUCT(--ISNUMBER(SEARCH(" "&amp;DJ747:DJ846&amp;" ",BP74)))),"")</f>
        <v>0</v>
      </c>
      <c r="BJ74" s="127" cm="1">
        <f t="array" ref="BJ74">IF(63=63,IF(AM74="","",SUMPRODUCT(--ISNUMBER(SEARCH(" "&amp;DJ847:DJ946&amp;" ",BP74)))),"")</f>
        <v>0</v>
      </c>
      <c r="BK74" s="127" cm="1">
        <f t="array" ref="BK74">IF(63=63,IF(AM74="","",SUMPRODUCT(--ISNUMBER(SEARCH(" "&amp;DJ947:DJ1046&amp;" ",BP74)))),"")</f>
        <v>0</v>
      </c>
      <c r="BL74" s="127" cm="1">
        <f t="array" ref="BL74">IF(63=63,IF(AM74="","",SUMPRODUCT(--ISNUMBER(SEARCH(" "&amp;DJ1047:DJ1146&amp;" ",BP74)))),"")</f>
        <v>0</v>
      </c>
      <c r="BM74" s="127" cm="1">
        <f t="array" ref="BM74">IF(63=63,IF(AM74="","",SUMPRODUCT(--ISNUMBER(SEARCH(" "&amp;DJ1147:DJ1246&amp;" ",BP74)))),"")</f>
        <v>0</v>
      </c>
      <c r="BN74" s="127" cm="1">
        <f t="array" ref="BN74">IF(63=63,IF(AM74="","",SUMPRODUCT(--ISNUMBER(SEARCH(" "&amp;DJ1247:DJ1346&amp;" ",BP74)))),"")</f>
        <v>0</v>
      </c>
      <c r="BO74" s="127" cm="1">
        <f t="array" ref="BO74">IF(63=63,IF(AM74="","",SUMPRODUCT(--ISNUMBER(SEARCH(" "&amp;DJ1347:DJ1374&amp;" ",BP74)))),"")</f>
        <v>0</v>
      </c>
      <c r="BP74" s="127" t="str">
        <f>IF(63=63,IF(AM74="","",SUBSTITUTE(SUBSTITUTE(SUBSTITUTE(SUBSTITUTE(SUBSTITUTE(SUBSTITUTE(SUBSTITUTE(SUBSTITUTE(SUBSTITUTE(AS74," "&amp;DJ1376&amp;" "," ")," "&amp;DJ1375&amp;" "," ")," "&amp;DJ1381&amp;" "," ")," "&amp;DJ1382&amp;" "," ")," "&amp;DJ1378&amp;" "," ")," "&amp;DJ1380&amp;" "," ")," "&amp;DJ1377&amp;" "," ")," "&amp;DJ1379&amp;" "," ")," "&amp;DJ1383&amp;" "," ")),"")</f>
        <v xml:space="preserve"> egouttez les reservez la marinade </v>
      </c>
      <c r="BQ74" s="127" cm="1">
        <f t="array" ref="BQ74">IF(63=63,IF(AM74="","",SUMPRODUCT(--ISNUMBER(SEARCH(" "&amp;DJ1384:DJ1394&amp;" ",BP74)))),"")</f>
        <v>0</v>
      </c>
      <c r="BR74" s="127" t="str" cm="1">
        <f t="array" ref="BR74">IF(63=63,IF(AM74="","",IF(SUM(BF74:BO74)+SUMPRODUCT(--ISNUMBER(SEARCH(" "&amp;DJ2432:DJ2433&amp;" ",BP74)))&gt;0,"X",IF(BQ74&gt;0,"?",""))),"")</f>
        <v/>
      </c>
      <c r="BS74" s="127" cm="1">
        <f t="array" ref="BS74">IF(63=63,IF(AM74="","",SUMPRODUCT(--ISNUMBER(SEARCH(" "&amp;DJ1395:DJ1415&amp;" ",AS74)))),"")</f>
        <v>0</v>
      </c>
      <c r="BT74" s="127" t="str">
        <f>IF(63=63,IF(AM74="","",IF((BS74)-(0)&gt;0,"X",IF((0)-(0)&gt;0,"?",""))),"")</f>
        <v/>
      </c>
      <c r="BU74" s="127" cm="1">
        <f t="array" ref="BU74">IF(63=63,IF(AM74="","",SUMPRODUCT(--ISNUMBER(SEARCH(" "&amp;DJ1416:DJ1453&amp;" ",BV74)))),"")</f>
        <v>0</v>
      </c>
      <c r="BV74" s="127" t="str">
        <f>IF(63=63,IF(AM74="","",SUBSTITUTE(SUBSTITUTE(AS74," "&amp;DJ1454&amp;" "," ")," "&amp;DJ1455&amp;" "," ")),"")</f>
        <v xml:space="preserve"> egouttez les reservez la marinade </v>
      </c>
      <c r="BW74" s="127" cm="1">
        <f t="array" ref="BW74">IF(63=63,IF(AM74="","",SUMPRODUCT(--ISNUMBER(SEARCH(" "&amp;DJ1456:DJ1466&amp;" ",BV74)))),"")</f>
        <v>0</v>
      </c>
      <c r="BX74" s="127" t="str">
        <f>IF(63=63,IF(AM74="","",IF(BU74&gt;0,"X",IF(BW74&gt;0,"?",""))),"")</f>
        <v/>
      </c>
      <c r="BY74" s="127" cm="1">
        <f t="array" ref="BY74">IF(63=63,IF(AM74="","",SUMPRODUCT(--ISNUMBER(SEARCH(" "&amp;DJ1467:DJ1566&amp;" ",CB74)))),"")</f>
        <v>0</v>
      </c>
      <c r="BZ74" s="127" cm="1">
        <f t="array" ref="BZ74">IF(63=63,IF(AM74="","",SUMPRODUCT(--ISNUMBER(SEARCH(" "&amp;DJ1567:DJ1666&amp;" ",CB74)))),"")</f>
        <v>0</v>
      </c>
      <c r="CA74" s="127" cm="1">
        <f t="array" ref="CA74">IF(63=63,IF(AM74="","",SUMPRODUCT(--ISNUMBER(SEARCH(" "&amp;DJ1667:DJ1750&amp;" ",CB74)))),"")</f>
        <v>0</v>
      </c>
      <c r="CB74" s="127" t="str">
        <f>IF(63=63,IF(AM74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egouttez les reservez la marinade </v>
      </c>
      <c r="CC74" s="127" cm="1">
        <f t="array" ref="CC74">IF(63=63,IF(AM74="","",SUMPRODUCT(--ISNUMBER(SEARCH(" "&amp;DJ1801:DJ1880&amp;" ",CD74)))+SUMPRODUCT(--ISNUMBER(SEARCH(" "&amp;DJ2451:DJ2464&amp;" ",CD74)))),"")</f>
        <v>0</v>
      </c>
      <c r="CD74" s="127" t="str">
        <f>IF(63=63,IF(AM74="","",SUBSTITUTE(SUBSTITUTE(SUBSTITUTE(SUBSTITUTE(SUBSTITUTE(SUBSTITUTE(SUBSTITUTE(SUBSTITUTE(SUBSTITUTE(SUBSTITUTE(SUBSTITUTE(SUBSTITUTE(SUBSTITUTE(CB74," "&amp;DJ1887&amp;" "," ")," "&amp;DJ1885&amp;" "," ")," "&amp;DJ2449&amp;" "," ")," "&amp;DJ2450&amp;" "," ")," "&amp;DJ1882&amp;" "," ")," "&amp;DJ1886&amp;" "," ")," "&amp;DJ1888&amp;" "," ")," "&amp;DJ1883&amp;" "," ")," "&amp;DJ1881&amp;" "," ")," "&amp;DJ1378&amp;" "," ")," "&amp;DJ1889&amp;" "," ")," "&amp;DJ1377&amp;" "," ")," "&amp;DJ1884&amp;" "," ")),"")</f>
        <v xml:space="preserve"> egouttez les reservez la marinade </v>
      </c>
      <c r="CE74" s="127" t="str" cm="1">
        <f t="array" ref="CE74">IF(63=63,IF(AM74="","",IF(SUM(BY74:CA74)+SUMPRODUCT(--ISNUMBER(SEARCH(" "&amp;DJ2434:DJ2435&amp;" ",CB74)))&gt;0,"X",IF(CC74&gt;0,"?",""))),"")</f>
        <v/>
      </c>
      <c r="CF74" s="127" cm="1">
        <f t="array" ref="CF74">IF(63=63,IF(AM74="","",SUMPRODUCT(--ISNUMBER(SEARCH(" "&amp;DJ1890:DJ1947&amp;" ",CG74)))),"")</f>
        <v>0</v>
      </c>
      <c r="CG74" s="127" t="str">
        <f>IF(63=63,IF(AM74="","",SUBSTITUTE(SUBSTITUTE(SUBSTITUTE(SUBSTITUTE(SUBSTITUTE(SUBSTITUTE(SUBSTITUTE(SUBSTITUTE(SUBSTITUTE(SUBSTITUTE(SUBSTITUTE(SUBSTITUTE(SUBSTITUTE(SUBSTITUTE(SUBSTITUTE(SUBSTITUTE(SUBSTITUTE(SUBSTITUTE(SUBSTITUTE(SUBSTITUTE(SUBSTITUTE(SUBSTITUTE(SUBSTITUTE(AS74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egouttez les reservez la marinade </v>
      </c>
      <c r="CH74" s="127" cm="1">
        <f t="array" ref="CH74">IF(63=63,IF(AM74="","",SUMPRODUCT(--ISNUMBER(SEARCH(" "&amp;DJ1971:DJ1987&amp;" ",CG74)))),"")</f>
        <v>0</v>
      </c>
      <c r="CI74" s="127" t="str">
        <f>IF(63=63,IF(AM74="","",IF(CF74&gt;0,"X",IF(CH74&gt;0,"?",""))),"")</f>
        <v/>
      </c>
      <c r="CJ74" s="127" cm="1">
        <f t="array" ref="CJ74">IF(63=63,IF(AM74="","",SUMPRODUCT(--ISNUMBER(SEARCH(" "&amp;DJ1988:DJ2001&amp;" ",AS74)))),"")</f>
        <v>0</v>
      </c>
      <c r="CK74" s="127" cm="1">
        <f t="array" ref="CK74">IF(63=63,IF(AM74="","",SUMPRODUCT(--ISNUMBER(SEARCH(" "&amp;DJ2002:DJ2016&amp;" ",AS74)))),"")</f>
        <v>0</v>
      </c>
      <c r="CL74" s="127" t="str">
        <f>IF(63=63,IF(AM74="","",IF((CJ74)-(0)&gt;0,"X",IF((CK74)-(0)&gt;0,"?",""))),"")</f>
        <v/>
      </c>
      <c r="CM74" s="127" cm="1">
        <f t="array" ref="CM74">IF(63=63,IF(AM74="","",SUMPRODUCT(--ISNUMBER(SEARCH(" "&amp;DJ2017:DJ2034&amp;" ",AS74)))),"")</f>
        <v>0</v>
      </c>
      <c r="CN74" s="127" cm="1">
        <f t="array" ref="CN74">IF(63=63,IF(AM74="","",SUMPRODUCT(--ISNUMBER(SEARCH(" "&amp;DJ2035:DJ2049&amp;" ",AS74)))),"")</f>
        <v>1</v>
      </c>
      <c r="CO74" s="127" t="str">
        <f>IF(63=63,IF(AM74="","",IF((CM74)-(0)&gt;0,"X",IF((CN74)-(0)&gt;0,"?",""))),"")</f>
        <v>?</v>
      </c>
      <c r="CP74" s="127" cm="1">
        <f t="array" ref="CP74">IF(63=63,IF(AM74="","",SUMPRODUCT(--ISNUMBER(SEARCH(" "&amp;DJ2050:DJ2068&amp;" ",AS74)))),"")</f>
        <v>0</v>
      </c>
      <c r="CQ74" s="127" cm="1">
        <f t="array" ref="CQ74">IF(63=63,IF(AM74="","",SUMPRODUCT(--ISNUMBER(SEARCH(" "&amp;DJ2069:DJ2083&amp;" ",AS74)))),"")</f>
        <v>0</v>
      </c>
      <c r="CR74" s="127" t="str">
        <f>IF(63=63,IF(AM74="","",IF((CP74)-(0)&gt;0,"X",IF((CQ74)-(0)&gt;0,"?",""))),"")</f>
        <v/>
      </c>
      <c r="CS74" s="127" cm="1">
        <f t="array" ref="CS74">IF(63=63,IF(AM74="","",SUMPRODUCT(--ISNUMBER(SEARCH(" "&amp;DJ2084:DJ2104&amp;" ",AS74)))),"")</f>
        <v>0</v>
      </c>
      <c r="CT74" s="127" cm="1">
        <f t="array" ref="CT74">IF(63=63,IF(AM74="","",SUMPRODUCT(--ISNUMBER(SEARCH(" "&amp;DJ2105:DJ2144&amp;" ",SUBSTITUTE(SUBSTITUTE(AS74," "&amp;DJ1378&amp;" "," ")," "&amp;DJ1377&amp;" "," "))))+--ISNUMBER(SEARCH("poiré",AN74))),"")</f>
        <v>0</v>
      </c>
      <c r="CU74" s="127" t="str">
        <f>IF(63=63,IF(AM74="","",IF(OR(CS74&gt;0,ISNUMBER(SEARCH(" vinaigre de vin ",AS74)),ISNUMBER(SEARCH(" vinaigre au vin ",AS74))),"X",IF(CT74&gt;0,"?",""))),"")</f>
        <v/>
      </c>
      <c r="CV74" s="127" cm="1">
        <f t="array" ref="CV74">IF(63=63,IF(AM74="","",SUMPRODUCT(--ISNUMBER(SEARCH(" "&amp;DJ2145:DJ2157&amp;" ",AS74)))),"")</f>
        <v>0</v>
      </c>
      <c r="CW74" s="127" cm="1">
        <f t="array" ref="CW74">IF(63=63,IF(AM74="","",SUMPRODUCT(--ISNUMBER(SEARCH(" "&amp;DJ2158:DJ2163&amp;" ",AS74)))),"")</f>
        <v>0</v>
      </c>
      <c r="CX74" s="127" t="str">
        <f>IF(63=63,IF(AM74="","",IF((CV74)-(0)&gt;0,"X",IF((CW74)-(0)&gt;0,"?",""))),"")</f>
        <v/>
      </c>
      <c r="CY74" s="127" cm="1">
        <f t="array" ref="CY74">IF(63=63,IF(AM74="","",SUMPRODUCT(--ISNUMBER(SEARCH(" "&amp;DJ2164:DJ2263&amp;" ",DB74)))),"")</f>
        <v>0</v>
      </c>
      <c r="CZ74" s="127" cm="1">
        <f t="array" ref="CZ74">IF(63=63,IF(AM74="","",SUMPRODUCT(--ISNUMBER(SEARCH(" "&amp;DJ2264:DJ2363&amp;" ",DB74)))),"")</f>
        <v>0</v>
      </c>
      <c r="DA74" s="127" cm="1">
        <f t="array" ref="DA74">IF(63=63,IF(AM74="","",SUMPRODUCT(--ISNUMBER(SEARCH(" "&amp;DJ2364:DJ2406&amp;" ",DB74)))),"")</f>
        <v>0</v>
      </c>
      <c r="DB74" s="127" t="str">
        <f>IF(63=63,IF(AM74="","",SUBSTITUTE(SUBSTITUTE(SUBSTITUTE(SUBSTITUTE(SUBSTITUTE(SUBSTITUTE(SUBSTITUTE(SUBSTITUTE(SUBSTITUTE(SUBSTITUTE(SUBSTITUTE(SUBSTITUTE(SUBSTITUTE(SUBSTITUTE(SUBSTITUTE(SUBSTITUTE(AS74," "&amp;DJ2412&amp;" "," ")," "&amp;DJ2411&amp;" "," ")," "&amp;DJ2410&amp;" "," ")," "&amp;DJ2417&amp;" "," ")," "&amp;DJ2409&amp;" "," ")," "&amp;DJ2421&amp;" "," ")," "&amp;DJ2408&amp;" "," ")," "&amp;DJ2413&amp;" "," ")," "&amp;DJ2416&amp;" "," ")," "&amp;DJ2407&amp;" "," ")," "&amp;DJ2415&amp;" "," ")," "&amp;DJ2422&amp;" "," ")," "&amp;DJ2419&amp;" "," ")," "&amp;DJ2414&amp;" "," ")," "&amp;DJ2418&amp;" "," ")," "&amp;DJ2420&amp;" "," ")),"")</f>
        <v xml:space="preserve"> egouttez les reservez la marinade </v>
      </c>
      <c r="DC74" s="127" cm="1">
        <f t="array" ref="DC74">IF(63=63,IF(AM74="","",SUMPRODUCT(--ISNUMBER(SEARCH(" "&amp;DJ2423:DJ2427&amp;" ",DB74)))),"")</f>
        <v>0</v>
      </c>
      <c r="DD74" s="127" t="str">
        <f>IF(63=63,IF(AM74="","",IF(SUM(CY74:DA74)&gt;0,"X",IF(DC74&gt;0,"?",""))),"")</f>
        <v/>
      </c>
      <c r="DE74" s="152"/>
      <c r="DF74" s="160" t="s">
        <v>780</v>
      </c>
      <c r="DG74" s="160" t="s">
        <v>584</v>
      </c>
      <c r="DH74" s="160" t="s">
        <v>125</v>
      </c>
      <c r="DI74" s="160" t="s">
        <v>781</v>
      </c>
      <c r="DJ74" s="160" t="s">
        <v>781</v>
      </c>
      <c r="DK74" s="160" t="s">
        <v>588</v>
      </c>
      <c r="DL74" s="160" t="s">
        <v>589</v>
      </c>
      <c r="DM74" s="160" t="s">
        <v>590</v>
      </c>
      <c r="DN74" s="161" t="s">
        <v>591</v>
      </c>
      <c r="DP74" s="130">
        <v>1</v>
      </c>
    </row>
    <row r="75" spans="2:120" ht="30" customHeight="1">
      <c r="B75" s="165" t="str">
        <f t="shared" si="0"/>
        <v>Fouettez le blanc en neige puis incorporez-le à la préparation. Laissez reposer la pâte 2h.</v>
      </c>
      <c r="C75" s="165" t="str">
        <f t="shared" si="1"/>
        <v>Fouettez le blanc en neige puis incorporez le à la préparation Laissez reposer la pâte 2h</v>
      </c>
      <c r="D75" s="165" t="str">
        <f>IF(UPPER(TRIM(N11))="X",C75,B75)</f>
        <v>Fouettez le blanc en neige puis incorporez-le à la préparation. Laissez reposer la pâte 2h.</v>
      </c>
      <c r="E75" s="165" cm="1">
        <f t="array" ref="E75">IF(H74&lt;&gt;"",E74,IF(E74="","",IFERROR(MATCH(TRUE(),INDEX(INDEX(K:K,E74+1):K203&lt;&gt;"",0),0)+E74,"")))</f>
        <v>59</v>
      </c>
      <c r="F75" s="165" t="str" cm="1">
        <f t="array" ref="F75">IF(E75="","",IF(H74&lt;&gt;"",H74,INDEX(D:D,E75)))</f>
        <v>3. Dans une cocotte en fonte, faites chauffer l’huile d’olive à feu moyen. Ajoutez la viande et faites-la dorer de tous les côtés. Retirez-la de la cocotte et réservez-la.</v>
      </c>
      <c r="G75" s="165" t="str">
        <f t="shared" si="2"/>
        <v xml:space="preserve">3. Dans une cocotte en fonte, faites chauffer l’huile d’olive à feu moyen. </v>
      </c>
      <c r="H75" s="174" t="str">
        <f t="shared" si="3"/>
        <v>Ajoutez la viande et faites-la dorer de tous les côtés. Retirez-la de la cocotte et réservez-la.</v>
      </c>
      <c r="I75" s="184" t="str">
        <f>IF(AND(F75&lt;&gt;"",N10&gt;0,M75&gt;N10),"Mot &gt; limite","")</f>
        <v/>
      </c>
      <c r="J75" s="175">
        <f>IF(K75="","",COUNTIF(K18:K75,"&lt;&gt;"))</f>
        <v>48</v>
      </c>
      <c r="K75" s="111" t="s">
        <v>36</v>
      </c>
      <c r="L75" s="175">
        <f t="shared" si="4"/>
        <v>91</v>
      </c>
      <c r="M75" s="135">
        <f>IF(OR(F75="",N10="",N10&lt;=0),"",IF(LEN(F75)&lt;=N10,LEN(F75),IFERROR(FIND("♦",SUBSTITUTE(LEFT(F75,N10)," ","♦",LEN(LEFT(F75,N10))-LEN(SUBSTITUTE(LEFT(F75,N10)," ","")))),FIND(" ",F75&amp;" ",N10+1)-1)))</f>
        <v>75</v>
      </c>
      <c r="N75" s="176">
        <f t="shared" si="5"/>
        <v>58</v>
      </c>
      <c r="O75" s="177" t="str">
        <f t="shared" si="6"/>
        <v xml:space="preserve">3. Dans une cocotte en fonte, faites chauffer l’huile d’olive à feu moyen. </v>
      </c>
      <c r="P75" s="176">
        <f t="shared" si="7"/>
        <v>13</v>
      </c>
      <c r="Q75" s="176">
        <f t="shared" si="8"/>
        <v>75</v>
      </c>
      <c r="S75" s="178">
        <v>58</v>
      </c>
      <c r="T75" s="179" t="str">
        <f t="shared" si="10"/>
        <v xml:space="preserve">3. Dans une cocotte en fonte, faites chauffer l’huile d’olive à feu moyen. </v>
      </c>
      <c r="U75" s="180" t="str">
        <f t="shared" si="11"/>
        <v>3. Dans une cocotte en fonte, faites chauffer l’huile d’olive à feu moyen.</v>
      </c>
      <c r="V75" s="181" t="str">
        <f>IF(64=64,IF(T75="","",IF(W75="X",""&amp;"Céréales contenant du gluten","")&amp;IF(X75="X",IF(COUNTIF(W75:W75,"X")&gt;0,", ","")&amp;"Crustacés","")&amp;IF(Y75="X",IF(COUNTIF(W75:X75,"X")&gt;0,", ","")&amp;"Œufs","")&amp;IF(Z75="X",IF(COUNTIF(W75:Y75,"X")&gt;0,", ","")&amp;"Poissons","")&amp;IF(AA75="X",IF(COUNTIF(W75:Z75,"X")&gt;0,", ","")&amp;"Arachides","")&amp;IF(AB75="X",IF(COUNTIF(W75:AA75,"X")&gt;0,", ","")&amp;"Soja","")&amp;IF(AC75="X",IF(COUNTIF(W75:AB75,"X")&gt;0,", ","")&amp;"Lait","")&amp;IF(AD75="X",IF(COUNTIF(W75:AC75,"X")&gt;0,", ","")&amp;"Fruits à coque","")&amp;IF(AE75="X",IF(COUNTIF(W75:AD75,"X")&gt;0,", ","")&amp;"Céleri","")&amp;IF(AF75="X",IF(COUNTIF(W75:AE75,"X")&gt;0,", ","")&amp;"Moutarde","")&amp;IF(AG75="X",IF(COUNTIF(W75:AF75,"X")&gt;0,", ","")&amp;"Sésame","")&amp;IF(AH75="X",IF(COUNTIF(W75:AG75,"X")&gt;0,", ","")&amp;"Sulfites","")&amp;IF(AI75="X",IF(COUNTIF(W75:AH75,"X")&gt;0,", ","")&amp;"Lupin","")&amp;IF(AJ75="X",IF(COUNTIF(W75:AI75,"X")&gt;0,", ","")&amp;"Mollusques","")),"")</f>
        <v/>
      </c>
      <c r="W75" s="182" t="str">
        <f>IF(64=64,IF(T75="","",AX75),"")</f>
        <v/>
      </c>
      <c r="X75" s="182" t="str">
        <f>IF(64=64,IF(T75="","",BA75),"")</f>
        <v/>
      </c>
      <c r="Y75" s="182" t="str">
        <f>IF(64=64,IF(T75="","",BE75),"")</f>
        <v/>
      </c>
      <c r="Z75" s="182" t="str">
        <f>IF(64=64,IF(T75="","",IF(ISNUMBER(SEARCH(" colin ",AS75)),"X",BR75)),"")</f>
        <v/>
      </c>
      <c r="AA75" s="182" t="str">
        <f>IF(64=64,IF(T75="","",BT75),"")</f>
        <v/>
      </c>
      <c r="AB75" s="182" t="str">
        <f>IF(64=64,IF(T75="","",BX75),"")</f>
        <v/>
      </c>
      <c r="AC75" s="182" t="str">
        <f>IF(64=64,IF(T75="","",CE75),"")</f>
        <v/>
      </c>
      <c r="AD75" s="182" t="str">
        <f>IF(64=64,IF(T75="","",CI75),"")</f>
        <v/>
      </c>
      <c r="AE75" s="182" t="str">
        <f>IF(64=64,IF(T75="","",CL75),"")</f>
        <v/>
      </c>
      <c r="AF75" s="182" t="str">
        <f>IF(64=64,IF(T75="","",CO75),"")</f>
        <v/>
      </c>
      <c r="AG75" s="182" t="str">
        <f>IF(64=64,IF(T75="","",CR75),"")</f>
        <v/>
      </c>
      <c r="AH75" s="182" t="str">
        <f>IF(64=64,IF(T75="","",CU75),"")</f>
        <v/>
      </c>
      <c r="AI75" s="182" t="str">
        <f>IF(64=64,IF(T75="","",CX75),"")</f>
        <v/>
      </c>
      <c r="AJ75" s="182" t="str">
        <f>IF(64=64,IF(T75="","",DD75),"")</f>
        <v/>
      </c>
      <c r="AK75" s="183" t="str">
        <f>IF(64=64,IF(T75="","",IF(W75="?",""&amp;"Céréales contenant du gluten","")&amp;IF(X75="?",IF(COUNTIF(W75:W75,"~?")&gt;0,", ","")&amp;"Crustacés","")&amp;IF(Y75="?",IF(COUNTIF(W75:X75,"~?")&gt;0,", ","")&amp;"Œufs","")&amp;IF(Z75="?",IF(COUNTIF(W75:Y75,"~?")&gt;0,", ","")&amp;"Poissons","")&amp;IF(AA75="?",IF(COUNTIF(W75:Z75,"~?")&gt;0,", ","")&amp;"Arachides","")&amp;IF(AB75="?",IF(COUNTIF(W75:AA75,"~?")&gt;0,", ","")&amp;"Soja","")&amp;IF(AC75="?",IF(COUNTIF(W75:AB75,"~?")&gt;0,", ","")&amp;"Lait","")&amp;IF(AD75="?",IF(COUNTIF(W75:AC75,"~?")&gt;0,", ","")&amp;"Fruits à coque","")&amp;IF(AE75="?",IF(COUNTIF(W75:AD75,"~?")&gt;0,", ","")&amp;"Céleri","")&amp;IF(AF75="?",IF(COUNTIF(W75:AE75,"~?")&gt;0,", ","")&amp;"Moutarde","")&amp;IF(AG75="?",IF(COUNTIF(W75:AF75,"~?")&gt;0,", ","")&amp;"Sésame","")&amp;IF(AH75="?",IF(COUNTIF(W75:AG75,"~?")&gt;0,", ","")&amp;"Sulfites","")&amp;IF(AI75="?",IF(COUNTIF(W75:AH75,"~?")&gt;0,", ","")&amp;"Lupin","")&amp;IF(AJ75="?",IF(COUNTIF(W75:AI75,"~?")&gt;0,", ","")&amp;"Mollusques","")),"")</f>
        <v/>
      </c>
      <c r="AM75" s="127" t="str">
        <f>IF(64=64,IF(T75="","",T75),"")</f>
        <v xml:space="preserve">3. Dans une cocotte en fonte, faites chauffer l’huile d’olive à feu moyen. </v>
      </c>
      <c r="AN75" s="127" t="str">
        <f>IF(64=64,LOWER(CLEAN(SUBSTITUTE(SUBSTITUTE(SUBSTITUTE(SUBSTITUTE(AM75,CHAR(160)," ")," "," "),CHAR(10)," "),CHAR(13)," "))),"")</f>
        <v xml:space="preserve">3. dans une cocotte en fonte, faites chauffer l’huile d’olive à feu moyen. </v>
      </c>
      <c r="AO75" s="127" t="str">
        <f>IF(64=64,SUBSTITUTE(SUBSTITUTE(SUBSTITUTE(SUBSTITUTE(SUBSTITUTE(SUBSTITUTE(SUBSTITUTE(SUBSTITUTE(SUBSTITUTE(SUBSTITUTE(SUBSTITUTE(SUBSTITUTE(AN75,"œ","oe"),"æ","ae"),"à","a"),"á","a"),"â","a"),"ä","a"),"ã","a"),"ç","c"),"è","e"),"é","e"),"ê","e"),"ë","e"),"")</f>
        <v xml:space="preserve">3. dans une cocotte en fonte, faites chauffer l’huile d’olive a feu moyen. </v>
      </c>
      <c r="AP75" s="127" t="str">
        <f>IF(64=64,SUBSTITUTE(SUBSTITUTE(SUBSTITUTE(SUBSTITUTE(SUBSTITUTE(SUBSTITUTE(SUBSTITUTE(SUBSTITUTE(SUBSTITUTE(SUBSTITUTE(SUBSTITUTE(SUBSTITUTE(SUBSTITUTE(SUBSTITUTE(SUBSTITUTE(SUBSTITUTE(AO75,"ì","i"),"í","i"),"î","i"),"ï","i"),"ñ","n"),"ò","o"),"ó","o"),"ô","o"),"ö","o"),"õ","o"),"ù","u"),"ú","u"),"û","u"),"ü","u"),"ý","y"),"ÿ","y"),"")</f>
        <v xml:space="preserve">3. dans une cocotte en fonte, faites chauffer l’huile d’olive a feu moyen. </v>
      </c>
      <c r="AQ75" s="127" t="str">
        <f>IF(64=64,SUBSTITUTE(SUBSTITUTE(SUBSTITUTE(SUBSTITUTE(SUBSTITUTE(SUBSTITUTE(SUBSTITUTE(SUBSTITUTE(SUBSTITUTE(SUBSTITUTE(SUBSTITUTE(SUBSTITUTE(SUBSTITUTE(SUBSTITUTE(AP75,"’"," "),"`"," "),"–"," "),"—"," "),"-"," "),"'"," "),"/"," "),"_"," "),","," "),"."," "),"("," "),")"," "),";"," "),":"," "),"")</f>
        <v xml:space="preserve">3  dans une cocotte en fonte  faites chauffer l huile d olive a feu moyen  </v>
      </c>
      <c r="AR75" s="127" t="str">
        <f>IF(64=64,SUBSTITUTE(SUBSTITUTE(SUBSTITUTE(SUBSTITUTE(SUBSTITUTE(SUBSTITUTE(SUBSTITUTE(SUBSTITUTE(SUBSTITUTE(SUBSTITUTE(SUBSTITUTE(SUBSTITUTE(SUBSTITUTE(SUBSTITUTE(SUBSTITUTE(AQ75,"!"," "),"?"," "),"+"," "),"*"," "),"&amp;"," "),"["," "),"]"," "),"{"," "),"}"," "),"%"," "),"="," "),"\"," "),"|"," "),"&lt;"," "),"&gt;"," "),"")</f>
        <v xml:space="preserve">3  dans une cocotte en fonte  faites chauffer l huile d olive a feu moyen  </v>
      </c>
      <c r="AS75" s="127" t="str">
        <f>IF(64=64," "&amp;TRIM(SUBSTITUTE(SUBSTITUTE(SUBSTITUTE(SUBSTITUTE(SUBSTITUTE(SUBSTITUTE(AR75,CHAR(34)," "),"  "," "),"  "," "),"  "," "),"  "," "),"  "," "))&amp;" ","")</f>
        <v xml:space="preserve"> 3 dans une cocotte en fonte faites chauffer l huile d olive a feu moyen </v>
      </c>
      <c r="AT75" s="127" cm="1">
        <f t="array" ref="AT75">IF(64=64,IF(AM75="","",SUMPRODUCT(--ISNUMBER(SEARCH(" "&amp;DJ13:DJ112&amp;" ",AV75)))),"")</f>
        <v>0</v>
      </c>
      <c r="AU75" s="127" cm="1">
        <f t="array" ref="AU75">IF(64=64,IF(AM75="","",SUMPRODUCT(--ISNUMBER(SEARCH(" "&amp;DJ113:DJ162&amp;" ",AV75)))),"")</f>
        <v>0</v>
      </c>
      <c r="AV75" s="127" t="str">
        <f>IF(AM75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3 dans une cocotte en fonte faites chauffer l huile d olive a feu moyen </v>
      </c>
      <c r="AW75" s="127" cm="1">
        <f t="array" ref="AW75">IF(AM75="","",SUMPRODUCT(--ISNUMBER(SEARCH(" "&amp;DJ195:DJ216&amp;" ",AV75)))+--ISNUMBER(SEARCH(" "&amp;DJ2465&amp;" ",AV75)))</f>
        <v>0</v>
      </c>
      <c r="AX75" s="127" t="str" cm="1">
        <f t="array" ref="AX75">IF(64=64,IF(AM75="","",IF(SUM(AT75:AU75)+SUMPRODUCT(--ISNUMBER(SEARCH(" "&amp;DJ2429:DJ2431&amp;" ",AV75)))&gt;0,"X",IF(AW75&gt;0,"?",""))),"")</f>
        <v/>
      </c>
      <c r="AY75" s="127" cm="1">
        <f t="array" ref="AY75">IF(64=64,IF(AM75="","",SUMPRODUCT(--ISNUMBER(SEARCH(" "&amp;DJ217:DJ316&amp;" ",AS75)))),"")</f>
        <v>0</v>
      </c>
      <c r="AZ75" s="127" cm="1">
        <f t="array" ref="AZ75">IF(64=64,IF(AM75="","",SUMPRODUCT(--ISNUMBER(SEARCH(" "&amp;DJ317:DJ351&amp;" ",AS75)))),"")</f>
        <v>0</v>
      </c>
      <c r="BA75" s="127" t="str">
        <f>IF(64=64,IF(AM75="","",IF((SUM(AY75:AZ75))-(0)&gt;0,"X",IF((0)-(0)&gt;0,"?",""))),"")</f>
        <v/>
      </c>
      <c r="BB75" s="127" cm="1">
        <f t="array" ref="BB75">IF(64=64,IF(AM75="","",SUMPRODUCT(--ISNUMBER(SEARCH(" "&amp;DJ352:DJ409&amp;" ",AS75)))),"")</f>
        <v>0</v>
      </c>
      <c r="BC75" s="127" cm="1">
        <f t="array" ref="BC75">IF(64=64,IF(AM75="","",SUMPRODUCT(--ISNUMBER(SEARCH(" "&amp;DJ410:DJ437&amp;" ",BD75)))+SUMPRODUCT(--ISNUMBER(SEARCH(" "&amp;DJ2451:DJ2464&amp;" ",BD75)))),"")</f>
        <v>0</v>
      </c>
      <c r="BD75" s="127" t="str">
        <f>IF(64=64,IF(AM75="","",SUBSTITUTE(SUBSTITUTE(SUBSTITUTE(SUBSTITUTE(SUBSTITUTE(SUBSTITUTE(SUBSTITUTE(SUBSTITUTE(SUBSTITUTE(SUBSTITUTE(SUBSTITUTE(SUBSTITUTE(SUBSTITUTE(SUBSTITUTE(AS75," "&amp;DJ2466&amp;" "," ")," "&amp;DJ444&amp;" "," ")," "&amp;DJ442&amp;" "," ")," "&amp;DJ2449&amp;" "," ")," "&amp;DJ2450&amp;" "," ")," "&amp;DJ439&amp;" "," ")," "&amp;DJ443&amp;" "," ")," "&amp;DJ445&amp;" "," ")," "&amp;DJ440&amp;" "," ")," "&amp;DJ438&amp;" "," ")," "&amp;DJ1378&amp;" "," ")," "&amp;DJ446&amp;" "," ")," "&amp;DJ1377&amp;" "," ")," "&amp;DJ441&amp;" "," ")),"")</f>
        <v xml:space="preserve"> 3 dans une cocotte en fonte faites chauffer l huile d olive a feu moyen </v>
      </c>
      <c r="BE75" s="127" t="str">
        <f>IF(64=64,IF(AM75="","",IF(BB75&gt;0,"X",IF(BC75&gt;0,"?",""))),"")</f>
        <v/>
      </c>
      <c r="BF75" s="127" cm="1">
        <f t="array" ref="BF75">IF(64=64,IF(AM75="","",SUMPRODUCT(--ISNUMBER(SEARCH(" "&amp;DJ447:DJ546&amp;" ",BP75)))),"")</f>
        <v>0</v>
      </c>
      <c r="BG75" s="127" cm="1">
        <f t="array" ref="BG75">IF(64=64,IF(AM75="","",SUMPRODUCT(--ISNUMBER(SEARCH(" "&amp;DJ547:DJ646&amp;" ",BP75)))),"")</f>
        <v>0</v>
      </c>
      <c r="BH75" s="127" cm="1">
        <f t="array" ref="BH75">IF(64=64,IF(AM75="","",SUMPRODUCT(--ISNUMBER(SEARCH(" "&amp;DJ647:DJ746&amp;" ",BP75)))),"")</f>
        <v>0</v>
      </c>
      <c r="BI75" s="127" cm="1">
        <f t="array" ref="BI75">IF(64=64,IF(AM75="","",SUMPRODUCT(--ISNUMBER(SEARCH(" "&amp;DJ747:DJ846&amp;" ",BP75)))),"")</f>
        <v>0</v>
      </c>
      <c r="BJ75" s="127" cm="1">
        <f t="array" ref="BJ75">IF(64=64,IF(AM75="","",SUMPRODUCT(--ISNUMBER(SEARCH(" "&amp;DJ847:DJ946&amp;" ",BP75)))),"")</f>
        <v>0</v>
      </c>
      <c r="BK75" s="127" cm="1">
        <f t="array" ref="BK75">IF(64=64,IF(AM75="","",SUMPRODUCT(--ISNUMBER(SEARCH(" "&amp;DJ947:DJ1046&amp;" ",BP75)))),"")</f>
        <v>0</v>
      </c>
      <c r="BL75" s="127" cm="1">
        <f t="array" ref="BL75">IF(64=64,IF(AM75="","",SUMPRODUCT(--ISNUMBER(SEARCH(" "&amp;DJ1047:DJ1146&amp;" ",BP75)))),"")</f>
        <v>0</v>
      </c>
      <c r="BM75" s="127" cm="1">
        <f t="array" ref="BM75">IF(64=64,IF(AM75="","",SUMPRODUCT(--ISNUMBER(SEARCH(" "&amp;DJ1147:DJ1246&amp;" ",BP75)))),"")</f>
        <v>0</v>
      </c>
      <c r="BN75" s="127" cm="1">
        <f t="array" ref="BN75">IF(64=64,IF(AM75="","",SUMPRODUCT(--ISNUMBER(SEARCH(" "&amp;DJ1247:DJ1346&amp;" ",BP75)))),"")</f>
        <v>0</v>
      </c>
      <c r="BO75" s="127" cm="1">
        <f t="array" ref="BO75">IF(64=64,IF(AM75="","",SUMPRODUCT(--ISNUMBER(SEARCH(" "&amp;DJ1347:DJ1374&amp;" ",BP75)))),"")</f>
        <v>0</v>
      </c>
      <c r="BP75" s="127" t="str">
        <f>IF(64=64,IF(AM75="","",SUBSTITUTE(SUBSTITUTE(SUBSTITUTE(SUBSTITUTE(SUBSTITUTE(SUBSTITUTE(SUBSTITUTE(SUBSTITUTE(SUBSTITUTE(AS75," "&amp;DJ1376&amp;" "," ")," "&amp;DJ1375&amp;" "," ")," "&amp;DJ1381&amp;" "," ")," "&amp;DJ1382&amp;" "," ")," "&amp;DJ1378&amp;" "," ")," "&amp;DJ1380&amp;" "," ")," "&amp;DJ1377&amp;" "," ")," "&amp;DJ1379&amp;" "," ")," "&amp;DJ1383&amp;" "," ")),"")</f>
        <v xml:space="preserve"> 3 dans une cocotte en fonte faites chauffer l huile d olive a feu moyen </v>
      </c>
      <c r="BQ75" s="127" cm="1">
        <f t="array" ref="BQ75">IF(64=64,IF(AM75="","",SUMPRODUCT(--ISNUMBER(SEARCH(" "&amp;DJ1384:DJ1394&amp;" ",BP75)))),"")</f>
        <v>0</v>
      </c>
      <c r="BR75" s="127" t="str" cm="1">
        <f t="array" ref="BR75">IF(64=64,IF(AM75="","",IF(SUM(BF75:BO75)+SUMPRODUCT(--ISNUMBER(SEARCH(" "&amp;DJ2432:DJ2433&amp;" ",BP75)))&gt;0,"X",IF(BQ75&gt;0,"?",""))),"")</f>
        <v/>
      </c>
      <c r="BS75" s="127" cm="1">
        <f t="array" ref="BS75">IF(64=64,IF(AM75="","",SUMPRODUCT(--ISNUMBER(SEARCH(" "&amp;DJ1395:DJ1415&amp;" ",AS75)))),"")</f>
        <v>0</v>
      </c>
      <c r="BT75" s="127" t="str">
        <f>IF(64=64,IF(AM75="","",IF((BS75)-(0)&gt;0,"X",IF((0)-(0)&gt;0,"?",""))),"")</f>
        <v/>
      </c>
      <c r="BU75" s="127" cm="1">
        <f t="array" ref="BU75">IF(64=64,IF(AM75="","",SUMPRODUCT(--ISNUMBER(SEARCH(" "&amp;DJ1416:DJ1453&amp;" ",BV75)))),"")</f>
        <v>0</v>
      </c>
      <c r="BV75" s="127" t="str">
        <f>IF(64=64,IF(AM75="","",SUBSTITUTE(SUBSTITUTE(AS75," "&amp;DJ1454&amp;" "," ")," "&amp;DJ1455&amp;" "," ")),"")</f>
        <v xml:space="preserve"> 3 dans une cocotte en fonte faites chauffer l huile d olive a feu moyen </v>
      </c>
      <c r="BW75" s="127" cm="1">
        <f t="array" ref="BW75">IF(64=64,IF(AM75="","",SUMPRODUCT(--ISNUMBER(SEARCH(" "&amp;DJ1456:DJ1466&amp;" ",BV75)))),"")</f>
        <v>0</v>
      </c>
      <c r="BX75" s="127" t="str">
        <f>IF(64=64,IF(AM75="","",IF(BU75&gt;0,"X",IF(BW75&gt;0,"?",""))),"")</f>
        <v/>
      </c>
      <c r="BY75" s="127" cm="1">
        <f t="array" ref="BY75">IF(64=64,IF(AM75="","",SUMPRODUCT(--ISNUMBER(SEARCH(" "&amp;DJ1467:DJ1566&amp;" ",CB75)))),"")</f>
        <v>0</v>
      </c>
      <c r="BZ75" s="127" cm="1">
        <f t="array" ref="BZ75">IF(64=64,IF(AM75="","",SUMPRODUCT(--ISNUMBER(SEARCH(" "&amp;DJ1567:DJ1666&amp;" ",CB75)))),"")</f>
        <v>0</v>
      </c>
      <c r="CA75" s="127" cm="1">
        <f t="array" ref="CA75">IF(64=64,IF(AM75="","",SUMPRODUCT(--ISNUMBER(SEARCH(" "&amp;DJ1667:DJ1750&amp;" ",CB75)))),"")</f>
        <v>0</v>
      </c>
      <c r="CB75" s="127" t="str">
        <f>IF(64=64,IF(AM75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3 dans une cocotte en fonte faites chauffer l huile d olive a feu moyen </v>
      </c>
      <c r="CC75" s="127" cm="1">
        <f t="array" ref="CC75">IF(64=64,IF(AM75="","",SUMPRODUCT(--ISNUMBER(SEARCH(" "&amp;DJ1801:DJ1880&amp;" ",CD75)))+SUMPRODUCT(--ISNUMBER(SEARCH(" "&amp;DJ2451:DJ2464&amp;" ",CD75)))),"")</f>
        <v>0</v>
      </c>
      <c r="CD75" s="127" t="str">
        <f>IF(64=64,IF(AM75="","",SUBSTITUTE(SUBSTITUTE(SUBSTITUTE(SUBSTITUTE(SUBSTITUTE(SUBSTITUTE(SUBSTITUTE(SUBSTITUTE(SUBSTITUTE(SUBSTITUTE(SUBSTITUTE(SUBSTITUTE(SUBSTITUTE(CB75," "&amp;DJ1887&amp;" "," ")," "&amp;DJ1885&amp;" "," ")," "&amp;DJ2449&amp;" "," ")," "&amp;DJ2450&amp;" "," ")," "&amp;DJ1882&amp;" "," ")," "&amp;DJ1886&amp;" "," ")," "&amp;DJ1888&amp;" "," ")," "&amp;DJ1883&amp;" "," ")," "&amp;DJ1881&amp;" "," ")," "&amp;DJ1378&amp;" "," ")," "&amp;DJ1889&amp;" "," ")," "&amp;DJ1377&amp;" "," ")," "&amp;DJ1884&amp;" "," ")),"")</f>
        <v xml:space="preserve"> 3 dans une cocotte en fonte faites chauffer l huile d olive a feu moyen </v>
      </c>
      <c r="CE75" s="127" t="str" cm="1">
        <f t="array" ref="CE75">IF(64=64,IF(AM75="","",IF(SUM(BY75:CA75)+SUMPRODUCT(--ISNUMBER(SEARCH(" "&amp;DJ2434:DJ2435&amp;" ",CB75)))&gt;0,"X",IF(CC75&gt;0,"?",""))),"")</f>
        <v/>
      </c>
      <c r="CF75" s="127" cm="1">
        <f t="array" ref="CF75">IF(64=64,IF(AM75="","",SUMPRODUCT(--ISNUMBER(SEARCH(" "&amp;DJ1890:DJ1947&amp;" ",CG75)))),"")</f>
        <v>0</v>
      </c>
      <c r="CG75" s="127" t="str">
        <f>IF(64=64,IF(AM75="","",SUBSTITUTE(SUBSTITUTE(SUBSTITUTE(SUBSTITUTE(SUBSTITUTE(SUBSTITUTE(SUBSTITUTE(SUBSTITUTE(SUBSTITUTE(SUBSTITUTE(SUBSTITUTE(SUBSTITUTE(SUBSTITUTE(SUBSTITUTE(SUBSTITUTE(SUBSTITUTE(SUBSTITUTE(SUBSTITUTE(SUBSTITUTE(SUBSTITUTE(SUBSTITUTE(SUBSTITUTE(SUBSTITUTE(AS75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3 dans une cocotte en fonte faites chauffer l huile d olive a feu moyen </v>
      </c>
      <c r="CH75" s="127" cm="1">
        <f t="array" ref="CH75">IF(64=64,IF(AM75="","",SUMPRODUCT(--ISNUMBER(SEARCH(" "&amp;DJ1971:DJ1987&amp;" ",CG75)))),"")</f>
        <v>0</v>
      </c>
      <c r="CI75" s="127" t="str">
        <f>IF(64=64,IF(AM75="","",IF(CF75&gt;0,"X",IF(CH75&gt;0,"?",""))),"")</f>
        <v/>
      </c>
      <c r="CJ75" s="127" cm="1">
        <f t="array" ref="CJ75">IF(64=64,IF(AM75="","",SUMPRODUCT(--ISNUMBER(SEARCH(" "&amp;DJ1988:DJ2001&amp;" ",AS75)))),"")</f>
        <v>0</v>
      </c>
      <c r="CK75" s="127" cm="1">
        <f t="array" ref="CK75">IF(64=64,IF(AM75="","",SUMPRODUCT(--ISNUMBER(SEARCH(" "&amp;DJ2002:DJ2016&amp;" ",AS75)))),"")</f>
        <v>0</v>
      </c>
      <c r="CL75" s="127" t="str">
        <f>IF(64=64,IF(AM75="","",IF((CJ75)-(0)&gt;0,"X",IF((CK75)-(0)&gt;0,"?",""))),"")</f>
        <v/>
      </c>
      <c r="CM75" s="127" cm="1">
        <f t="array" ref="CM75">IF(64=64,IF(AM75="","",SUMPRODUCT(--ISNUMBER(SEARCH(" "&amp;DJ2017:DJ2034&amp;" ",AS75)))),"")</f>
        <v>0</v>
      </c>
      <c r="CN75" s="127" cm="1">
        <f t="array" ref="CN75">IF(64=64,IF(AM75="","",SUMPRODUCT(--ISNUMBER(SEARCH(" "&amp;DJ2035:DJ2049&amp;" ",AS75)))),"")</f>
        <v>0</v>
      </c>
      <c r="CO75" s="127" t="str">
        <f>IF(64=64,IF(AM75="","",IF((CM75)-(0)&gt;0,"X",IF((CN75)-(0)&gt;0,"?",""))),"")</f>
        <v/>
      </c>
      <c r="CP75" s="127" cm="1">
        <f t="array" ref="CP75">IF(64=64,IF(AM75="","",SUMPRODUCT(--ISNUMBER(SEARCH(" "&amp;DJ2050:DJ2068&amp;" ",AS75)))),"")</f>
        <v>0</v>
      </c>
      <c r="CQ75" s="127" cm="1">
        <f t="array" ref="CQ75">IF(64=64,IF(AM75="","",SUMPRODUCT(--ISNUMBER(SEARCH(" "&amp;DJ2069:DJ2083&amp;" ",AS75)))),"")</f>
        <v>0</v>
      </c>
      <c r="CR75" s="127" t="str">
        <f>IF(64=64,IF(AM75="","",IF((CP75)-(0)&gt;0,"X",IF((CQ75)-(0)&gt;0,"?",""))),"")</f>
        <v/>
      </c>
      <c r="CS75" s="127" cm="1">
        <f t="array" ref="CS75">IF(64=64,IF(AM75="","",SUMPRODUCT(--ISNUMBER(SEARCH(" "&amp;DJ2084:DJ2104&amp;" ",AS75)))),"")</f>
        <v>0</v>
      </c>
      <c r="CT75" s="127" cm="1">
        <f t="array" ref="CT75">IF(64=64,IF(AM75="","",SUMPRODUCT(--ISNUMBER(SEARCH(" "&amp;DJ2105:DJ2144&amp;" ",SUBSTITUTE(SUBSTITUTE(AS75," "&amp;DJ1378&amp;" "," ")," "&amp;DJ1377&amp;" "," "))))+--ISNUMBER(SEARCH("poiré",AN75))),"")</f>
        <v>0</v>
      </c>
      <c r="CU75" s="127" t="str">
        <f>IF(64=64,IF(AM75="","",IF(OR(CS75&gt;0,ISNUMBER(SEARCH(" vinaigre de vin ",AS75)),ISNUMBER(SEARCH(" vinaigre au vin ",AS75))),"X",IF(CT75&gt;0,"?",""))),"")</f>
        <v/>
      </c>
      <c r="CV75" s="127" cm="1">
        <f t="array" ref="CV75">IF(64=64,IF(AM75="","",SUMPRODUCT(--ISNUMBER(SEARCH(" "&amp;DJ2145:DJ2157&amp;" ",AS75)))),"")</f>
        <v>0</v>
      </c>
      <c r="CW75" s="127" cm="1">
        <f t="array" ref="CW75">IF(64=64,IF(AM75="","",SUMPRODUCT(--ISNUMBER(SEARCH(" "&amp;DJ2158:DJ2163&amp;" ",AS75)))),"")</f>
        <v>0</v>
      </c>
      <c r="CX75" s="127" t="str">
        <f>IF(64=64,IF(AM75="","",IF((CV75)-(0)&gt;0,"X",IF((CW75)-(0)&gt;0,"?",""))),"")</f>
        <v/>
      </c>
      <c r="CY75" s="127" cm="1">
        <f t="array" ref="CY75">IF(64=64,IF(AM75="","",SUMPRODUCT(--ISNUMBER(SEARCH(" "&amp;DJ2164:DJ2263&amp;" ",DB75)))),"")</f>
        <v>0</v>
      </c>
      <c r="CZ75" s="127" cm="1">
        <f t="array" ref="CZ75">IF(64=64,IF(AM75="","",SUMPRODUCT(--ISNUMBER(SEARCH(" "&amp;DJ2264:DJ2363&amp;" ",DB75)))),"")</f>
        <v>0</v>
      </c>
      <c r="DA75" s="127" cm="1">
        <f t="array" ref="DA75">IF(64=64,IF(AM75="","",SUMPRODUCT(--ISNUMBER(SEARCH(" "&amp;DJ2364:DJ2406&amp;" ",DB75)))),"")</f>
        <v>0</v>
      </c>
      <c r="DB75" s="127" t="str">
        <f>IF(64=64,IF(AM75="","",SUBSTITUTE(SUBSTITUTE(SUBSTITUTE(SUBSTITUTE(SUBSTITUTE(SUBSTITUTE(SUBSTITUTE(SUBSTITUTE(SUBSTITUTE(SUBSTITUTE(SUBSTITUTE(SUBSTITUTE(SUBSTITUTE(SUBSTITUTE(SUBSTITUTE(SUBSTITUTE(AS75," "&amp;DJ2412&amp;" "," ")," "&amp;DJ2411&amp;" "," ")," "&amp;DJ2410&amp;" "," ")," "&amp;DJ2417&amp;" "," ")," "&amp;DJ2409&amp;" "," ")," "&amp;DJ2421&amp;" "," ")," "&amp;DJ2408&amp;" "," ")," "&amp;DJ2413&amp;" "," ")," "&amp;DJ2416&amp;" "," ")," "&amp;DJ2407&amp;" "," ")," "&amp;DJ2415&amp;" "," ")," "&amp;DJ2422&amp;" "," ")," "&amp;DJ2419&amp;" "," ")," "&amp;DJ2414&amp;" "," ")," "&amp;DJ2418&amp;" "," ")," "&amp;DJ2420&amp;" "," ")),"")</f>
        <v xml:space="preserve"> 3 dans une cocotte en fonte faites chauffer l huile d olive a feu moyen </v>
      </c>
      <c r="DC75" s="127" cm="1">
        <f t="array" ref="DC75">IF(64=64,IF(AM75="","",SUMPRODUCT(--ISNUMBER(SEARCH(" "&amp;DJ2423:DJ2427&amp;" ",DB75)))),"")</f>
        <v>0</v>
      </c>
      <c r="DD75" s="127" t="str">
        <f>IF(64=64,IF(AM75="","",IF(SUM(CY75:DA75)&gt;0,"X",IF(DC75&gt;0,"?",""))),"")</f>
        <v/>
      </c>
      <c r="DE75" s="152"/>
      <c r="DF75" s="160" t="s">
        <v>782</v>
      </c>
      <c r="DG75" s="160" t="s">
        <v>584</v>
      </c>
      <c r="DH75" s="160" t="s">
        <v>125</v>
      </c>
      <c r="DI75" s="160" t="s">
        <v>783</v>
      </c>
      <c r="DJ75" s="160" t="s">
        <v>783</v>
      </c>
      <c r="DK75" s="160" t="s">
        <v>588</v>
      </c>
      <c r="DL75" s="160" t="s">
        <v>589</v>
      </c>
      <c r="DM75" s="160" t="s">
        <v>590</v>
      </c>
      <c r="DN75" s="161" t="s">
        <v>591</v>
      </c>
      <c r="DP75" s="130">
        <v>1</v>
      </c>
    </row>
    <row r="76" spans="2:120" ht="30" customHeight="1">
      <c r="B76" s="165" t="str">
        <f t="shared" si="0"/>
        <v>Faites chauffer le bain de friture.</v>
      </c>
      <c r="C76" s="165" t="str">
        <f t="shared" si="1"/>
        <v>Faites chauffer le bain de friture</v>
      </c>
      <c r="D76" s="165" t="str">
        <f>IF(UPPER(TRIM(N11))="X",C76,B76)</f>
        <v>Faites chauffer le bain de friture.</v>
      </c>
      <c r="E76" s="165" cm="1">
        <f t="array" ref="E76">IF(H75&lt;&gt;"",E75,IF(E75="","",IFERROR(MATCH(TRUE(),INDEX(INDEX(K:K,E75+1):K203&lt;&gt;"",0),0)+E75,"")))</f>
        <v>59</v>
      </c>
      <c r="F76" s="165" t="str" cm="1">
        <f t="array" ref="F76">IF(E76="","",IF(H75&lt;&gt;"",H75,INDEX(D:D,E76)))</f>
        <v>Ajoutez la viande et faites-la dorer de tous les côtés. Retirez-la de la cocotte et réservez-la.</v>
      </c>
      <c r="G76" s="165" t="str">
        <f t="shared" si="2"/>
        <v xml:space="preserve">Ajoutez la viande et faites-la dorer de tous les côtés. Retirez-la de la </v>
      </c>
      <c r="H76" s="174" t="str">
        <f t="shared" si="3"/>
        <v>cocotte et réservez-la.</v>
      </c>
      <c r="I76" s="184" t="str">
        <f>IF(AND(F76&lt;&gt;"",N10&gt;0,M76&gt;N10),"Mot &gt; limite","")</f>
        <v/>
      </c>
      <c r="J76" s="175">
        <f>IF(K76="","",COUNTIF(K18:K76,"&lt;&gt;"))</f>
        <v>49</v>
      </c>
      <c r="K76" s="111" t="s">
        <v>37</v>
      </c>
      <c r="L76" s="175">
        <f t="shared" si="4"/>
        <v>36</v>
      </c>
      <c r="M76" s="135">
        <f>IF(OR(F76="",N10="",N10&lt;=0),"",IF(LEN(F76)&lt;=N10,LEN(F76),IFERROR(FIND("♦",SUBSTITUTE(LEFT(F76,N10)," ","♦",LEN(LEFT(F76,N10))-LEN(SUBSTITUTE(LEFT(F76,N10)," ","")))),FIND(" ",F76&amp;" ",N10+1)-1)))</f>
        <v>73</v>
      </c>
      <c r="N76" s="176">
        <f t="shared" si="5"/>
        <v>59</v>
      </c>
      <c r="O76" s="177" t="str">
        <f t="shared" si="6"/>
        <v xml:space="preserve">Ajoutez la viande et faites-la dorer de tous les côtés. Retirez-la de la </v>
      </c>
      <c r="P76" s="176">
        <f t="shared" si="7"/>
        <v>13</v>
      </c>
      <c r="Q76" s="176">
        <f t="shared" si="8"/>
        <v>73</v>
      </c>
      <c r="S76" s="178">
        <v>59</v>
      </c>
      <c r="T76" s="179" t="str">
        <f t="shared" si="10"/>
        <v xml:space="preserve">Ajoutez la viande et faites-la dorer de tous les côtés. Retirez-la de la </v>
      </c>
      <c r="U76" s="180" t="str">
        <f t="shared" si="11"/>
        <v>Ajoutez la viande et faites-la dorer de tous les côtés. Retirez-la de la</v>
      </c>
      <c r="V76" s="181" t="str">
        <f>IF(65=65,IF(T76="","",IF(W76="X",""&amp;"Céréales contenant du gluten","")&amp;IF(X76="X",IF(COUNTIF(W76:W76,"X")&gt;0,", ","")&amp;"Crustacés","")&amp;IF(Y76="X",IF(COUNTIF(W76:X76,"X")&gt;0,", ","")&amp;"Œufs","")&amp;IF(Z76="X",IF(COUNTIF(W76:Y76,"X")&gt;0,", ","")&amp;"Poissons","")&amp;IF(AA76="X",IF(COUNTIF(W76:Z76,"X")&gt;0,", ","")&amp;"Arachides","")&amp;IF(AB76="X",IF(COUNTIF(W76:AA76,"X")&gt;0,", ","")&amp;"Soja","")&amp;IF(AC76="X",IF(COUNTIF(W76:AB76,"X")&gt;0,", ","")&amp;"Lait","")&amp;IF(AD76="X",IF(COUNTIF(W76:AC76,"X")&gt;0,", ","")&amp;"Fruits à coque","")&amp;IF(AE76="X",IF(COUNTIF(W76:AD76,"X")&gt;0,", ","")&amp;"Céleri","")&amp;IF(AF76="X",IF(COUNTIF(W76:AE76,"X")&gt;0,", ","")&amp;"Moutarde","")&amp;IF(AG76="X",IF(COUNTIF(W76:AF76,"X")&gt;0,", ","")&amp;"Sésame","")&amp;IF(AH76="X",IF(COUNTIF(W76:AG76,"X")&gt;0,", ","")&amp;"Sulfites","")&amp;IF(AI76="X",IF(COUNTIF(W76:AH76,"X")&gt;0,", ","")&amp;"Lupin","")&amp;IF(AJ76="X",IF(COUNTIF(W76:AI76,"X")&gt;0,", ","")&amp;"Mollusques","")),"")</f>
        <v/>
      </c>
      <c r="W76" s="182" t="str">
        <f>IF(65=65,IF(T76="","",AX76),"")</f>
        <v/>
      </c>
      <c r="X76" s="182" t="str">
        <f>IF(65=65,IF(T76="","",BA76),"")</f>
        <v/>
      </c>
      <c r="Y76" s="182" t="str">
        <f>IF(65=65,IF(T76="","",BE76),"")</f>
        <v/>
      </c>
      <c r="Z76" s="182" t="str">
        <f>IF(65=65,IF(T76="","",IF(ISNUMBER(SEARCH(" colin ",AS76)),"X",BR76)),"")</f>
        <v/>
      </c>
      <c r="AA76" s="182" t="str">
        <f>IF(65=65,IF(T76="","",BT76),"")</f>
        <v/>
      </c>
      <c r="AB76" s="182" t="str">
        <f>IF(65=65,IF(T76="","",BX76),"")</f>
        <v/>
      </c>
      <c r="AC76" s="182" t="str">
        <f>IF(65=65,IF(T76="","",CE76),"")</f>
        <v/>
      </c>
      <c r="AD76" s="182" t="str">
        <f>IF(65=65,IF(T76="","",CI76),"")</f>
        <v/>
      </c>
      <c r="AE76" s="182" t="str">
        <f>IF(65=65,IF(T76="","",CL76),"")</f>
        <v/>
      </c>
      <c r="AF76" s="182" t="str">
        <f>IF(65=65,IF(T76="","",CO76),"")</f>
        <v/>
      </c>
      <c r="AG76" s="182" t="str">
        <f>IF(65=65,IF(T76="","",CR76),"")</f>
        <v/>
      </c>
      <c r="AH76" s="182" t="str">
        <f>IF(65=65,IF(T76="","",CU76),"")</f>
        <v/>
      </c>
      <c r="AI76" s="182" t="str">
        <f>IF(65=65,IF(T76="","",CX76),"")</f>
        <v/>
      </c>
      <c r="AJ76" s="182" t="str">
        <f>IF(65=65,IF(T76="","",DD76),"")</f>
        <v/>
      </c>
      <c r="AK76" s="183" t="str">
        <f>IF(65=65,IF(T76="","",IF(W76="?",""&amp;"Céréales contenant du gluten","")&amp;IF(X76="?",IF(COUNTIF(W76:W76,"~?")&gt;0,", ","")&amp;"Crustacés","")&amp;IF(Y76="?",IF(COUNTIF(W76:X76,"~?")&gt;0,", ","")&amp;"Œufs","")&amp;IF(Z76="?",IF(COUNTIF(W76:Y76,"~?")&gt;0,", ","")&amp;"Poissons","")&amp;IF(AA76="?",IF(COUNTIF(W76:Z76,"~?")&gt;0,", ","")&amp;"Arachides","")&amp;IF(AB76="?",IF(COUNTIF(W76:AA76,"~?")&gt;0,", ","")&amp;"Soja","")&amp;IF(AC76="?",IF(COUNTIF(W76:AB76,"~?")&gt;0,", ","")&amp;"Lait","")&amp;IF(AD76="?",IF(COUNTIF(W76:AC76,"~?")&gt;0,", ","")&amp;"Fruits à coque","")&amp;IF(AE76="?",IF(COUNTIF(W76:AD76,"~?")&gt;0,", ","")&amp;"Céleri","")&amp;IF(AF76="?",IF(COUNTIF(W76:AE76,"~?")&gt;0,", ","")&amp;"Moutarde","")&amp;IF(AG76="?",IF(COUNTIF(W76:AF76,"~?")&gt;0,", ","")&amp;"Sésame","")&amp;IF(AH76="?",IF(COUNTIF(W76:AG76,"~?")&gt;0,", ","")&amp;"Sulfites","")&amp;IF(AI76="?",IF(COUNTIF(W76:AH76,"~?")&gt;0,", ","")&amp;"Lupin","")&amp;IF(AJ76="?",IF(COUNTIF(W76:AI76,"~?")&gt;0,", ","")&amp;"Mollusques","")),"")</f>
        <v/>
      </c>
      <c r="AM76" s="127" t="str">
        <f>IF(65=65,IF(T76="","",T76),"")</f>
        <v xml:space="preserve">Ajoutez la viande et faites-la dorer de tous les côtés. Retirez-la de la </v>
      </c>
      <c r="AN76" s="127" t="str">
        <f>IF(65=65,LOWER(CLEAN(SUBSTITUTE(SUBSTITUTE(SUBSTITUTE(SUBSTITUTE(AM76,CHAR(160)," ")," "," "),CHAR(10)," "),CHAR(13)," "))),"")</f>
        <v xml:space="preserve">ajoutez la viande et faites-la dorer de tous les côtés. retirez-la de la </v>
      </c>
      <c r="AO76" s="127" t="str">
        <f>IF(65=65,SUBSTITUTE(SUBSTITUTE(SUBSTITUTE(SUBSTITUTE(SUBSTITUTE(SUBSTITUTE(SUBSTITUTE(SUBSTITUTE(SUBSTITUTE(SUBSTITUTE(SUBSTITUTE(SUBSTITUTE(AN76,"œ","oe"),"æ","ae"),"à","a"),"á","a"),"â","a"),"ä","a"),"ã","a"),"ç","c"),"è","e"),"é","e"),"ê","e"),"ë","e"),"")</f>
        <v xml:space="preserve">ajoutez la viande et faites-la dorer de tous les côtes. retirez-la de la </v>
      </c>
      <c r="AP76" s="127" t="str">
        <f>IF(65=65,SUBSTITUTE(SUBSTITUTE(SUBSTITUTE(SUBSTITUTE(SUBSTITUTE(SUBSTITUTE(SUBSTITUTE(SUBSTITUTE(SUBSTITUTE(SUBSTITUTE(SUBSTITUTE(SUBSTITUTE(SUBSTITUTE(SUBSTITUTE(SUBSTITUTE(SUBSTITUTE(AO76,"ì","i"),"í","i"),"î","i"),"ï","i"),"ñ","n"),"ò","o"),"ó","o"),"ô","o"),"ö","o"),"õ","o"),"ù","u"),"ú","u"),"û","u"),"ü","u"),"ý","y"),"ÿ","y"),"")</f>
        <v xml:space="preserve">ajoutez la viande et faites-la dorer de tous les cotes. retirez-la de la </v>
      </c>
      <c r="AQ76" s="127" t="str">
        <f>IF(65=65,SUBSTITUTE(SUBSTITUTE(SUBSTITUTE(SUBSTITUTE(SUBSTITUTE(SUBSTITUTE(SUBSTITUTE(SUBSTITUTE(SUBSTITUTE(SUBSTITUTE(SUBSTITUTE(SUBSTITUTE(SUBSTITUTE(SUBSTITUTE(AP76,"’"," "),"`"," "),"–"," "),"—"," "),"-"," "),"'"," "),"/"," "),"_"," "),","," "),"."," "),"("," "),")"," "),";"," "),":"," "),"")</f>
        <v xml:space="preserve">ajoutez la viande et faites la dorer de tous les cotes  retirez la de la </v>
      </c>
      <c r="AR76" s="127" t="str">
        <f>IF(65=65,SUBSTITUTE(SUBSTITUTE(SUBSTITUTE(SUBSTITUTE(SUBSTITUTE(SUBSTITUTE(SUBSTITUTE(SUBSTITUTE(SUBSTITUTE(SUBSTITUTE(SUBSTITUTE(SUBSTITUTE(SUBSTITUTE(SUBSTITUTE(SUBSTITUTE(AQ76,"!"," "),"?"," "),"+"," "),"*"," "),"&amp;"," "),"["," "),"]"," "),"{"," "),"}"," "),"%"," "),"="," "),"\"," "),"|"," "),"&lt;"," "),"&gt;"," "),"")</f>
        <v xml:space="preserve">ajoutez la viande et faites la dorer de tous les cotes  retirez la de la </v>
      </c>
      <c r="AS76" s="127" t="str">
        <f>IF(65=65," "&amp;TRIM(SUBSTITUTE(SUBSTITUTE(SUBSTITUTE(SUBSTITUTE(SUBSTITUTE(SUBSTITUTE(AR76,CHAR(34)," "),"  "," "),"  "," "),"  "," "),"  "," "),"  "," "))&amp;" ","")</f>
        <v xml:space="preserve"> ajoutez la viande et faites la dorer de tous les cotes retirez la de la </v>
      </c>
      <c r="AT76" s="127" cm="1">
        <f t="array" ref="AT76">IF(65=65,IF(AM76="","",SUMPRODUCT(--ISNUMBER(SEARCH(" "&amp;DJ13:DJ112&amp;" ",AV76)))),"")</f>
        <v>0</v>
      </c>
      <c r="AU76" s="127" cm="1">
        <f t="array" ref="AU76">IF(65=65,IF(AM76="","",SUMPRODUCT(--ISNUMBER(SEARCH(" "&amp;DJ113:DJ162&amp;" ",AV76)))),"")</f>
        <v>0</v>
      </c>
      <c r="AV76" s="127" t="str">
        <f>IF(AM76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ajoutez la viande et faites la dorer de tous les cotes retirez la de la </v>
      </c>
      <c r="AW76" s="127" cm="1">
        <f t="array" ref="AW76">IF(AM76="","",SUMPRODUCT(--ISNUMBER(SEARCH(" "&amp;DJ195:DJ216&amp;" ",AV76)))+--ISNUMBER(SEARCH(" "&amp;DJ2465&amp;" ",AV76)))</f>
        <v>0</v>
      </c>
      <c r="AX76" s="127" t="str" cm="1">
        <f t="array" ref="AX76">IF(65=65,IF(AM76="","",IF(SUM(AT76:AU76)+SUMPRODUCT(--ISNUMBER(SEARCH(" "&amp;DJ2429:DJ2431&amp;" ",AV76)))&gt;0,"X",IF(AW76&gt;0,"?",""))),"")</f>
        <v/>
      </c>
      <c r="AY76" s="127" cm="1">
        <f t="array" ref="AY76">IF(65=65,IF(AM76="","",SUMPRODUCT(--ISNUMBER(SEARCH(" "&amp;DJ217:DJ316&amp;" ",AS76)))),"")</f>
        <v>0</v>
      </c>
      <c r="AZ76" s="127" cm="1">
        <f t="array" ref="AZ76">IF(65=65,IF(AM76="","",SUMPRODUCT(--ISNUMBER(SEARCH(" "&amp;DJ317:DJ351&amp;" ",AS76)))),"")</f>
        <v>0</v>
      </c>
      <c r="BA76" s="127" t="str">
        <f>IF(65=65,IF(AM76="","",IF((SUM(AY76:AZ76))-(0)&gt;0,"X",IF((0)-(0)&gt;0,"?",""))),"")</f>
        <v/>
      </c>
      <c r="BB76" s="127" cm="1">
        <f t="array" ref="BB76">IF(65=65,IF(AM76="","",SUMPRODUCT(--ISNUMBER(SEARCH(" "&amp;DJ352:DJ409&amp;" ",AS76)))),"")</f>
        <v>0</v>
      </c>
      <c r="BC76" s="127" cm="1">
        <f t="array" ref="BC76">IF(65=65,IF(AM76="","",SUMPRODUCT(--ISNUMBER(SEARCH(" "&amp;DJ410:DJ437&amp;" ",BD76)))+SUMPRODUCT(--ISNUMBER(SEARCH(" "&amp;DJ2451:DJ2464&amp;" ",BD76)))),"")</f>
        <v>0</v>
      </c>
      <c r="BD76" s="127" t="str">
        <f>IF(65=65,IF(AM76="","",SUBSTITUTE(SUBSTITUTE(SUBSTITUTE(SUBSTITUTE(SUBSTITUTE(SUBSTITUTE(SUBSTITUTE(SUBSTITUTE(SUBSTITUTE(SUBSTITUTE(SUBSTITUTE(SUBSTITUTE(SUBSTITUTE(SUBSTITUTE(AS76," "&amp;DJ2466&amp;" "," ")," "&amp;DJ444&amp;" "," ")," "&amp;DJ442&amp;" "," ")," "&amp;DJ2449&amp;" "," ")," "&amp;DJ2450&amp;" "," ")," "&amp;DJ439&amp;" "," ")," "&amp;DJ443&amp;" "," ")," "&amp;DJ445&amp;" "," ")," "&amp;DJ440&amp;" "," ")," "&amp;DJ438&amp;" "," ")," "&amp;DJ1378&amp;" "," ")," "&amp;DJ446&amp;" "," ")," "&amp;DJ1377&amp;" "," ")," "&amp;DJ441&amp;" "," ")),"")</f>
        <v xml:space="preserve"> ajoutez la viande et faites la dorer de tous les cotes retirez la de la </v>
      </c>
      <c r="BE76" s="127" t="str">
        <f>IF(65=65,IF(AM76="","",IF(BB76&gt;0,"X",IF(BC76&gt;0,"?",""))),"")</f>
        <v/>
      </c>
      <c r="BF76" s="127" cm="1">
        <f t="array" ref="BF76">IF(65=65,IF(AM76="","",SUMPRODUCT(--ISNUMBER(SEARCH(" "&amp;DJ447:DJ546&amp;" ",BP76)))),"")</f>
        <v>0</v>
      </c>
      <c r="BG76" s="127" cm="1">
        <f t="array" ref="BG76">IF(65=65,IF(AM76="","",SUMPRODUCT(--ISNUMBER(SEARCH(" "&amp;DJ547:DJ646&amp;" ",BP76)))),"")</f>
        <v>0</v>
      </c>
      <c r="BH76" s="127" cm="1">
        <f t="array" ref="BH76">IF(65=65,IF(AM76="","",SUMPRODUCT(--ISNUMBER(SEARCH(" "&amp;DJ647:DJ746&amp;" ",BP76)))),"")</f>
        <v>0</v>
      </c>
      <c r="BI76" s="127" cm="1">
        <f t="array" ref="BI76">IF(65=65,IF(AM76="","",SUMPRODUCT(--ISNUMBER(SEARCH(" "&amp;DJ747:DJ846&amp;" ",BP76)))),"")</f>
        <v>0</v>
      </c>
      <c r="BJ76" s="127" cm="1">
        <f t="array" ref="BJ76">IF(65=65,IF(AM76="","",SUMPRODUCT(--ISNUMBER(SEARCH(" "&amp;DJ847:DJ946&amp;" ",BP76)))),"")</f>
        <v>0</v>
      </c>
      <c r="BK76" s="127" cm="1">
        <f t="array" ref="BK76">IF(65=65,IF(AM76="","",SUMPRODUCT(--ISNUMBER(SEARCH(" "&amp;DJ947:DJ1046&amp;" ",BP76)))),"")</f>
        <v>0</v>
      </c>
      <c r="BL76" s="127" cm="1">
        <f t="array" ref="BL76">IF(65=65,IF(AM76="","",SUMPRODUCT(--ISNUMBER(SEARCH(" "&amp;DJ1047:DJ1146&amp;" ",BP76)))),"")</f>
        <v>0</v>
      </c>
      <c r="BM76" s="127" cm="1">
        <f t="array" ref="BM76">IF(65=65,IF(AM76="","",SUMPRODUCT(--ISNUMBER(SEARCH(" "&amp;DJ1147:DJ1246&amp;" ",BP76)))),"")</f>
        <v>0</v>
      </c>
      <c r="BN76" s="127" cm="1">
        <f t="array" ref="BN76">IF(65=65,IF(AM76="","",SUMPRODUCT(--ISNUMBER(SEARCH(" "&amp;DJ1247:DJ1346&amp;" ",BP76)))),"")</f>
        <v>0</v>
      </c>
      <c r="BO76" s="127" cm="1">
        <f t="array" ref="BO76">IF(65=65,IF(AM76="","",SUMPRODUCT(--ISNUMBER(SEARCH(" "&amp;DJ1347:DJ1374&amp;" ",BP76)))),"")</f>
        <v>0</v>
      </c>
      <c r="BP76" s="127" t="str">
        <f>IF(65=65,IF(AM76="","",SUBSTITUTE(SUBSTITUTE(SUBSTITUTE(SUBSTITUTE(SUBSTITUTE(SUBSTITUTE(SUBSTITUTE(SUBSTITUTE(SUBSTITUTE(AS76," "&amp;DJ1376&amp;" "," ")," "&amp;DJ1375&amp;" "," ")," "&amp;DJ1381&amp;" "," ")," "&amp;DJ1382&amp;" "," ")," "&amp;DJ1378&amp;" "," ")," "&amp;DJ1380&amp;" "," ")," "&amp;DJ1377&amp;" "," ")," "&amp;DJ1379&amp;" "," ")," "&amp;DJ1383&amp;" "," ")),"")</f>
        <v xml:space="preserve"> ajoutez la viande et faites la dorer de tous les cotes retirez la de la </v>
      </c>
      <c r="BQ76" s="127" cm="1">
        <f t="array" ref="BQ76">IF(65=65,IF(AM76="","",SUMPRODUCT(--ISNUMBER(SEARCH(" "&amp;DJ1384:DJ1394&amp;" ",BP76)))),"")</f>
        <v>0</v>
      </c>
      <c r="BR76" s="127" t="str" cm="1">
        <f t="array" ref="BR76">IF(65=65,IF(AM76="","",IF(SUM(BF76:BO76)+SUMPRODUCT(--ISNUMBER(SEARCH(" "&amp;DJ2432:DJ2433&amp;" ",BP76)))&gt;0,"X",IF(BQ76&gt;0,"?",""))),"")</f>
        <v/>
      </c>
      <c r="BS76" s="127" cm="1">
        <f t="array" ref="BS76">IF(65=65,IF(AM76="","",SUMPRODUCT(--ISNUMBER(SEARCH(" "&amp;DJ1395:DJ1415&amp;" ",AS76)))),"")</f>
        <v>0</v>
      </c>
      <c r="BT76" s="127" t="str">
        <f>IF(65=65,IF(AM76="","",IF((BS76)-(0)&gt;0,"X",IF((0)-(0)&gt;0,"?",""))),"")</f>
        <v/>
      </c>
      <c r="BU76" s="127" cm="1">
        <f t="array" ref="BU76">IF(65=65,IF(AM76="","",SUMPRODUCT(--ISNUMBER(SEARCH(" "&amp;DJ1416:DJ1453&amp;" ",BV76)))),"")</f>
        <v>0</v>
      </c>
      <c r="BV76" s="127" t="str">
        <f>IF(65=65,IF(AM76="","",SUBSTITUTE(SUBSTITUTE(AS76," "&amp;DJ1454&amp;" "," ")," "&amp;DJ1455&amp;" "," ")),"")</f>
        <v xml:space="preserve"> ajoutez la viande et faites la dorer de tous les cotes retirez la de la </v>
      </c>
      <c r="BW76" s="127" cm="1">
        <f t="array" ref="BW76">IF(65=65,IF(AM76="","",SUMPRODUCT(--ISNUMBER(SEARCH(" "&amp;DJ1456:DJ1466&amp;" ",BV76)))),"")</f>
        <v>0</v>
      </c>
      <c r="BX76" s="127" t="str">
        <f>IF(65=65,IF(AM76="","",IF(BU76&gt;0,"X",IF(BW76&gt;0,"?",""))),"")</f>
        <v/>
      </c>
      <c r="BY76" s="127" cm="1">
        <f t="array" ref="BY76">IF(65=65,IF(AM76="","",SUMPRODUCT(--ISNUMBER(SEARCH(" "&amp;DJ1467:DJ1566&amp;" ",CB76)))),"")</f>
        <v>0</v>
      </c>
      <c r="BZ76" s="127" cm="1">
        <f t="array" ref="BZ76">IF(65=65,IF(AM76="","",SUMPRODUCT(--ISNUMBER(SEARCH(" "&amp;DJ1567:DJ1666&amp;" ",CB76)))),"")</f>
        <v>0</v>
      </c>
      <c r="CA76" s="127" cm="1">
        <f t="array" ref="CA76">IF(65=65,IF(AM76="","",SUMPRODUCT(--ISNUMBER(SEARCH(" "&amp;DJ1667:DJ1750&amp;" ",CB76)))),"")</f>
        <v>0</v>
      </c>
      <c r="CB76" s="127" t="str">
        <f>IF(65=65,IF(AM76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ajoutez la viande et faites la dorer de tous les cotes retirez la de la </v>
      </c>
      <c r="CC76" s="127" cm="1">
        <f t="array" ref="CC76">IF(65=65,IF(AM76="","",SUMPRODUCT(--ISNUMBER(SEARCH(" "&amp;DJ1801:DJ1880&amp;" ",CD76)))+SUMPRODUCT(--ISNUMBER(SEARCH(" "&amp;DJ2451:DJ2464&amp;" ",CD76)))),"")</f>
        <v>0</v>
      </c>
      <c r="CD76" s="127" t="str">
        <f>IF(65=65,IF(AM76="","",SUBSTITUTE(SUBSTITUTE(SUBSTITUTE(SUBSTITUTE(SUBSTITUTE(SUBSTITUTE(SUBSTITUTE(SUBSTITUTE(SUBSTITUTE(SUBSTITUTE(SUBSTITUTE(SUBSTITUTE(SUBSTITUTE(CB76," "&amp;DJ1887&amp;" "," ")," "&amp;DJ1885&amp;" "," ")," "&amp;DJ2449&amp;" "," ")," "&amp;DJ2450&amp;" "," ")," "&amp;DJ1882&amp;" "," ")," "&amp;DJ1886&amp;" "," ")," "&amp;DJ1888&amp;" "," ")," "&amp;DJ1883&amp;" "," ")," "&amp;DJ1881&amp;" "," ")," "&amp;DJ1378&amp;" "," ")," "&amp;DJ1889&amp;" "," ")," "&amp;DJ1377&amp;" "," ")," "&amp;DJ1884&amp;" "," ")),"")</f>
        <v xml:space="preserve"> ajoutez la viande et faites la dorer de tous les cotes retirez la de la </v>
      </c>
      <c r="CE76" s="127" t="str" cm="1">
        <f t="array" ref="CE76">IF(65=65,IF(AM76="","",IF(SUM(BY76:CA76)+SUMPRODUCT(--ISNUMBER(SEARCH(" "&amp;DJ2434:DJ2435&amp;" ",CB76)))&gt;0,"X",IF(CC76&gt;0,"?",""))),"")</f>
        <v/>
      </c>
      <c r="CF76" s="127" cm="1">
        <f t="array" ref="CF76">IF(65=65,IF(AM76="","",SUMPRODUCT(--ISNUMBER(SEARCH(" "&amp;DJ1890:DJ1947&amp;" ",CG76)))),"")</f>
        <v>0</v>
      </c>
      <c r="CG76" s="127" t="str">
        <f>IF(65=65,IF(AM76="","",SUBSTITUTE(SUBSTITUTE(SUBSTITUTE(SUBSTITUTE(SUBSTITUTE(SUBSTITUTE(SUBSTITUTE(SUBSTITUTE(SUBSTITUTE(SUBSTITUTE(SUBSTITUTE(SUBSTITUTE(SUBSTITUTE(SUBSTITUTE(SUBSTITUTE(SUBSTITUTE(SUBSTITUTE(SUBSTITUTE(SUBSTITUTE(SUBSTITUTE(SUBSTITUTE(SUBSTITUTE(SUBSTITUTE(AS76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ajoutez la viande et faites la dorer de tous les cotes retirez la de la </v>
      </c>
      <c r="CH76" s="127" cm="1">
        <f t="array" ref="CH76">IF(65=65,IF(AM76="","",SUMPRODUCT(--ISNUMBER(SEARCH(" "&amp;DJ1971:DJ1987&amp;" ",CG76)))),"")</f>
        <v>0</v>
      </c>
      <c r="CI76" s="127" t="str">
        <f>IF(65=65,IF(AM76="","",IF(CF76&gt;0,"X",IF(CH76&gt;0,"?",""))),"")</f>
        <v/>
      </c>
      <c r="CJ76" s="127" cm="1">
        <f t="array" ref="CJ76">IF(65=65,IF(AM76="","",SUMPRODUCT(--ISNUMBER(SEARCH(" "&amp;DJ1988:DJ2001&amp;" ",AS76)))),"")</f>
        <v>0</v>
      </c>
      <c r="CK76" s="127" cm="1">
        <f t="array" ref="CK76">IF(65=65,IF(AM76="","",SUMPRODUCT(--ISNUMBER(SEARCH(" "&amp;DJ2002:DJ2016&amp;" ",AS76)))),"")</f>
        <v>0</v>
      </c>
      <c r="CL76" s="127" t="str">
        <f>IF(65=65,IF(AM76="","",IF((CJ76)-(0)&gt;0,"X",IF((CK76)-(0)&gt;0,"?",""))),"")</f>
        <v/>
      </c>
      <c r="CM76" s="127" cm="1">
        <f t="array" ref="CM76">IF(65=65,IF(AM76="","",SUMPRODUCT(--ISNUMBER(SEARCH(" "&amp;DJ2017:DJ2034&amp;" ",AS76)))),"")</f>
        <v>0</v>
      </c>
      <c r="CN76" s="127" cm="1">
        <f t="array" ref="CN76">IF(65=65,IF(AM76="","",SUMPRODUCT(--ISNUMBER(SEARCH(" "&amp;DJ2035:DJ2049&amp;" ",AS76)))),"")</f>
        <v>0</v>
      </c>
      <c r="CO76" s="127" t="str">
        <f>IF(65=65,IF(AM76="","",IF((CM76)-(0)&gt;0,"X",IF((CN76)-(0)&gt;0,"?",""))),"")</f>
        <v/>
      </c>
      <c r="CP76" s="127" cm="1">
        <f t="array" ref="CP76">IF(65=65,IF(AM76="","",SUMPRODUCT(--ISNUMBER(SEARCH(" "&amp;DJ2050:DJ2068&amp;" ",AS76)))),"")</f>
        <v>0</v>
      </c>
      <c r="CQ76" s="127" cm="1">
        <f t="array" ref="CQ76">IF(65=65,IF(AM76="","",SUMPRODUCT(--ISNUMBER(SEARCH(" "&amp;DJ2069:DJ2083&amp;" ",AS76)))),"")</f>
        <v>0</v>
      </c>
      <c r="CR76" s="127" t="str">
        <f>IF(65=65,IF(AM76="","",IF((CP76)-(0)&gt;0,"X",IF((CQ76)-(0)&gt;0,"?",""))),"")</f>
        <v/>
      </c>
      <c r="CS76" s="127" cm="1">
        <f t="array" ref="CS76">IF(65=65,IF(AM76="","",SUMPRODUCT(--ISNUMBER(SEARCH(" "&amp;DJ2084:DJ2104&amp;" ",AS76)))),"")</f>
        <v>0</v>
      </c>
      <c r="CT76" s="127" cm="1">
        <f t="array" ref="CT76">IF(65=65,IF(AM76="","",SUMPRODUCT(--ISNUMBER(SEARCH(" "&amp;DJ2105:DJ2144&amp;" ",SUBSTITUTE(SUBSTITUTE(AS76," "&amp;DJ1378&amp;" "," ")," "&amp;DJ1377&amp;" "," "))))+--ISNUMBER(SEARCH("poiré",AN76))),"")</f>
        <v>0</v>
      </c>
      <c r="CU76" s="127" t="str">
        <f>IF(65=65,IF(AM76="","",IF(OR(CS76&gt;0,ISNUMBER(SEARCH(" vinaigre de vin ",AS76)),ISNUMBER(SEARCH(" vinaigre au vin ",AS76))),"X",IF(CT76&gt;0,"?",""))),"")</f>
        <v/>
      </c>
      <c r="CV76" s="127" cm="1">
        <f t="array" ref="CV76">IF(65=65,IF(AM76="","",SUMPRODUCT(--ISNUMBER(SEARCH(" "&amp;DJ2145:DJ2157&amp;" ",AS76)))),"")</f>
        <v>0</v>
      </c>
      <c r="CW76" s="127" cm="1">
        <f t="array" ref="CW76">IF(65=65,IF(AM76="","",SUMPRODUCT(--ISNUMBER(SEARCH(" "&amp;DJ2158:DJ2163&amp;" ",AS76)))),"")</f>
        <v>0</v>
      </c>
      <c r="CX76" s="127" t="str">
        <f>IF(65=65,IF(AM76="","",IF((CV76)-(0)&gt;0,"X",IF((CW76)-(0)&gt;0,"?",""))),"")</f>
        <v/>
      </c>
      <c r="CY76" s="127" cm="1">
        <f t="array" ref="CY76">IF(65=65,IF(AM76="","",SUMPRODUCT(--ISNUMBER(SEARCH(" "&amp;DJ2164:DJ2263&amp;" ",DB76)))),"")</f>
        <v>0</v>
      </c>
      <c r="CZ76" s="127" cm="1">
        <f t="array" ref="CZ76">IF(65=65,IF(AM76="","",SUMPRODUCT(--ISNUMBER(SEARCH(" "&amp;DJ2264:DJ2363&amp;" ",DB76)))),"")</f>
        <v>0</v>
      </c>
      <c r="DA76" s="127" cm="1">
        <f t="array" ref="DA76">IF(65=65,IF(AM76="","",SUMPRODUCT(--ISNUMBER(SEARCH(" "&amp;DJ2364:DJ2406&amp;" ",DB76)))),"")</f>
        <v>0</v>
      </c>
      <c r="DB76" s="127" t="str">
        <f>IF(65=65,IF(AM76="","",SUBSTITUTE(SUBSTITUTE(SUBSTITUTE(SUBSTITUTE(SUBSTITUTE(SUBSTITUTE(SUBSTITUTE(SUBSTITUTE(SUBSTITUTE(SUBSTITUTE(SUBSTITUTE(SUBSTITUTE(SUBSTITUTE(SUBSTITUTE(SUBSTITUTE(SUBSTITUTE(AS76," "&amp;DJ2412&amp;" "," ")," "&amp;DJ2411&amp;" "," ")," "&amp;DJ2410&amp;" "," ")," "&amp;DJ2417&amp;" "," ")," "&amp;DJ2409&amp;" "," ")," "&amp;DJ2421&amp;" "," ")," "&amp;DJ2408&amp;" "," ")," "&amp;DJ2413&amp;" "," ")," "&amp;DJ2416&amp;" "," ")," "&amp;DJ2407&amp;" "," ")," "&amp;DJ2415&amp;" "," ")," "&amp;DJ2422&amp;" "," ")," "&amp;DJ2419&amp;" "," ")," "&amp;DJ2414&amp;" "," ")," "&amp;DJ2418&amp;" "," ")," "&amp;DJ2420&amp;" "," ")),"")</f>
        <v xml:space="preserve"> ajoutez la viande et faites la dorer de tous les cotes retirez la de la </v>
      </c>
      <c r="DC76" s="127" cm="1">
        <f t="array" ref="DC76">IF(65=65,IF(AM76="","",SUMPRODUCT(--ISNUMBER(SEARCH(" "&amp;DJ2423:DJ2427&amp;" ",DB76)))),"")</f>
        <v>0</v>
      </c>
      <c r="DD76" s="127" t="str">
        <f>IF(65=65,IF(AM76="","",IF(SUM(CY76:DA76)&gt;0,"X",IF(DC76&gt;0,"?",""))),"")</f>
        <v/>
      </c>
      <c r="DE76" s="152"/>
      <c r="DF76" s="160" t="s">
        <v>784</v>
      </c>
      <c r="DG76" s="160" t="s">
        <v>584</v>
      </c>
      <c r="DH76" s="160" t="s">
        <v>125</v>
      </c>
      <c r="DI76" s="160" t="s">
        <v>785</v>
      </c>
      <c r="DJ76" s="160" t="s">
        <v>465</v>
      </c>
      <c r="DK76" s="160" t="s">
        <v>588</v>
      </c>
      <c r="DL76" s="160" t="s">
        <v>589</v>
      </c>
      <c r="DM76" s="160" t="s">
        <v>590</v>
      </c>
      <c r="DN76" s="161" t="s">
        <v>591</v>
      </c>
      <c r="DP76" s="130">
        <v>1</v>
      </c>
    </row>
    <row r="77" spans="2:120" ht="30" customHeight="1">
      <c r="B77" s="165" t="str">
        <f t="shared" si="0"/>
        <v>Nettoyez les fleurs d’accacia sans les faire tremper puis plongez-les dans la pâte à beignet puis la friture.</v>
      </c>
      <c r="C77" s="165" t="str">
        <f t="shared" si="1"/>
        <v>Nettoyez les fleurs d’accacia sans les faire tremper puis plongez les dans la pâte à beignet puis la friture</v>
      </c>
      <c r="D77" s="165" t="str">
        <f>IF(UPPER(TRIM(N11))="X",C77,B77)</f>
        <v>Nettoyez les fleurs d’accacia sans les faire tremper puis plongez-les dans la pâte à beignet puis la friture.</v>
      </c>
      <c r="E77" s="165" cm="1">
        <f t="array" ref="E77">IF(H76&lt;&gt;"",E76,IF(E76="","",IFERROR(MATCH(TRUE(),INDEX(INDEX(K:K,E76+1):K203&lt;&gt;"",0),0)+E76,"")))</f>
        <v>59</v>
      </c>
      <c r="F77" s="165" t="str" cm="1">
        <f t="array" ref="F77">IF(E77="","",IF(H76&lt;&gt;"",H76,INDEX(D:D,E77)))</f>
        <v>cocotte et réservez-la.</v>
      </c>
      <c r="G77" s="165" t="str">
        <f t="shared" si="2"/>
        <v>cocotte et réservez-la.</v>
      </c>
      <c r="H77" s="174" t="str">
        <f t="shared" si="3"/>
        <v/>
      </c>
      <c r="I77" s="184" t="str">
        <f>IF(AND(F77&lt;&gt;"",N10&gt;0,M77&gt;N10),"Mot &gt; limite","")</f>
        <v/>
      </c>
      <c r="J77" s="175">
        <f>IF(K77="","",COUNTIF(K18:K77,"&lt;&gt;"))</f>
        <v>50</v>
      </c>
      <c r="K77" s="111" t="s">
        <v>38</v>
      </c>
      <c r="L77" s="175">
        <f t="shared" si="4"/>
        <v>110</v>
      </c>
      <c r="M77" s="135">
        <f>IF(OR(F77="",N10="",N10&lt;=0),"",IF(LEN(F77)&lt;=N10,LEN(F77),IFERROR(FIND("♦",SUBSTITUTE(LEFT(F77,N10)," ","♦",LEN(LEFT(F77,N10))-LEN(SUBSTITUTE(LEFT(F77,N10)," ","")))),FIND(" ",F77&amp;" ",N10+1)-1)))</f>
        <v>23</v>
      </c>
      <c r="N77" s="176">
        <f t="shared" si="5"/>
        <v>60</v>
      </c>
      <c r="O77" s="177" t="str">
        <f t="shared" si="6"/>
        <v>cocotte et réservez-la.</v>
      </c>
      <c r="P77" s="176">
        <f t="shared" si="7"/>
        <v>3</v>
      </c>
      <c r="Q77" s="176">
        <f t="shared" si="8"/>
        <v>23</v>
      </c>
      <c r="S77" s="186">
        <v>60</v>
      </c>
      <c r="T77" s="179" t="str">
        <f t="shared" si="10"/>
        <v>cocotte et réservez-la.</v>
      </c>
      <c r="U77" s="187" t="str">
        <f t="shared" si="11"/>
        <v>cocotte et réservez-la.</v>
      </c>
      <c r="V77" s="188" t="str">
        <f>IF(66=66,IF(T77="","",IF(W77="X",""&amp;"Céréales contenant du gluten","")&amp;IF(X77="X",IF(COUNTIF(W77:W77,"X")&gt;0,", ","")&amp;"Crustacés","")&amp;IF(Y77="X",IF(COUNTIF(W77:X77,"X")&gt;0,", ","")&amp;"Œufs","")&amp;IF(Z77="X",IF(COUNTIF(W77:Y77,"X")&gt;0,", ","")&amp;"Poissons","")&amp;IF(AA77="X",IF(COUNTIF(W77:Z77,"X")&gt;0,", ","")&amp;"Arachides","")&amp;IF(AB77="X",IF(COUNTIF(W77:AA77,"X")&gt;0,", ","")&amp;"Soja","")&amp;IF(AC77="X",IF(COUNTIF(W77:AB77,"X")&gt;0,", ","")&amp;"Lait","")&amp;IF(AD77="X",IF(COUNTIF(W77:AC77,"X")&gt;0,", ","")&amp;"Fruits à coque","")&amp;IF(AE77="X",IF(COUNTIF(W77:AD77,"X")&gt;0,", ","")&amp;"Céleri","")&amp;IF(AF77="X",IF(COUNTIF(W77:AE77,"X")&gt;0,", ","")&amp;"Moutarde","")&amp;IF(AG77="X",IF(COUNTIF(W77:AF77,"X")&gt;0,", ","")&amp;"Sésame","")&amp;IF(AH77="X",IF(COUNTIF(W77:AG77,"X")&gt;0,", ","")&amp;"Sulfites","")&amp;IF(AI77="X",IF(COUNTIF(W77:AH77,"X")&gt;0,", ","")&amp;"Lupin","")&amp;IF(AJ77="X",IF(COUNTIF(W77:AI77,"X")&gt;0,", ","")&amp;"Mollusques","")),"")</f>
        <v/>
      </c>
      <c r="W77" s="189" t="str">
        <f>IF(66=66,IF(T77="","",AX77),"")</f>
        <v/>
      </c>
      <c r="X77" s="189" t="str">
        <f>IF(66=66,IF(T77="","",BA77),"")</f>
        <v/>
      </c>
      <c r="Y77" s="189" t="str">
        <f>IF(66=66,IF(T77="","",BE77),"")</f>
        <v/>
      </c>
      <c r="Z77" s="189" t="str">
        <f>IF(66=66,IF(T77="","",IF(ISNUMBER(SEARCH(" colin ",AS77)),"X",BR77)),"")</f>
        <v/>
      </c>
      <c r="AA77" s="189" t="str">
        <f>IF(66=66,IF(T77="","",BT77),"")</f>
        <v/>
      </c>
      <c r="AB77" s="189" t="str">
        <f>IF(66=66,IF(T77="","",BX77),"")</f>
        <v/>
      </c>
      <c r="AC77" s="189" t="str">
        <f>IF(66=66,IF(T77="","",CE77),"")</f>
        <v/>
      </c>
      <c r="AD77" s="189" t="str">
        <f>IF(66=66,IF(T77="","",CI77),"")</f>
        <v/>
      </c>
      <c r="AE77" s="189" t="str">
        <f>IF(66=66,IF(T77="","",CL77),"")</f>
        <v/>
      </c>
      <c r="AF77" s="189" t="str">
        <f>IF(66=66,IF(T77="","",CO77),"")</f>
        <v/>
      </c>
      <c r="AG77" s="189" t="str">
        <f>IF(66=66,IF(T77="","",CR77),"")</f>
        <v/>
      </c>
      <c r="AH77" s="189" t="str">
        <f>IF(66=66,IF(T77="","",CU77),"")</f>
        <v/>
      </c>
      <c r="AI77" s="189" t="str">
        <f>IF(66=66,IF(T77="","",CX77),"")</f>
        <v/>
      </c>
      <c r="AJ77" s="189" t="str">
        <f>IF(66=66,IF(T77="","",DD77),"")</f>
        <v/>
      </c>
      <c r="AK77" s="190" t="str">
        <f>IF(66=66,IF(T77="","",IF(W77="?",""&amp;"Céréales contenant du gluten","")&amp;IF(X77="?",IF(COUNTIF(W77:W77,"~?")&gt;0,", ","")&amp;"Crustacés","")&amp;IF(Y77="?",IF(COUNTIF(W77:X77,"~?")&gt;0,", ","")&amp;"Œufs","")&amp;IF(Z77="?",IF(COUNTIF(W77:Y77,"~?")&gt;0,", ","")&amp;"Poissons","")&amp;IF(AA77="?",IF(COUNTIF(W77:Z77,"~?")&gt;0,", ","")&amp;"Arachides","")&amp;IF(AB77="?",IF(COUNTIF(W77:AA77,"~?")&gt;0,", ","")&amp;"Soja","")&amp;IF(AC77="?",IF(COUNTIF(W77:AB77,"~?")&gt;0,", ","")&amp;"Lait","")&amp;IF(AD77="?",IF(COUNTIF(W77:AC77,"~?")&gt;0,", ","")&amp;"Fruits à coque","")&amp;IF(AE77="?",IF(COUNTIF(W77:AD77,"~?")&gt;0,", ","")&amp;"Céleri","")&amp;IF(AF77="?",IF(COUNTIF(W77:AE77,"~?")&gt;0,", ","")&amp;"Moutarde","")&amp;IF(AG77="?",IF(COUNTIF(W77:AF77,"~?")&gt;0,", ","")&amp;"Sésame","")&amp;IF(AH77="?",IF(COUNTIF(W77:AG77,"~?")&gt;0,", ","")&amp;"Sulfites","")&amp;IF(AI77="?",IF(COUNTIF(W77:AH77,"~?")&gt;0,", ","")&amp;"Lupin","")&amp;IF(AJ77="?",IF(COUNTIF(W77:AI77,"~?")&gt;0,", ","")&amp;"Mollusques","")),"")</f>
        <v/>
      </c>
      <c r="AM77" s="127" t="str">
        <f>IF(66=66,IF(T77="","",T77),"")</f>
        <v>cocotte et réservez-la.</v>
      </c>
      <c r="AN77" s="127" t="str">
        <f>IF(66=66,LOWER(CLEAN(SUBSTITUTE(SUBSTITUTE(SUBSTITUTE(SUBSTITUTE(AM77,CHAR(160)," ")," "," "),CHAR(10)," "),CHAR(13)," "))),"")</f>
        <v>cocotte et réservez-la.</v>
      </c>
      <c r="AO77" s="127" t="str">
        <f>IF(66=66,SUBSTITUTE(SUBSTITUTE(SUBSTITUTE(SUBSTITUTE(SUBSTITUTE(SUBSTITUTE(SUBSTITUTE(SUBSTITUTE(SUBSTITUTE(SUBSTITUTE(SUBSTITUTE(SUBSTITUTE(AN77,"œ","oe"),"æ","ae"),"à","a"),"á","a"),"â","a"),"ä","a"),"ã","a"),"ç","c"),"è","e"),"é","e"),"ê","e"),"ë","e"),"")</f>
        <v>cocotte et reservez-la.</v>
      </c>
      <c r="AP77" s="127" t="str">
        <f>IF(66=66,SUBSTITUTE(SUBSTITUTE(SUBSTITUTE(SUBSTITUTE(SUBSTITUTE(SUBSTITUTE(SUBSTITUTE(SUBSTITUTE(SUBSTITUTE(SUBSTITUTE(SUBSTITUTE(SUBSTITUTE(SUBSTITUTE(SUBSTITUTE(SUBSTITUTE(SUBSTITUTE(AO77,"ì","i"),"í","i"),"î","i"),"ï","i"),"ñ","n"),"ò","o"),"ó","o"),"ô","o"),"ö","o"),"õ","o"),"ù","u"),"ú","u"),"û","u"),"ü","u"),"ý","y"),"ÿ","y"),"")</f>
        <v>cocotte et reservez-la.</v>
      </c>
      <c r="AQ77" s="127" t="str">
        <f>IF(66=66,SUBSTITUTE(SUBSTITUTE(SUBSTITUTE(SUBSTITUTE(SUBSTITUTE(SUBSTITUTE(SUBSTITUTE(SUBSTITUTE(SUBSTITUTE(SUBSTITUTE(SUBSTITUTE(SUBSTITUTE(SUBSTITUTE(SUBSTITUTE(AP77,"’"," "),"`"," "),"–"," "),"—"," "),"-"," "),"'"," "),"/"," "),"_"," "),","," "),"."," "),"("," "),")"," "),";"," "),":"," "),"")</f>
        <v xml:space="preserve">cocotte et reservez la </v>
      </c>
      <c r="AR77" s="127" t="str">
        <f>IF(66=66,SUBSTITUTE(SUBSTITUTE(SUBSTITUTE(SUBSTITUTE(SUBSTITUTE(SUBSTITUTE(SUBSTITUTE(SUBSTITUTE(SUBSTITUTE(SUBSTITUTE(SUBSTITUTE(SUBSTITUTE(SUBSTITUTE(SUBSTITUTE(SUBSTITUTE(AQ77,"!"," "),"?"," "),"+"," "),"*"," "),"&amp;"," "),"["," "),"]"," "),"{"," "),"}"," "),"%"," "),"="," "),"\"," "),"|"," "),"&lt;"," "),"&gt;"," "),"")</f>
        <v xml:space="preserve">cocotte et reservez la </v>
      </c>
      <c r="AS77" s="127" t="str">
        <f>IF(66=66," "&amp;TRIM(SUBSTITUTE(SUBSTITUTE(SUBSTITUTE(SUBSTITUTE(SUBSTITUTE(SUBSTITUTE(AR77,CHAR(34)," "),"  "," "),"  "," "),"  "," "),"  "," "),"  "," "))&amp;" ","")</f>
        <v xml:space="preserve"> cocotte et reservez la </v>
      </c>
      <c r="AT77" s="127" cm="1">
        <f t="array" ref="AT77">IF(66=66,IF(AM77="","",SUMPRODUCT(--ISNUMBER(SEARCH(" "&amp;DJ13:DJ112&amp;" ",AV77)))),"")</f>
        <v>0</v>
      </c>
      <c r="AU77" s="127" cm="1">
        <f t="array" ref="AU77">IF(66=66,IF(AM77="","",SUMPRODUCT(--ISNUMBER(SEARCH(" "&amp;DJ113:DJ162&amp;" ",AV77)))),"")</f>
        <v>0</v>
      </c>
      <c r="AV77" s="127" t="str">
        <f>IF(AM77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cocotte et reservez la </v>
      </c>
      <c r="AW77" s="127" cm="1">
        <f t="array" ref="AW77">IF(AM77="","",SUMPRODUCT(--ISNUMBER(SEARCH(" "&amp;DJ195:DJ216&amp;" ",AV77)))+--ISNUMBER(SEARCH(" "&amp;DJ2465&amp;" ",AV77)))</f>
        <v>0</v>
      </c>
      <c r="AX77" s="127" t="str" cm="1">
        <f t="array" ref="AX77">IF(66=66,IF(AM77="","",IF(SUM(AT77:AU77)+SUMPRODUCT(--ISNUMBER(SEARCH(" "&amp;DJ2429:DJ2431&amp;" ",AV77)))&gt;0,"X",IF(AW77&gt;0,"?",""))),"")</f>
        <v/>
      </c>
      <c r="AY77" s="127" cm="1">
        <f t="array" ref="AY77">IF(66=66,IF(AM77="","",SUMPRODUCT(--ISNUMBER(SEARCH(" "&amp;DJ217:DJ316&amp;" ",AS77)))),"")</f>
        <v>0</v>
      </c>
      <c r="AZ77" s="127" cm="1">
        <f t="array" ref="AZ77">IF(66=66,IF(AM77="","",SUMPRODUCT(--ISNUMBER(SEARCH(" "&amp;DJ317:DJ351&amp;" ",AS77)))),"")</f>
        <v>0</v>
      </c>
      <c r="BA77" s="127" t="str">
        <f>IF(66=66,IF(AM77="","",IF((SUM(AY77:AZ77))-(0)&gt;0,"X",IF((0)-(0)&gt;0,"?",""))),"")</f>
        <v/>
      </c>
      <c r="BB77" s="127" cm="1">
        <f t="array" ref="BB77">IF(66=66,IF(AM77="","",SUMPRODUCT(--ISNUMBER(SEARCH(" "&amp;DJ352:DJ409&amp;" ",AS77)))),"")</f>
        <v>0</v>
      </c>
      <c r="BC77" s="127" cm="1">
        <f t="array" ref="BC77">IF(66=66,IF(AM77="","",SUMPRODUCT(--ISNUMBER(SEARCH(" "&amp;DJ410:DJ437&amp;" ",BD77)))+SUMPRODUCT(--ISNUMBER(SEARCH(" "&amp;DJ2451:DJ2464&amp;" ",BD77)))),"")</f>
        <v>0</v>
      </c>
      <c r="BD77" s="127" t="str">
        <f>IF(66=66,IF(AM77="","",SUBSTITUTE(SUBSTITUTE(SUBSTITUTE(SUBSTITUTE(SUBSTITUTE(SUBSTITUTE(SUBSTITUTE(SUBSTITUTE(SUBSTITUTE(SUBSTITUTE(SUBSTITUTE(SUBSTITUTE(SUBSTITUTE(SUBSTITUTE(AS77," "&amp;DJ2466&amp;" "," ")," "&amp;DJ444&amp;" "," ")," "&amp;DJ442&amp;" "," ")," "&amp;DJ2449&amp;" "," ")," "&amp;DJ2450&amp;" "," ")," "&amp;DJ439&amp;" "," ")," "&amp;DJ443&amp;" "," ")," "&amp;DJ445&amp;" "," ")," "&amp;DJ440&amp;" "," ")," "&amp;DJ438&amp;" "," ")," "&amp;DJ1378&amp;" "," ")," "&amp;DJ446&amp;" "," ")," "&amp;DJ1377&amp;" "," ")," "&amp;DJ441&amp;" "," ")),"")</f>
        <v xml:space="preserve"> cocotte et reservez la </v>
      </c>
      <c r="BE77" s="127" t="str">
        <f>IF(66=66,IF(AM77="","",IF(BB77&gt;0,"X",IF(BC77&gt;0,"?",""))),"")</f>
        <v/>
      </c>
      <c r="BF77" s="127" cm="1">
        <f t="array" ref="BF77">IF(66=66,IF(AM77="","",SUMPRODUCT(--ISNUMBER(SEARCH(" "&amp;DJ447:DJ546&amp;" ",BP77)))),"")</f>
        <v>0</v>
      </c>
      <c r="BG77" s="127" cm="1">
        <f t="array" ref="BG77">IF(66=66,IF(AM77="","",SUMPRODUCT(--ISNUMBER(SEARCH(" "&amp;DJ547:DJ646&amp;" ",BP77)))),"")</f>
        <v>0</v>
      </c>
      <c r="BH77" s="127" cm="1">
        <f t="array" ref="BH77">IF(66=66,IF(AM77="","",SUMPRODUCT(--ISNUMBER(SEARCH(" "&amp;DJ647:DJ746&amp;" ",BP77)))),"")</f>
        <v>0</v>
      </c>
      <c r="BI77" s="127" cm="1">
        <f t="array" ref="BI77">IF(66=66,IF(AM77="","",SUMPRODUCT(--ISNUMBER(SEARCH(" "&amp;DJ747:DJ846&amp;" ",BP77)))),"")</f>
        <v>0</v>
      </c>
      <c r="BJ77" s="127" cm="1">
        <f t="array" ref="BJ77">IF(66=66,IF(AM77="","",SUMPRODUCT(--ISNUMBER(SEARCH(" "&amp;DJ847:DJ946&amp;" ",BP77)))),"")</f>
        <v>0</v>
      </c>
      <c r="BK77" s="127" cm="1">
        <f t="array" ref="BK77">IF(66=66,IF(AM77="","",SUMPRODUCT(--ISNUMBER(SEARCH(" "&amp;DJ947:DJ1046&amp;" ",BP77)))),"")</f>
        <v>0</v>
      </c>
      <c r="BL77" s="127" cm="1">
        <f t="array" ref="BL77">IF(66=66,IF(AM77="","",SUMPRODUCT(--ISNUMBER(SEARCH(" "&amp;DJ1047:DJ1146&amp;" ",BP77)))),"")</f>
        <v>0</v>
      </c>
      <c r="BM77" s="127" cm="1">
        <f t="array" ref="BM77">IF(66=66,IF(AM77="","",SUMPRODUCT(--ISNUMBER(SEARCH(" "&amp;DJ1147:DJ1246&amp;" ",BP77)))),"")</f>
        <v>0</v>
      </c>
      <c r="BN77" s="127" cm="1">
        <f t="array" ref="BN77">IF(66=66,IF(AM77="","",SUMPRODUCT(--ISNUMBER(SEARCH(" "&amp;DJ1247:DJ1346&amp;" ",BP77)))),"")</f>
        <v>0</v>
      </c>
      <c r="BO77" s="127" cm="1">
        <f t="array" ref="BO77">IF(66=66,IF(AM77="","",SUMPRODUCT(--ISNUMBER(SEARCH(" "&amp;DJ1347:DJ1374&amp;" ",BP77)))),"")</f>
        <v>0</v>
      </c>
      <c r="BP77" s="127" t="str">
        <f>IF(66=66,IF(AM77="","",SUBSTITUTE(SUBSTITUTE(SUBSTITUTE(SUBSTITUTE(SUBSTITUTE(SUBSTITUTE(SUBSTITUTE(SUBSTITUTE(SUBSTITUTE(AS77," "&amp;DJ1376&amp;" "," ")," "&amp;DJ1375&amp;" "," ")," "&amp;DJ1381&amp;" "," ")," "&amp;DJ1382&amp;" "," ")," "&amp;DJ1378&amp;" "," ")," "&amp;DJ1380&amp;" "," ")," "&amp;DJ1377&amp;" "," ")," "&amp;DJ1379&amp;" "," ")," "&amp;DJ1383&amp;" "," ")),"")</f>
        <v xml:space="preserve"> cocotte et reservez la </v>
      </c>
      <c r="BQ77" s="127" cm="1">
        <f t="array" ref="BQ77">IF(66=66,IF(AM77="","",SUMPRODUCT(--ISNUMBER(SEARCH(" "&amp;DJ1384:DJ1394&amp;" ",BP77)))),"")</f>
        <v>0</v>
      </c>
      <c r="BR77" s="127" t="str" cm="1">
        <f t="array" ref="BR77">IF(66=66,IF(AM77="","",IF(SUM(BF77:BO77)+SUMPRODUCT(--ISNUMBER(SEARCH(" "&amp;DJ2432:DJ2433&amp;" ",BP77)))&gt;0,"X",IF(BQ77&gt;0,"?",""))),"")</f>
        <v/>
      </c>
      <c r="BS77" s="127" cm="1">
        <f t="array" ref="BS77">IF(66=66,IF(AM77="","",SUMPRODUCT(--ISNUMBER(SEARCH(" "&amp;DJ1395:DJ1415&amp;" ",AS77)))),"")</f>
        <v>0</v>
      </c>
      <c r="BT77" s="127" t="str">
        <f>IF(66=66,IF(AM77="","",IF((BS77)-(0)&gt;0,"X",IF((0)-(0)&gt;0,"?",""))),"")</f>
        <v/>
      </c>
      <c r="BU77" s="127" cm="1">
        <f t="array" ref="BU77">IF(66=66,IF(AM77="","",SUMPRODUCT(--ISNUMBER(SEARCH(" "&amp;DJ1416:DJ1453&amp;" ",BV77)))),"")</f>
        <v>0</v>
      </c>
      <c r="BV77" s="127" t="str">
        <f>IF(66=66,IF(AM77="","",SUBSTITUTE(SUBSTITUTE(AS77," "&amp;DJ1454&amp;" "," ")," "&amp;DJ1455&amp;" "," ")),"")</f>
        <v xml:space="preserve"> cocotte et reservez la </v>
      </c>
      <c r="BW77" s="127" cm="1">
        <f t="array" ref="BW77">IF(66=66,IF(AM77="","",SUMPRODUCT(--ISNUMBER(SEARCH(" "&amp;DJ1456:DJ1466&amp;" ",BV77)))),"")</f>
        <v>0</v>
      </c>
      <c r="BX77" s="127" t="str">
        <f>IF(66=66,IF(AM77="","",IF(BU77&gt;0,"X",IF(BW77&gt;0,"?",""))),"")</f>
        <v/>
      </c>
      <c r="BY77" s="127" cm="1">
        <f t="array" ref="BY77">IF(66=66,IF(AM77="","",SUMPRODUCT(--ISNUMBER(SEARCH(" "&amp;DJ1467:DJ1566&amp;" ",CB77)))),"")</f>
        <v>0</v>
      </c>
      <c r="BZ77" s="127" cm="1">
        <f t="array" ref="BZ77">IF(66=66,IF(AM77="","",SUMPRODUCT(--ISNUMBER(SEARCH(" "&amp;DJ1567:DJ1666&amp;" ",CB77)))),"")</f>
        <v>0</v>
      </c>
      <c r="CA77" s="127" cm="1">
        <f t="array" ref="CA77">IF(66=66,IF(AM77="","",SUMPRODUCT(--ISNUMBER(SEARCH(" "&amp;DJ1667:DJ1750&amp;" ",CB77)))),"")</f>
        <v>0</v>
      </c>
      <c r="CB77" s="127" t="str">
        <f>IF(66=66,IF(AM77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cocotte et reservez la </v>
      </c>
      <c r="CC77" s="127" cm="1">
        <f t="array" ref="CC77">IF(66=66,IF(AM77="","",SUMPRODUCT(--ISNUMBER(SEARCH(" "&amp;DJ1801:DJ1880&amp;" ",CD77)))+SUMPRODUCT(--ISNUMBER(SEARCH(" "&amp;DJ2451:DJ2464&amp;" ",CD77)))),"")</f>
        <v>0</v>
      </c>
      <c r="CD77" s="127" t="str">
        <f>IF(66=66,IF(AM77="","",SUBSTITUTE(SUBSTITUTE(SUBSTITUTE(SUBSTITUTE(SUBSTITUTE(SUBSTITUTE(SUBSTITUTE(SUBSTITUTE(SUBSTITUTE(SUBSTITUTE(SUBSTITUTE(SUBSTITUTE(SUBSTITUTE(CB77," "&amp;DJ1887&amp;" "," ")," "&amp;DJ1885&amp;" "," ")," "&amp;DJ2449&amp;" "," ")," "&amp;DJ2450&amp;" "," ")," "&amp;DJ1882&amp;" "," ")," "&amp;DJ1886&amp;" "," ")," "&amp;DJ1888&amp;" "," ")," "&amp;DJ1883&amp;" "," ")," "&amp;DJ1881&amp;" "," ")," "&amp;DJ1378&amp;" "," ")," "&amp;DJ1889&amp;" "," ")," "&amp;DJ1377&amp;" "," ")," "&amp;DJ1884&amp;" "," ")),"")</f>
        <v xml:space="preserve"> cocotte et reservez la </v>
      </c>
      <c r="CE77" s="127" t="str" cm="1">
        <f t="array" ref="CE77">IF(66=66,IF(AM77="","",IF(SUM(BY77:CA77)+SUMPRODUCT(--ISNUMBER(SEARCH(" "&amp;DJ2434:DJ2435&amp;" ",CB77)))&gt;0,"X",IF(CC77&gt;0,"?",""))),"")</f>
        <v/>
      </c>
      <c r="CF77" s="127" cm="1">
        <f t="array" ref="CF77">IF(66=66,IF(AM77="","",SUMPRODUCT(--ISNUMBER(SEARCH(" "&amp;DJ1890:DJ1947&amp;" ",CG77)))),"")</f>
        <v>0</v>
      </c>
      <c r="CG77" s="127" t="str">
        <f>IF(66=66,IF(AM77="","",SUBSTITUTE(SUBSTITUTE(SUBSTITUTE(SUBSTITUTE(SUBSTITUTE(SUBSTITUTE(SUBSTITUTE(SUBSTITUTE(SUBSTITUTE(SUBSTITUTE(SUBSTITUTE(SUBSTITUTE(SUBSTITUTE(SUBSTITUTE(SUBSTITUTE(SUBSTITUTE(SUBSTITUTE(SUBSTITUTE(SUBSTITUTE(SUBSTITUTE(SUBSTITUTE(SUBSTITUTE(SUBSTITUTE(AS77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cocotte et reservez la </v>
      </c>
      <c r="CH77" s="127" cm="1">
        <f t="array" ref="CH77">IF(66=66,IF(AM77="","",SUMPRODUCT(--ISNUMBER(SEARCH(" "&amp;DJ1971:DJ1987&amp;" ",CG77)))),"")</f>
        <v>0</v>
      </c>
      <c r="CI77" s="127" t="str">
        <f>IF(66=66,IF(AM77="","",IF(CF77&gt;0,"X",IF(CH77&gt;0,"?",""))),"")</f>
        <v/>
      </c>
      <c r="CJ77" s="127" cm="1">
        <f t="array" ref="CJ77">IF(66=66,IF(AM77="","",SUMPRODUCT(--ISNUMBER(SEARCH(" "&amp;DJ1988:DJ2001&amp;" ",AS77)))),"")</f>
        <v>0</v>
      </c>
      <c r="CK77" s="127" cm="1">
        <f t="array" ref="CK77">IF(66=66,IF(AM77="","",SUMPRODUCT(--ISNUMBER(SEARCH(" "&amp;DJ2002:DJ2016&amp;" ",AS77)))),"")</f>
        <v>0</v>
      </c>
      <c r="CL77" s="127" t="str">
        <f>IF(66=66,IF(AM77="","",IF((CJ77)-(0)&gt;0,"X",IF((CK77)-(0)&gt;0,"?",""))),"")</f>
        <v/>
      </c>
      <c r="CM77" s="127" cm="1">
        <f t="array" ref="CM77">IF(66=66,IF(AM77="","",SUMPRODUCT(--ISNUMBER(SEARCH(" "&amp;DJ2017:DJ2034&amp;" ",AS77)))),"")</f>
        <v>0</v>
      </c>
      <c r="CN77" s="127" cm="1">
        <f t="array" ref="CN77">IF(66=66,IF(AM77="","",SUMPRODUCT(--ISNUMBER(SEARCH(" "&amp;DJ2035:DJ2049&amp;" ",AS77)))),"")</f>
        <v>0</v>
      </c>
      <c r="CO77" s="127" t="str">
        <f>IF(66=66,IF(AM77="","",IF((CM77)-(0)&gt;0,"X",IF((CN77)-(0)&gt;0,"?",""))),"")</f>
        <v/>
      </c>
      <c r="CP77" s="127" cm="1">
        <f t="array" ref="CP77">IF(66=66,IF(AM77="","",SUMPRODUCT(--ISNUMBER(SEARCH(" "&amp;DJ2050:DJ2068&amp;" ",AS77)))),"")</f>
        <v>0</v>
      </c>
      <c r="CQ77" s="127" cm="1">
        <f t="array" ref="CQ77">IF(66=66,IF(AM77="","",SUMPRODUCT(--ISNUMBER(SEARCH(" "&amp;DJ2069:DJ2083&amp;" ",AS77)))),"")</f>
        <v>0</v>
      </c>
      <c r="CR77" s="127" t="str">
        <f>IF(66=66,IF(AM77="","",IF((CP77)-(0)&gt;0,"X",IF((CQ77)-(0)&gt;0,"?",""))),"")</f>
        <v/>
      </c>
      <c r="CS77" s="127" cm="1">
        <f t="array" ref="CS77">IF(66=66,IF(AM77="","",SUMPRODUCT(--ISNUMBER(SEARCH(" "&amp;DJ2084:DJ2104&amp;" ",AS77)))),"")</f>
        <v>0</v>
      </c>
      <c r="CT77" s="127" cm="1">
        <f t="array" ref="CT77">IF(66=66,IF(AM77="","",SUMPRODUCT(--ISNUMBER(SEARCH(" "&amp;DJ2105:DJ2144&amp;" ",SUBSTITUTE(SUBSTITUTE(AS77," "&amp;DJ1378&amp;" "," ")," "&amp;DJ1377&amp;" "," "))))+--ISNUMBER(SEARCH("poiré",AN77))),"")</f>
        <v>0</v>
      </c>
      <c r="CU77" s="127" t="str">
        <f>IF(66=66,IF(AM77="","",IF(OR(CS77&gt;0,ISNUMBER(SEARCH(" vinaigre de vin ",AS77)),ISNUMBER(SEARCH(" vinaigre au vin ",AS77))),"X",IF(CT77&gt;0,"?",""))),"")</f>
        <v/>
      </c>
      <c r="CV77" s="127" cm="1">
        <f t="array" ref="CV77">IF(66=66,IF(AM77="","",SUMPRODUCT(--ISNUMBER(SEARCH(" "&amp;DJ2145:DJ2157&amp;" ",AS77)))),"")</f>
        <v>0</v>
      </c>
      <c r="CW77" s="127" cm="1">
        <f t="array" ref="CW77">IF(66=66,IF(AM77="","",SUMPRODUCT(--ISNUMBER(SEARCH(" "&amp;DJ2158:DJ2163&amp;" ",AS77)))),"")</f>
        <v>0</v>
      </c>
      <c r="CX77" s="127" t="str">
        <f>IF(66=66,IF(AM77="","",IF((CV77)-(0)&gt;0,"X",IF((CW77)-(0)&gt;0,"?",""))),"")</f>
        <v/>
      </c>
      <c r="CY77" s="127" cm="1">
        <f t="array" ref="CY77">IF(66=66,IF(AM77="","",SUMPRODUCT(--ISNUMBER(SEARCH(" "&amp;DJ2164:DJ2263&amp;" ",DB77)))),"")</f>
        <v>0</v>
      </c>
      <c r="CZ77" s="127" cm="1">
        <f t="array" ref="CZ77">IF(66=66,IF(AM77="","",SUMPRODUCT(--ISNUMBER(SEARCH(" "&amp;DJ2264:DJ2363&amp;" ",DB77)))),"")</f>
        <v>0</v>
      </c>
      <c r="DA77" s="127" cm="1">
        <f t="array" ref="DA77">IF(66=66,IF(AM77="","",SUMPRODUCT(--ISNUMBER(SEARCH(" "&amp;DJ2364:DJ2406&amp;" ",DB77)))),"")</f>
        <v>0</v>
      </c>
      <c r="DB77" s="127" t="str">
        <f>IF(66=66,IF(AM77="","",SUBSTITUTE(SUBSTITUTE(SUBSTITUTE(SUBSTITUTE(SUBSTITUTE(SUBSTITUTE(SUBSTITUTE(SUBSTITUTE(SUBSTITUTE(SUBSTITUTE(SUBSTITUTE(SUBSTITUTE(SUBSTITUTE(SUBSTITUTE(SUBSTITUTE(SUBSTITUTE(AS77," "&amp;DJ2412&amp;" "," ")," "&amp;DJ2411&amp;" "," ")," "&amp;DJ2410&amp;" "," ")," "&amp;DJ2417&amp;" "," ")," "&amp;DJ2409&amp;" "," ")," "&amp;DJ2421&amp;" "," ")," "&amp;DJ2408&amp;" "," ")," "&amp;DJ2413&amp;" "," ")," "&amp;DJ2416&amp;" "," ")," "&amp;DJ2407&amp;" "," ")," "&amp;DJ2415&amp;" "," ")," "&amp;DJ2422&amp;" "," ")," "&amp;DJ2419&amp;" "," ")," "&amp;DJ2414&amp;" "," ")," "&amp;DJ2418&amp;" "," ")," "&amp;DJ2420&amp;" "," ")),"")</f>
        <v xml:space="preserve"> cocotte et reservez la </v>
      </c>
      <c r="DC77" s="127" cm="1">
        <f t="array" ref="DC77">IF(66=66,IF(AM77="","",SUMPRODUCT(--ISNUMBER(SEARCH(" "&amp;DJ2423:DJ2427&amp;" ",DB77)))),"")</f>
        <v>0</v>
      </c>
      <c r="DD77" s="127" t="str">
        <f>IF(66=66,IF(AM77="","",IF(SUM(CY77:DA77)&gt;0,"X",IF(DC77&gt;0,"?",""))),"")</f>
        <v/>
      </c>
      <c r="DE77" s="152"/>
      <c r="DF77" s="160" t="s">
        <v>786</v>
      </c>
      <c r="DG77" s="160" t="s">
        <v>584</v>
      </c>
      <c r="DH77" s="160" t="s">
        <v>125</v>
      </c>
      <c r="DI77" s="160" t="s">
        <v>787</v>
      </c>
      <c r="DJ77" s="160" t="s">
        <v>187</v>
      </c>
      <c r="DK77" s="160" t="s">
        <v>588</v>
      </c>
      <c r="DL77" s="160" t="s">
        <v>589</v>
      </c>
      <c r="DM77" s="160" t="s">
        <v>590</v>
      </c>
      <c r="DN77" s="161" t="s">
        <v>591</v>
      </c>
      <c r="DP77" s="130">
        <v>1</v>
      </c>
    </row>
    <row r="78" spans="2:120" ht="30" customHeight="1">
      <c r="B78" s="165" t="str">
        <f t="shared" si="0"/>
        <v>Laissez cuire 2 min en les retournant.</v>
      </c>
      <c r="C78" s="165" t="str">
        <f t="shared" si="1"/>
        <v>Laissez cuire 2 min en les retournant</v>
      </c>
      <c r="D78" s="165" t="str">
        <f>IF(UPPER(TRIM(N11))="X",C78,B78)</f>
        <v>Laissez cuire 2 min en les retournant.</v>
      </c>
      <c r="E78" s="165" cm="1">
        <f t="array" ref="E78">IF(H77&lt;&gt;"",E77,IF(E77="","",IFERROR(MATCH(TRUE(),INDEX(INDEX(K:K,E77+1):K203&lt;&gt;"",0),0)+E77,"")))</f>
        <v>61</v>
      </c>
      <c r="F78" s="165" t="str" cm="1">
        <f t="array" ref="F78">IF(E78="","",IF(H77&lt;&gt;"",H77,INDEX(D:D,E78)))</f>
        <v>4. Dans la même cocotte, faites revenir les légumes et les lardons pendant environ 5 minutes. Saupoudrez de farine et mélangez bien.</v>
      </c>
      <c r="G78" s="165" t="str">
        <f t="shared" si="2"/>
        <v xml:space="preserve">4. Dans la même cocotte, faites revenir les légumes et les lardons pendant </v>
      </c>
      <c r="H78" s="174" t="str">
        <f t="shared" si="3"/>
        <v>environ 5 minutes. Saupoudrez de farine et mélangez bien.</v>
      </c>
      <c r="I78" s="184" t="str">
        <f>IF(AND(F78&lt;&gt;"",N10&gt;0,M78&gt;N10),"Mot &gt; limite","")</f>
        <v/>
      </c>
      <c r="J78" s="175">
        <f>IF(K78="","",COUNTIF(K18:K78,"&lt;&gt;"))</f>
        <v>51</v>
      </c>
      <c r="K78" s="111" t="s">
        <v>39</v>
      </c>
      <c r="L78" s="175">
        <f t="shared" si="4"/>
        <v>38</v>
      </c>
      <c r="M78" s="135">
        <f>IF(OR(F78="",N10="",N10&lt;=0),"",IF(LEN(F78)&lt;=N10,LEN(F78),IFERROR(FIND("♦",SUBSTITUTE(LEFT(F78,N10)," ","♦",LEN(LEFT(F78,N10))-LEN(SUBSTITUTE(LEFT(F78,N10)," ","")))),FIND(" ",F78&amp;" ",N10+1)-1)))</f>
        <v>75</v>
      </c>
      <c r="N78" s="176">
        <f t="shared" si="5"/>
        <v>61</v>
      </c>
      <c r="O78" s="177" t="str">
        <f t="shared" si="6"/>
        <v xml:space="preserve">4. Dans la même cocotte, faites revenir les légumes et les lardons pendant </v>
      </c>
      <c r="P78" s="176">
        <f t="shared" si="7"/>
        <v>13</v>
      </c>
      <c r="Q78" s="176">
        <f t="shared" si="8"/>
        <v>75</v>
      </c>
      <c r="S78" s="140"/>
      <c r="T78" s="191"/>
      <c r="U78" s="192"/>
      <c r="V78" s="192"/>
      <c r="W78" s="140"/>
      <c r="X78" s="140"/>
      <c r="Y78" s="140"/>
      <c r="Z78" s="140"/>
      <c r="AA78" s="140"/>
      <c r="AB78" s="140"/>
      <c r="AC78" s="140"/>
      <c r="AD78" s="140"/>
      <c r="AE78" s="140"/>
      <c r="AF78" s="140"/>
      <c r="AG78" s="140"/>
      <c r="AH78" s="140"/>
      <c r="AI78" s="140"/>
      <c r="AJ78" s="140"/>
      <c r="AK78" s="140"/>
      <c r="DE78" s="152"/>
      <c r="DF78" s="160" t="s">
        <v>788</v>
      </c>
      <c r="DG78" s="160" t="s">
        <v>584</v>
      </c>
      <c r="DH78" s="160" t="s">
        <v>125</v>
      </c>
      <c r="DI78" s="160" t="s">
        <v>188</v>
      </c>
      <c r="DJ78" s="160" t="s">
        <v>188</v>
      </c>
      <c r="DK78" s="160" t="s">
        <v>588</v>
      </c>
      <c r="DL78" s="160" t="s">
        <v>589</v>
      </c>
      <c r="DM78" s="160" t="s">
        <v>590</v>
      </c>
      <c r="DN78" s="161" t="s">
        <v>591</v>
      </c>
      <c r="DP78" s="130">
        <v>1</v>
      </c>
    </row>
    <row r="79" spans="2:120" ht="30" customHeight="1">
      <c r="B79" s="165" t="str">
        <f t="shared" si="0"/>
        <v>Egouttez sur un papier absorbant, saupoudrez de sucre et dégustez.</v>
      </c>
      <c r="C79" s="165" t="str">
        <f t="shared" si="1"/>
        <v>Egouttez sur un papier absorbant saupoudrez de sucre et dégustez</v>
      </c>
      <c r="D79" s="165" t="str">
        <f>IF(UPPER(TRIM(N11))="X",C79,B79)</f>
        <v>Egouttez sur un papier absorbant, saupoudrez de sucre et dégustez.</v>
      </c>
      <c r="E79" s="165" cm="1">
        <f t="array" ref="E79">IF(H78&lt;&gt;"",E78,IF(E78="","",IFERROR(MATCH(TRUE(),INDEX(INDEX(K:K,E78+1):K203&lt;&gt;"",0),0)+E78,"")))</f>
        <v>61</v>
      </c>
      <c r="F79" s="165" t="str" cm="1">
        <f t="array" ref="F79">IF(E79="","",IF(H78&lt;&gt;"",H78,INDEX(D:D,E79)))</f>
        <v>environ 5 minutes. Saupoudrez de farine et mélangez bien.</v>
      </c>
      <c r="G79" s="165" t="str">
        <f t="shared" si="2"/>
        <v>environ 5 minutes. Saupoudrez de farine et mélangez bien.</v>
      </c>
      <c r="H79" s="174" t="str">
        <f t="shared" si="3"/>
        <v/>
      </c>
      <c r="I79" s="184" t="str">
        <f>IF(AND(F79&lt;&gt;"",N10&gt;0,M79&gt;N10),"Mot &gt; limite","")</f>
        <v/>
      </c>
      <c r="J79" s="175">
        <f>IF(K79="","",COUNTIF(K18:K79,"&lt;&gt;"))</f>
        <v>52</v>
      </c>
      <c r="K79" s="111" t="s">
        <v>40</v>
      </c>
      <c r="L79" s="175">
        <f t="shared" si="4"/>
        <v>66</v>
      </c>
      <c r="M79" s="135">
        <f>IF(OR(F79="",N10="",N10&lt;=0),"",IF(LEN(F79)&lt;=N10,LEN(F79),IFERROR(FIND("♦",SUBSTITUTE(LEFT(F79,N10)," ","♦",LEN(LEFT(F79,N10))-LEN(SUBSTITUTE(LEFT(F79,N10)," ","")))),FIND(" ",F79&amp;" ",N10+1)-1)))</f>
        <v>57</v>
      </c>
      <c r="N79" s="176">
        <f t="shared" si="5"/>
        <v>62</v>
      </c>
      <c r="O79" s="177" t="str">
        <f t="shared" si="6"/>
        <v>environ 5 minutes. Saupoudrez de farine et mélangez bien.</v>
      </c>
      <c r="P79" s="176">
        <f t="shared" si="7"/>
        <v>9</v>
      </c>
      <c r="Q79" s="176">
        <f t="shared" si="8"/>
        <v>57</v>
      </c>
      <c r="S79" s="140"/>
      <c r="T79" s="191"/>
      <c r="U79" s="192"/>
      <c r="V79" s="192"/>
      <c r="W79" s="140"/>
      <c r="X79" s="140"/>
      <c r="Y79" s="140"/>
      <c r="Z79" s="140"/>
      <c r="AA79" s="140"/>
      <c r="AB79" s="140"/>
      <c r="AC79" s="140"/>
      <c r="AD79" s="140"/>
      <c r="AE79" s="140"/>
      <c r="AF79" s="140"/>
      <c r="AG79" s="140"/>
      <c r="AH79" s="140"/>
      <c r="AI79" s="140"/>
      <c r="AJ79" s="140"/>
      <c r="AK79" s="140"/>
      <c r="DE79" s="152"/>
      <c r="DF79" s="160" t="s">
        <v>789</v>
      </c>
      <c r="DG79" s="160" t="s">
        <v>584</v>
      </c>
      <c r="DH79" s="160" t="s">
        <v>125</v>
      </c>
      <c r="DI79" s="160" t="s">
        <v>790</v>
      </c>
      <c r="DJ79" s="160" t="s">
        <v>791</v>
      </c>
      <c r="DK79" s="160" t="s">
        <v>588</v>
      </c>
      <c r="DL79" s="160" t="s">
        <v>589</v>
      </c>
      <c r="DM79" s="160" t="s">
        <v>590</v>
      </c>
      <c r="DN79" s="161" t="s">
        <v>591</v>
      </c>
      <c r="DP79" s="130">
        <v>1</v>
      </c>
    </row>
    <row r="80" spans="2:120" ht="30" customHeight="1">
      <c r="B80" s="165" t="str">
        <f t="shared" si="0"/>
        <v/>
      </c>
      <c r="C80" s="165" t="str">
        <f t="shared" si="1"/>
        <v/>
      </c>
      <c r="D80" s="165" t="str">
        <f>IF(UPPER(TRIM(N11))="X",C80,B80)</f>
        <v/>
      </c>
      <c r="E80" s="165" cm="1">
        <f t="array" ref="E80">IF(H79&lt;&gt;"",E79,IF(E79="","",IFERROR(MATCH(TRUE(),INDEX(INDEX(K:K,E79+1):K203&lt;&gt;"",0),0)+E79,"")))</f>
        <v>63</v>
      </c>
      <c r="F80" s="165" t="str" cm="1">
        <f t="array" ref="F80">IF(E80="","",IF(H79&lt;&gt;"",H79,INDEX(D:D,E80)))</f>
        <v>5. Remettez la viande dans la cocotte et versez la marinade filtrée par-dessus. Ajoutez de l’eau si nécessaire pour recouvrir la viande. Salez et poivrez.</v>
      </c>
      <c r="G80" s="165" t="str">
        <f t="shared" si="2"/>
        <v xml:space="preserve">5. Remettez la viande dans la cocotte et versez la marinade filtrée par-dessus. </v>
      </c>
      <c r="H80" s="174" t="str">
        <f t="shared" si="3"/>
        <v>Ajoutez de l’eau si nécessaire pour recouvrir la viande. Salez et poivrez.</v>
      </c>
      <c r="I80" s="184" t="str">
        <f>IF(AND(F80&lt;&gt;"",N10&gt;0,M80&gt;N10),"Mot &gt; limite","")</f>
        <v/>
      </c>
      <c r="J80" s="175" t="str">
        <f>IF(K80="","",COUNTIF(K18:K80,"&lt;&gt;"))</f>
        <v/>
      </c>
      <c r="K80" s="111"/>
      <c r="L80" s="175" t="str">
        <f t="shared" si="4"/>
        <v/>
      </c>
      <c r="M80" s="135">
        <f>IF(OR(F80="",N10="",N10&lt;=0),"",IF(LEN(F80)&lt;=N10,LEN(F80),IFERROR(FIND("♦",SUBSTITUTE(LEFT(F80,N10)," ","♦",LEN(LEFT(F80,N10))-LEN(SUBSTITUTE(LEFT(F80,N10)," ","")))),FIND(" ",F80&amp;" ",N10+1)-1)))</f>
        <v>80</v>
      </c>
      <c r="N80" s="176">
        <f t="shared" si="5"/>
        <v>63</v>
      </c>
      <c r="O80" s="177" t="str">
        <f t="shared" si="6"/>
        <v xml:space="preserve">5. Remettez la viande dans la cocotte et versez la marinade filtrée par-dessus. </v>
      </c>
      <c r="P80" s="176">
        <f t="shared" si="7"/>
        <v>13</v>
      </c>
      <c r="Q80" s="176">
        <f t="shared" si="8"/>
        <v>80</v>
      </c>
      <c r="S80" s="140"/>
      <c r="T80" s="191"/>
      <c r="U80" s="192"/>
      <c r="V80" s="192"/>
      <c r="W80" s="140"/>
      <c r="X80" s="140"/>
      <c r="Y80" s="140"/>
      <c r="Z80" s="140"/>
      <c r="AA80" s="140"/>
      <c r="AB80" s="140"/>
      <c r="AC80" s="140"/>
      <c r="AD80" s="140"/>
      <c r="AE80" s="140"/>
      <c r="AF80" s="140"/>
      <c r="AG80" s="140"/>
      <c r="AH80" s="140"/>
      <c r="AI80" s="140"/>
      <c r="AJ80" s="140"/>
      <c r="AK80" s="140"/>
      <c r="DE80" s="152"/>
      <c r="DF80" s="160" t="s">
        <v>792</v>
      </c>
      <c r="DG80" s="160" t="s">
        <v>584</v>
      </c>
      <c r="DH80" s="160" t="s">
        <v>125</v>
      </c>
      <c r="DI80" s="160" t="s">
        <v>793</v>
      </c>
      <c r="DJ80" s="160" t="s">
        <v>794</v>
      </c>
      <c r="DK80" s="160" t="s">
        <v>588</v>
      </c>
      <c r="DL80" s="160" t="s">
        <v>589</v>
      </c>
      <c r="DM80" s="160" t="s">
        <v>590</v>
      </c>
      <c r="DN80" s="161" t="s">
        <v>591</v>
      </c>
      <c r="DP80" s="130">
        <v>1</v>
      </c>
    </row>
    <row r="81" spans="2:120" ht="30" customHeight="1">
      <c r="B81" s="165" t="str">
        <f t="shared" si="0"/>
        <v/>
      </c>
      <c r="C81" s="165" t="str">
        <f t="shared" si="1"/>
        <v/>
      </c>
      <c r="D81" s="165" t="str">
        <f>IF(UPPER(TRIM(N11))="X",C81,B81)</f>
        <v/>
      </c>
      <c r="E81" s="165" cm="1">
        <f t="array" ref="E81">IF(H80&lt;&gt;"",E80,IF(E80="","",IFERROR(MATCH(TRUE(),INDEX(INDEX(K:K,E80+1):K203&lt;&gt;"",0),0)+E80,"")))</f>
        <v>63</v>
      </c>
      <c r="F81" s="165" t="str" cm="1">
        <f t="array" ref="F81">IF(E81="","",IF(H80&lt;&gt;"",H80,INDEX(D:D,E81)))</f>
        <v>Ajoutez de l’eau si nécessaire pour recouvrir la viande. Salez et poivrez.</v>
      </c>
      <c r="G81" s="165" t="str">
        <f t="shared" si="2"/>
        <v>Ajoutez de l’eau si nécessaire pour recouvrir la viande. Salez et poivrez.</v>
      </c>
      <c r="H81" s="174" t="str">
        <f t="shared" si="3"/>
        <v/>
      </c>
      <c r="I81" s="184" t="str">
        <f>IF(AND(F81&lt;&gt;"",N10&gt;0,M81&gt;N10),"Mot &gt; limite","")</f>
        <v/>
      </c>
      <c r="J81" s="175" t="str">
        <f>IF(K81="","",COUNTIF(K18:K81,"&lt;&gt;"))</f>
        <v/>
      </c>
      <c r="K81" s="111"/>
      <c r="L81" s="175" t="str">
        <f t="shared" si="4"/>
        <v/>
      </c>
      <c r="M81" s="135">
        <f>IF(OR(F81="",N10="",N10&lt;=0),"",IF(LEN(F81)&lt;=N10,LEN(F81),IFERROR(FIND("♦",SUBSTITUTE(LEFT(F81,N10)," ","♦",LEN(LEFT(F81,N10))-LEN(SUBSTITUTE(LEFT(F81,N10)," ","")))),FIND(" ",F81&amp;" ",N10+1)-1)))</f>
        <v>74</v>
      </c>
      <c r="N81" s="176">
        <f t="shared" si="5"/>
        <v>64</v>
      </c>
      <c r="O81" s="177" t="str">
        <f t="shared" si="6"/>
        <v>Ajoutez de l’eau si nécessaire pour recouvrir la viande. Salez et poivrez.</v>
      </c>
      <c r="P81" s="176">
        <f t="shared" si="7"/>
        <v>12</v>
      </c>
      <c r="Q81" s="176">
        <f t="shared" si="8"/>
        <v>74</v>
      </c>
      <c r="S81" s="294" t="s">
        <v>795</v>
      </c>
      <c r="T81" s="294"/>
      <c r="U81" s="294"/>
      <c r="V81" s="294"/>
      <c r="W81" s="294"/>
      <c r="X81" s="294"/>
      <c r="Y81" s="294"/>
      <c r="Z81" s="294"/>
      <c r="AA81" s="294"/>
      <c r="AB81" s="294"/>
      <c r="AC81" s="294"/>
      <c r="AD81" s="294"/>
      <c r="AE81" s="294"/>
      <c r="AF81" s="294"/>
      <c r="AG81" s="294"/>
      <c r="AH81" s="294"/>
      <c r="AI81" s="294"/>
      <c r="AJ81" s="294"/>
      <c r="AK81" s="294"/>
      <c r="DE81" s="152"/>
      <c r="DF81" s="160" t="s">
        <v>796</v>
      </c>
      <c r="DG81" s="160" t="s">
        <v>584</v>
      </c>
      <c r="DH81" s="160" t="s">
        <v>125</v>
      </c>
      <c r="DI81" s="160" t="s">
        <v>189</v>
      </c>
      <c r="DJ81" s="160" t="s">
        <v>189</v>
      </c>
      <c r="DK81" s="160" t="s">
        <v>588</v>
      </c>
      <c r="DL81" s="160" t="s">
        <v>589</v>
      </c>
      <c r="DM81" s="160" t="s">
        <v>590</v>
      </c>
      <c r="DN81" s="161" t="s">
        <v>591</v>
      </c>
      <c r="DP81" s="130">
        <v>1</v>
      </c>
    </row>
    <row r="82" spans="2:120" ht="30" customHeight="1">
      <c r="B82" s="165" t="str">
        <f t="shared" ref="B82:B145" si="12">IF(TRIM(SUBSTITUTE(K82,CHAR(160),""))="","",TRIM(SUBSTITUTE(SUBSTITUTE(SUBSTITUTE(SUBSTITUTE(CLEAN(K82),CHAR(160)," "),CHAR(9)," "),CHAR(10)," "),CHAR(13)," ")))</f>
        <v/>
      </c>
      <c r="C82" s="165" t="str">
        <f t="shared" ref="C82:C145" si="13">IF(B82="","",TRIM(SUBSTITUTE(SUBSTITUTE(SUBSTITUTE(SUBSTITUTE(SUBSTITUTE(SUBSTITUTE(SUBSTITUTE(SUBSTITUTE(SUBSTITUTE(SUBSTITUTE(B82,","," "),";"," "),":"," "),"."," "),"?"," "), "!"," "),"/"," "), "("," "), ")"," "), "-"," ")))</f>
        <v/>
      </c>
      <c r="D82" s="165" t="str">
        <f>IF(UPPER(TRIM(N11))="X",C82,B82)</f>
        <v/>
      </c>
      <c r="E82" s="165" cm="1">
        <f t="array" ref="E82">IF(H81&lt;&gt;"",E81,IF(E81="","",IFERROR(MATCH(TRUE(),INDEX(INDEX(K:K,E81+1):K203&lt;&gt;"",0),0)+E81,"")))</f>
        <v>65</v>
      </c>
      <c r="F82" s="165" t="str" cm="1">
        <f t="array" ref="F82">IF(E82="","",IF(H81&lt;&gt;"",H81,INDEX(D:D,E82)))</f>
        <v>6. Portez à ébullition, puis baissez le feu et laissez mijoter à feu doux pendant environ 3 heures, en remuant de temps en temps. La viande doit être tendre et la sauce onctueuse.</v>
      </c>
      <c r="G82" s="165" t="str">
        <f t="shared" ref="G82:G145" si="14">IF(OR(F82="",M82=""),"",LEFT(F82,M82))</f>
        <v xml:space="preserve">6. Portez à ébullition, puis baissez le feu et laissez mijoter à feu doux </v>
      </c>
      <c r="H82" s="174" t="str">
        <f t="shared" ref="H82:H145" si="15">IF(OR(F82="",M82=""),"",TRIM(MID(F82,M82+1,99999)))</f>
        <v>pendant environ 3 heures, en remuant de temps en temps. La viande doit être tendre et la sauce onctueuse.</v>
      </c>
      <c r="I82" s="184" t="str">
        <f>IF(AND(F82&lt;&gt;"",N10&gt;0,M82&gt;N10),"Mot &gt; limite","")</f>
        <v/>
      </c>
      <c r="J82" s="175" t="str">
        <f>IF(K82="","",COUNTIF(K18:K82,"&lt;&gt;"))</f>
        <v/>
      </c>
      <c r="K82" s="111"/>
      <c r="L82" s="175" t="str">
        <f t="shared" ref="L82:L145" si="16">IF(TRIM(SUBSTITUTE(K82,CHAR(160),""))="","",LEN(K82))</f>
        <v/>
      </c>
      <c r="M82" s="135">
        <f>IF(OR(F82="",N10="",N10&lt;=0),"",IF(LEN(F82)&lt;=N10,LEN(F82),IFERROR(FIND("♦",SUBSTITUTE(LEFT(F82,N10)," ","♦",LEN(LEFT(F82,N10))-LEN(SUBSTITUTE(LEFT(F82,N10)," ","")))),FIND(" ",F82&amp;" ",N10+1)-1)))</f>
        <v>74</v>
      </c>
      <c r="N82" s="176">
        <f t="shared" ref="N82:N145" si="17">IF(O82="","",ROW()-17)</f>
        <v>65</v>
      </c>
      <c r="O82" s="177" t="str">
        <f t="shared" ref="O82:O145" si="18">G82</f>
        <v xml:space="preserve">6. Portez à ébullition, puis baissez le feu et laissez mijoter à feu doux </v>
      </c>
      <c r="P82" s="176">
        <f t="shared" ref="P82:P145" si="19">IF(O82="","",LEN(TRIM(O82))-LEN(SUBSTITUTE(TRIM(O82)," ",""))+1)</f>
        <v>14</v>
      </c>
      <c r="Q82" s="176">
        <f t="shared" ref="Q82:Q145" si="20">IF(O82="","",LEN(O82))</f>
        <v>74</v>
      </c>
      <c r="S82" s="140"/>
      <c r="T82" s="191"/>
      <c r="U82" s="192"/>
      <c r="V82" s="192"/>
      <c r="W82" s="140"/>
      <c r="X82" s="140"/>
      <c r="Y82" s="140"/>
      <c r="Z82" s="140"/>
      <c r="AA82" s="140"/>
      <c r="AB82" s="140"/>
      <c r="AC82" s="140"/>
      <c r="AD82" s="140"/>
      <c r="AE82" s="140"/>
      <c r="AF82" s="140"/>
      <c r="AG82" s="140"/>
      <c r="AH82" s="140"/>
      <c r="AI82" s="140"/>
      <c r="AJ82" s="140"/>
      <c r="AK82" s="140"/>
      <c r="DE82" s="152"/>
      <c r="DF82" s="160" t="s">
        <v>797</v>
      </c>
      <c r="DG82" s="160" t="s">
        <v>584</v>
      </c>
      <c r="DH82" s="160" t="s">
        <v>125</v>
      </c>
      <c r="DI82" s="160" t="s">
        <v>798</v>
      </c>
      <c r="DJ82" s="160" t="s">
        <v>798</v>
      </c>
      <c r="DK82" s="160" t="s">
        <v>588</v>
      </c>
      <c r="DL82" s="160" t="s">
        <v>589</v>
      </c>
      <c r="DM82" s="160" t="s">
        <v>590</v>
      </c>
      <c r="DN82" s="161" t="s">
        <v>591</v>
      </c>
      <c r="DP82" s="130">
        <v>1</v>
      </c>
    </row>
    <row r="83" spans="2:120" ht="30" customHeight="1">
      <c r="B83" s="165" t="str">
        <f t="shared" si="12"/>
        <v/>
      </c>
      <c r="C83" s="165" t="str">
        <f t="shared" si="13"/>
        <v/>
      </c>
      <c r="D83" s="165" t="str">
        <f>IF(UPPER(TRIM(N11))="X",C83,B83)</f>
        <v/>
      </c>
      <c r="E83" s="165" cm="1">
        <f t="array" ref="E83">IF(H82&lt;&gt;"",E82,IF(E82="","",IFERROR(MATCH(TRUE(),INDEX(INDEX(K:K,E82+1):K203&lt;&gt;"",0),0)+E82,"")))</f>
        <v>65</v>
      </c>
      <c r="F83" s="165" t="str" cm="1">
        <f t="array" ref="F83">IF(E83="","",IF(H82&lt;&gt;"",H82,INDEX(D:D,E83)))</f>
        <v>pendant environ 3 heures, en remuant de temps en temps. La viande doit être tendre et la sauce onctueuse.</v>
      </c>
      <c r="G83" s="165" t="str">
        <f t="shared" si="14"/>
        <v xml:space="preserve">pendant environ 3 heures, en remuant de temps en temps. La viande doit être </v>
      </c>
      <c r="H83" s="174" t="str">
        <f t="shared" si="15"/>
        <v>tendre et la sauce onctueuse.</v>
      </c>
      <c r="I83" s="184" t="str">
        <f>IF(AND(F83&lt;&gt;"",N10&gt;0,M83&gt;N10),"Mot &gt; limite","")</f>
        <v/>
      </c>
      <c r="J83" s="175" t="str">
        <f>IF(K83="","",COUNTIF(K18:K83,"&lt;&gt;"))</f>
        <v/>
      </c>
      <c r="K83" s="111"/>
      <c r="L83" s="175" t="str">
        <f t="shared" si="16"/>
        <v/>
      </c>
      <c r="M83" s="135">
        <f>IF(OR(F83="",N10="",N10&lt;=0),"",IF(LEN(F83)&lt;=N10,LEN(F83),IFERROR(FIND("♦",SUBSTITUTE(LEFT(F83,N10)," ","♦",LEN(LEFT(F83,N10))-LEN(SUBSTITUTE(LEFT(F83,N10)," ","")))),FIND(" ",F83&amp;" ",N10+1)-1)))</f>
        <v>76</v>
      </c>
      <c r="N83" s="176">
        <f t="shared" si="17"/>
        <v>66</v>
      </c>
      <c r="O83" s="177" t="str">
        <f t="shared" si="18"/>
        <v xml:space="preserve">pendant environ 3 heures, en remuant de temps en temps. La viande doit être </v>
      </c>
      <c r="P83" s="176">
        <f t="shared" si="19"/>
        <v>14</v>
      </c>
      <c r="Q83" s="176">
        <f t="shared" si="20"/>
        <v>76</v>
      </c>
      <c r="S83" s="140"/>
      <c r="T83" s="191"/>
      <c r="U83" s="193" t="s">
        <v>799</v>
      </c>
      <c r="V83" s="192"/>
      <c r="W83" s="140"/>
      <c r="X83" s="140"/>
      <c r="Y83" s="140"/>
      <c r="Z83" s="140"/>
      <c r="AA83" s="140"/>
      <c r="AB83" s="140"/>
      <c r="AC83" s="140"/>
      <c r="AD83" s="140"/>
      <c r="AE83" s="140"/>
      <c r="AF83" s="140"/>
      <c r="AG83" s="140"/>
      <c r="AH83" s="140"/>
      <c r="AI83" s="140"/>
      <c r="AJ83" s="140"/>
      <c r="AK83" s="140"/>
      <c r="DE83" s="152"/>
      <c r="DF83" s="160" t="s">
        <v>800</v>
      </c>
      <c r="DG83" s="160" t="s">
        <v>584</v>
      </c>
      <c r="DH83" s="160" t="s">
        <v>125</v>
      </c>
      <c r="DI83" s="160" t="s">
        <v>801</v>
      </c>
      <c r="DJ83" s="160" t="s">
        <v>801</v>
      </c>
      <c r="DK83" s="160" t="s">
        <v>588</v>
      </c>
      <c r="DL83" s="160" t="s">
        <v>589</v>
      </c>
      <c r="DM83" s="160" t="s">
        <v>590</v>
      </c>
      <c r="DN83" s="161" t="s">
        <v>591</v>
      </c>
      <c r="DP83" s="130">
        <v>1</v>
      </c>
    </row>
    <row r="84" spans="2:120" ht="30" customHeight="1">
      <c r="B84" s="165" t="str">
        <f t="shared" si="12"/>
        <v/>
      </c>
      <c r="C84" s="165" t="str">
        <f t="shared" si="13"/>
        <v/>
      </c>
      <c r="D84" s="165" t="str">
        <f>IF(UPPER(TRIM(N11))="X",C84,B84)</f>
        <v/>
      </c>
      <c r="E84" s="165" cm="1">
        <f t="array" ref="E84">IF(H83&lt;&gt;"",E83,IF(E83="","",IFERROR(MATCH(TRUE(),INDEX(INDEX(K:K,E83+1):K203&lt;&gt;"",0),0)+E83,"")))</f>
        <v>65</v>
      </c>
      <c r="F84" s="165" t="str" cm="1">
        <f t="array" ref="F84">IF(E84="","",IF(H83&lt;&gt;"",H83,INDEX(D:D,E84)))</f>
        <v>tendre et la sauce onctueuse.</v>
      </c>
      <c r="G84" s="165" t="str">
        <f t="shared" si="14"/>
        <v>tendre et la sauce onctueuse.</v>
      </c>
      <c r="H84" s="174" t="str">
        <f t="shared" si="15"/>
        <v/>
      </c>
      <c r="I84" s="184" t="str">
        <f>IF(AND(F84&lt;&gt;"",N10&gt;0,M84&gt;N10),"Mot &gt; limite","")</f>
        <v/>
      </c>
      <c r="J84" s="175" t="str">
        <f>IF(K84="","",COUNTIF(K18:K84,"&lt;&gt;"))</f>
        <v/>
      </c>
      <c r="K84" s="111"/>
      <c r="L84" s="175" t="str">
        <f t="shared" si="16"/>
        <v/>
      </c>
      <c r="M84" s="135">
        <f>IF(OR(F84="",N10="",N10&lt;=0),"",IF(LEN(F84)&lt;=N10,LEN(F84),IFERROR(FIND("♦",SUBSTITUTE(LEFT(F84,N10)," ","♦",LEN(LEFT(F84,N10))-LEN(SUBSTITUTE(LEFT(F84,N10)," ","")))),FIND(" ",F84&amp;" ",N10+1)-1)))</f>
        <v>29</v>
      </c>
      <c r="N84" s="176">
        <f t="shared" si="17"/>
        <v>67</v>
      </c>
      <c r="O84" s="177" t="str">
        <f t="shared" si="18"/>
        <v>tendre et la sauce onctueuse.</v>
      </c>
      <c r="P84" s="176">
        <f t="shared" si="19"/>
        <v>5</v>
      </c>
      <c r="Q84" s="176">
        <f t="shared" si="20"/>
        <v>29</v>
      </c>
      <c r="S84" s="140"/>
      <c r="T84" s="191"/>
      <c r="U84" s="193" t="s">
        <v>802</v>
      </c>
      <c r="V84" s="192"/>
      <c r="W84" s="140"/>
      <c r="X84" s="140"/>
      <c r="Y84" s="140"/>
      <c r="Z84" s="140"/>
      <c r="AA84" s="140"/>
      <c r="AB84" s="140"/>
      <c r="AC84" s="140"/>
      <c r="AD84" s="140"/>
      <c r="AE84" s="140"/>
      <c r="AF84" s="140"/>
      <c r="AG84" s="140"/>
      <c r="AH84" s="140"/>
      <c r="AI84" s="140"/>
      <c r="AJ84" s="140"/>
      <c r="AK84" s="140"/>
      <c r="DE84" s="152"/>
      <c r="DF84" s="160" t="s">
        <v>803</v>
      </c>
      <c r="DG84" s="160" t="s">
        <v>584</v>
      </c>
      <c r="DH84" s="160" t="s">
        <v>125</v>
      </c>
      <c r="DI84" s="160" t="s">
        <v>804</v>
      </c>
      <c r="DJ84" s="160" t="s">
        <v>804</v>
      </c>
      <c r="DK84" s="160" t="s">
        <v>588</v>
      </c>
      <c r="DL84" s="160" t="s">
        <v>589</v>
      </c>
      <c r="DM84" s="160" t="s">
        <v>590</v>
      </c>
      <c r="DN84" s="161" t="s">
        <v>591</v>
      </c>
      <c r="DP84" s="130">
        <v>1</v>
      </c>
    </row>
    <row r="85" spans="2:120" ht="30" customHeight="1">
      <c r="B85" s="165" t="str">
        <f t="shared" si="12"/>
        <v/>
      </c>
      <c r="C85" s="165" t="str">
        <f t="shared" si="13"/>
        <v/>
      </c>
      <c r="D85" s="165" t="str">
        <f>IF(UPPER(TRIM(N11))="X",C85,B85)</f>
        <v/>
      </c>
      <c r="E85" s="165" cm="1">
        <f t="array" ref="E85">IF(H84&lt;&gt;"",E84,IF(E84="","",IFERROR(MATCH(TRUE(),INDEX(INDEX(K:K,E84+1):K203&lt;&gt;"",0),0)+E84,"")))</f>
        <v>67</v>
      </c>
      <c r="F85" s="165" t="str" cm="1">
        <f t="array" ref="F85">IF(E85="","",IF(H84&lt;&gt;"",H84,INDEX(D:D,E85)))</f>
        <v>7. Pendant ce temps, faites revenir les champignons dans une poêle avec un peu d’huile d’olive pendant environ 5 minutes.</v>
      </c>
      <c r="G85" s="165" t="str">
        <f t="shared" si="14"/>
        <v xml:space="preserve">7. Pendant ce temps, faites revenir les champignons dans une poêle avec un peu </v>
      </c>
      <c r="H85" s="174" t="str">
        <f t="shared" si="15"/>
        <v>d’huile d’olive pendant environ 5 minutes.</v>
      </c>
      <c r="I85" s="184" t="str">
        <f>IF(AND(F85&lt;&gt;"",N10&gt;0,M85&gt;N10),"Mot &gt; limite","")</f>
        <v/>
      </c>
      <c r="J85" s="175" t="str">
        <f>IF(K85="","",COUNTIF(K18:K85,"&lt;&gt;"))</f>
        <v/>
      </c>
      <c r="K85" s="111"/>
      <c r="L85" s="175" t="str">
        <f t="shared" si="16"/>
        <v/>
      </c>
      <c r="M85" s="135">
        <f>IF(OR(F85="",N10="",N10&lt;=0),"",IF(LEN(F85)&lt;=N10,LEN(F85),IFERROR(FIND("♦",SUBSTITUTE(LEFT(F85,N10)," ","♦",LEN(LEFT(F85,N10))-LEN(SUBSTITUTE(LEFT(F85,N10)," ","")))),FIND(" ",F85&amp;" ",N10+1)-1)))</f>
        <v>79</v>
      </c>
      <c r="N85" s="176">
        <f t="shared" si="17"/>
        <v>68</v>
      </c>
      <c r="O85" s="177" t="str">
        <f t="shared" si="18"/>
        <v xml:space="preserve">7. Pendant ce temps, faites revenir les champignons dans une poêle avec un peu </v>
      </c>
      <c r="P85" s="176">
        <f t="shared" si="19"/>
        <v>14</v>
      </c>
      <c r="Q85" s="176">
        <f t="shared" si="20"/>
        <v>79</v>
      </c>
      <c r="S85" s="140"/>
      <c r="T85" s="191"/>
      <c r="U85" s="193" t="s">
        <v>805</v>
      </c>
      <c r="V85" s="192"/>
      <c r="W85" s="140"/>
      <c r="X85" s="140"/>
      <c r="Y85" s="140"/>
      <c r="Z85" s="140"/>
      <c r="AA85" s="140"/>
      <c r="AB85" s="140"/>
      <c r="AC85" s="140"/>
      <c r="AD85" s="140"/>
      <c r="AE85" s="140"/>
      <c r="AF85" s="140"/>
      <c r="AG85" s="140"/>
      <c r="AH85" s="140"/>
      <c r="AI85" s="140"/>
      <c r="AJ85" s="140"/>
      <c r="AK85" s="140"/>
      <c r="DE85" s="152"/>
      <c r="DF85" s="160" t="s">
        <v>806</v>
      </c>
      <c r="DG85" s="160" t="s">
        <v>584</v>
      </c>
      <c r="DH85" s="160" t="s">
        <v>125</v>
      </c>
      <c r="DI85" s="160" t="s">
        <v>807</v>
      </c>
      <c r="DJ85" s="160" t="s">
        <v>807</v>
      </c>
      <c r="DK85" s="160" t="s">
        <v>588</v>
      </c>
      <c r="DL85" s="160" t="s">
        <v>589</v>
      </c>
      <c r="DM85" s="160" t="s">
        <v>590</v>
      </c>
      <c r="DN85" s="161" t="s">
        <v>591</v>
      </c>
      <c r="DP85" s="130">
        <v>1</v>
      </c>
    </row>
    <row r="86" spans="2:120" ht="30" customHeight="1">
      <c r="B86" s="165" t="str">
        <f t="shared" si="12"/>
        <v/>
      </c>
      <c r="C86" s="165" t="str">
        <f t="shared" si="13"/>
        <v/>
      </c>
      <c r="D86" s="165" t="str">
        <f>IF(UPPER(TRIM(N11))="X",C86,B86)</f>
        <v/>
      </c>
      <c r="E86" s="165" cm="1">
        <f t="array" ref="E86">IF(H85&lt;&gt;"",E85,IF(E85="","",IFERROR(MATCH(TRUE(),INDEX(INDEX(K:K,E85+1):K203&lt;&gt;"",0),0)+E85,"")))</f>
        <v>67</v>
      </c>
      <c r="F86" s="165" t="str" cm="1">
        <f t="array" ref="F86">IF(E86="","",IF(H85&lt;&gt;"",H85,INDEX(D:D,E86)))</f>
        <v>d’huile d’olive pendant environ 5 minutes.</v>
      </c>
      <c r="G86" s="165" t="str">
        <f t="shared" si="14"/>
        <v>d’huile d’olive pendant environ 5 minutes.</v>
      </c>
      <c r="H86" s="174" t="str">
        <f t="shared" si="15"/>
        <v/>
      </c>
      <c r="I86" s="184" t="str">
        <f>IF(AND(F86&lt;&gt;"",N10&gt;0,M86&gt;N10),"Mot &gt; limite","")</f>
        <v/>
      </c>
      <c r="J86" s="175" t="str">
        <f>IF(K86="","",COUNTIF(K18:K86,"&lt;&gt;"))</f>
        <v/>
      </c>
      <c r="K86" s="111"/>
      <c r="L86" s="175" t="str">
        <f t="shared" si="16"/>
        <v/>
      </c>
      <c r="M86" s="135">
        <f>IF(OR(F86="",N10="",N10&lt;=0),"",IF(LEN(F86)&lt;=N10,LEN(F86),IFERROR(FIND("♦",SUBSTITUTE(LEFT(F86,N10)," ","♦",LEN(LEFT(F86,N10))-LEN(SUBSTITUTE(LEFT(F86,N10)," ","")))),FIND(" ",F86&amp;" ",N10+1)-1)))</f>
        <v>42</v>
      </c>
      <c r="N86" s="176">
        <f t="shared" si="17"/>
        <v>69</v>
      </c>
      <c r="O86" s="177" t="str">
        <f t="shared" si="18"/>
        <v>d’huile d’olive pendant environ 5 minutes.</v>
      </c>
      <c r="P86" s="176">
        <f t="shared" si="19"/>
        <v>6</v>
      </c>
      <c r="Q86" s="176">
        <f t="shared" si="20"/>
        <v>42</v>
      </c>
      <c r="S86" s="140"/>
      <c r="T86" s="191"/>
      <c r="U86" s="193" t="s">
        <v>808</v>
      </c>
      <c r="V86" s="192"/>
      <c r="W86" s="140"/>
      <c r="X86" s="140"/>
      <c r="Y86" s="140"/>
      <c r="Z86" s="140"/>
      <c r="AA86" s="140"/>
      <c r="AB86" s="140"/>
      <c r="AC86" s="140"/>
      <c r="AD86" s="140"/>
      <c r="AE86" s="140"/>
      <c r="AF86" s="140"/>
      <c r="AG86" s="140"/>
      <c r="AH86" s="140"/>
      <c r="AI86" s="140"/>
      <c r="AJ86" s="140"/>
      <c r="AK86" s="140"/>
      <c r="DE86" s="152"/>
      <c r="DF86" s="160" t="s">
        <v>809</v>
      </c>
      <c r="DG86" s="160" t="s">
        <v>584</v>
      </c>
      <c r="DH86" s="160" t="s">
        <v>125</v>
      </c>
      <c r="DI86" s="160" t="s">
        <v>810</v>
      </c>
      <c r="DJ86" s="160" t="s">
        <v>810</v>
      </c>
      <c r="DK86" s="160" t="s">
        <v>588</v>
      </c>
      <c r="DL86" s="160" t="s">
        <v>589</v>
      </c>
      <c r="DM86" s="160" t="s">
        <v>590</v>
      </c>
      <c r="DN86" s="161" t="s">
        <v>591</v>
      </c>
      <c r="DP86" s="130">
        <v>1</v>
      </c>
    </row>
    <row r="87" spans="2:120" ht="30" customHeight="1">
      <c r="B87" s="165" t="str">
        <f t="shared" si="12"/>
        <v/>
      </c>
      <c r="C87" s="165" t="str">
        <f t="shared" si="13"/>
        <v/>
      </c>
      <c r="D87" s="165" t="str">
        <f>IF(UPPER(TRIM(N11))="X",C87,B87)</f>
        <v/>
      </c>
      <c r="E87" s="165" cm="1">
        <f t="array" ref="E87">IF(H86&lt;&gt;"",E86,IF(E86="","",IFERROR(MATCH(TRUE(),INDEX(INDEX(K:K,E86+1):K203&lt;&gt;"",0),0)+E86,"")))</f>
        <v>69</v>
      </c>
      <c r="F87" s="165" t="str" cm="1">
        <f t="array" ref="F87">IF(E87="","",IF(H86&lt;&gt;"",H86,INDEX(D:D,E87)))</f>
        <v>8. Ajoutez les champignons dans la cocotte environ 30 minutes avant la fin de la cuisson.</v>
      </c>
      <c r="G87" s="165" t="str">
        <f t="shared" si="14"/>
        <v xml:space="preserve">8. Ajoutez les champignons dans la cocotte environ 30 minutes avant la fin de </v>
      </c>
      <c r="H87" s="174" t="str">
        <f t="shared" si="15"/>
        <v>la cuisson.</v>
      </c>
      <c r="I87" s="184" t="str">
        <f>IF(AND(F87&lt;&gt;"",N10&gt;0,M87&gt;N10),"Mot &gt; limite","")</f>
        <v/>
      </c>
      <c r="J87" s="175" t="str">
        <f>IF(K87="","",COUNTIF(K18:K87,"&lt;&gt;"))</f>
        <v/>
      </c>
      <c r="K87" s="111"/>
      <c r="L87" s="175" t="str">
        <f t="shared" si="16"/>
        <v/>
      </c>
      <c r="M87" s="135">
        <f>IF(OR(F87="",N10="",N10&lt;=0),"",IF(LEN(F87)&lt;=N10,LEN(F87),IFERROR(FIND("♦",SUBSTITUTE(LEFT(F87,N10)," ","♦",LEN(LEFT(F87,N10))-LEN(SUBSTITUTE(LEFT(F87,N10)," ","")))),FIND(" ",F87&amp;" ",N10+1)-1)))</f>
        <v>78</v>
      </c>
      <c r="N87" s="176">
        <f t="shared" si="17"/>
        <v>70</v>
      </c>
      <c r="O87" s="177" t="str">
        <f t="shared" si="18"/>
        <v xml:space="preserve">8. Ajoutez les champignons dans la cocotte environ 30 minutes avant la fin de </v>
      </c>
      <c r="P87" s="176">
        <f t="shared" si="19"/>
        <v>14</v>
      </c>
      <c r="Q87" s="176">
        <f t="shared" si="20"/>
        <v>78</v>
      </c>
      <c r="S87" s="140"/>
      <c r="T87" s="191"/>
      <c r="U87" s="193" t="s">
        <v>811</v>
      </c>
      <c r="V87" s="192"/>
      <c r="W87" s="140"/>
      <c r="X87" s="140"/>
      <c r="Y87" s="140"/>
      <c r="Z87" s="140"/>
      <c r="AA87" s="140"/>
      <c r="AB87" s="140"/>
      <c r="AC87" s="140"/>
      <c r="AD87" s="140"/>
      <c r="AE87" s="140"/>
      <c r="AF87" s="140"/>
      <c r="AG87" s="140"/>
      <c r="AH87" s="140"/>
      <c r="AI87" s="140"/>
      <c r="AJ87" s="140"/>
      <c r="AK87" s="140"/>
      <c r="DE87" s="152"/>
      <c r="DF87" s="160" t="s">
        <v>812</v>
      </c>
      <c r="DG87" s="160" t="s">
        <v>584</v>
      </c>
      <c r="DH87" s="160" t="s">
        <v>125</v>
      </c>
      <c r="DI87" s="160" t="s">
        <v>813</v>
      </c>
      <c r="DJ87" s="160" t="s">
        <v>813</v>
      </c>
      <c r="DK87" s="160" t="s">
        <v>588</v>
      </c>
      <c r="DL87" s="160" t="s">
        <v>589</v>
      </c>
      <c r="DM87" s="160" t="s">
        <v>590</v>
      </c>
      <c r="DN87" s="161" t="s">
        <v>591</v>
      </c>
      <c r="DP87" s="130">
        <v>1</v>
      </c>
    </row>
    <row r="88" spans="2:120" ht="30" customHeight="1">
      <c r="B88" s="165" t="str">
        <f t="shared" si="12"/>
        <v/>
      </c>
      <c r="C88" s="165" t="str">
        <f t="shared" si="13"/>
        <v/>
      </c>
      <c r="D88" s="165" t="str">
        <f>IF(UPPER(TRIM(N11))="X",C88,B88)</f>
        <v/>
      </c>
      <c r="E88" s="165" cm="1">
        <f t="array" ref="E88">IF(H87&lt;&gt;"",E87,IF(E87="","",IFERROR(MATCH(TRUE(),INDEX(INDEX(K:K,E87+1):K203&lt;&gt;"",0),0)+E87,"")))</f>
        <v>69</v>
      </c>
      <c r="F88" s="165" t="str" cm="1">
        <f t="array" ref="F88">IF(E88="","",IF(H87&lt;&gt;"",H87,INDEX(D:D,E88)))</f>
        <v>la cuisson.</v>
      </c>
      <c r="G88" s="165" t="str">
        <f t="shared" si="14"/>
        <v>la cuisson.</v>
      </c>
      <c r="H88" s="174" t="str">
        <f t="shared" si="15"/>
        <v/>
      </c>
      <c r="I88" s="184" t="str">
        <f>IF(AND(F88&lt;&gt;"",N10&gt;0,M88&gt;N10),"Mot &gt; limite","")</f>
        <v/>
      </c>
      <c r="J88" s="175" t="str">
        <f>IF(K88="","",COUNTIF(K18:K88,"&lt;&gt;"))</f>
        <v/>
      </c>
      <c r="K88" s="111"/>
      <c r="L88" s="175" t="str">
        <f t="shared" si="16"/>
        <v/>
      </c>
      <c r="M88" s="135">
        <f>IF(OR(F88="",N10="",N10&lt;=0),"",IF(LEN(F88)&lt;=N10,LEN(F88),IFERROR(FIND("♦",SUBSTITUTE(LEFT(F88,N10)," ","♦",LEN(LEFT(F88,N10))-LEN(SUBSTITUTE(LEFT(F88,N10)," ","")))),FIND(" ",F88&amp;" ",N10+1)-1)))</f>
        <v>11</v>
      </c>
      <c r="N88" s="176">
        <f t="shared" si="17"/>
        <v>71</v>
      </c>
      <c r="O88" s="177" t="str">
        <f t="shared" si="18"/>
        <v>la cuisson.</v>
      </c>
      <c r="P88" s="176">
        <f t="shared" si="19"/>
        <v>2</v>
      </c>
      <c r="Q88" s="176">
        <f t="shared" si="20"/>
        <v>11</v>
      </c>
      <c r="S88" s="140"/>
      <c r="T88" s="191"/>
      <c r="U88" s="193" t="s">
        <v>814</v>
      </c>
      <c r="V88" s="192"/>
      <c r="W88" s="140"/>
      <c r="X88" s="140"/>
      <c r="Y88" s="140"/>
      <c r="Z88" s="140"/>
      <c r="AA88" s="140"/>
      <c r="AB88" s="140"/>
      <c r="AC88" s="140"/>
      <c r="AD88" s="140"/>
      <c r="AE88" s="140"/>
      <c r="AF88" s="140"/>
      <c r="AG88" s="140"/>
      <c r="AH88" s="140"/>
      <c r="AI88" s="140"/>
      <c r="AJ88" s="140"/>
      <c r="AK88" s="140"/>
      <c r="DE88" s="152"/>
      <c r="DF88" s="160" t="s">
        <v>815</v>
      </c>
      <c r="DG88" s="160" t="s">
        <v>584</v>
      </c>
      <c r="DH88" s="160" t="s">
        <v>125</v>
      </c>
      <c r="DI88" s="160" t="s">
        <v>191</v>
      </c>
      <c r="DJ88" s="160" t="s">
        <v>191</v>
      </c>
      <c r="DK88" s="160" t="s">
        <v>588</v>
      </c>
      <c r="DL88" s="160" t="s">
        <v>589</v>
      </c>
      <c r="DM88" s="160" t="s">
        <v>590</v>
      </c>
      <c r="DN88" s="161" t="s">
        <v>591</v>
      </c>
      <c r="DP88" s="130">
        <v>1</v>
      </c>
    </row>
    <row r="89" spans="2:120" ht="30" customHeight="1">
      <c r="B89" s="165" t="str">
        <f t="shared" si="12"/>
        <v/>
      </c>
      <c r="C89" s="165" t="str">
        <f t="shared" si="13"/>
        <v/>
      </c>
      <c r="D89" s="165" t="str">
        <f>IF(UPPER(TRIM(N11))="X",C89,B89)</f>
        <v/>
      </c>
      <c r="E89" s="165" cm="1">
        <f t="array" ref="E89">IF(H88&lt;&gt;"",E88,IF(E88="","",IFERROR(MATCH(TRUE(),INDEX(INDEX(K:K,E88+1):K203&lt;&gt;"",0),0)+E88,"")))</f>
        <v>71</v>
      </c>
      <c r="F89" s="165" t="str" cm="1">
        <f t="array" ref="F89">IF(E89="","",IF(H88&lt;&gt;"",H88,INDEX(D:D,E89)))</f>
        <v>9. Servez le bœuf bourguignon bien chaud accompagné de pommes de terre, de pâtes ou de riz.</v>
      </c>
      <c r="G89" s="165" t="str">
        <f t="shared" si="14"/>
        <v xml:space="preserve">9. Servez le bœuf bourguignon bien chaud accompagné de pommes de terre, de </v>
      </c>
      <c r="H89" s="174" t="str">
        <f t="shared" si="15"/>
        <v>pâtes ou de riz.</v>
      </c>
      <c r="I89" s="184" t="str">
        <f>IF(AND(F89&lt;&gt;"",N10&gt;0,M89&gt;N10),"Mot &gt; limite","")</f>
        <v/>
      </c>
      <c r="J89" s="175" t="str">
        <f>IF(K89="","",COUNTIF(K18:K89,"&lt;&gt;"))</f>
        <v/>
      </c>
      <c r="K89" s="111"/>
      <c r="L89" s="175" t="str">
        <f t="shared" si="16"/>
        <v/>
      </c>
      <c r="M89" s="135">
        <f>IF(OR(F89="",N10="",N10&lt;=0),"",IF(LEN(F89)&lt;=N10,LEN(F89),IFERROR(FIND("♦",SUBSTITUTE(LEFT(F89,N10)," ","♦",LEN(LEFT(F89,N10))-LEN(SUBSTITUTE(LEFT(F89,N10)," ","")))),FIND(" ",F89&amp;" ",N10+1)-1)))</f>
        <v>75</v>
      </c>
      <c r="N89" s="176">
        <f t="shared" si="17"/>
        <v>72</v>
      </c>
      <c r="O89" s="177" t="str">
        <f t="shared" si="18"/>
        <v xml:space="preserve">9. Servez le bœuf bourguignon bien chaud accompagné de pommes de terre, de </v>
      </c>
      <c r="P89" s="176">
        <f t="shared" si="19"/>
        <v>13</v>
      </c>
      <c r="Q89" s="176">
        <f t="shared" si="20"/>
        <v>75</v>
      </c>
      <c r="S89" s="140"/>
      <c r="T89" s="191"/>
      <c r="U89" s="192"/>
      <c r="V89" s="192"/>
      <c r="W89" s="140"/>
      <c r="X89" s="140"/>
      <c r="Y89" s="140"/>
      <c r="Z89" s="140"/>
      <c r="AA89" s="140"/>
      <c r="AB89" s="140"/>
      <c r="AC89" s="140"/>
      <c r="AD89" s="140"/>
      <c r="AE89" s="140"/>
      <c r="AF89" s="140"/>
      <c r="AG89" s="140"/>
      <c r="AH89" s="140"/>
      <c r="AI89" s="140"/>
      <c r="AJ89" s="140"/>
      <c r="AK89" s="140"/>
      <c r="DE89" s="152"/>
      <c r="DF89" s="160" t="s">
        <v>816</v>
      </c>
      <c r="DG89" s="160" t="s">
        <v>584</v>
      </c>
      <c r="DH89" s="160" t="s">
        <v>125</v>
      </c>
      <c r="DI89" s="160" t="s">
        <v>192</v>
      </c>
      <c r="DJ89" s="160" t="s">
        <v>192</v>
      </c>
      <c r="DK89" s="160" t="s">
        <v>588</v>
      </c>
      <c r="DL89" s="160" t="s">
        <v>589</v>
      </c>
      <c r="DM89" s="160" t="s">
        <v>590</v>
      </c>
      <c r="DN89" s="161" t="s">
        <v>591</v>
      </c>
      <c r="DP89" s="130">
        <v>1</v>
      </c>
    </row>
    <row r="90" spans="2:120" ht="30" customHeight="1">
      <c r="B90" s="165" t="str">
        <f t="shared" si="12"/>
        <v/>
      </c>
      <c r="C90" s="165" t="str">
        <f t="shared" si="13"/>
        <v/>
      </c>
      <c r="D90" s="165" t="str">
        <f>IF(UPPER(TRIM(N11))="X",C90,B90)</f>
        <v/>
      </c>
      <c r="E90" s="165" cm="1">
        <f t="array" ref="E90">IF(H89&lt;&gt;"",E89,IF(E89="","",IFERROR(MATCH(TRUE(),INDEX(INDEX(K:K,E89+1):K203&lt;&gt;"",0),0)+E89,"")))</f>
        <v>71</v>
      </c>
      <c r="F90" s="165" t="str" cm="1">
        <f t="array" ref="F90">IF(E90="","",IF(H89&lt;&gt;"",H89,INDEX(D:D,E90)))</f>
        <v>pâtes ou de riz.</v>
      </c>
      <c r="G90" s="165" t="str">
        <f t="shared" si="14"/>
        <v>pâtes ou de riz.</v>
      </c>
      <c r="H90" s="174" t="str">
        <f t="shared" si="15"/>
        <v/>
      </c>
      <c r="I90" s="184" t="str">
        <f>IF(AND(F90&lt;&gt;"",N10&gt;0,M90&gt;N10),"Mot &gt; limite","")</f>
        <v/>
      </c>
      <c r="J90" s="175" t="str">
        <f>IF(K90="","",COUNTIF(K18:K90,"&lt;&gt;"))</f>
        <v/>
      </c>
      <c r="K90" s="111"/>
      <c r="L90" s="175" t="str">
        <f t="shared" si="16"/>
        <v/>
      </c>
      <c r="M90" s="135">
        <f>IF(OR(F90="",N10="",N10&lt;=0),"",IF(LEN(F90)&lt;=N10,LEN(F90),IFERROR(FIND("♦",SUBSTITUTE(LEFT(F90,N10)," ","♦",LEN(LEFT(F90,N10))-LEN(SUBSTITUTE(LEFT(F90,N10)," ","")))),FIND(" ",F90&amp;" ",N10+1)-1)))</f>
        <v>16</v>
      </c>
      <c r="N90" s="176">
        <f t="shared" si="17"/>
        <v>73</v>
      </c>
      <c r="O90" s="177" t="str">
        <f t="shared" si="18"/>
        <v>pâtes ou de riz.</v>
      </c>
      <c r="P90" s="176">
        <f t="shared" si="19"/>
        <v>4</v>
      </c>
      <c r="Q90" s="176">
        <f t="shared" si="20"/>
        <v>16</v>
      </c>
      <c r="S90" s="140"/>
      <c r="T90" s="191"/>
      <c r="U90" s="192"/>
      <c r="V90" s="192"/>
      <c r="W90" s="140"/>
      <c r="X90" s="140"/>
      <c r="Y90" s="140"/>
      <c r="Z90" s="140"/>
      <c r="AA90" s="140"/>
      <c r="AB90" s="140"/>
      <c r="AC90" s="140"/>
      <c r="AD90" s="140"/>
      <c r="AE90" s="140"/>
      <c r="AF90" s="140"/>
      <c r="AG90" s="140"/>
      <c r="AH90" s="140"/>
      <c r="AI90" s="140"/>
      <c r="AJ90" s="140"/>
      <c r="AK90" s="140"/>
      <c r="DE90" s="152"/>
      <c r="DF90" s="160" t="s">
        <v>817</v>
      </c>
      <c r="DG90" s="160" t="s">
        <v>584</v>
      </c>
      <c r="DH90" s="160" t="s">
        <v>125</v>
      </c>
      <c r="DI90" s="160" t="s">
        <v>818</v>
      </c>
      <c r="DJ90" s="160" t="s">
        <v>819</v>
      </c>
      <c r="DK90" s="160" t="s">
        <v>588</v>
      </c>
      <c r="DL90" s="160" t="s">
        <v>820</v>
      </c>
      <c r="DM90" s="160" t="s">
        <v>821</v>
      </c>
      <c r="DN90" s="161" t="s">
        <v>668</v>
      </c>
      <c r="DP90" s="130">
        <v>1</v>
      </c>
    </row>
    <row r="91" spans="2:120" ht="30" customHeight="1">
      <c r="B91" s="165" t="str">
        <f t="shared" si="12"/>
        <v>►&gt; &gt; &gt;</v>
      </c>
      <c r="C91" s="165" t="str">
        <f t="shared" si="13"/>
        <v>►&gt; &gt; &gt;</v>
      </c>
      <c r="D91" s="165" t="str">
        <f>IF(UPPER(TRIM(N11))="X",C91,B91)</f>
        <v>►&gt; &gt; &gt;</v>
      </c>
      <c r="E91" s="165" cm="1">
        <f t="array" ref="E91">IF(H90&lt;&gt;"",E90,IF(E90="","",IFERROR(MATCH(TRUE(),INDEX(INDEX(K:K,E90+1):K203&lt;&gt;"",0),0)+E90,"")))</f>
        <v>72</v>
      </c>
      <c r="F91" s="165" t="str" cm="1">
        <f t="array" ref="F91">IF(E91="","",IF(H90&lt;&gt;"",H90,INDEX(D:D,E91)))</f>
        <v>►</v>
      </c>
      <c r="G91" s="165" t="str">
        <f t="shared" si="14"/>
        <v>►</v>
      </c>
      <c r="H91" s="174" t="str">
        <f t="shared" si="15"/>
        <v/>
      </c>
      <c r="I91" s="184" t="str">
        <f>IF(AND(F91&lt;&gt;"",N10&gt;0,M91&gt;N10),"Mot &gt; limite","")</f>
        <v/>
      </c>
      <c r="J91" s="175">
        <f>IF(K91="","",COUNTIF(K18:K91,"&lt;&gt;"))</f>
        <v>53</v>
      </c>
      <c r="K91" s="111" t="s">
        <v>392</v>
      </c>
      <c r="L91" s="175">
        <f t="shared" si="16"/>
        <v>6</v>
      </c>
      <c r="M91" s="135">
        <f>IF(OR(F91="",N10="",N10&lt;=0),"",IF(LEN(F91)&lt;=N10,LEN(F91),IFERROR(FIND("♦",SUBSTITUTE(LEFT(F91,N10)," ","♦",LEN(LEFT(F91,N10))-LEN(SUBSTITUTE(LEFT(F91,N10)," ","")))),FIND(" ",F91&amp;" ",N10+1)-1)))</f>
        <v>1</v>
      </c>
      <c r="N91" s="176">
        <f t="shared" si="17"/>
        <v>74</v>
      </c>
      <c r="O91" s="177" t="str">
        <f t="shared" si="18"/>
        <v>►</v>
      </c>
      <c r="P91" s="176">
        <f t="shared" si="19"/>
        <v>1</v>
      </c>
      <c r="Q91" s="176">
        <f t="shared" si="20"/>
        <v>1</v>
      </c>
      <c r="S91" s="294" t="s">
        <v>822</v>
      </c>
      <c r="T91" s="294"/>
      <c r="U91" s="294"/>
      <c r="V91" s="294"/>
      <c r="W91" s="294"/>
      <c r="X91" s="294"/>
      <c r="Y91" s="294"/>
      <c r="Z91" s="294"/>
      <c r="AA91" s="294"/>
      <c r="AB91" s="294"/>
      <c r="AC91" s="294"/>
      <c r="AD91" s="294"/>
      <c r="AE91" s="294"/>
      <c r="AF91" s="294"/>
      <c r="AG91" s="294"/>
      <c r="AH91" s="294"/>
      <c r="AI91" s="294"/>
      <c r="AJ91" s="294"/>
      <c r="AK91" s="294"/>
      <c r="DE91" s="152"/>
      <c r="DF91" s="160" t="s">
        <v>823</v>
      </c>
      <c r="DG91" s="160" t="s">
        <v>584</v>
      </c>
      <c r="DH91" s="160" t="s">
        <v>125</v>
      </c>
      <c r="DI91" s="160" t="s">
        <v>824</v>
      </c>
      <c r="DJ91" s="160" t="s">
        <v>824</v>
      </c>
      <c r="DK91" s="160" t="s">
        <v>588</v>
      </c>
      <c r="DL91" s="160" t="s">
        <v>589</v>
      </c>
      <c r="DM91" s="160" t="s">
        <v>590</v>
      </c>
      <c r="DN91" s="161" t="s">
        <v>591</v>
      </c>
      <c r="DP91" s="130">
        <v>1</v>
      </c>
    </row>
    <row r="92" spans="2:120" ht="30" customHeight="1">
      <c r="B92" s="165" t="str">
        <f t="shared" si="12"/>
        <v/>
      </c>
      <c r="C92" s="165" t="str">
        <f t="shared" si="13"/>
        <v/>
      </c>
      <c r="D92" s="165" t="str">
        <f>IF(UPPER(TRIM(N11))="X",C92,B92)</f>
        <v/>
      </c>
      <c r="E92" s="165" cm="1">
        <f t="array" ref="E92">IF(H91&lt;&gt;"",E91,IF(E91="","",IFERROR(MATCH(TRUE(),INDEX(INDEX(K:K,E91+1):K203&lt;&gt;"",0),0)+E91,"")))</f>
        <v>73</v>
      </c>
      <c r="F92" s="165" t="str" cm="1">
        <f t="array" ref="F92">IF(E92="","",IF(H91&lt;&gt;"",H91,INDEX(D:D,E92)))</f>
        <v>Séparez le blanc du jaune d’œuf. Versez la farine dans un saladier et mélangez avec le sucre et la levure.</v>
      </c>
      <c r="G92" s="165" t="str">
        <f t="shared" si="14"/>
        <v xml:space="preserve">Séparez le blanc du jaune d’œuf. Versez la farine dans un saladier et mélangez </v>
      </c>
      <c r="H92" s="174" t="str">
        <f t="shared" si="15"/>
        <v>avec le sucre et la levure.</v>
      </c>
      <c r="I92" s="184" t="str">
        <f>IF(AND(F92&lt;&gt;"",N10&gt;0,M92&gt;N10),"Mot &gt; limite","")</f>
        <v/>
      </c>
      <c r="J92" s="175" t="str">
        <f>IF(K92="","",COUNTIF(K18:K92,"&lt;&gt;"))</f>
        <v/>
      </c>
      <c r="K92" s="111"/>
      <c r="L92" s="175" t="str">
        <f t="shared" si="16"/>
        <v/>
      </c>
      <c r="M92" s="135">
        <f>IF(OR(F92="",N10="",N10&lt;=0),"",IF(LEN(F92)&lt;=N10,LEN(F92),IFERROR(FIND("♦",SUBSTITUTE(LEFT(F92,N10)," ","♦",LEN(LEFT(F92,N10))-LEN(SUBSTITUTE(LEFT(F92,N10)," ","")))),FIND(" ",F92&amp;" ",N10+1)-1)))</f>
        <v>79</v>
      </c>
      <c r="N92" s="176">
        <f t="shared" si="17"/>
        <v>75</v>
      </c>
      <c r="O92" s="177" t="str">
        <f t="shared" si="18"/>
        <v xml:space="preserve">Séparez le blanc du jaune d’œuf. Versez la farine dans un saladier et mélangez </v>
      </c>
      <c r="P92" s="176">
        <f t="shared" si="19"/>
        <v>14</v>
      </c>
      <c r="Q92" s="176">
        <f t="shared" si="20"/>
        <v>79</v>
      </c>
      <c r="S92" s="194" t="s">
        <v>825</v>
      </c>
      <c r="T92" s="195" t="s">
        <v>826</v>
      </c>
      <c r="U92" s="196" t="s">
        <v>827</v>
      </c>
      <c r="V92" s="197" t="s">
        <v>828</v>
      </c>
      <c r="W92" s="140"/>
      <c r="X92" s="140"/>
      <c r="Y92" s="140"/>
      <c r="Z92" s="140"/>
      <c r="AA92" s="140"/>
      <c r="AB92" s="140"/>
      <c r="AC92" s="140"/>
      <c r="AD92" s="140"/>
      <c r="AE92" s="140"/>
      <c r="AF92" s="140"/>
      <c r="AG92" s="140"/>
      <c r="AH92" s="140"/>
      <c r="AI92" s="140"/>
      <c r="AJ92" s="140"/>
      <c r="AK92" s="140"/>
      <c r="DE92" s="152"/>
      <c r="DF92" s="160" t="s">
        <v>829</v>
      </c>
      <c r="DG92" s="160" t="s">
        <v>584</v>
      </c>
      <c r="DH92" s="160" t="s">
        <v>125</v>
      </c>
      <c r="DI92" s="160" t="s">
        <v>830</v>
      </c>
      <c r="DJ92" s="160" t="s">
        <v>830</v>
      </c>
      <c r="DK92" s="160" t="s">
        <v>588</v>
      </c>
      <c r="DL92" s="160" t="s">
        <v>589</v>
      </c>
      <c r="DM92" s="160" t="s">
        <v>590</v>
      </c>
      <c r="DN92" s="161" t="s">
        <v>591</v>
      </c>
      <c r="DP92" s="130">
        <v>1</v>
      </c>
    </row>
    <row r="93" spans="2:120" ht="30" customHeight="1">
      <c r="B93" s="165" t="str">
        <f t="shared" si="12"/>
        <v/>
      </c>
      <c r="C93" s="165" t="str">
        <f t="shared" si="13"/>
        <v/>
      </c>
      <c r="D93" s="165" t="str">
        <f>IF(UPPER(TRIM(N11))="X",C93,B93)</f>
        <v/>
      </c>
      <c r="E93" s="165" cm="1">
        <f t="array" ref="E93">IF(H92&lt;&gt;"",E92,IF(E92="","",IFERROR(MATCH(TRUE(),INDEX(INDEX(K:K,E92+1):K203&lt;&gt;"",0),0)+E92,"")))</f>
        <v>73</v>
      </c>
      <c r="F93" s="165" t="str" cm="1">
        <f t="array" ref="F93">IF(E93="","",IF(H92&lt;&gt;"",H92,INDEX(D:D,E93)))</f>
        <v>avec le sucre et la levure.</v>
      </c>
      <c r="G93" s="165" t="str">
        <f t="shared" si="14"/>
        <v>avec le sucre et la levure.</v>
      </c>
      <c r="H93" s="174" t="str">
        <f t="shared" si="15"/>
        <v/>
      </c>
      <c r="I93" s="184" t="str">
        <f>IF(AND(F93&lt;&gt;"",N10&gt;0,M93&gt;N10),"Mot &gt; limite","")</f>
        <v/>
      </c>
      <c r="J93" s="175" t="str">
        <f>IF(K93="","",COUNTIF(K18:K93,"&lt;&gt;"))</f>
        <v/>
      </c>
      <c r="K93" s="111"/>
      <c r="L93" s="175" t="str">
        <f t="shared" si="16"/>
        <v/>
      </c>
      <c r="M93" s="135">
        <f>IF(OR(F93="",N10="",N10&lt;=0),"",IF(LEN(F93)&lt;=N10,LEN(F93),IFERROR(FIND("♦",SUBSTITUTE(LEFT(F93,N10)," ","♦",LEN(LEFT(F93,N10))-LEN(SUBSTITUTE(LEFT(F93,N10)," ","")))),FIND(" ",F93&amp;" ",N10+1)-1)))</f>
        <v>27</v>
      </c>
      <c r="N93" s="176">
        <f t="shared" si="17"/>
        <v>76</v>
      </c>
      <c r="O93" s="177" t="str">
        <f t="shared" si="18"/>
        <v>avec le sucre et la levure.</v>
      </c>
      <c r="P93" s="176">
        <f t="shared" si="19"/>
        <v>6</v>
      </c>
      <c r="Q93" s="176">
        <f t="shared" si="20"/>
        <v>27</v>
      </c>
      <c r="S93" s="198">
        <v>1</v>
      </c>
      <c r="T93" s="199" t="s">
        <v>831</v>
      </c>
      <c r="U93" s="200" t="s">
        <v>832</v>
      </c>
      <c r="V93" s="201" t="s">
        <v>833</v>
      </c>
      <c r="W93" s="140"/>
      <c r="X93" s="140"/>
      <c r="Y93" s="140"/>
      <c r="Z93" s="140"/>
      <c r="AA93" s="140"/>
      <c r="AB93" s="140"/>
      <c r="AC93" s="140"/>
      <c r="AD93" s="140"/>
      <c r="AE93" s="140"/>
      <c r="AF93" s="140"/>
      <c r="AG93" s="140"/>
      <c r="AH93" s="140"/>
      <c r="AI93" s="140"/>
      <c r="AJ93" s="140"/>
      <c r="AK93" s="140"/>
      <c r="DE93" s="152"/>
      <c r="DF93" s="160" t="s">
        <v>834</v>
      </c>
      <c r="DG93" s="160" t="s">
        <v>584</v>
      </c>
      <c r="DH93" s="160" t="s">
        <v>125</v>
      </c>
      <c r="DI93" s="160" t="s">
        <v>835</v>
      </c>
      <c r="DJ93" s="160" t="s">
        <v>835</v>
      </c>
      <c r="DK93" s="160" t="s">
        <v>588</v>
      </c>
      <c r="DL93" s="160" t="s">
        <v>589</v>
      </c>
      <c r="DM93" s="160" t="s">
        <v>590</v>
      </c>
      <c r="DN93" s="161" t="s">
        <v>591</v>
      </c>
      <c r="DP93" s="130">
        <v>1</v>
      </c>
    </row>
    <row r="94" spans="2:120" ht="30" customHeight="1">
      <c r="B94" s="165" t="str">
        <f t="shared" si="12"/>
        <v/>
      </c>
      <c r="C94" s="165" t="str">
        <f t="shared" si="13"/>
        <v/>
      </c>
      <c r="D94" s="165" t="str">
        <f>IF(UPPER(TRIM(N11))="X",C94,B94)</f>
        <v/>
      </c>
      <c r="E94" s="165" cm="1">
        <f t="array" ref="E94">IF(H93&lt;&gt;"",E93,IF(E93="","",IFERROR(MATCH(TRUE(),INDEX(INDEX(K:K,E93+1):K203&lt;&gt;"",0),0)+E93,"")))</f>
        <v>74</v>
      </c>
      <c r="F94" s="165" t="str" cm="1">
        <f t="array" ref="F94">IF(E94="","",IF(H93&lt;&gt;"",H93,INDEX(D:D,E94)))</f>
        <v>Faites un puits au centre, ajoutez le jaune d’œuf et délayez petit à petit avec le lait.</v>
      </c>
      <c r="G94" s="165" t="str">
        <f t="shared" si="14"/>
        <v xml:space="preserve">Faites un puits au centre, ajoutez le jaune d’œuf et délayez petit à petit avec </v>
      </c>
      <c r="H94" s="174" t="str">
        <f t="shared" si="15"/>
        <v>le lait.</v>
      </c>
      <c r="I94" s="184" t="str">
        <f>IF(AND(F94&lt;&gt;"",N10&gt;0,M94&gt;N10),"Mot &gt; limite","")</f>
        <v/>
      </c>
      <c r="J94" s="175" t="str">
        <f>IF(K94="","",COUNTIF(K18:K94,"&lt;&gt;"))</f>
        <v/>
      </c>
      <c r="K94" s="111"/>
      <c r="L94" s="175" t="str">
        <f t="shared" si="16"/>
        <v/>
      </c>
      <c r="M94" s="135">
        <f>IF(OR(F94="",N10="",N10&lt;=0),"",IF(LEN(F94)&lt;=N10,LEN(F94),IFERROR(FIND("♦",SUBSTITUTE(LEFT(F94,N10)," ","♦",LEN(LEFT(F94,N10))-LEN(SUBSTITUTE(LEFT(F94,N10)," ","")))),FIND(" ",F94&amp;" ",N10+1)-1)))</f>
        <v>80</v>
      </c>
      <c r="N94" s="176">
        <f t="shared" si="17"/>
        <v>77</v>
      </c>
      <c r="O94" s="177" t="str">
        <f t="shared" si="18"/>
        <v xml:space="preserve">Faites un puits au centre, ajoutez le jaune d’œuf et délayez petit à petit avec </v>
      </c>
      <c r="P94" s="176">
        <f t="shared" si="19"/>
        <v>15</v>
      </c>
      <c r="Q94" s="176">
        <f t="shared" si="20"/>
        <v>80</v>
      </c>
      <c r="S94" s="198">
        <v>2</v>
      </c>
      <c r="T94" s="199" t="s">
        <v>836</v>
      </c>
      <c r="U94" s="200" t="s">
        <v>832</v>
      </c>
      <c r="V94" s="201" t="s">
        <v>837</v>
      </c>
      <c r="W94" s="140"/>
      <c r="X94" s="140"/>
      <c r="Y94" s="140"/>
      <c r="Z94" s="140"/>
      <c r="AA94" s="140"/>
      <c r="AB94" s="140"/>
      <c r="AC94" s="140"/>
      <c r="AD94" s="140"/>
      <c r="AE94" s="140"/>
      <c r="AF94" s="140"/>
      <c r="AG94" s="140"/>
      <c r="AH94" s="140"/>
      <c r="AI94" s="140"/>
      <c r="AJ94" s="140"/>
      <c r="AK94" s="140"/>
      <c r="DE94" s="152"/>
      <c r="DF94" s="160" t="s">
        <v>838</v>
      </c>
      <c r="DG94" s="160" t="s">
        <v>584</v>
      </c>
      <c r="DH94" s="160" t="s">
        <v>125</v>
      </c>
      <c r="DI94" s="160" t="s">
        <v>378</v>
      </c>
      <c r="DJ94" s="160" t="s">
        <v>378</v>
      </c>
      <c r="DK94" s="160" t="s">
        <v>588</v>
      </c>
      <c r="DL94" s="160" t="s">
        <v>589</v>
      </c>
      <c r="DM94" s="160" t="s">
        <v>590</v>
      </c>
      <c r="DN94" s="161" t="s">
        <v>591</v>
      </c>
      <c r="DP94" s="130">
        <v>1</v>
      </c>
    </row>
    <row r="95" spans="2:120" ht="30" customHeight="1">
      <c r="B95" s="165" t="str">
        <f t="shared" si="12"/>
        <v/>
      </c>
      <c r="C95" s="165" t="str">
        <f t="shared" si="13"/>
        <v/>
      </c>
      <c r="D95" s="165" t="str">
        <f>IF(UPPER(TRIM(N11))="X",C95,B95)</f>
        <v/>
      </c>
      <c r="E95" s="165" cm="1">
        <f t="array" ref="E95">IF(H94&lt;&gt;"",E94,IF(E94="","",IFERROR(MATCH(TRUE(),INDEX(INDEX(K:K,E94+1):K203&lt;&gt;"",0),0)+E94,"")))</f>
        <v>74</v>
      </c>
      <c r="F95" s="165" t="str" cm="1">
        <f t="array" ref="F95">IF(E95="","",IF(H94&lt;&gt;"",H94,INDEX(D:D,E95)))</f>
        <v>le lait.</v>
      </c>
      <c r="G95" s="165" t="str">
        <f t="shared" si="14"/>
        <v>le lait.</v>
      </c>
      <c r="H95" s="174" t="str">
        <f t="shared" si="15"/>
        <v/>
      </c>
      <c r="I95" s="184" t="str">
        <f>IF(AND(F95&lt;&gt;"",N10&gt;0,M95&gt;N10),"Mot &gt; limite","")</f>
        <v/>
      </c>
      <c r="J95" s="175" t="str">
        <f>IF(K95="","",COUNTIF(K18:K95,"&lt;&gt;"))</f>
        <v/>
      </c>
      <c r="K95" s="111"/>
      <c r="L95" s="175" t="str">
        <f t="shared" si="16"/>
        <v/>
      </c>
      <c r="M95" s="135">
        <f>IF(OR(F95="",N10="",N10&lt;=0),"",IF(LEN(F95)&lt;=N10,LEN(F95),IFERROR(FIND("♦",SUBSTITUTE(LEFT(F95,N10)," ","♦",LEN(LEFT(F95,N10))-LEN(SUBSTITUTE(LEFT(F95,N10)," ","")))),FIND(" ",F95&amp;" ",N10+1)-1)))</f>
        <v>8</v>
      </c>
      <c r="N95" s="176">
        <f t="shared" si="17"/>
        <v>78</v>
      </c>
      <c r="O95" s="177" t="str">
        <f t="shared" si="18"/>
        <v>le lait.</v>
      </c>
      <c r="P95" s="176">
        <f t="shared" si="19"/>
        <v>2</v>
      </c>
      <c r="Q95" s="176">
        <f t="shared" si="20"/>
        <v>8</v>
      </c>
      <c r="S95" s="198">
        <v>3</v>
      </c>
      <c r="T95" s="199" t="s">
        <v>839</v>
      </c>
      <c r="U95" s="200" t="s">
        <v>832</v>
      </c>
      <c r="V95" s="201" t="s">
        <v>840</v>
      </c>
      <c r="W95" s="140"/>
      <c r="X95" s="140"/>
      <c r="Y95" s="140"/>
      <c r="Z95" s="140"/>
      <c r="AA95" s="140"/>
      <c r="AB95" s="140"/>
      <c r="AC95" s="140"/>
      <c r="AD95" s="140"/>
      <c r="AE95" s="140"/>
      <c r="AF95" s="140"/>
      <c r="AG95" s="140"/>
      <c r="AH95" s="140"/>
      <c r="AI95" s="140"/>
      <c r="AJ95" s="140"/>
      <c r="AK95" s="140"/>
      <c r="DE95" s="152"/>
      <c r="DF95" s="160" t="s">
        <v>841</v>
      </c>
      <c r="DG95" s="160" t="s">
        <v>584</v>
      </c>
      <c r="DH95" s="160" t="s">
        <v>125</v>
      </c>
      <c r="DI95" s="160" t="s">
        <v>842</v>
      </c>
      <c r="DJ95" s="160" t="s">
        <v>842</v>
      </c>
      <c r="DK95" s="160" t="s">
        <v>666</v>
      </c>
      <c r="DL95" s="160" t="s">
        <v>667</v>
      </c>
      <c r="DM95" s="160" t="s">
        <v>590</v>
      </c>
      <c r="DN95" s="161" t="s">
        <v>668</v>
      </c>
      <c r="DP95" s="130">
        <v>1</v>
      </c>
    </row>
    <row r="96" spans="2:120" ht="30" customHeight="1">
      <c r="B96" s="165" t="str">
        <f t="shared" si="12"/>
        <v/>
      </c>
      <c r="C96" s="165" t="str">
        <f t="shared" si="13"/>
        <v/>
      </c>
      <c r="D96" s="165" t="str">
        <f>IF(UPPER(TRIM(N11))="X",C96,B96)</f>
        <v/>
      </c>
      <c r="E96" s="165" cm="1">
        <f t="array" ref="E96">IF(H95&lt;&gt;"",E95,IF(E95="","",IFERROR(MATCH(TRUE(),INDEX(INDEX(K:K,E95+1):K203&lt;&gt;"",0),0)+E95,"")))</f>
        <v>75</v>
      </c>
      <c r="F96" s="165" t="str" cm="1">
        <f t="array" ref="F96">IF(E96="","",IF(H95&lt;&gt;"",H95,INDEX(D:D,E96)))</f>
        <v>Fouettez le blanc en neige puis incorporez-le à la préparation. Laissez reposer la pâte 2h.</v>
      </c>
      <c r="G96" s="165" t="str">
        <f t="shared" si="14"/>
        <v xml:space="preserve">Fouettez le blanc en neige puis incorporez-le à la préparation. Laissez reposer </v>
      </c>
      <c r="H96" s="174" t="str">
        <f t="shared" si="15"/>
        <v>la pâte 2h.</v>
      </c>
      <c r="I96" s="184" t="str">
        <f>IF(AND(F96&lt;&gt;"",N10&gt;0,M96&gt;N10),"Mot &gt; limite","")</f>
        <v/>
      </c>
      <c r="J96" s="175" t="str">
        <f>IF(K96="","",COUNTIF(K18:K96,"&lt;&gt;"))</f>
        <v/>
      </c>
      <c r="K96" s="111"/>
      <c r="L96" s="175" t="str">
        <f t="shared" si="16"/>
        <v/>
      </c>
      <c r="M96" s="135">
        <f>IF(OR(F96="",N10="",N10&lt;=0),"",IF(LEN(F96)&lt;=N10,LEN(F96),IFERROR(FIND("♦",SUBSTITUTE(LEFT(F96,N10)," ","♦",LEN(LEFT(F96,N10))-LEN(SUBSTITUTE(LEFT(F96,N10)," ","")))),FIND(" ",F96&amp;" ",N10+1)-1)))</f>
        <v>80</v>
      </c>
      <c r="N96" s="176">
        <f t="shared" si="17"/>
        <v>79</v>
      </c>
      <c r="O96" s="177" t="str">
        <f t="shared" si="18"/>
        <v xml:space="preserve">Fouettez le blanc en neige puis incorporez-le à la préparation. Laissez reposer </v>
      </c>
      <c r="P96" s="176">
        <f t="shared" si="19"/>
        <v>12</v>
      </c>
      <c r="Q96" s="176">
        <f t="shared" si="20"/>
        <v>80</v>
      </c>
      <c r="S96" s="198">
        <v>4</v>
      </c>
      <c r="T96" s="199" t="s">
        <v>843</v>
      </c>
      <c r="U96" s="200" t="s">
        <v>832</v>
      </c>
      <c r="V96" s="201" t="s">
        <v>844</v>
      </c>
      <c r="W96" s="140"/>
      <c r="X96" s="140"/>
      <c r="Y96" s="140"/>
      <c r="Z96" s="140"/>
      <c r="AA96" s="140"/>
      <c r="AB96" s="140"/>
      <c r="AC96" s="140"/>
      <c r="AD96" s="140"/>
      <c r="AE96" s="140"/>
      <c r="AF96" s="140"/>
      <c r="AG96" s="140"/>
      <c r="AH96" s="140"/>
      <c r="AI96" s="140"/>
      <c r="AJ96" s="140"/>
      <c r="AK96" s="140"/>
      <c r="DE96" s="152"/>
      <c r="DF96" s="160" t="s">
        <v>845</v>
      </c>
      <c r="DG96" s="160" t="s">
        <v>584</v>
      </c>
      <c r="DH96" s="160" t="s">
        <v>125</v>
      </c>
      <c r="DI96" s="160" t="s">
        <v>846</v>
      </c>
      <c r="DJ96" s="160" t="s">
        <v>846</v>
      </c>
      <c r="DK96" s="160" t="s">
        <v>666</v>
      </c>
      <c r="DL96" s="160" t="s">
        <v>667</v>
      </c>
      <c r="DM96" s="160" t="s">
        <v>590</v>
      </c>
      <c r="DN96" s="161" t="s">
        <v>668</v>
      </c>
      <c r="DP96" s="130">
        <v>1</v>
      </c>
    </row>
    <row r="97" spans="2:120" ht="30" customHeight="1">
      <c r="B97" s="165" t="str">
        <f t="shared" si="12"/>
        <v/>
      </c>
      <c r="C97" s="165" t="str">
        <f t="shared" si="13"/>
        <v/>
      </c>
      <c r="D97" s="165" t="str">
        <f>IF(UPPER(TRIM(N11))="X",C97,B97)</f>
        <v/>
      </c>
      <c r="E97" s="165" cm="1">
        <f t="array" ref="E97">IF(H96&lt;&gt;"",E96,IF(E96="","",IFERROR(MATCH(TRUE(),INDEX(INDEX(K:K,E96+1):K203&lt;&gt;"",0),0)+E96,"")))</f>
        <v>75</v>
      </c>
      <c r="F97" s="165" t="str" cm="1">
        <f t="array" ref="F97">IF(E97="","",IF(H96&lt;&gt;"",H96,INDEX(D:D,E97)))</f>
        <v>la pâte 2h.</v>
      </c>
      <c r="G97" s="165" t="str">
        <f t="shared" si="14"/>
        <v>la pâte 2h.</v>
      </c>
      <c r="H97" s="174" t="str">
        <f t="shared" si="15"/>
        <v/>
      </c>
      <c r="I97" s="184" t="str">
        <f>IF(AND(F97&lt;&gt;"",N10&gt;0,M97&gt;N10),"Mot &gt; limite","")</f>
        <v/>
      </c>
      <c r="J97" s="175" t="str">
        <f>IF(K97="","",COUNTIF(K18:K97,"&lt;&gt;"))</f>
        <v/>
      </c>
      <c r="K97" s="111"/>
      <c r="L97" s="175" t="str">
        <f t="shared" si="16"/>
        <v/>
      </c>
      <c r="M97" s="135">
        <f>IF(OR(F97="",N10="",N10&lt;=0),"",IF(LEN(F97)&lt;=N10,LEN(F97),IFERROR(FIND("♦",SUBSTITUTE(LEFT(F97,N10)," ","♦",LEN(LEFT(F97,N10))-LEN(SUBSTITUTE(LEFT(F97,N10)," ","")))),FIND(" ",F97&amp;" ",N10+1)-1)))</f>
        <v>11</v>
      </c>
      <c r="N97" s="176">
        <f t="shared" si="17"/>
        <v>80</v>
      </c>
      <c r="O97" s="177" t="str">
        <f t="shared" si="18"/>
        <v>la pâte 2h.</v>
      </c>
      <c r="P97" s="176">
        <f t="shared" si="19"/>
        <v>3</v>
      </c>
      <c r="Q97" s="176">
        <f t="shared" si="20"/>
        <v>11</v>
      </c>
      <c r="S97" s="198">
        <v>5</v>
      </c>
      <c r="T97" s="199" t="s">
        <v>847</v>
      </c>
      <c r="U97" s="200" t="s">
        <v>832</v>
      </c>
      <c r="V97" s="201" t="s">
        <v>848</v>
      </c>
      <c r="W97" s="140"/>
      <c r="X97" s="140"/>
      <c r="Y97" s="140"/>
      <c r="Z97" s="140"/>
      <c r="AA97" s="140"/>
      <c r="AB97" s="140"/>
      <c r="AC97" s="140"/>
      <c r="AD97" s="140"/>
      <c r="AE97" s="140"/>
      <c r="AF97" s="140"/>
      <c r="AG97" s="140"/>
      <c r="AH97" s="140"/>
      <c r="AI97" s="140"/>
      <c r="AJ97" s="140"/>
      <c r="AK97" s="140"/>
      <c r="DE97" s="152"/>
      <c r="DF97" s="160" t="s">
        <v>849</v>
      </c>
      <c r="DG97" s="160" t="s">
        <v>584</v>
      </c>
      <c r="DH97" s="160" t="s">
        <v>125</v>
      </c>
      <c r="DI97" s="160" t="s">
        <v>193</v>
      </c>
      <c r="DJ97" s="160" t="s">
        <v>193</v>
      </c>
      <c r="DK97" s="160" t="s">
        <v>588</v>
      </c>
      <c r="DL97" s="160" t="s">
        <v>589</v>
      </c>
      <c r="DM97" s="160" t="s">
        <v>590</v>
      </c>
      <c r="DN97" s="161" t="s">
        <v>591</v>
      </c>
      <c r="DP97" s="130">
        <v>1</v>
      </c>
    </row>
    <row r="98" spans="2:120" ht="30" customHeight="1">
      <c r="B98" s="165" t="str">
        <f t="shared" si="12"/>
        <v/>
      </c>
      <c r="C98" s="165" t="str">
        <f t="shared" si="13"/>
        <v/>
      </c>
      <c r="D98" s="165" t="str">
        <f>IF(UPPER(TRIM(N11))="X",C98,B98)</f>
        <v/>
      </c>
      <c r="E98" s="165" cm="1">
        <f t="array" ref="E98">IF(H97&lt;&gt;"",E97,IF(E97="","",IFERROR(MATCH(TRUE(),INDEX(INDEX(K:K,E97+1):K203&lt;&gt;"",0),0)+E97,"")))</f>
        <v>76</v>
      </c>
      <c r="F98" s="165" t="str" cm="1">
        <f t="array" ref="F98">IF(E98="","",IF(H97&lt;&gt;"",H97,INDEX(D:D,E98)))</f>
        <v>Faites chauffer le bain de friture.</v>
      </c>
      <c r="G98" s="165" t="str">
        <f t="shared" si="14"/>
        <v>Faites chauffer le bain de friture.</v>
      </c>
      <c r="H98" s="174" t="str">
        <f t="shared" si="15"/>
        <v/>
      </c>
      <c r="I98" s="184" t="str">
        <f>IF(AND(F98&lt;&gt;"",N10&gt;0,M98&gt;N10),"Mot &gt; limite","")</f>
        <v/>
      </c>
      <c r="J98" s="175" t="str">
        <f>IF(K98="","",COUNTIF(K18:K98,"&lt;&gt;"))</f>
        <v/>
      </c>
      <c r="K98" s="111"/>
      <c r="L98" s="175" t="str">
        <f t="shared" si="16"/>
        <v/>
      </c>
      <c r="M98" s="135">
        <f>IF(OR(F98="",N10="",N10&lt;=0),"",IF(LEN(F98)&lt;=N10,LEN(F98),IFERROR(FIND("♦",SUBSTITUTE(LEFT(F98,N10)," ","♦",LEN(LEFT(F98,N10))-LEN(SUBSTITUTE(LEFT(F98,N10)," ","")))),FIND(" ",F98&amp;" ",N10+1)-1)))</f>
        <v>35</v>
      </c>
      <c r="N98" s="176">
        <f t="shared" si="17"/>
        <v>81</v>
      </c>
      <c r="O98" s="177" t="str">
        <f t="shared" si="18"/>
        <v>Faites chauffer le bain de friture.</v>
      </c>
      <c r="P98" s="176">
        <f t="shared" si="19"/>
        <v>6</v>
      </c>
      <c r="Q98" s="176">
        <f t="shared" si="20"/>
        <v>35</v>
      </c>
      <c r="S98" s="198">
        <v>6</v>
      </c>
      <c r="T98" s="199" t="s">
        <v>850</v>
      </c>
      <c r="U98" s="200" t="s">
        <v>851</v>
      </c>
      <c r="V98" s="201" t="s">
        <v>852</v>
      </c>
      <c r="W98" s="140"/>
      <c r="X98" s="140"/>
      <c r="Y98" s="140"/>
      <c r="Z98" s="140"/>
      <c r="AA98" s="140"/>
      <c r="AB98" s="140"/>
      <c r="AC98" s="140"/>
      <c r="AD98" s="140"/>
      <c r="AE98" s="140"/>
      <c r="AF98" s="140"/>
      <c r="AG98" s="140"/>
      <c r="AH98" s="140"/>
      <c r="AI98" s="140"/>
      <c r="AJ98" s="140"/>
      <c r="AK98" s="140"/>
      <c r="DE98" s="152"/>
      <c r="DF98" s="160" t="s">
        <v>853</v>
      </c>
      <c r="DG98" s="160" t="s">
        <v>584</v>
      </c>
      <c r="DH98" s="160" t="s">
        <v>125</v>
      </c>
      <c r="DI98" s="160" t="s">
        <v>854</v>
      </c>
      <c r="DJ98" s="160" t="s">
        <v>854</v>
      </c>
      <c r="DK98" s="160" t="s">
        <v>588</v>
      </c>
      <c r="DL98" s="160" t="s">
        <v>589</v>
      </c>
      <c r="DM98" s="160" t="s">
        <v>590</v>
      </c>
      <c r="DN98" s="161" t="s">
        <v>591</v>
      </c>
      <c r="DP98" s="130">
        <v>1</v>
      </c>
    </row>
    <row r="99" spans="2:120" ht="30" customHeight="1">
      <c r="B99" s="165" t="str">
        <f t="shared" si="12"/>
        <v/>
      </c>
      <c r="C99" s="165" t="str">
        <f t="shared" si="13"/>
        <v/>
      </c>
      <c r="D99" s="165" t="str">
        <f>IF(UPPER(TRIM(N11))="X",C99,B99)</f>
        <v/>
      </c>
      <c r="E99" s="165" cm="1">
        <f t="array" ref="E99">IF(H98&lt;&gt;"",E98,IF(E98="","",IFERROR(MATCH(TRUE(),INDEX(INDEX(K:K,E98+1):K203&lt;&gt;"",0),0)+E98,"")))</f>
        <v>77</v>
      </c>
      <c r="F99" s="165" t="str" cm="1">
        <f t="array" ref="F99">IF(E99="","",IF(H98&lt;&gt;"",H98,INDEX(D:D,E99)))</f>
        <v>Nettoyez les fleurs d’accacia sans les faire tremper puis plongez-les dans la pâte à beignet puis la friture.</v>
      </c>
      <c r="G99" s="165" t="str">
        <f t="shared" si="14"/>
        <v xml:space="preserve">Nettoyez les fleurs d’accacia sans les faire tremper puis plongez-les dans la </v>
      </c>
      <c r="H99" s="174" t="str">
        <f t="shared" si="15"/>
        <v>pâte à beignet puis la friture.</v>
      </c>
      <c r="I99" s="184" t="str">
        <f>IF(AND(F99&lt;&gt;"",N10&gt;0,M99&gt;N10),"Mot &gt; limite","")</f>
        <v/>
      </c>
      <c r="J99" s="175" t="str">
        <f>IF(K99="","",COUNTIF(K18:K99,"&lt;&gt;"))</f>
        <v/>
      </c>
      <c r="K99" s="111"/>
      <c r="L99" s="175" t="str">
        <f t="shared" si="16"/>
        <v/>
      </c>
      <c r="M99" s="135">
        <f>IF(OR(F99="",N10="",N10&lt;=0),"",IF(LEN(F99)&lt;=N10,LEN(F99),IFERROR(FIND("♦",SUBSTITUTE(LEFT(F99,N10)," ","♦",LEN(LEFT(F99,N10))-LEN(SUBSTITUTE(LEFT(F99,N10)," ","")))),FIND(" ",F99&amp;" ",N10+1)-1)))</f>
        <v>78</v>
      </c>
      <c r="N99" s="176">
        <f t="shared" si="17"/>
        <v>82</v>
      </c>
      <c r="O99" s="177" t="str">
        <f t="shared" si="18"/>
        <v xml:space="preserve">Nettoyez les fleurs d’accacia sans les faire tremper puis plongez-les dans la </v>
      </c>
      <c r="P99" s="176">
        <f t="shared" si="19"/>
        <v>12</v>
      </c>
      <c r="Q99" s="176">
        <f t="shared" si="20"/>
        <v>78</v>
      </c>
      <c r="S99" s="198">
        <v>7</v>
      </c>
      <c r="T99" s="199" t="s">
        <v>855</v>
      </c>
      <c r="U99" s="200" t="s">
        <v>856</v>
      </c>
      <c r="V99" s="201" t="s">
        <v>857</v>
      </c>
      <c r="W99" s="140"/>
      <c r="X99" s="140"/>
      <c r="Y99" s="140"/>
      <c r="Z99" s="140"/>
      <c r="AA99" s="140"/>
      <c r="AB99" s="140"/>
      <c r="AC99" s="140"/>
      <c r="AD99" s="140"/>
      <c r="AE99" s="140"/>
      <c r="AF99" s="140"/>
      <c r="AG99" s="140"/>
      <c r="AH99" s="140"/>
      <c r="AI99" s="140"/>
      <c r="AJ99" s="140"/>
      <c r="AK99" s="140"/>
      <c r="DE99" s="152"/>
      <c r="DF99" s="160" t="s">
        <v>858</v>
      </c>
      <c r="DG99" s="160" t="s">
        <v>584</v>
      </c>
      <c r="DH99" s="160" t="s">
        <v>125</v>
      </c>
      <c r="DI99" s="160" t="s">
        <v>859</v>
      </c>
      <c r="DJ99" s="160" t="s">
        <v>860</v>
      </c>
      <c r="DK99" s="160" t="s">
        <v>588</v>
      </c>
      <c r="DL99" s="160" t="s">
        <v>589</v>
      </c>
      <c r="DM99" s="160" t="s">
        <v>590</v>
      </c>
      <c r="DN99" s="161" t="s">
        <v>591</v>
      </c>
      <c r="DP99" s="130">
        <v>1</v>
      </c>
    </row>
    <row r="100" spans="2:120" ht="30" customHeight="1">
      <c r="B100" s="165" t="str">
        <f t="shared" si="12"/>
        <v/>
      </c>
      <c r="C100" s="165" t="str">
        <f t="shared" si="13"/>
        <v/>
      </c>
      <c r="D100" s="165" t="str">
        <f>IF(UPPER(TRIM(N11))="X",C100,B100)</f>
        <v/>
      </c>
      <c r="E100" s="165" cm="1">
        <f t="array" ref="E100">IF(H99&lt;&gt;"",E99,IF(E99="","",IFERROR(MATCH(TRUE(),INDEX(INDEX(K:K,E99+1):K203&lt;&gt;"",0),0)+E99,"")))</f>
        <v>77</v>
      </c>
      <c r="F100" s="165" t="str" cm="1">
        <f t="array" ref="F100">IF(E100="","",IF(H99&lt;&gt;"",H99,INDEX(D:D,E100)))</f>
        <v>pâte à beignet puis la friture.</v>
      </c>
      <c r="G100" s="165" t="str">
        <f t="shared" si="14"/>
        <v>pâte à beignet puis la friture.</v>
      </c>
      <c r="H100" s="174" t="str">
        <f t="shared" si="15"/>
        <v/>
      </c>
      <c r="I100" s="184" t="str">
        <f>IF(AND(F100&lt;&gt;"",N10&gt;0,M100&gt;N10),"Mot &gt; limite","")</f>
        <v/>
      </c>
      <c r="J100" s="175" t="str">
        <f>IF(K100="","",COUNTIF(K18:K100,"&lt;&gt;"))</f>
        <v/>
      </c>
      <c r="K100" s="111"/>
      <c r="L100" s="175" t="str">
        <f t="shared" si="16"/>
        <v/>
      </c>
      <c r="M100" s="135">
        <f>IF(OR(F100="",N10="",N10&lt;=0),"",IF(LEN(F100)&lt;=N10,LEN(F100),IFERROR(FIND("♦",SUBSTITUTE(LEFT(F100,N10)," ","♦",LEN(LEFT(F100,N10))-LEN(SUBSTITUTE(LEFT(F100,N10)," ","")))),FIND(" ",F100&amp;" ",N10+1)-1)))</f>
        <v>31</v>
      </c>
      <c r="N100" s="176">
        <f t="shared" si="17"/>
        <v>83</v>
      </c>
      <c r="O100" s="177" t="str">
        <f t="shared" si="18"/>
        <v>pâte à beignet puis la friture.</v>
      </c>
      <c r="P100" s="176">
        <f t="shared" si="19"/>
        <v>6</v>
      </c>
      <c r="Q100" s="176">
        <f t="shared" si="20"/>
        <v>31</v>
      </c>
      <c r="S100" s="198">
        <v>8</v>
      </c>
      <c r="T100" s="199" t="s">
        <v>861</v>
      </c>
      <c r="U100" s="200" t="s">
        <v>862</v>
      </c>
      <c r="V100" s="201" t="s">
        <v>863</v>
      </c>
      <c r="W100" s="140"/>
      <c r="X100" s="140"/>
      <c r="Y100" s="140"/>
      <c r="Z100" s="140"/>
      <c r="AA100" s="140"/>
      <c r="AB100" s="140"/>
      <c r="AC100" s="140"/>
      <c r="AD100" s="140"/>
      <c r="AE100" s="140"/>
      <c r="AF100" s="140"/>
      <c r="AG100" s="140"/>
      <c r="AH100" s="140"/>
      <c r="AI100" s="140"/>
      <c r="AJ100" s="140"/>
      <c r="AK100" s="140"/>
      <c r="DE100" s="152"/>
      <c r="DF100" s="160" t="s">
        <v>864</v>
      </c>
      <c r="DG100" s="160" t="s">
        <v>584</v>
      </c>
      <c r="DH100" s="160" t="s">
        <v>125</v>
      </c>
      <c r="DI100" s="160" t="s">
        <v>865</v>
      </c>
      <c r="DJ100" s="160" t="s">
        <v>865</v>
      </c>
      <c r="DK100" s="160" t="s">
        <v>588</v>
      </c>
      <c r="DL100" s="160" t="s">
        <v>589</v>
      </c>
      <c r="DM100" s="160" t="s">
        <v>590</v>
      </c>
      <c r="DN100" s="161" t="s">
        <v>591</v>
      </c>
      <c r="DP100" s="130">
        <v>1</v>
      </c>
    </row>
    <row r="101" spans="2:120" ht="30" customHeight="1">
      <c r="B101" s="165" t="str">
        <f t="shared" si="12"/>
        <v/>
      </c>
      <c r="C101" s="165" t="str">
        <f t="shared" si="13"/>
        <v/>
      </c>
      <c r="D101" s="165" t="str">
        <f>IF(UPPER(TRIM(N11))="X",C101,B101)</f>
        <v/>
      </c>
      <c r="E101" s="165" cm="1">
        <f t="array" ref="E101">IF(H100&lt;&gt;"",E100,IF(E100="","",IFERROR(MATCH(TRUE(),INDEX(INDEX(K:K,E100+1):K203&lt;&gt;"",0),0)+E100,"")))</f>
        <v>78</v>
      </c>
      <c r="F101" s="165" t="str" cm="1">
        <f t="array" ref="F101">IF(E101="","",IF(H100&lt;&gt;"",H100,INDEX(D:D,E101)))</f>
        <v>Laissez cuire 2 min en les retournant.</v>
      </c>
      <c r="G101" s="165" t="str">
        <f t="shared" si="14"/>
        <v>Laissez cuire 2 min en les retournant.</v>
      </c>
      <c r="H101" s="174" t="str">
        <f t="shared" si="15"/>
        <v/>
      </c>
      <c r="I101" s="184" t="str">
        <f>IF(AND(F101&lt;&gt;"",N10&gt;0,M101&gt;N10),"Mot &gt; limite","")</f>
        <v/>
      </c>
      <c r="J101" s="175" t="str">
        <f>IF(K101="","",COUNTIF(K18:K101,"&lt;&gt;"))</f>
        <v/>
      </c>
      <c r="K101" s="111"/>
      <c r="L101" s="175" t="str">
        <f t="shared" si="16"/>
        <v/>
      </c>
      <c r="M101" s="135">
        <f>IF(OR(F101="",N10="",N10&lt;=0),"",IF(LEN(F101)&lt;=N10,LEN(F101),IFERROR(FIND("♦",SUBSTITUTE(LEFT(F101,N10)," ","♦",LEN(LEFT(F101,N10))-LEN(SUBSTITUTE(LEFT(F101,N10)," ","")))),FIND(" ",F101&amp;" ",N10+1)-1)))</f>
        <v>38</v>
      </c>
      <c r="N101" s="176">
        <f t="shared" si="17"/>
        <v>84</v>
      </c>
      <c r="O101" s="177" t="str">
        <f t="shared" si="18"/>
        <v>Laissez cuire 2 min en les retournant.</v>
      </c>
      <c r="P101" s="176">
        <f t="shared" si="19"/>
        <v>7</v>
      </c>
      <c r="Q101" s="176">
        <f t="shared" si="20"/>
        <v>38</v>
      </c>
      <c r="S101" s="198">
        <v>9</v>
      </c>
      <c r="T101" s="199" t="s">
        <v>866</v>
      </c>
      <c r="U101" s="200" t="s">
        <v>867</v>
      </c>
      <c r="V101" s="201" t="s">
        <v>868</v>
      </c>
      <c r="W101" s="140"/>
      <c r="X101" s="140"/>
      <c r="Y101" s="140"/>
      <c r="Z101" s="140"/>
      <c r="AA101" s="140"/>
      <c r="AB101" s="140"/>
      <c r="AC101" s="140"/>
      <c r="AD101" s="140"/>
      <c r="AE101" s="140"/>
      <c r="AF101" s="140"/>
      <c r="AG101" s="140"/>
      <c r="AH101" s="140"/>
      <c r="AI101" s="140"/>
      <c r="AJ101" s="140"/>
      <c r="AK101" s="140"/>
      <c r="DE101" s="152"/>
      <c r="DF101" s="160" t="s">
        <v>869</v>
      </c>
      <c r="DG101" s="160" t="s">
        <v>584</v>
      </c>
      <c r="DH101" s="160" t="s">
        <v>125</v>
      </c>
      <c r="DI101" s="160" t="s">
        <v>870</v>
      </c>
      <c r="DJ101" s="160" t="s">
        <v>871</v>
      </c>
      <c r="DK101" s="160" t="s">
        <v>588</v>
      </c>
      <c r="DL101" s="160" t="s">
        <v>589</v>
      </c>
      <c r="DM101" s="160" t="s">
        <v>590</v>
      </c>
      <c r="DN101" s="161" t="s">
        <v>591</v>
      </c>
      <c r="DP101" s="130">
        <v>1</v>
      </c>
    </row>
    <row r="102" spans="2:120" ht="30" customHeight="1">
      <c r="B102" s="165" t="str">
        <f t="shared" si="12"/>
        <v/>
      </c>
      <c r="C102" s="165" t="str">
        <f t="shared" si="13"/>
        <v/>
      </c>
      <c r="D102" s="165" t="str">
        <f>IF(UPPER(TRIM(N11))="X",C102,B102)</f>
        <v/>
      </c>
      <c r="E102" s="165" cm="1">
        <f t="array" ref="E102">IF(H101&lt;&gt;"",E101,IF(E101="","",IFERROR(MATCH(TRUE(),INDEX(INDEX(K:K,E101+1):K203&lt;&gt;"",0),0)+E101,"")))</f>
        <v>79</v>
      </c>
      <c r="F102" s="165" t="str" cm="1">
        <f t="array" ref="F102">IF(E102="","",IF(H101&lt;&gt;"",H101,INDEX(D:D,E102)))</f>
        <v>Egouttez sur un papier absorbant, saupoudrez de sucre et dégustez.</v>
      </c>
      <c r="G102" s="165" t="str">
        <f t="shared" si="14"/>
        <v>Egouttez sur un papier absorbant, saupoudrez de sucre et dégustez.</v>
      </c>
      <c r="H102" s="174" t="str">
        <f t="shared" si="15"/>
        <v/>
      </c>
      <c r="I102" s="184" t="str">
        <f>IF(AND(F102&lt;&gt;"",N10&gt;0,M102&gt;N10),"Mot &gt; limite","")</f>
        <v/>
      </c>
      <c r="J102" s="175" t="str">
        <f>IF(K102="","",COUNTIF(K18:K102,"&lt;&gt;"))</f>
        <v/>
      </c>
      <c r="K102" s="111"/>
      <c r="L102" s="175" t="str">
        <f t="shared" si="16"/>
        <v/>
      </c>
      <c r="M102" s="135">
        <f>IF(OR(F102="",N10="",N10&lt;=0),"",IF(LEN(F102)&lt;=N10,LEN(F102),IFERROR(FIND("♦",SUBSTITUTE(LEFT(F102,N10)," ","♦",LEN(LEFT(F102,N10))-LEN(SUBSTITUTE(LEFT(F102,N10)," ","")))),FIND(" ",F102&amp;" ",N10+1)-1)))</f>
        <v>66</v>
      </c>
      <c r="N102" s="176">
        <f t="shared" si="17"/>
        <v>85</v>
      </c>
      <c r="O102" s="177" t="str">
        <f t="shared" si="18"/>
        <v>Egouttez sur un papier absorbant, saupoudrez de sucre et dégustez.</v>
      </c>
      <c r="P102" s="176">
        <f t="shared" si="19"/>
        <v>10</v>
      </c>
      <c r="Q102" s="176">
        <f t="shared" si="20"/>
        <v>66</v>
      </c>
      <c r="S102" s="202">
        <v>10</v>
      </c>
      <c r="T102" s="203" t="s">
        <v>872</v>
      </c>
      <c r="U102" s="204" t="s">
        <v>873</v>
      </c>
      <c r="V102" s="205" t="s">
        <v>874</v>
      </c>
      <c r="W102" s="140"/>
      <c r="X102" s="140"/>
      <c r="Y102" s="140"/>
      <c r="Z102" s="140"/>
      <c r="AA102" s="140"/>
      <c r="AB102" s="140"/>
      <c r="AC102" s="140"/>
      <c r="AD102" s="140"/>
      <c r="AE102" s="140"/>
      <c r="AF102" s="140"/>
      <c r="AG102" s="140"/>
      <c r="AH102" s="140"/>
      <c r="AI102" s="140"/>
      <c r="AJ102" s="140"/>
      <c r="AK102" s="140"/>
      <c r="DE102" s="152"/>
      <c r="DF102" s="160" t="s">
        <v>875</v>
      </c>
      <c r="DG102" s="160" t="s">
        <v>584</v>
      </c>
      <c r="DH102" s="160" t="s">
        <v>125</v>
      </c>
      <c r="DI102" s="160" t="s">
        <v>466</v>
      </c>
      <c r="DJ102" s="160" t="s">
        <v>466</v>
      </c>
      <c r="DK102" s="160" t="s">
        <v>588</v>
      </c>
      <c r="DL102" s="160" t="s">
        <v>589</v>
      </c>
      <c r="DM102" s="160" t="s">
        <v>590</v>
      </c>
      <c r="DN102" s="161" t="s">
        <v>591</v>
      </c>
      <c r="DP102" s="130">
        <v>1</v>
      </c>
    </row>
    <row r="103" spans="2:120" ht="30" customHeight="1">
      <c r="B103" s="165" t="str">
        <f t="shared" si="12"/>
        <v/>
      </c>
      <c r="C103" s="165" t="str">
        <f t="shared" si="13"/>
        <v/>
      </c>
      <c r="D103" s="165" t="str">
        <f>IF(UPPER(TRIM(N11))="X",C103,B103)</f>
        <v/>
      </c>
      <c r="E103" s="165" cm="1">
        <f t="array" ref="E103">IF(H102&lt;&gt;"",E102,IF(E102="","",IFERROR(MATCH(TRUE(),INDEX(INDEX(K:K,E102+1):K203&lt;&gt;"",0),0)+E102,"")))</f>
        <v>91</v>
      </c>
      <c r="F103" s="165" t="str" cm="1">
        <f t="array" ref="F103">IF(E103="","",IF(H102&lt;&gt;"",H102,INDEX(D:D,E103)))</f>
        <v>►&gt; &gt; &gt;</v>
      </c>
      <c r="G103" s="165" t="str">
        <f t="shared" si="14"/>
        <v>►&gt; &gt; &gt;</v>
      </c>
      <c r="H103" s="174" t="str">
        <f t="shared" si="15"/>
        <v/>
      </c>
      <c r="I103" s="184" t="str">
        <f>IF(AND(F103&lt;&gt;"",N10&gt;0,M103&gt;N10),"Mot &gt; limite","")</f>
        <v/>
      </c>
      <c r="J103" s="175" t="str">
        <f>IF(K103="","",COUNTIF(K18:K103,"&lt;&gt;"))</f>
        <v/>
      </c>
      <c r="K103" s="111"/>
      <c r="L103" s="175" t="str">
        <f t="shared" si="16"/>
        <v/>
      </c>
      <c r="M103" s="135">
        <f>IF(OR(F103="",N10="",N10&lt;=0),"",IF(LEN(F103)&lt;=N10,LEN(F103),IFERROR(FIND("♦",SUBSTITUTE(LEFT(F103,N10)," ","♦",LEN(LEFT(F103,N10))-LEN(SUBSTITUTE(LEFT(F103,N10)," ","")))),FIND(" ",F103&amp;" ",N10+1)-1)))</f>
        <v>6</v>
      </c>
      <c r="N103" s="176">
        <f t="shared" si="17"/>
        <v>86</v>
      </c>
      <c r="O103" s="177" t="str">
        <f t="shared" si="18"/>
        <v>►&gt; &gt; &gt;</v>
      </c>
      <c r="P103" s="176">
        <f t="shared" si="19"/>
        <v>3</v>
      </c>
      <c r="Q103" s="176">
        <f t="shared" si="20"/>
        <v>6</v>
      </c>
      <c r="S103" s="140"/>
      <c r="T103" s="191"/>
      <c r="U103" s="192"/>
      <c r="V103" s="192"/>
      <c r="W103" s="140"/>
      <c r="X103" s="140"/>
      <c r="Y103" s="140"/>
      <c r="Z103" s="140"/>
      <c r="AA103" s="140"/>
      <c r="AB103" s="140"/>
      <c r="AC103" s="140"/>
      <c r="AD103" s="140"/>
      <c r="AE103" s="140"/>
      <c r="AF103" s="140"/>
      <c r="AG103" s="140"/>
      <c r="AH103" s="140"/>
      <c r="AI103" s="140"/>
      <c r="AJ103" s="140"/>
      <c r="AK103" s="140"/>
      <c r="DE103" s="152"/>
      <c r="DF103" s="160" t="s">
        <v>876</v>
      </c>
      <c r="DG103" s="160" t="s">
        <v>584</v>
      </c>
      <c r="DH103" s="160" t="s">
        <v>125</v>
      </c>
      <c r="DI103" s="160" t="s">
        <v>877</v>
      </c>
      <c r="DJ103" s="160" t="s">
        <v>877</v>
      </c>
      <c r="DK103" s="160" t="s">
        <v>588</v>
      </c>
      <c r="DL103" s="160" t="s">
        <v>589</v>
      </c>
      <c r="DM103" s="160" t="s">
        <v>590</v>
      </c>
      <c r="DN103" s="161" t="s">
        <v>591</v>
      </c>
      <c r="DP103" s="130">
        <v>1</v>
      </c>
    </row>
    <row r="104" spans="2:120" ht="30" customHeight="1">
      <c r="B104" s="165" t="str">
        <f t="shared" si="12"/>
        <v/>
      </c>
      <c r="C104" s="165" t="str">
        <f t="shared" si="13"/>
        <v/>
      </c>
      <c r="D104" s="165" t="str">
        <f>IF(UPPER(TRIM(N11))="X",C104,B104)</f>
        <v/>
      </c>
      <c r="E104" s="165" cm="1">
        <f t="array" ref="E104">IF(H103&lt;&gt;"",E103,IF(E103="","",IFERROR(MATCH(TRUE(),INDEX(INDEX(K:K,E103+1):K203&lt;&gt;"",0),0)+E103,"")))</f>
        <v>203</v>
      </c>
      <c r="F104" s="165" t="str" cm="1">
        <f t="array" ref="F104">IF(E104="","",IF(H103&lt;&gt;"",H103,INDEX(D:D,E104)))</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104" s="165" t="str">
        <f t="shared" si="14"/>
        <v xml:space="preserve">Si vous récupérez du texte sur internet, collez-le d’abord dans la colonne 1️⃣ </v>
      </c>
      <c r="H104" s="174" t="str">
        <f t="shared" si="15"/>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104" s="184" t="str">
        <f>IF(AND(F104&lt;&gt;"",N10&gt;0,M104&gt;N10),"Mot &gt; limite","")</f>
        <v/>
      </c>
      <c r="J104" s="175" t="str">
        <f>IF(K104="","",COUNTIF(K18:K104,"&lt;&gt;"))</f>
        <v/>
      </c>
      <c r="K104" s="111"/>
      <c r="L104" s="175" t="str">
        <f t="shared" si="16"/>
        <v/>
      </c>
      <c r="M104" s="135">
        <f>IF(OR(F104="",N10="",N10&lt;=0),"",IF(LEN(F104)&lt;=N10,LEN(F104),IFERROR(FIND("♦",SUBSTITUTE(LEFT(F104,N10)," ","♦",LEN(LEFT(F104,N10))-LEN(SUBSTITUTE(LEFT(F104,N10)," ","")))),FIND(" ",F104&amp;" ",N10+1)-1)))</f>
        <v>79</v>
      </c>
      <c r="N104" s="176">
        <f t="shared" si="17"/>
        <v>87</v>
      </c>
      <c r="O104" s="177" t="str">
        <f t="shared" si="18"/>
        <v xml:space="preserve">Si vous récupérez du texte sur internet, collez-le d’abord dans la colonne 1️⃣ </v>
      </c>
      <c r="P104" s="176">
        <f t="shared" si="19"/>
        <v>13</v>
      </c>
      <c r="Q104" s="176">
        <f t="shared" si="20"/>
        <v>79</v>
      </c>
      <c r="S104" s="140"/>
      <c r="T104" s="191"/>
      <c r="U104" s="192"/>
      <c r="V104" s="192"/>
      <c r="W104" s="140"/>
      <c r="X104" s="140"/>
      <c r="Y104" s="140"/>
      <c r="Z104" s="140"/>
      <c r="AA104" s="140"/>
      <c r="AB104" s="140"/>
      <c r="AC104" s="140"/>
      <c r="AD104" s="140"/>
      <c r="AE104" s="140"/>
      <c r="AF104" s="140"/>
      <c r="AG104" s="140"/>
      <c r="AH104" s="140"/>
      <c r="AI104" s="140"/>
      <c r="AJ104" s="140"/>
      <c r="AK104" s="140"/>
      <c r="DE104" s="152"/>
      <c r="DF104" s="160" t="s">
        <v>878</v>
      </c>
      <c r="DG104" s="160" t="s">
        <v>584</v>
      </c>
      <c r="DH104" s="160" t="s">
        <v>125</v>
      </c>
      <c r="DI104" s="160" t="s">
        <v>879</v>
      </c>
      <c r="DJ104" s="160" t="s">
        <v>879</v>
      </c>
      <c r="DK104" s="160" t="s">
        <v>588</v>
      </c>
      <c r="DL104" s="160" t="s">
        <v>589</v>
      </c>
      <c r="DM104" s="160" t="s">
        <v>590</v>
      </c>
      <c r="DN104" s="161" t="s">
        <v>591</v>
      </c>
      <c r="DP104" s="130">
        <v>1</v>
      </c>
    </row>
    <row r="105" spans="2:120" ht="30" customHeight="1">
      <c r="B105" s="165" t="str">
        <f t="shared" si="12"/>
        <v/>
      </c>
      <c r="C105" s="165" t="str">
        <f t="shared" si="13"/>
        <v/>
      </c>
      <c r="D105" s="165" t="str">
        <f>IF(UPPER(TRIM(N11))="X",C105,B105)</f>
        <v/>
      </c>
      <c r="E105" s="165" cm="1">
        <f t="array" ref="E105">IF(H104&lt;&gt;"",E104,IF(E104="","",IFERROR(MATCH(TRUE(),INDEX(INDEX(K:K,E104+1):K203&lt;&gt;"",0),0)+E104,"")))</f>
        <v>203</v>
      </c>
      <c r="F105" s="165" t="str" cm="1">
        <f t="array" ref="F105">IF(E105="","",IF(H104&lt;&gt;"",H104,INDEX(D:D,E105)))</f>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105" s="165" t="str">
        <f t="shared" si="14"/>
        <v xml:space="preserve">pour le “nettoyer” : cela supprime les espaces insécables, tabulations </v>
      </c>
      <c r="H105" s="174" t="str">
        <f t="shared" si="15"/>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105" s="184" t="str">
        <f>IF(AND(F105&lt;&gt;"",N10&gt;0,M105&gt;N10),"Mot &gt; limite","")</f>
        <v/>
      </c>
      <c r="J105" s="175" t="str">
        <f>IF(K105="","",COUNTIF(K18:K105,"&lt;&gt;"))</f>
        <v/>
      </c>
      <c r="K105" s="111"/>
      <c r="L105" s="175" t="str">
        <f t="shared" si="16"/>
        <v/>
      </c>
      <c r="M105" s="135">
        <f>IF(OR(F105="",N10="",N10&lt;=0),"",IF(LEN(F105)&lt;=N10,LEN(F105),IFERROR(FIND("♦",SUBSTITUTE(LEFT(F105,N10)," ","♦",LEN(LEFT(F105,N10))-LEN(SUBSTITUTE(LEFT(F105,N10)," ","")))),FIND(" ",F105&amp;" ",N10+1)-1)))</f>
        <v>71</v>
      </c>
      <c r="N105" s="176">
        <f t="shared" si="17"/>
        <v>88</v>
      </c>
      <c r="O105" s="177" t="str">
        <f t="shared" si="18"/>
        <v xml:space="preserve">pour le “nettoyer” : cela supprime les espaces insécables, tabulations </v>
      </c>
      <c r="P105" s="176">
        <f t="shared" si="19"/>
        <v>10</v>
      </c>
      <c r="Q105" s="176">
        <f t="shared" si="20"/>
        <v>71</v>
      </c>
      <c r="S105" s="294" t="s">
        <v>880</v>
      </c>
      <c r="T105" s="294"/>
      <c r="U105" s="294"/>
      <c r="V105" s="294"/>
      <c r="W105" s="294"/>
      <c r="X105" s="294"/>
      <c r="Y105" s="294"/>
      <c r="Z105" s="294"/>
      <c r="AA105" s="294"/>
      <c r="AB105" s="294"/>
      <c r="AC105" s="294"/>
      <c r="AD105" s="294"/>
      <c r="AE105" s="294"/>
      <c r="AF105" s="294"/>
      <c r="AG105" s="294"/>
      <c r="AH105" s="294"/>
      <c r="AI105" s="294"/>
      <c r="AJ105" s="294"/>
      <c r="AK105" s="294"/>
      <c r="DE105" s="152"/>
      <c r="DF105" s="160" t="s">
        <v>881</v>
      </c>
      <c r="DG105" s="160" t="s">
        <v>584</v>
      </c>
      <c r="DH105" s="160" t="s">
        <v>125</v>
      </c>
      <c r="DI105" s="160" t="s">
        <v>882</v>
      </c>
      <c r="DJ105" s="160" t="s">
        <v>883</v>
      </c>
      <c r="DK105" s="160" t="s">
        <v>588</v>
      </c>
      <c r="DL105" s="160" t="s">
        <v>589</v>
      </c>
      <c r="DM105" s="160" t="s">
        <v>590</v>
      </c>
      <c r="DN105" s="161" t="s">
        <v>591</v>
      </c>
      <c r="DP105" s="130">
        <v>1</v>
      </c>
    </row>
    <row r="106" spans="2:120" ht="30" customHeight="1">
      <c r="B106" s="165" t="str">
        <f t="shared" si="12"/>
        <v/>
      </c>
      <c r="C106" s="165" t="str">
        <f t="shared" si="13"/>
        <v/>
      </c>
      <c r="D106" s="165" t="str">
        <f>IF(UPPER(TRIM(N11))="X",C106,B106)</f>
        <v/>
      </c>
      <c r="E106" s="165" cm="1">
        <f t="array" ref="E106">IF(H105&lt;&gt;"",E105,IF(E105="","",IFERROR(MATCH(TRUE(),INDEX(INDEX(K:K,E105+1):K203&lt;&gt;"",0),0)+E105,"")))</f>
        <v>203</v>
      </c>
      <c r="F106" s="165" t="str" cm="1">
        <f t="array" ref="F106">IF(E106="","",IF(H105&lt;&gt;"",H105,INDEX(D:D,E106)))</f>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106" s="165" t="str">
        <f t="shared" si="14"/>
        <v xml:space="preserve">invisibles et autres “pollutions”.◄ 2️⃣ Saisissez la largeur du document dans </v>
      </c>
      <c r="H106" s="174" t="str">
        <f t="shared" si="15"/>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106" s="184" t="str">
        <f>IF(AND(F106&lt;&gt;"",N10&gt;0,M106&gt;N10),"Mot &gt; limite","")</f>
        <v/>
      </c>
      <c r="J106" s="175" t="str">
        <f>IF(K106="","",COUNTIF(K18:K106,"&lt;&gt;"))</f>
        <v/>
      </c>
      <c r="K106" s="111"/>
      <c r="L106" s="175" t="str">
        <f t="shared" si="16"/>
        <v/>
      </c>
      <c r="M106" s="135">
        <f>IF(OR(F106="",N10="",N10&lt;=0),"",IF(LEN(F106)&lt;=N10,LEN(F106),IFERROR(FIND("♦",SUBSTITUTE(LEFT(F106,N10)," ","♦",LEN(LEFT(F106,N10))-LEN(SUBSTITUTE(LEFT(F106,N10)," ","")))),FIND(" ",F106&amp;" ",N10+1)-1)))</f>
        <v>78</v>
      </c>
      <c r="N106" s="176">
        <f t="shared" si="17"/>
        <v>89</v>
      </c>
      <c r="O106" s="177" t="str">
        <f t="shared" si="18"/>
        <v xml:space="preserve">invisibles et autres “pollutions”.◄ 2️⃣ Saisissez la largeur du document dans </v>
      </c>
      <c r="P106" s="176">
        <f t="shared" si="19"/>
        <v>11</v>
      </c>
      <c r="Q106" s="176">
        <f t="shared" si="20"/>
        <v>78</v>
      </c>
      <c r="S106" s="140"/>
      <c r="T106" s="206" t="s">
        <v>884</v>
      </c>
      <c r="U106" s="207"/>
      <c r="V106" s="192"/>
      <c r="W106" s="140"/>
      <c r="X106" s="140"/>
      <c r="Y106" s="140"/>
      <c r="Z106" s="140"/>
      <c r="AA106" s="140"/>
      <c r="AB106" s="140"/>
      <c r="AC106" s="140"/>
      <c r="AD106" s="140"/>
      <c r="AE106" s="140"/>
      <c r="AF106" s="140"/>
      <c r="AG106" s="140"/>
      <c r="AH106" s="140"/>
      <c r="AI106" s="140"/>
      <c r="AJ106" s="140"/>
      <c r="AK106" s="140"/>
      <c r="DE106" s="152"/>
      <c r="DF106" s="160" t="s">
        <v>885</v>
      </c>
      <c r="DG106" s="160" t="s">
        <v>584</v>
      </c>
      <c r="DH106" s="160" t="s">
        <v>125</v>
      </c>
      <c r="DI106" s="160" t="s">
        <v>467</v>
      </c>
      <c r="DJ106" s="160" t="s">
        <v>467</v>
      </c>
      <c r="DK106" s="160" t="s">
        <v>588</v>
      </c>
      <c r="DL106" s="160" t="s">
        <v>589</v>
      </c>
      <c r="DM106" s="160" t="s">
        <v>590</v>
      </c>
      <c r="DN106" s="161" t="s">
        <v>591</v>
      </c>
      <c r="DP106" s="130">
        <v>1</v>
      </c>
    </row>
    <row r="107" spans="2:120" ht="30" customHeight="1">
      <c r="B107" s="165" t="str">
        <f t="shared" si="12"/>
        <v/>
      </c>
      <c r="C107" s="165" t="str">
        <f t="shared" si="13"/>
        <v/>
      </c>
      <c r="D107" s="165" t="str">
        <f>IF(UPPER(TRIM(N11))="X",C107,B107)</f>
        <v/>
      </c>
      <c r="E107" s="165" cm="1">
        <f t="array" ref="E107">IF(H106&lt;&gt;"",E106,IF(E106="","",IFERROR(MATCH(TRUE(),INDEX(INDEX(K:K,E106+1):K203&lt;&gt;"",0),0)+E106,"")))</f>
        <v>203</v>
      </c>
      <c r="F107" s="165" t="str" cm="1">
        <f t="array" ref="F107">IF(E107="","",IF(H106&lt;&gt;"",H106,INDEX(D:D,E107)))</f>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107" s="165" t="str">
        <f t="shared" si="14"/>
        <v xml:space="preserve">lequel vous collerez ensuite le texte. ◄ 3️⃣ saisissez un nombre de caractères </v>
      </c>
      <c r="H107" s="174" t="str">
        <f t="shared" si="15"/>
        <v>par lignes ◄ 4️⃣ Si vous ne voulez pas de ponctuation saisissez un X dans la cellule - Ensuite, dans la colonne B copiez le texte nettoyé - puis dans votre document faites Collage spécial &gt; 1.2.3 Valeurs pour ne coller que le texte, sans formules.</v>
      </c>
      <c r="I107" s="184" t="str">
        <f>IF(AND(F107&lt;&gt;"",N10&gt;0,M107&gt;N10),"Mot &gt; limite","")</f>
        <v/>
      </c>
      <c r="J107" s="175" t="str">
        <f>IF(K107="","",COUNTIF(K18:K107,"&lt;&gt;"))</f>
        <v/>
      </c>
      <c r="K107" s="111"/>
      <c r="L107" s="175" t="str">
        <f t="shared" si="16"/>
        <v/>
      </c>
      <c r="M107" s="135">
        <f>IF(OR(F107="",N10="",N10&lt;=0),"",IF(LEN(F107)&lt;=N10,LEN(F107),IFERROR(FIND("♦",SUBSTITUTE(LEFT(F107,N10)," ","♦",LEN(LEFT(F107,N10))-LEN(SUBSTITUTE(LEFT(F107,N10)," ","")))),FIND(" ",F107&amp;" ",N10+1)-1)))</f>
        <v>79</v>
      </c>
      <c r="N107" s="176">
        <f t="shared" si="17"/>
        <v>90</v>
      </c>
      <c r="O107" s="177" t="str">
        <f t="shared" si="18"/>
        <v xml:space="preserve">lequel vous collerez ensuite le texte. ◄ 3️⃣ saisissez un nombre de caractères </v>
      </c>
      <c r="P107" s="176">
        <f t="shared" si="19"/>
        <v>13</v>
      </c>
      <c r="Q107" s="176">
        <f t="shared" si="20"/>
        <v>79</v>
      </c>
      <c r="S107" s="140"/>
      <c r="T107" s="208" t="s">
        <v>886</v>
      </c>
      <c r="U107" s="209" t="s">
        <v>887</v>
      </c>
      <c r="V107" s="192"/>
      <c r="W107" s="140"/>
      <c r="X107" s="140"/>
      <c r="Y107" s="140"/>
      <c r="Z107" s="140"/>
      <c r="AA107" s="140"/>
      <c r="AB107" s="140"/>
      <c r="AC107" s="140"/>
      <c r="AD107" s="140"/>
      <c r="AE107" s="140"/>
      <c r="AF107" s="140"/>
      <c r="AG107" s="140"/>
      <c r="AH107" s="140"/>
      <c r="AI107" s="140"/>
      <c r="AJ107" s="140"/>
      <c r="AK107" s="140"/>
      <c r="DE107" s="152"/>
      <c r="DF107" s="160" t="s">
        <v>888</v>
      </c>
      <c r="DG107" s="160" t="s">
        <v>584</v>
      </c>
      <c r="DH107" s="160" t="s">
        <v>125</v>
      </c>
      <c r="DI107" s="160" t="s">
        <v>194</v>
      </c>
      <c r="DJ107" s="160" t="s">
        <v>194</v>
      </c>
      <c r="DK107" s="160" t="s">
        <v>588</v>
      </c>
      <c r="DL107" s="160" t="s">
        <v>589</v>
      </c>
      <c r="DM107" s="160" t="s">
        <v>590</v>
      </c>
      <c r="DN107" s="161" t="s">
        <v>591</v>
      </c>
      <c r="DP107" s="130">
        <v>1</v>
      </c>
    </row>
    <row r="108" spans="2:120" ht="30" customHeight="1">
      <c r="B108" s="165" t="str">
        <f t="shared" si="12"/>
        <v/>
      </c>
      <c r="C108" s="165" t="str">
        <f t="shared" si="13"/>
        <v/>
      </c>
      <c r="D108" s="165" t="str">
        <f>IF(UPPER(TRIM(N11))="X",C108,B108)</f>
        <v/>
      </c>
      <c r="E108" s="165" cm="1">
        <f t="array" ref="E108">IF(H107&lt;&gt;"",E107,IF(E107="","",IFERROR(MATCH(TRUE(),INDEX(INDEX(K:K,E107+1):K203&lt;&gt;"",0),0)+E107,"")))</f>
        <v>203</v>
      </c>
      <c r="F108" s="165" t="str" cm="1">
        <f t="array" ref="F108">IF(E108="","",IF(H107&lt;&gt;"",H107,INDEX(D:D,E108)))</f>
        <v>par lignes ◄ 4️⃣ Si vous ne voulez pas de ponctuation saisissez un X dans la cellule - Ensuite, dans la colonne B copiez le texte nettoyé - puis dans votre document faites Collage spécial &gt; 1.2.3 Valeurs pour ne coller que le texte, sans formules.</v>
      </c>
      <c r="G108" s="165" t="str">
        <f t="shared" si="14"/>
        <v xml:space="preserve">par lignes ◄ 4️⃣ Si vous ne voulez pas de ponctuation saisissez un X dans la </v>
      </c>
      <c r="H108" s="174" t="str">
        <f t="shared" si="15"/>
        <v>cellule - Ensuite, dans la colonne B copiez le texte nettoyé - puis dans votre document faites Collage spécial &gt; 1.2.3 Valeurs pour ne coller que le texte, sans formules.</v>
      </c>
      <c r="I108" s="184" t="str">
        <f>IF(AND(F108&lt;&gt;"",N10&gt;0,M108&gt;N10),"Mot &gt; limite","")</f>
        <v/>
      </c>
      <c r="J108" s="175" t="str">
        <f>IF(K108="","",COUNTIF(K18:K108,"&lt;&gt;"))</f>
        <v/>
      </c>
      <c r="K108" s="111"/>
      <c r="L108" s="175" t="str">
        <f t="shared" si="16"/>
        <v/>
      </c>
      <c r="M108" s="135">
        <f>IF(OR(F108="",N10="",N10&lt;=0),"",IF(LEN(F108)&lt;=N10,LEN(F108),IFERROR(FIND("♦",SUBSTITUTE(LEFT(F108,N10)," ","♦",LEN(LEFT(F108,N10))-LEN(SUBSTITUTE(LEFT(F108,N10)," ","")))),FIND(" ",F108&amp;" ",N10+1)-1)))</f>
        <v>77</v>
      </c>
      <c r="N108" s="176">
        <f t="shared" si="17"/>
        <v>91</v>
      </c>
      <c r="O108" s="177" t="str">
        <f t="shared" si="18"/>
        <v xml:space="preserve">par lignes ◄ 4️⃣ Si vous ne voulez pas de ponctuation saisissez un X dans la </v>
      </c>
      <c r="P108" s="176">
        <f t="shared" si="19"/>
        <v>16</v>
      </c>
      <c r="Q108" s="176">
        <f t="shared" si="20"/>
        <v>77</v>
      </c>
      <c r="S108" s="140"/>
      <c r="T108" s="208" t="s">
        <v>889</v>
      </c>
      <c r="U108" s="209" t="s">
        <v>890</v>
      </c>
      <c r="V108" s="192"/>
      <c r="W108" s="140"/>
      <c r="X108" s="140"/>
      <c r="Y108" s="140"/>
      <c r="Z108" s="140"/>
      <c r="AA108" s="140"/>
      <c r="AB108" s="140"/>
      <c r="AC108" s="140"/>
      <c r="AD108" s="140"/>
      <c r="AE108" s="140"/>
      <c r="AF108" s="140"/>
      <c r="AG108" s="140"/>
      <c r="AH108" s="140"/>
      <c r="AI108" s="140"/>
      <c r="AJ108" s="140"/>
      <c r="AK108" s="140"/>
      <c r="DE108" s="152"/>
      <c r="DF108" s="160" t="s">
        <v>891</v>
      </c>
      <c r="DG108" s="160" t="s">
        <v>584</v>
      </c>
      <c r="DH108" s="160" t="s">
        <v>125</v>
      </c>
      <c r="DI108" s="160" t="s">
        <v>892</v>
      </c>
      <c r="DJ108" s="160" t="s">
        <v>892</v>
      </c>
      <c r="DK108" s="160" t="s">
        <v>666</v>
      </c>
      <c r="DL108" s="160" t="s">
        <v>667</v>
      </c>
      <c r="DM108" s="160" t="s">
        <v>590</v>
      </c>
      <c r="DN108" s="161" t="s">
        <v>668</v>
      </c>
      <c r="DP108" s="130">
        <v>1</v>
      </c>
    </row>
    <row r="109" spans="2:120" ht="30" customHeight="1">
      <c r="B109" s="165" t="str">
        <f t="shared" si="12"/>
        <v/>
      </c>
      <c r="C109" s="165" t="str">
        <f t="shared" si="13"/>
        <v/>
      </c>
      <c r="D109" s="165" t="str">
        <f>IF(UPPER(TRIM(N11))="X",C109,B109)</f>
        <v/>
      </c>
      <c r="E109" s="165" cm="1">
        <f t="array" ref="E109">IF(H108&lt;&gt;"",E108,IF(E108="","",IFERROR(MATCH(TRUE(),INDEX(INDEX(K:K,E108+1):K203&lt;&gt;"",0),0)+E108,"")))</f>
        <v>203</v>
      </c>
      <c r="F109" s="165" t="str" cm="1">
        <f t="array" ref="F109">IF(E109="","",IF(H108&lt;&gt;"",H108,INDEX(D:D,E109)))</f>
        <v>cellule - Ensuite, dans la colonne B copiez le texte nettoyé - puis dans votre document faites Collage spécial &gt; 1.2.3 Valeurs pour ne coller que le texte, sans formules.</v>
      </c>
      <c r="G109" s="165" t="str">
        <f t="shared" si="14"/>
        <v xml:space="preserve">cellule - Ensuite, dans la colonne B copiez le texte nettoyé - puis dans votre </v>
      </c>
      <c r="H109" s="174" t="str">
        <f t="shared" si="15"/>
        <v>document faites Collage spécial &gt; 1.2.3 Valeurs pour ne coller que le texte, sans formules.</v>
      </c>
      <c r="I109" s="184" t="str">
        <f>IF(AND(F109&lt;&gt;"",N10&gt;0,M109&gt;N10),"Mot &gt; limite","")</f>
        <v/>
      </c>
      <c r="J109" s="175" t="str">
        <f>IF(K109="","",COUNTIF(K18:K109,"&lt;&gt;"))</f>
        <v/>
      </c>
      <c r="K109" s="111"/>
      <c r="L109" s="175" t="str">
        <f t="shared" si="16"/>
        <v/>
      </c>
      <c r="M109" s="135">
        <f>IF(OR(F109="",N10="",N10&lt;=0),"",IF(LEN(F109)&lt;=N10,LEN(F109),IFERROR(FIND("♦",SUBSTITUTE(LEFT(F109,N10)," ","♦",LEN(LEFT(F109,N10))-LEN(SUBSTITUTE(LEFT(F109,N10)," ","")))),FIND(" ",F109&amp;" ",N10+1)-1)))</f>
        <v>79</v>
      </c>
      <c r="N109" s="176">
        <f t="shared" si="17"/>
        <v>92</v>
      </c>
      <c r="O109" s="177" t="str">
        <f t="shared" si="18"/>
        <v xml:space="preserve">cellule - Ensuite, dans la colonne B copiez le texte nettoyé - puis dans votre </v>
      </c>
      <c r="P109" s="176">
        <f t="shared" si="19"/>
        <v>15</v>
      </c>
      <c r="Q109" s="176">
        <f t="shared" si="20"/>
        <v>79</v>
      </c>
      <c r="S109" s="140"/>
      <c r="T109" s="208" t="s">
        <v>893</v>
      </c>
      <c r="U109" s="209" t="s">
        <v>894</v>
      </c>
      <c r="V109" s="192"/>
      <c r="W109" s="140"/>
      <c r="X109" s="140"/>
      <c r="Y109" s="140"/>
      <c r="Z109" s="140"/>
      <c r="AA109" s="140"/>
      <c r="AB109" s="140"/>
      <c r="AC109" s="140"/>
      <c r="AD109" s="140"/>
      <c r="AE109" s="140"/>
      <c r="AF109" s="140"/>
      <c r="AG109" s="140"/>
      <c r="AH109" s="140"/>
      <c r="AI109" s="140"/>
      <c r="AJ109" s="140"/>
      <c r="AK109" s="140"/>
      <c r="DE109" s="152"/>
      <c r="DF109" s="160" t="s">
        <v>895</v>
      </c>
      <c r="DG109" s="160" t="s">
        <v>584</v>
      </c>
      <c r="DH109" s="160" t="s">
        <v>125</v>
      </c>
      <c r="DI109" s="160" t="s">
        <v>896</v>
      </c>
      <c r="DJ109" s="160" t="s">
        <v>468</v>
      </c>
      <c r="DK109" s="160" t="s">
        <v>588</v>
      </c>
      <c r="DL109" s="160" t="s">
        <v>589</v>
      </c>
      <c r="DM109" s="160" t="s">
        <v>590</v>
      </c>
      <c r="DN109" s="161" t="s">
        <v>591</v>
      </c>
      <c r="DP109" s="130">
        <v>1</v>
      </c>
    </row>
    <row r="110" spans="2:120" ht="30" customHeight="1">
      <c r="B110" s="165" t="str">
        <f t="shared" si="12"/>
        <v/>
      </c>
      <c r="C110" s="165" t="str">
        <f t="shared" si="13"/>
        <v/>
      </c>
      <c r="D110" s="165" t="str">
        <f>IF(UPPER(TRIM(N11))="X",C110,B110)</f>
        <v/>
      </c>
      <c r="E110" s="165" cm="1">
        <f t="array" ref="E110">IF(H109&lt;&gt;"",E109,IF(E109="","",IFERROR(MATCH(TRUE(),INDEX(INDEX(K:K,E109+1):K203&lt;&gt;"",0),0)+E109,"")))</f>
        <v>203</v>
      </c>
      <c r="F110" s="165" t="str" cm="1">
        <f t="array" ref="F110">IF(E110="","",IF(H109&lt;&gt;"",H109,INDEX(D:D,E110)))</f>
        <v>document faites Collage spécial &gt; 1.2.3 Valeurs pour ne coller que le texte, sans formules.</v>
      </c>
      <c r="G110" s="165" t="str">
        <f t="shared" si="14"/>
        <v xml:space="preserve">document faites Collage spécial &gt; 1.2.3 Valeurs pour ne coller que le texte, </v>
      </c>
      <c r="H110" s="174" t="str">
        <f t="shared" si="15"/>
        <v>sans formules.</v>
      </c>
      <c r="I110" s="184" t="str">
        <f>IF(AND(F110&lt;&gt;"",N10&gt;0,M110&gt;N10),"Mot &gt; limite","")</f>
        <v/>
      </c>
      <c r="J110" s="175" t="str">
        <f>IF(K110="","",COUNTIF(K18:K110,"&lt;&gt;"))</f>
        <v/>
      </c>
      <c r="K110" s="111"/>
      <c r="L110" s="175" t="str">
        <f t="shared" si="16"/>
        <v/>
      </c>
      <c r="M110" s="135">
        <f>IF(OR(F110="",N10="",N10&lt;=0),"",IF(LEN(F110)&lt;=N10,LEN(F110),IFERROR(FIND("♦",SUBSTITUTE(LEFT(F110,N10)," ","♦",LEN(LEFT(F110,N10))-LEN(SUBSTITUTE(LEFT(F110,N10)," ","")))),FIND(" ",F110&amp;" ",N10+1)-1)))</f>
        <v>77</v>
      </c>
      <c r="N110" s="176">
        <f t="shared" si="17"/>
        <v>93</v>
      </c>
      <c r="O110" s="177" t="str">
        <f t="shared" si="18"/>
        <v xml:space="preserve">document faites Collage spécial &gt; 1.2.3 Valeurs pour ne coller que le texte, </v>
      </c>
      <c r="P110" s="176">
        <f t="shared" si="19"/>
        <v>13</v>
      </c>
      <c r="Q110" s="176">
        <f t="shared" si="20"/>
        <v>77</v>
      </c>
      <c r="S110" s="140"/>
      <c r="T110" s="208" t="s">
        <v>897</v>
      </c>
      <c r="U110" s="209" t="s">
        <v>898</v>
      </c>
      <c r="V110" s="192"/>
      <c r="W110" s="140"/>
      <c r="X110" s="140"/>
      <c r="Y110" s="140"/>
      <c r="Z110" s="140"/>
      <c r="AA110" s="140"/>
      <c r="AB110" s="140"/>
      <c r="AC110" s="140"/>
      <c r="AD110" s="140"/>
      <c r="AE110" s="140"/>
      <c r="AF110" s="140"/>
      <c r="AG110" s="140"/>
      <c r="AH110" s="140"/>
      <c r="AI110" s="140"/>
      <c r="AJ110" s="140"/>
      <c r="AK110" s="140"/>
      <c r="DE110" s="152"/>
      <c r="DF110" s="160" t="s">
        <v>899</v>
      </c>
      <c r="DG110" s="160" t="s">
        <v>584</v>
      </c>
      <c r="DH110" s="160" t="s">
        <v>125</v>
      </c>
      <c r="DI110" s="160" t="s">
        <v>900</v>
      </c>
      <c r="DJ110" s="160" t="s">
        <v>901</v>
      </c>
      <c r="DK110" s="160" t="s">
        <v>588</v>
      </c>
      <c r="DL110" s="160" t="s">
        <v>589</v>
      </c>
      <c r="DM110" s="160" t="s">
        <v>590</v>
      </c>
      <c r="DN110" s="161" t="s">
        <v>591</v>
      </c>
      <c r="DP110" s="130">
        <v>1</v>
      </c>
    </row>
    <row r="111" spans="2:120" ht="30" customHeight="1">
      <c r="B111" s="165" t="str">
        <f t="shared" si="12"/>
        <v/>
      </c>
      <c r="C111" s="165" t="str">
        <f t="shared" si="13"/>
        <v/>
      </c>
      <c r="D111" s="165" t="str">
        <f>IF(UPPER(TRIM(N11))="X",C111,B111)</f>
        <v/>
      </c>
      <c r="E111" s="165" cm="1">
        <f t="array" ref="E111">IF(H110&lt;&gt;"",E110,IF(E110="","",IFERROR(MATCH(TRUE(),INDEX(INDEX(K:K,E110+1):K203&lt;&gt;"",0),0)+E110,"")))</f>
        <v>203</v>
      </c>
      <c r="F111" s="165" t="str" cm="1">
        <f t="array" ref="F111">IF(E111="","",IF(H110&lt;&gt;"",H110,INDEX(D:D,E111)))</f>
        <v>sans formules.</v>
      </c>
      <c r="G111" s="165" t="str">
        <f t="shared" si="14"/>
        <v>sans formules.</v>
      </c>
      <c r="H111" s="174" t="str">
        <f t="shared" si="15"/>
        <v/>
      </c>
      <c r="I111" s="184" t="str">
        <f>IF(AND(F111&lt;&gt;"",N10&gt;0,M111&gt;N10),"Mot &gt; limite","")</f>
        <v/>
      </c>
      <c r="J111" s="175" t="str">
        <f>IF(K111="","",COUNTIF(K18:K111,"&lt;&gt;"))</f>
        <v/>
      </c>
      <c r="K111" s="111"/>
      <c r="L111" s="175" t="str">
        <f t="shared" si="16"/>
        <v/>
      </c>
      <c r="M111" s="135">
        <f>IF(OR(F111="",N10="",N10&lt;=0),"",IF(LEN(F111)&lt;=N10,LEN(F111),IFERROR(FIND("♦",SUBSTITUTE(LEFT(F111,N10)," ","♦",LEN(LEFT(F111,N10))-LEN(SUBSTITUTE(LEFT(F111,N10)," ","")))),FIND(" ",F111&amp;" ",N10+1)-1)))</f>
        <v>14</v>
      </c>
      <c r="N111" s="176">
        <f t="shared" si="17"/>
        <v>94</v>
      </c>
      <c r="O111" s="177" t="str">
        <f t="shared" si="18"/>
        <v>sans formules.</v>
      </c>
      <c r="P111" s="176">
        <f t="shared" si="19"/>
        <v>2</v>
      </c>
      <c r="Q111" s="176">
        <f t="shared" si="20"/>
        <v>14</v>
      </c>
      <c r="S111" s="140"/>
      <c r="T111" s="208" t="s">
        <v>902</v>
      </c>
      <c r="U111" s="209" t="s">
        <v>903</v>
      </c>
      <c r="V111" s="192"/>
      <c r="W111" s="140"/>
      <c r="X111" s="140"/>
      <c r="Y111" s="140"/>
      <c r="Z111" s="140"/>
      <c r="AA111" s="140"/>
      <c r="AB111" s="140"/>
      <c r="AC111" s="140"/>
      <c r="AD111" s="140"/>
      <c r="AE111" s="140"/>
      <c r="AF111" s="140"/>
      <c r="AG111" s="140"/>
      <c r="AH111" s="140"/>
      <c r="AI111" s="140"/>
      <c r="AJ111" s="140"/>
      <c r="AK111" s="140"/>
      <c r="DE111" s="152"/>
      <c r="DF111" s="160" t="s">
        <v>904</v>
      </c>
      <c r="DG111" s="160" t="s">
        <v>584</v>
      </c>
      <c r="DH111" s="160" t="s">
        <v>125</v>
      </c>
      <c r="DI111" s="160" t="s">
        <v>905</v>
      </c>
      <c r="DJ111" s="160" t="s">
        <v>906</v>
      </c>
      <c r="DK111" s="160" t="s">
        <v>588</v>
      </c>
      <c r="DL111" s="160" t="s">
        <v>589</v>
      </c>
      <c r="DM111" s="160" t="s">
        <v>590</v>
      </c>
      <c r="DN111" s="161" t="s">
        <v>591</v>
      </c>
      <c r="DP111" s="130">
        <v>1</v>
      </c>
    </row>
    <row r="112" spans="2:120" ht="30" customHeight="1">
      <c r="B112" s="165" t="str">
        <f t="shared" si="12"/>
        <v/>
      </c>
      <c r="C112" s="165" t="str">
        <f t="shared" si="13"/>
        <v/>
      </c>
      <c r="D112" s="165" t="str">
        <f>IF(UPPER(TRIM(N11))="X",C112,B112)</f>
        <v/>
      </c>
      <c r="E112" s="165" cm="1">
        <f t="array" ref="E112">IF(H111&lt;&gt;"",E111,IF(E111="","",IFERROR(MATCH(TRUE(),INDEX(INDEX(K:K,E111+1):K203&lt;&gt;"",0),0)+E111,"")))</f>
        <v>204</v>
      </c>
      <c r="F112" s="165" cm="1">
        <f t="array" ref="F112">IF(E112="","",IF(H111&lt;&gt;"",H111,INDEX(D:D,E112)))</f>
        <v>0</v>
      </c>
      <c r="G112" s="165" t="str">
        <f t="shared" si="14"/>
        <v>0</v>
      </c>
      <c r="H112" s="174" t="str">
        <f t="shared" si="15"/>
        <v/>
      </c>
      <c r="I112" s="184" t="str">
        <f>IF(AND(F112&lt;&gt;"",N10&gt;0,M112&gt;N10),"Mot &gt; limite","")</f>
        <v/>
      </c>
      <c r="J112" s="175" t="str">
        <f>IF(K112="","",COUNTIF(K18:K112,"&lt;&gt;"))</f>
        <v/>
      </c>
      <c r="K112" s="111"/>
      <c r="L112" s="175" t="str">
        <f t="shared" si="16"/>
        <v/>
      </c>
      <c r="M112" s="135">
        <f>IF(OR(F112="",N10="",N10&lt;=0),"",IF(LEN(F112)&lt;=N10,LEN(F112),IFERROR(FIND("♦",SUBSTITUTE(LEFT(F112,N10)," ","♦",LEN(LEFT(F112,N10))-LEN(SUBSTITUTE(LEFT(F112,N10)," ","")))),FIND(" ",F112&amp;" ",N10+1)-1)))</f>
        <v>1</v>
      </c>
      <c r="N112" s="176">
        <f t="shared" si="17"/>
        <v>95</v>
      </c>
      <c r="O112" s="177" t="str">
        <f t="shared" si="18"/>
        <v>0</v>
      </c>
      <c r="P112" s="176">
        <f t="shared" si="19"/>
        <v>1</v>
      </c>
      <c r="Q112" s="176">
        <f t="shared" si="20"/>
        <v>1</v>
      </c>
      <c r="S112" s="140"/>
      <c r="T112" s="208" t="s">
        <v>907</v>
      </c>
      <c r="U112" s="209" t="s">
        <v>908</v>
      </c>
      <c r="V112" s="192"/>
      <c r="W112" s="140"/>
      <c r="X112" s="140"/>
      <c r="Y112" s="140"/>
      <c r="Z112" s="140"/>
      <c r="AA112" s="140"/>
      <c r="AB112" s="140"/>
      <c r="AC112" s="140"/>
      <c r="AD112" s="140"/>
      <c r="AE112" s="140"/>
      <c r="AF112" s="140"/>
      <c r="AG112" s="140"/>
      <c r="AH112" s="140"/>
      <c r="AI112" s="140"/>
      <c r="AJ112" s="140"/>
      <c r="AK112" s="140"/>
      <c r="DE112" s="152"/>
      <c r="DF112" s="160" t="s">
        <v>909</v>
      </c>
      <c r="DG112" s="160" t="s">
        <v>584</v>
      </c>
      <c r="DH112" s="160" t="s">
        <v>125</v>
      </c>
      <c r="DI112" s="160" t="s">
        <v>910</v>
      </c>
      <c r="DJ112" s="160" t="s">
        <v>469</v>
      </c>
      <c r="DK112" s="160" t="s">
        <v>588</v>
      </c>
      <c r="DL112" s="160" t="s">
        <v>589</v>
      </c>
      <c r="DM112" s="160" t="s">
        <v>590</v>
      </c>
      <c r="DN112" s="161" t="s">
        <v>591</v>
      </c>
      <c r="DP112" s="130">
        <v>1</v>
      </c>
    </row>
    <row r="113" spans="2:120" ht="30" customHeight="1">
      <c r="B113" s="165" t="str">
        <f t="shared" si="12"/>
        <v/>
      </c>
      <c r="C113" s="165" t="str">
        <f t="shared" si="13"/>
        <v/>
      </c>
      <c r="D113" s="165" t="str">
        <f>IF(UPPER(TRIM(N11))="X",C113,B113)</f>
        <v/>
      </c>
      <c r="E113" s="165" cm="1">
        <f t="array" ref="E113">IF(H112&lt;&gt;"",E112,IF(E112="","",IFERROR(MATCH(TRUE(),INDEX(INDEX(K:K,E112+1):K203&lt;&gt;"",0),0)+E112,"")))</f>
        <v>205</v>
      </c>
      <c r="F113" s="165" cm="1">
        <f t="array" ref="F113">IF(E113="","",IF(H112&lt;&gt;"",H112,INDEX(D:D,E113)))</f>
        <v>0</v>
      </c>
      <c r="G113" s="165" t="str">
        <f t="shared" si="14"/>
        <v>0</v>
      </c>
      <c r="H113" s="174" t="str">
        <f t="shared" si="15"/>
        <v/>
      </c>
      <c r="I113" s="184" t="str">
        <f>IF(AND(F113&lt;&gt;"",N10&gt;0,M113&gt;N10),"Mot &gt; limite","")</f>
        <v/>
      </c>
      <c r="J113" s="175" t="str">
        <f>IF(K113="","",COUNTIF(K18:K113,"&lt;&gt;"))</f>
        <v/>
      </c>
      <c r="K113" s="111"/>
      <c r="L113" s="175" t="str">
        <f t="shared" si="16"/>
        <v/>
      </c>
      <c r="M113" s="135">
        <f>IF(OR(F113="",N10="",N10&lt;=0),"",IF(LEN(F113)&lt;=N10,LEN(F113),IFERROR(FIND("♦",SUBSTITUTE(LEFT(F113,N10)," ","♦",LEN(LEFT(F113,N10))-LEN(SUBSTITUTE(LEFT(F113,N10)," ","")))),FIND(" ",F113&amp;" ",N10+1)-1)))</f>
        <v>1</v>
      </c>
      <c r="N113" s="176">
        <f t="shared" si="17"/>
        <v>96</v>
      </c>
      <c r="O113" s="177" t="str">
        <f t="shared" si="18"/>
        <v>0</v>
      </c>
      <c r="P113" s="176">
        <f t="shared" si="19"/>
        <v>1</v>
      </c>
      <c r="Q113" s="176">
        <f t="shared" si="20"/>
        <v>1</v>
      </c>
      <c r="S113" s="140"/>
      <c r="T113" s="210"/>
      <c r="U113" s="211"/>
      <c r="V113" s="192"/>
      <c r="W113" s="140"/>
      <c r="X113" s="140"/>
      <c r="Y113" s="140"/>
      <c r="Z113" s="140"/>
      <c r="AA113" s="140"/>
      <c r="AB113" s="140"/>
      <c r="AC113" s="140"/>
      <c r="AD113" s="140"/>
      <c r="AE113" s="140"/>
      <c r="AF113" s="140"/>
      <c r="AG113" s="140"/>
      <c r="AH113" s="140"/>
      <c r="AI113" s="140"/>
      <c r="AJ113" s="140"/>
      <c r="AK113" s="140"/>
      <c r="DE113" s="152"/>
      <c r="DF113" s="160" t="s">
        <v>911</v>
      </c>
      <c r="DG113" s="160" t="s">
        <v>584</v>
      </c>
      <c r="DH113" s="160" t="s">
        <v>125</v>
      </c>
      <c r="DI113" s="160" t="s">
        <v>912</v>
      </c>
      <c r="DJ113" s="160" t="s">
        <v>470</v>
      </c>
      <c r="DK113" s="160" t="s">
        <v>588</v>
      </c>
      <c r="DL113" s="160" t="s">
        <v>589</v>
      </c>
      <c r="DM113" s="160" t="s">
        <v>590</v>
      </c>
      <c r="DN113" s="161" t="s">
        <v>591</v>
      </c>
      <c r="DP113" s="130">
        <v>1</v>
      </c>
    </row>
    <row r="114" spans="2:120" ht="30" customHeight="1">
      <c r="B114" s="165" t="str">
        <f t="shared" si="12"/>
        <v/>
      </c>
      <c r="C114" s="165" t="str">
        <f t="shared" si="13"/>
        <v/>
      </c>
      <c r="D114" s="165" t="str">
        <f>IF(UPPER(TRIM(N11))="X",C114,B114)</f>
        <v/>
      </c>
      <c r="E114" s="165" cm="1">
        <f t="array" ref="E114">IF(H113&lt;&gt;"",E113,IF(E113="","",IFERROR(MATCH(TRUE(),INDEX(INDEX(K:K,E113+1):K203&lt;&gt;"",0),0)+E113,"")))</f>
        <v>206</v>
      </c>
      <c r="F114" s="165" cm="1">
        <f t="array" ref="F114">IF(E114="","",IF(H113&lt;&gt;"",H113,INDEX(D:D,E114)))</f>
        <v>0</v>
      </c>
      <c r="G114" s="165" t="str">
        <f t="shared" si="14"/>
        <v>0</v>
      </c>
      <c r="H114" s="174" t="str">
        <f t="shared" si="15"/>
        <v/>
      </c>
      <c r="I114" s="184" t="str">
        <f>IF(AND(F114&lt;&gt;"",N10&gt;0,M114&gt;N10),"Mot &gt; limite","")</f>
        <v/>
      </c>
      <c r="J114" s="175" t="str">
        <f>IF(K114="","",COUNTIF(K18:K114,"&lt;&gt;"))</f>
        <v/>
      </c>
      <c r="K114" s="111"/>
      <c r="L114" s="175" t="str">
        <f t="shared" si="16"/>
        <v/>
      </c>
      <c r="M114" s="135">
        <f>IF(OR(F114="",N10="",N10&lt;=0),"",IF(LEN(F114)&lt;=N10,LEN(F114),IFERROR(FIND("♦",SUBSTITUTE(LEFT(F114,N10)," ","♦",LEN(LEFT(F114,N10))-LEN(SUBSTITUTE(LEFT(F114,N10)," ","")))),FIND(" ",F114&amp;" ",N10+1)-1)))</f>
        <v>1</v>
      </c>
      <c r="N114" s="176">
        <f t="shared" si="17"/>
        <v>97</v>
      </c>
      <c r="O114" s="177" t="str">
        <f t="shared" si="18"/>
        <v>0</v>
      </c>
      <c r="P114" s="176">
        <f t="shared" si="19"/>
        <v>1</v>
      </c>
      <c r="Q114" s="176">
        <f t="shared" si="20"/>
        <v>1</v>
      </c>
      <c r="S114" s="140"/>
      <c r="T114" s="212" t="s">
        <v>913</v>
      </c>
      <c r="U114" s="207"/>
      <c r="V114" s="192"/>
      <c r="W114" s="140"/>
      <c r="X114" s="140"/>
      <c r="Y114" s="140"/>
      <c r="Z114" s="140"/>
      <c r="AA114" s="140"/>
      <c r="AB114" s="140"/>
      <c r="AC114" s="140"/>
      <c r="AD114" s="140"/>
      <c r="AE114" s="140"/>
      <c r="AF114" s="140"/>
      <c r="AG114" s="140"/>
      <c r="AH114" s="140"/>
      <c r="AI114" s="140"/>
      <c r="AJ114" s="140"/>
      <c r="AK114" s="140"/>
      <c r="DE114" s="152"/>
      <c r="DF114" s="160" t="s">
        <v>914</v>
      </c>
      <c r="DG114" s="160" t="s">
        <v>584</v>
      </c>
      <c r="DH114" s="160" t="s">
        <v>125</v>
      </c>
      <c r="DI114" s="160" t="s">
        <v>915</v>
      </c>
      <c r="DJ114" s="160" t="s">
        <v>916</v>
      </c>
      <c r="DK114" s="160" t="s">
        <v>588</v>
      </c>
      <c r="DL114" s="160" t="s">
        <v>589</v>
      </c>
      <c r="DM114" s="160" t="s">
        <v>590</v>
      </c>
      <c r="DN114" s="161" t="s">
        <v>591</v>
      </c>
      <c r="DP114" s="130">
        <v>1</v>
      </c>
    </row>
    <row r="115" spans="2:120" ht="30" customHeight="1">
      <c r="B115" s="165" t="str">
        <f t="shared" si="12"/>
        <v/>
      </c>
      <c r="C115" s="165" t="str">
        <f t="shared" si="13"/>
        <v/>
      </c>
      <c r="D115" s="165" t="str">
        <f>IF(UPPER(TRIM(N11))="X",C115,B115)</f>
        <v/>
      </c>
      <c r="E115" s="165" cm="1">
        <f t="array" ref="E115">IF(H114&lt;&gt;"",E114,IF(E114="","",IFERROR(MATCH(TRUE(),INDEX(INDEX(K:K,E114+1):K203&lt;&gt;"",0),0)+E114,"")))</f>
        <v>207</v>
      </c>
      <c r="F115" s="165" cm="1">
        <f t="array" ref="F115">IF(E115="","",IF(H114&lt;&gt;"",H114,INDEX(D:D,E115)))</f>
        <v>0</v>
      </c>
      <c r="G115" s="165" t="str">
        <f t="shared" si="14"/>
        <v>0</v>
      </c>
      <c r="H115" s="174" t="str">
        <f t="shared" si="15"/>
        <v/>
      </c>
      <c r="I115" s="184" t="str">
        <f>IF(AND(F115&lt;&gt;"",N10&gt;0,M115&gt;N10),"Mot &gt; limite","")</f>
        <v/>
      </c>
      <c r="J115" s="175" t="str">
        <f>IF(K115="","",COUNTIF(K18:K115,"&lt;&gt;"))</f>
        <v/>
      </c>
      <c r="K115" s="111"/>
      <c r="L115" s="175" t="str">
        <f t="shared" si="16"/>
        <v/>
      </c>
      <c r="M115" s="135">
        <f>IF(OR(F115="",N10="",N10&lt;=0),"",IF(LEN(F115)&lt;=N10,LEN(F115),IFERROR(FIND("♦",SUBSTITUTE(LEFT(F115,N10)," ","♦",LEN(LEFT(F115,N10))-LEN(SUBSTITUTE(LEFT(F115,N10)," ","")))),FIND(" ",F115&amp;" ",N10+1)-1)))</f>
        <v>1</v>
      </c>
      <c r="N115" s="176">
        <f t="shared" si="17"/>
        <v>98</v>
      </c>
      <c r="O115" s="177" t="str">
        <f t="shared" si="18"/>
        <v>0</v>
      </c>
      <c r="P115" s="176">
        <f t="shared" si="19"/>
        <v>1</v>
      </c>
      <c r="Q115" s="176">
        <f t="shared" si="20"/>
        <v>1</v>
      </c>
      <c r="S115" s="140"/>
      <c r="T115" s="208" t="s">
        <v>917</v>
      </c>
      <c r="U115" s="209" t="s">
        <v>918</v>
      </c>
      <c r="V115" s="192"/>
      <c r="W115" s="140"/>
      <c r="X115" s="140"/>
      <c r="Y115" s="140"/>
      <c r="Z115" s="140"/>
      <c r="AA115" s="140"/>
      <c r="AB115" s="140"/>
      <c r="AC115" s="140"/>
      <c r="AD115" s="140"/>
      <c r="AE115" s="140"/>
      <c r="AF115" s="140"/>
      <c r="AG115" s="140"/>
      <c r="AH115" s="140"/>
      <c r="AI115" s="140"/>
      <c r="AJ115" s="140"/>
      <c r="AK115" s="140"/>
      <c r="DE115" s="152"/>
      <c r="DF115" s="160" t="s">
        <v>919</v>
      </c>
      <c r="DG115" s="160" t="s">
        <v>584</v>
      </c>
      <c r="DH115" s="160" t="s">
        <v>125</v>
      </c>
      <c r="DI115" s="160" t="s">
        <v>920</v>
      </c>
      <c r="DJ115" s="160" t="s">
        <v>921</v>
      </c>
      <c r="DK115" s="160" t="s">
        <v>588</v>
      </c>
      <c r="DL115" s="160" t="s">
        <v>589</v>
      </c>
      <c r="DM115" s="160" t="s">
        <v>590</v>
      </c>
      <c r="DN115" s="161" t="s">
        <v>591</v>
      </c>
      <c r="DP115" s="130">
        <v>1</v>
      </c>
    </row>
    <row r="116" spans="2:120" ht="30" customHeight="1">
      <c r="B116" s="165" t="str">
        <f t="shared" si="12"/>
        <v/>
      </c>
      <c r="C116" s="165" t="str">
        <f t="shared" si="13"/>
        <v/>
      </c>
      <c r="D116" s="165" t="str">
        <f>IF(UPPER(TRIM(N11))="X",C116,B116)</f>
        <v/>
      </c>
      <c r="E116" s="165" cm="1">
        <f t="array" ref="E116">IF(H115&lt;&gt;"",E115,IF(E115="","",IFERROR(MATCH(TRUE(),INDEX(INDEX(K:K,E115+1):K203&lt;&gt;"",0),0)+E115,"")))</f>
        <v>208</v>
      </c>
      <c r="F116" s="165" cm="1">
        <f t="array" ref="F116">IF(E116="","",IF(H115&lt;&gt;"",H115,INDEX(D:D,E116)))</f>
        <v>0</v>
      </c>
      <c r="G116" s="165" t="str">
        <f t="shared" si="14"/>
        <v>0</v>
      </c>
      <c r="H116" s="174" t="str">
        <f t="shared" si="15"/>
        <v/>
      </c>
      <c r="I116" s="184" t="str">
        <f>IF(AND(F116&lt;&gt;"",N10&gt;0,M116&gt;N10),"Mot &gt; limite","")</f>
        <v/>
      </c>
      <c r="J116" s="175" t="str">
        <f>IF(K116="","",COUNTIF(K18:K116,"&lt;&gt;"))</f>
        <v/>
      </c>
      <c r="K116" s="111"/>
      <c r="L116" s="175" t="str">
        <f t="shared" si="16"/>
        <v/>
      </c>
      <c r="M116" s="135">
        <f>IF(OR(F116="",N10="",N10&lt;=0),"",IF(LEN(F116)&lt;=N10,LEN(F116),IFERROR(FIND("♦",SUBSTITUTE(LEFT(F116,N10)," ","♦",LEN(LEFT(F116,N10))-LEN(SUBSTITUTE(LEFT(F116,N10)," ","")))),FIND(" ",F116&amp;" ",N10+1)-1)))</f>
        <v>1</v>
      </c>
      <c r="N116" s="176">
        <f t="shared" si="17"/>
        <v>99</v>
      </c>
      <c r="O116" s="177" t="str">
        <f t="shared" si="18"/>
        <v>0</v>
      </c>
      <c r="P116" s="176">
        <f t="shared" si="19"/>
        <v>1</v>
      </c>
      <c r="Q116" s="176">
        <f t="shared" si="20"/>
        <v>1</v>
      </c>
      <c r="S116" s="140"/>
      <c r="T116" s="208" t="s">
        <v>922</v>
      </c>
      <c r="U116" s="209" t="s">
        <v>923</v>
      </c>
      <c r="V116" s="192"/>
      <c r="W116" s="140"/>
      <c r="X116" s="140"/>
      <c r="Y116" s="140"/>
      <c r="Z116" s="140"/>
      <c r="AA116" s="140"/>
      <c r="AB116" s="140"/>
      <c r="AC116" s="140"/>
      <c r="AD116" s="140"/>
      <c r="AE116" s="140"/>
      <c r="AF116" s="140"/>
      <c r="AG116" s="140"/>
      <c r="AH116" s="140"/>
      <c r="AI116" s="140"/>
      <c r="AJ116" s="140"/>
      <c r="AK116" s="140"/>
      <c r="DE116" s="152"/>
      <c r="DF116" s="160" t="s">
        <v>924</v>
      </c>
      <c r="DG116" s="160" t="s">
        <v>584</v>
      </c>
      <c r="DH116" s="160" t="s">
        <v>125</v>
      </c>
      <c r="DI116" s="160" t="s">
        <v>925</v>
      </c>
      <c r="DJ116" s="160" t="s">
        <v>471</v>
      </c>
      <c r="DK116" s="160" t="s">
        <v>588</v>
      </c>
      <c r="DL116" s="160" t="s">
        <v>589</v>
      </c>
      <c r="DM116" s="160" t="s">
        <v>590</v>
      </c>
      <c r="DN116" s="161" t="s">
        <v>591</v>
      </c>
      <c r="DP116" s="130">
        <v>1</v>
      </c>
    </row>
    <row r="117" spans="2:120" ht="30" customHeight="1">
      <c r="B117" s="165" t="str">
        <f t="shared" si="12"/>
        <v/>
      </c>
      <c r="C117" s="165" t="str">
        <f t="shared" si="13"/>
        <v/>
      </c>
      <c r="D117" s="165" t="str">
        <f>IF(UPPER(TRIM(N11))="X",C117,B117)</f>
        <v/>
      </c>
      <c r="E117" s="165" cm="1">
        <f t="array" ref="E117">IF(H116&lt;&gt;"",E116,IF(E116="","",IFERROR(MATCH(TRUE(),INDEX(INDEX(K:K,E116+1):K203&lt;&gt;"",0),0)+E116,"")))</f>
        <v>209</v>
      </c>
      <c r="F117" s="165" cm="1">
        <f t="array" ref="F117">IF(E117="","",IF(H116&lt;&gt;"",H116,INDEX(D:D,E117)))</f>
        <v>0</v>
      </c>
      <c r="G117" s="165" t="str">
        <f t="shared" si="14"/>
        <v>0</v>
      </c>
      <c r="H117" s="174" t="str">
        <f t="shared" si="15"/>
        <v/>
      </c>
      <c r="I117" s="184" t="str">
        <f>IF(AND(F117&lt;&gt;"",N10&gt;0,M117&gt;N10),"Mot &gt; limite","")</f>
        <v/>
      </c>
      <c r="J117" s="175" t="str">
        <f>IF(K117="","",COUNTIF(K18:K117,"&lt;&gt;"))</f>
        <v/>
      </c>
      <c r="K117" s="111"/>
      <c r="L117" s="175" t="str">
        <f t="shared" si="16"/>
        <v/>
      </c>
      <c r="M117" s="135">
        <f>IF(OR(F117="",N10="",N10&lt;=0),"",IF(LEN(F117)&lt;=N10,LEN(F117),IFERROR(FIND("♦",SUBSTITUTE(LEFT(F117,N10)," ","♦",LEN(LEFT(F117,N10))-LEN(SUBSTITUTE(LEFT(F117,N10)," ","")))),FIND(" ",F117&amp;" ",N10+1)-1)))</f>
        <v>1</v>
      </c>
      <c r="N117" s="176">
        <f t="shared" si="17"/>
        <v>100</v>
      </c>
      <c r="O117" s="177" t="str">
        <f t="shared" si="18"/>
        <v>0</v>
      </c>
      <c r="P117" s="176">
        <f t="shared" si="19"/>
        <v>1</v>
      </c>
      <c r="Q117" s="176">
        <f t="shared" si="20"/>
        <v>1</v>
      </c>
      <c r="S117" s="213"/>
      <c r="T117" s="208" t="s">
        <v>118</v>
      </c>
      <c r="U117" s="214" t="s">
        <v>926</v>
      </c>
      <c r="V117" s="213"/>
      <c r="W117" s="213"/>
      <c r="X117" s="213"/>
      <c r="Y117" s="213"/>
      <c r="Z117" s="213"/>
      <c r="AA117" s="213"/>
      <c r="AB117" s="213"/>
      <c r="AC117" s="213"/>
      <c r="AD117" s="213"/>
      <c r="AE117" s="213"/>
      <c r="AF117" s="213"/>
      <c r="AG117" s="213"/>
      <c r="AH117" s="213"/>
      <c r="AI117" s="213"/>
      <c r="AJ117" s="213"/>
      <c r="AK117" s="213"/>
      <c r="DE117" s="152"/>
      <c r="DF117" s="160" t="s">
        <v>927</v>
      </c>
      <c r="DG117" s="160" t="s">
        <v>584</v>
      </c>
      <c r="DH117" s="160" t="s">
        <v>125</v>
      </c>
      <c r="DI117" s="160" t="s">
        <v>928</v>
      </c>
      <c r="DJ117" s="160" t="s">
        <v>929</v>
      </c>
      <c r="DK117" s="160" t="s">
        <v>588</v>
      </c>
      <c r="DL117" s="160" t="s">
        <v>589</v>
      </c>
      <c r="DM117" s="160" t="s">
        <v>590</v>
      </c>
      <c r="DN117" s="161" t="s">
        <v>591</v>
      </c>
      <c r="DP117" s="130">
        <v>1</v>
      </c>
    </row>
    <row r="118" spans="2:120" ht="30" customHeight="1">
      <c r="B118" s="165" t="str">
        <f t="shared" si="12"/>
        <v/>
      </c>
      <c r="C118" s="165" t="str">
        <f t="shared" si="13"/>
        <v/>
      </c>
      <c r="D118" s="165" t="str">
        <f>IF(UPPER(TRIM(N11))="X",C118,B118)</f>
        <v/>
      </c>
      <c r="E118" s="165" cm="1">
        <f t="array" ref="E118">IF(H117&lt;&gt;"",E117,IF(E117="","",IFERROR(MATCH(TRUE(),INDEX(INDEX(K:K,E117+1):K203&lt;&gt;"",0),0)+E117,"")))</f>
        <v>210</v>
      </c>
      <c r="F118" s="165" cm="1">
        <f t="array" ref="F118">IF(E118="","",IF(H117&lt;&gt;"",H117,INDEX(D:D,E118)))</f>
        <v>0</v>
      </c>
      <c r="G118" s="165" t="str">
        <f t="shared" si="14"/>
        <v>0</v>
      </c>
      <c r="H118" s="174" t="str">
        <f t="shared" si="15"/>
        <v/>
      </c>
      <c r="I118" s="184" t="str">
        <f>IF(AND(F118&lt;&gt;"",N10&gt;0,M118&gt;N10),"Mot &gt; limite","")</f>
        <v/>
      </c>
      <c r="J118" s="175" t="str">
        <f>IF(K118="","",COUNTIF(K18:K118,"&lt;&gt;"))</f>
        <v/>
      </c>
      <c r="K118" s="111"/>
      <c r="L118" s="175" t="str">
        <f t="shared" si="16"/>
        <v/>
      </c>
      <c r="M118" s="135">
        <f>IF(OR(F118="",N10="",N10&lt;=0),"",IF(LEN(F118)&lt;=N10,LEN(F118),IFERROR(FIND("♦",SUBSTITUTE(LEFT(F118,N10)," ","♦",LEN(LEFT(F118,N10))-LEN(SUBSTITUTE(LEFT(F118,N10)," ","")))),FIND(" ",F118&amp;" ",N10+1)-1)))</f>
        <v>1</v>
      </c>
      <c r="N118" s="176">
        <f t="shared" si="17"/>
        <v>101</v>
      </c>
      <c r="O118" s="177" t="str">
        <f t="shared" si="18"/>
        <v>0</v>
      </c>
      <c r="P118" s="176">
        <f t="shared" si="19"/>
        <v>1</v>
      </c>
      <c r="Q118" s="176">
        <f t="shared" si="20"/>
        <v>1</v>
      </c>
      <c r="S118" s="213"/>
      <c r="T118" s="208" t="s">
        <v>930</v>
      </c>
      <c r="U118" s="214" t="s">
        <v>931</v>
      </c>
      <c r="V118" s="213"/>
      <c r="W118" s="213"/>
      <c r="X118" s="213"/>
      <c r="Y118" s="213"/>
      <c r="Z118" s="213"/>
      <c r="AA118" s="213"/>
      <c r="AB118" s="213"/>
      <c r="AC118" s="213"/>
      <c r="AD118" s="213"/>
      <c r="AE118" s="213"/>
      <c r="AF118" s="213"/>
      <c r="AG118" s="213"/>
      <c r="AH118" s="213"/>
      <c r="AI118" s="213"/>
      <c r="AJ118" s="213"/>
      <c r="AK118" s="213"/>
      <c r="DE118" s="152"/>
      <c r="DF118" s="160" t="s">
        <v>932</v>
      </c>
      <c r="DG118" s="160" t="s">
        <v>584</v>
      </c>
      <c r="DH118" s="160" t="s">
        <v>125</v>
      </c>
      <c r="DI118" s="160" t="s">
        <v>933</v>
      </c>
      <c r="DJ118" s="160" t="s">
        <v>195</v>
      </c>
      <c r="DK118" s="160" t="s">
        <v>588</v>
      </c>
      <c r="DL118" s="160" t="s">
        <v>589</v>
      </c>
      <c r="DM118" s="160" t="s">
        <v>590</v>
      </c>
      <c r="DN118" s="161" t="s">
        <v>591</v>
      </c>
      <c r="DP118" s="130">
        <v>1</v>
      </c>
    </row>
    <row r="119" spans="2:120" ht="30" customHeight="1">
      <c r="B119" s="165" t="str">
        <f t="shared" si="12"/>
        <v/>
      </c>
      <c r="C119" s="165" t="str">
        <f t="shared" si="13"/>
        <v/>
      </c>
      <c r="D119" s="165" t="str">
        <f>IF(UPPER(TRIM(N11))="X",C119,B119)</f>
        <v/>
      </c>
      <c r="E119" s="165" cm="1">
        <f t="array" ref="E119">IF(H118&lt;&gt;"",E118,IF(E118="","",IFERROR(MATCH(TRUE(),INDEX(INDEX(K:K,E118+1):K203&lt;&gt;"",0),0)+E118,"")))</f>
        <v>211</v>
      </c>
      <c r="F119" s="165" cm="1">
        <f t="array" ref="F119">IF(E119="","",IF(H118&lt;&gt;"",H118,INDEX(D:D,E119)))</f>
        <v>0</v>
      </c>
      <c r="G119" s="165" t="str">
        <f t="shared" si="14"/>
        <v>0</v>
      </c>
      <c r="H119" s="174" t="str">
        <f t="shared" si="15"/>
        <v/>
      </c>
      <c r="I119" s="184" t="str">
        <f>IF(AND(F119&lt;&gt;"",N10&gt;0,M119&gt;N10),"Mot &gt; limite","")</f>
        <v/>
      </c>
      <c r="J119" s="175" t="str">
        <f>IF(K119="","",COUNTIF(K18:K119,"&lt;&gt;"))</f>
        <v/>
      </c>
      <c r="K119" s="111"/>
      <c r="L119" s="175" t="str">
        <f t="shared" si="16"/>
        <v/>
      </c>
      <c r="M119" s="135">
        <f>IF(OR(F119="",N10="",N10&lt;=0),"",IF(LEN(F119)&lt;=N10,LEN(F119),IFERROR(FIND("♦",SUBSTITUTE(LEFT(F119,N10)," ","♦",LEN(LEFT(F119,N10))-LEN(SUBSTITUTE(LEFT(F119,N10)," ","")))),FIND(" ",F119&amp;" ",N10+1)-1)))</f>
        <v>1</v>
      </c>
      <c r="N119" s="176">
        <f t="shared" si="17"/>
        <v>102</v>
      </c>
      <c r="O119" s="177" t="str">
        <f t="shared" si="18"/>
        <v>0</v>
      </c>
      <c r="P119" s="176">
        <f t="shared" si="19"/>
        <v>1</v>
      </c>
      <c r="Q119" s="176">
        <f t="shared" si="20"/>
        <v>1</v>
      </c>
      <c r="S119" s="213"/>
      <c r="T119" s="208" t="s">
        <v>934</v>
      </c>
      <c r="U119" s="214" t="s">
        <v>935</v>
      </c>
      <c r="V119" s="213"/>
      <c r="W119" s="213"/>
      <c r="X119" s="213"/>
      <c r="Y119" s="213"/>
      <c r="Z119" s="213"/>
      <c r="AA119" s="213"/>
      <c r="AB119" s="213"/>
      <c r="AC119" s="213"/>
      <c r="AD119" s="213"/>
      <c r="AE119" s="213"/>
      <c r="AF119" s="213"/>
      <c r="AG119" s="213"/>
      <c r="AH119" s="213"/>
      <c r="AI119" s="213"/>
      <c r="AJ119" s="213"/>
      <c r="AK119" s="213"/>
      <c r="DE119" s="152"/>
      <c r="DF119" s="160" t="s">
        <v>936</v>
      </c>
      <c r="DG119" s="160" t="s">
        <v>584</v>
      </c>
      <c r="DH119" s="160" t="s">
        <v>125</v>
      </c>
      <c r="DI119" s="160" t="s">
        <v>937</v>
      </c>
      <c r="DJ119" s="160" t="s">
        <v>937</v>
      </c>
      <c r="DK119" s="160" t="s">
        <v>588</v>
      </c>
      <c r="DL119" s="160" t="s">
        <v>589</v>
      </c>
      <c r="DM119" s="160" t="s">
        <v>590</v>
      </c>
      <c r="DN119" s="161" t="s">
        <v>591</v>
      </c>
      <c r="DP119" s="130">
        <v>1</v>
      </c>
    </row>
    <row r="120" spans="2:120" ht="30" customHeight="1">
      <c r="B120" s="165" t="str">
        <f t="shared" si="12"/>
        <v/>
      </c>
      <c r="C120" s="165" t="str">
        <f t="shared" si="13"/>
        <v/>
      </c>
      <c r="D120" s="165" t="str">
        <f>IF(UPPER(TRIM(N11))="X",C120,B120)</f>
        <v/>
      </c>
      <c r="E120" s="165" cm="1">
        <f t="array" ref="E120">IF(H119&lt;&gt;"",E119,IF(E119="","",IFERROR(MATCH(TRUE(),INDEX(INDEX(K:K,E119+1):K203&lt;&gt;"",0),0)+E119,"")))</f>
        <v>212</v>
      </c>
      <c r="F120" s="165" cm="1">
        <f t="array" ref="F120">IF(E120="","",IF(H119&lt;&gt;"",H119,INDEX(D:D,E120)))</f>
        <v>0</v>
      </c>
      <c r="G120" s="165" t="str">
        <f t="shared" si="14"/>
        <v>0</v>
      </c>
      <c r="H120" s="174" t="str">
        <f t="shared" si="15"/>
        <v/>
      </c>
      <c r="I120" s="184" t="str">
        <f>IF(AND(F120&lt;&gt;"",N10&gt;0,M120&gt;N10),"Mot &gt; limite","")</f>
        <v/>
      </c>
      <c r="J120" s="175" t="str">
        <f>IF(K120="","",COUNTIF(K18:K120,"&lt;&gt;"))</f>
        <v/>
      </c>
      <c r="K120" s="111"/>
      <c r="L120" s="175" t="str">
        <f t="shared" si="16"/>
        <v/>
      </c>
      <c r="M120" s="135">
        <f>IF(OR(F120="",N10="",N10&lt;=0),"",IF(LEN(F120)&lt;=N10,LEN(F120),IFERROR(FIND("♦",SUBSTITUTE(LEFT(F120,N10)," ","♦",LEN(LEFT(F120,N10))-LEN(SUBSTITUTE(LEFT(F120,N10)," ","")))),FIND(" ",F120&amp;" ",N10+1)-1)))</f>
        <v>1</v>
      </c>
      <c r="N120" s="176">
        <f t="shared" si="17"/>
        <v>103</v>
      </c>
      <c r="O120" s="177" t="str">
        <f t="shared" si="18"/>
        <v>0</v>
      </c>
      <c r="P120" s="176">
        <f t="shared" si="19"/>
        <v>1</v>
      </c>
      <c r="Q120" s="176">
        <f t="shared" si="20"/>
        <v>1</v>
      </c>
      <c r="S120" s="213"/>
      <c r="T120" s="208" t="s">
        <v>124</v>
      </c>
      <c r="U120" s="214" t="s">
        <v>938</v>
      </c>
      <c r="V120" s="213"/>
      <c r="W120" s="213"/>
      <c r="X120" s="213"/>
      <c r="Y120" s="213"/>
      <c r="Z120" s="213"/>
      <c r="AA120" s="213"/>
      <c r="AB120" s="213"/>
      <c r="AC120" s="213"/>
      <c r="AD120" s="213"/>
      <c r="AE120" s="213"/>
      <c r="AF120" s="213"/>
      <c r="AG120" s="213"/>
      <c r="AH120" s="213"/>
      <c r="AI120" s="213"/>
      <c r="AJ120" s="213"/>
      <c r="AK120" s="213"/>
      <c r="DE120" s="152"/>
      <c r="DF120" s="160" t="s">
        <v>939</v>
      </c>
      <c r="DG120" s="160" t="s">
        <v>584</v>
      </c>
      <c r="DH120" s="160" t="s">
        <v>125</v>
      </c>
      <c r="DI120" s="160" t="s">
        <v>940</v>
      </c>
      <c r="DJ120" s="160" t="s">
        <v>940</v>
      </c>
      <c r="DK120" s="160" t="s">
        <v>588</v>
      </c>
      <c r="DL120" s="160" t="s">
        <v>589</v>
      </c>
      <c r="DM120" s="160" t="s">
        <v>590</v>
      </c>
      <c r="DN120" s="161" t="s">
        <v>591</v>
      </c>
      <c r="DP120" s="130">
        <v>1</v>
      </c>
    </row>
    <row r="121" spans="2:120" ht="30" customHeight="1">
      <c r="B121" s="165" t="str">
        <f t="shared" si="12"/>
        <v/>
      </c>
      <c r="C121" s="165" t="str">
        <f t="shared" si="13"/>
        <v/>
      </c>
      <c r="D121" s="165" t="str">
        <f>IF(UPPER(TRIM(N11))="X",C121,B121)</f>
        <v/>
      </c>
      <c r="E121" s="165" cm="1">
        <f t="array" ref="E121">IF(H120&lt;&gt;"",E120,IF(E120="","",IFERROR(MATCH(TRUE(),INDEX(INDEX(K:K,E120+1):K203&lt;&gt;"",0),0)+E120,"")))</f>
        <v>213</v>
      </c>
      <c r="F121" s="165" cm="1">
        <f t="array" ref="F121">IF(E121="","",IF(H120&lt;&gt;"",H120,INDEX(D:D,E121)))</f>
        <v>0</v>
      </c>
      <c r="G121" s="165" t="str">
        <f t="shared" si="14"/>
        <v>0</v>
      </c>
      <c r="H121" s="174" t="str">
        <f t="shared" si="15"/>
        <v/>
      </c>
      <c r="I121" s="184" t="str">
        <f>IF(AND(F121&lt;&gt;"",N10&gt;0,M121&gt;N10),"Mot &gt; limite","")</f>
        <v/>
      </c>
      <c r="J121" s="175" t="str">
        <f>IF(K121="","",COUNTIF(K18:K121,"&lt;&gt;"))</f>
        <v/>
      </c>
      <c r="K121" s="111"/>
      <c r="L121" s="175" t="str">
        <f t="shared" si="16"/>
        <v/>
      </c>
      <c r="M121" s="135">
        <f>IF(OR(F121="",N10="",N10&lt;=0),"",IF(LEN(F121)&lt;=N10,LEN(F121),IFERROR(FIND("♦",SUBSTITUTE(LEFT(F121,N10)," ","♦",LEN(LEFT(F121,N10))-LEN(SUBSTITUTE(LEFT(F121,N10)," ","")))),FIND(" ",F121&amp;" ",N10+1)-1)))</f>
        <v>1</v>
      </c>
      <c r="N121" s="176">
        <f t="shared" si="17"/>
        <v>104</v>
      </c>
      <c r="O121" s="177" t="str">
        <f t="shared" si="18"/>
        <v>0</v>
      </c>
      <c r="P121" s="176">
        <f t="shared" si="19"/>
        <v>1</v>
      </c>
      <c r="Q121" s="176">
        <f t="shared" si="20"/>
        <v>1</v>
      </c>
      <c r="S121" s="213"/>
      <c r="T121" s="208" t="s">
        <v>941</v>
      </c>
      <c r="U121" s="214" t="s">
        <v>942</v>
      </c>
      <c r="V121" s="213"/>
      <c r="W121" s="213"/>
      <c r="X121" s="213"/>
      <c r="Y121" s="213"/>
      <c r="Z121" s="213"/>
      <c r="AA121" s="213"/>
      <c r="AB121" s="213"/>
      <c r="AC121" s="213"/>
      <c r="AD121" s="213"/>
      <c r="AE121" s="213"/>
      <c r="AF121" s="213"/>
      <c r="AG121" s="213"/>
      <c r="AH121" s="213"/>
      <c r="AI121" s="213"/>
      <c r="AJ121" s="213"/>
      <c r="AK121" s="213"/>
      <c r="DE121" s="152"/>
      <c r="DF121" s="160" t="s">
        <v>943</v>
      </c>
      <c r="DG121" s="160" t="s">
        <v>584</v>
      </c>
      <c r="DH121" s="160" t="s">
        <v>125</v>
      </c>
      <c r="DI121" s="160" t="s">
        <v>944</v>
      </c>
      <c r="DJ121" s="160" t="s">
        <v>944</v>
      </c>
      <c r="DK121" s="160" t="s">
        <v>588</v>
      </c>
      <c r="DL121" s="160" t="s">
        <v>589</v>
      </c>
      <c r="DM121" s="160" t="s">
        <v>590</v>
      </c>
      <c r="DN121" s="161" t="s">
        <v>591</v>
      </c>
      <c r="DP121" s="130">
        <v>1</v>
      </c>
    </row>
    <row r="122" spans="2:120" ht="30" customHeight="1">
      <c r="B122" s="165" t="str">
        <f t="shared" si="12"/>
        <v/>
      </c>
      <c r="C122" s="165" t="str">
        <f t="shared" si="13"/>
        <v/>
      </c>
      <c r="D122" s="165" t="str">
        <f>IF(UPPER(TRIM(N11))="X",C122,B122)</f>
        <v/>
      </c>
      <c r="E122" s="165" cm="1">
        <f t="array" ref="E122">IF(H121&lt;&gt;"",E121,IF(E121="","",IFERROR(MATCH(TRUE(),INDEX(INDEX(K:K,E121+1):K203&lt;&gt;"",0),0)+E121,"")))</f>
        <v>214</v>
      </c>
      <c r="F122" s="165" cm="1">
        <f t="array" ref="F122">IF(E122="","",IF(H121&lt;&gt;"",H121,INDEX(D:D,E122)))</f>
        <v>0</v>
      </c>
      <c r="G122" s="165" t="str">
        <f t="shared" si="14"/>
        <v>0</v>
      </c>
      <c r="H122" s="174" t="str">
        <f t="shared" si="15"/>
        <v/>
      </c>
      <c r="I122" s="184" t="str">
        <f>IF(AND(F122&lt;&gt;"",N10&gt;0,M122&gt;N10),"Mot &gt; limite","")</f>
        <v/>
      </c>
      <c r="J122" s="175" t="str">
        <f>IF(K122="","",COUNTIF(K18:K122,"&lt;&gt;"))</f>
        <v/>
      </c>
      <c r="K122" s="111"/>
      <c r="L122" s="175" t="str">
        <f t="shared" si="16"/>
        <v/>
      </c>
      <c r="M122" s="135">
        <f>IF(OR(F122="",N10="",N10&lt;=0),"",IF(LEN(F122)&lt;=N10,LEN(F122),IFERROR(FIND("♦",SUBSTITUTE(LEFT(F122,N10)," ","♦",LEN(LEFT(F122,N10))-LEN(SUBSTITUTE(LEFT(F122,N10)," ","")))),FIND(" ",F122&amp;" ",N10+1)-1)))</f>
        <v>1</v>
      </c>
      <c r="N122" s="176">
        <f t="shared" si="17"/>
        <v>105</v>
      </c>
      <c r="O122" s="177" t="str">
        <f t="shared" si="18"/>
        <v>0</v>
      </c>
      <c r="P122" s="176">
        <f t="shared" si="19"/>
        <v>1</v>
      </c>
      <c r="Q122" s="176">
        <f t="shared" si="20"/>
        <v>1</v>
      </c>
      <c r="S122" s="213"/>
      <c r="T122" s="208"/>
      <c r="U122" s="214" t="s">
        <v>945</v>
      </c>
      <c r="V122" s="213"/>
      <c r="W122" s="213"/>
      <c r="X122" s="213"/>
      <c r="Y122" s="213"/>
      <c r="Z122" s="213"/>
      <c r="AA122" s="213"/>
      <c r="AB122" s="213"/>
      <c r="AC122" s="213"/>
      <c r="AD122" s="213"/>
      <c r="AE122" s="213"/>
      <c r="AF122" s="213"/>
      <c r="AG122" s="213"/>
      <c r="AH122" s="213"/>
      <c r="AI122" s="213"/>
      <c r="AJ122" s="213"/>
      <c r="AK122" s="213"/>
      <c r="DE122" s="152"/>
      <c r="DF122" s="160" t="s">
        <v>946</v>
      </c>
      <c r="DG122" s="160" t="s">
        <v>584</v>
      </c>
      <c r="DH122" s="160" t="s">
        <v>125</v>
      </c>
      <c r="DI122" s="160" t="s">
        <v>947</v>
      </c>
      <c r="DJ122" s="160" t="s">
        <v>947</v>
      </c>
      <c r="DK122" s="160" t="s">
        <v>588</v>
      </c>
      <c r="DL122" s="160" t="s">
        <v>589</v>
      </c>
      <c r="DM122" s="160" t="s">
        <v>590</v>
      </c>
      <c r="DN122" s="161" t="s">
        <v>591</v>
      </c>
      <c r="DP122" s="130">
        <v>1</v>
      </c>
    </row>
    <row r="123" spans="2:120" ht="30" customHeight="1">
      <c r="B123" s="165" t="str">
        <f t="shared" si="12"/>
        <v/>
      </c>
      <c r="C123" s="165" t="str">
        <f t="shared" si="13"/>
        <v/>
      </c>
      <c r="D123" s="165" t="str">
        <f>IF(UPPER(TRIM(N11))="X",C123,B123)</f>
        <v/>
      </c>
      <c r="E123" s="165" cm="1">
        <f t="array" ref="E123">IF(H122&lt;&gt;"",E122,IF(E122="","",IFERROR(MATCH(TRUE(),INDEX(INDEX(K:K,E122+1):K203&lt;&gt;"",0),0)+E122,"")))</f>
        <v>215</v>
      </c>
      <c r="F123" s="165" cm="1">
        <f t="array" ref="F123">IF(E123="","",IF(H122&lt;&gt;"",H122,INDEX(D:D,E123)))</f>
        <v>0</v>
      </c>
      <c r="G123" s="165" t="str">
        <f t="shared" si="14"/>
        <v>0</v>
      </c>
      <c r="H123" s="174" t="str">
        <f t="shared" si="15"/>
        <v/>
      </c>
      <c r="I123" s="184" t="str">
        <f>IF(AND(F123&lt;&gt;"",N10&gt;0,M123&gt;N10),"Mot &gt; limite","")</f>
        <v/>
      </c>
      <c r="J123" s="175" t="str">
        <f>IF(K123="","",COUNTIF(K18:K123,"&lt;&gt;"))</f>
        <v/>
      </c>
      <c r="K123" s="111"/>
      <c r="L123" s="175" t="str">
        <f t="shared" si="16"/>
        <v/>
      </c>
      <c r="M123" s="135">
        <f>IF(OR(F123="",N10="",N10&lt;=0),"",IF(LEN(F123)&lt;=N10,LEN(F123),IFERROR(FIND("♦",SUBSTITUTE(LEFT(F123,N10)," ","♦",LEN(LEFT(F123,N10))-LEN(SUBSTITUTE(LEFT(F123,N10)," ","")))),FIND(" ",F123&amp;" ",N10+1)-1)))</f>
        <v>1</v>
      </c>
      <c r="N123" s="176">
        <f t="shared" si="17"/>
        <v>106</v>
      </c>
      <c r="O123" s="177" t="str">
        <f t="shared" si="18"/>
        <v>0</v>
      </c>
      <c r="P123" s="176">
        <f t="shared" si="19"/>
        <v>1</v>
      </c>
      <c r="Q123" s="176">
        <f t="shared" si="20"/>
        <v>1</v>
      </c>
      <c r="S123" s="213"/>
      <c r="T123" s="208" t="s">
        <v>948</v>
      </c>
      <c r="U123" s="214" t="s">
        <v>949</v>
      </c>
      <c r="V123" s="213"/>
      <c r="W123" s="213"/>
      <c r="X123" s="213"/>
      <c r="Y123" s="213"/>
      <c r="Z123" s="213"/>
      <c r="AA123" s="213"/>
      <c r="AB123" s="213"/>
      <c r="AC123" s="213"/>
      <c r="AD123" s="213"/>
      <c r="AE123" s="213"/>
      <c r="AF123" s="213"/>
      <c r="AG123" s="213"/>
      <c r="AH123" s="213"/>
      <c r="AI123" s="213"/>
      <c r="AJ123" s="213"/>
      <c r="AK123" s="213"/>
      <c r="DE123" s="152"/>
      <c r="DF123" s="160" t="s">
        <v>950</v>
      </c>
      <c r="DG123" s="160" t="s">
        <v>584</v>
      </c>
      <c r="DH123" s="160" t="s">
        <v>126</v>
      </c>
      <c r="DI123" s="160" t="s">
        <v>951</v>
      </c>
      <c r="DJ123" s="160" t="s">
        <v>951</v>
      </c>
      <c r="DK123" s="160" t="s">
        <v>666</v>
      </c>
      <c r="DL123" s="160" t="s">
        <v>952</v>
      </c>
      <c r="DM123" s="160" t="s">
        <v>590</v>
      </c>
      <c r="DN123" s="161" t="s">
        <v>668</v>
      </c>
      <c r="DP123" s="130">
        <v>1</v>
      </c>
    </row>
    <row r="124" spans="2:120" ht="30" customHeight="1">
      <c r="B124" s="165" t="str">
        <f t="shared" si="12"/>
        <v/>
      </c>
      <c r="C124" s="165" t="str">
        <f t="shared" si="13"/>
        <v/>
      </c>
      <c r="D124" s="165" t="str">
        <f>IF(UPPER(TRIM(N11))="X",C124,B124)</f>
        <v/>
      </c>
      <c r="E124" s="165" cm="1">
        <f t="array" ref="E124">IF(H123&lt;&gt;"",E123,IF(E123="","",IFERROR(MATCH(TRUE(),INDEX(INDEX(K:K,E123+1):K203&lt;&gt;"",0),0)+E123,"")))</f>
        <v>216</v>
      </c>
      <c r="F124" s="165" cm="1">
        <f t="array" ref="F124">IF(E124="","",IF(H123&lt;&gt;"",H123,INDEX(D:D,E124)))</f>
        <v>0</v>
      </c>
      <c r="G124" s="165" t="str">
        <f t="shared" si="14"/>
        <v>0</v>
      </c>
      <c r="H124" s="174" t="str">
        <f t="shared" si="15"/>
        <v/>
      </c>
      <c r="I124" s="184" t="str">
        <f>IF(AND(F124&lt;&gt;"",N10&gt;0,M124&gt;N10),"Mot &gt; limite","")</f>
        <v/>
      </c>
      <c r="J124" s="175" t="str">
        <f>IF(K124="","",COUNTIF(K18:K124,"&lt;&gt;"))</f>
        <v/>
      </c>
      <c r="K124" s="111"/>
      <c r="L124" s="175" t="str">
        <f t="shared" si="16"/>
        <v/>
      </c>
      <c r="M124" s="135">
        <f>IF(OR(F124="",N10="",N10&lt;=0),"",IF(LEN(F124)&lt;=N10,LEN(F124),IFERROR(FIND("♦",SUBSTITUTE(LEFT(F124,N10)," ","♦",LEN(LEFT(F124,N10))-LEN(SUBSTITUTE(LEFT(F124,N10)," ","")))),FIND(" ",F124&amp;" ",N10+1)-1)))</f>
        <v>1</v>
      </c>
      <c r="N124" s="176">
        <f t="shared" si="17"/>
        <v>107</v>
      </c>
      <c r="O124" s="177" t="str">
        <f t="shared" si="18"/>
        <v>0</v>
      </c>
      <c r="P124" s="176">
        <f t="shared" si="19"/>
        <v>1</v>
      </c>
      <c r="Q124" s="176">
        <f t="shared" si="20"/>
        <v>1</v>
      </c>
      <c r="S124" s="213"/>
      <c r="T124" s="208" t="s">
        <v>953</v>
      </c>
      <c r="U124" s="215"/>
      <c r="V124" s="213"/>
      <c r="W124" s="213"/>
      <c r="X124" s="213"/>
      <c r="Y124" s="213"/>
      <c r="Z124" s="213"/>
      <c r="AA124" s="213"/>
      <c r="AB124" s="213"/>
      <c r="AC124" s="213"/>
      <c r="AD124" s="213"/>
      <c r="AE124" s="213"/>
      <c r="AF124" s="213"/>
      <c r="AG124" s="213"/>
      <c r="AH124" s="213"/>
      <c r="AI124" s="213"/>
      <c r="AJ124" s="213"/>
      <c r="AK124" s="213"/>
      <c r="DE124" s="152"/>
      <c r="DF124" s="160" t="s">
        <v>954</v>
      </c>
      <c r="DG124" s="160" t="s">
        <v>584</v>
      </c>
      <c r="DH124" s="160" t="s">
        <v>126</v>
      </c>
      <c r="DI124" s="160" t="s">
        <v>955</v>
      </c>
      <c r="DJ124" s="160" t="s">
        <v>955</v>
      </c>
      <c r="DK124" s="160" t="s">
        <v>588</v>
      </c>
      <c r="DL124" s="160" t="s">
        <v>956</v>
      </c>
      <c r="DM124" s="160" t="s">
        <v>590</v>
      </c>
      <c r="DN124" s="161" t="s">
        <v>591</v>
      </c>
      <c r="DP124" s="130">
        <v>1</v>
      </c>
    </row>
    <row r="125" spans="2:120" ht="30" customHeight="1">
      <c r="B125" s="165" t="str">
        <f t="shared" si="12"/>
        <v/>
      </c>
      <c r="C125" s="165" t="str">
        <f t="shared" si="13"/>
        <v/>
      </c>
      <c r="D125" s="165" t="str">
        <f>IF(UPPER(TRIM(N11))="X",C125,B125)</f>
        <v/>
      </c>
      <c r="E125" s="165" cm="1">
        <f t="array" ref="E125">IF(H124&lt;&gt;"",E124,IF(E124="","",IFERROR(MATCH(TRUE(),INDEX(INDEX(K:K,E124+1):K203&lt;&gt;"",0),0)+E124,"")))</f>
        <v>217</v>
      </c>
      <c r="F125" s="165" cm="1">
        <f t="array" ref="F125">IF(E125="","",IF(H124&lt;&gt;"",H124,INDEX(D:D,E125)))</f>
        <v>0</v>
      </c>
      <c r="G125" s="165" t="str">
        <f t="shared" si="14"/>
        <v>0</v>
      </c>
      <c r="H125" s="174" t="str">
        <f t="shared" si="15"/>
        <v/>
      </c>
      <c r="I125" s="184" t="str">
        <f>IF(AND(F125&lt;&gt;"",N10&gt;0,M125&gt;N10),"Mot &gt; limite","")</f>
        <v/>
      </c>
      <c r="J125" s="175" t="str">
        <f>IF(K125="","",COUNTIF(K18:K125,"&lt;&gt;"))</f>
        <v/>
      </c>
      <c r="K125" s="111"/>
      <c r="L125" s="175" t="str">
        <f t="shared" si="16"/>
        <v/>
      </c>
      <c r="M125" s="135">
        <f>IF(OR(F125="",N10="",N10&lt;=0),"",IF(LEN(F125)&lt;=N10,LEN(F125),IFERROR(FIND("♦",SUBSTITUTE(LEFT(F125,N10)," ","♦",LEN(LEFT(F125,N10))-LEN(SUBSTITUTE(LEFT(F125,N10)," ","")))),FIND(" ",F125&amp;" ",N10+1)-1)))</f>
        <v>1</v>
      </c>
      <c r="N125" s="176">
        <f t="shared" si="17"/>
        <v>108</v>
      </c>
      <c r="O125" s="177" t="str">
        <f t="shared" si="18"/>
        <v>0</v>
      </c>
      <c r="P125" s="176">
        <f t="shared" si="19"/>
        <v>1</v>
      </c>
      <c r="Q125" s="176">
        <f t="shared" si="20"/>
        <v>1</v>
      </c>
      <c r="S125" s="213"/>
      <c r="T125" s="216" t="s">
        <v>957</v>
      </c>
      <c r="U125" s="214" t="s">
        <v>958</v>
      </c>
      <c r="V125" s="213"/>
      <c r="W125" s="213"/>
      <c r="X125" s="213"/>
      <c r="Y125" s="213"/>
      <c r="Z125" s="213"/>
      <c r="AA125" s="213"/>
      <c r="AB125" s="213"/>
      <c r="AC125" s="213"/>
      <c r="AD125" s="213"/>
      <c r="AE125" s="213"/>
      <c r="AF125" s="213"/>
      <c r="AG125" s="213"/>
      <c r="AH125" s="213"/>
      <c r="AI125" s="213"/>
      <c r="AJ125" s="213"/>
      <c r="AK125" s="213"/>
      <c r="DE125" s="152"/>
      <c r="DF125" s="160" t="s">
        <v>959</v>
      </c>
      <c r="DG125" s="160" t="s">
        <v>584</v>
      </c>
      <c r="DH125" s="160" t="s">
        <v>126</v>
      </c>
      <c r="DI125" s="160" t="s">
        <v>348</v>
      </c>
      <c r="DJ125" s="160" t="s">
        <v>348</v>
      </c>
      <c r="DK125" s="160" t="s">
        <v>588</v>
      </c>
      <c r="DL125" s="160" t="s">
        <v>956</v>
      </c>
      <c r="DM125" s="160" t="s">
        <v>590</v>
      </c>
      <c r="DN125" s="161" t="s">
        <v>591</v>
      </c>
      <c r="DP125" s="130">
        <v>1</v>
      </c>
    </row>
    <row r="126" spans="2:120" ht="30" customHeight="1">
      <c r="B126" s="165" t="str">
        <f t="shared" si="12"/>
        <v/>
      </c>
      <c r="C126" s="165" t="str">
        <f t="shared" si="13"/>
        <v/>
      </c>
      <c r="D126" s="165" t="str">
        <f>IF(UPPER(TRIM(N11))="X",C126,B126)</f>
        <v/>
      </c>
      <c r="E126" s="165" cm="1">
        <f t="array" ref="E126">IF(H125&lt;&gt;"",E125,IF(E125="","",IFERROR(MATCH(TRUE(),INDEX(INDEX(K:K,E125+1):K203&lt;&gt;"",0),0)+E125,"")))</f>
        <v>218</v>
      </c>
      <c r="F126" s="165" cm="1">
        <f t="array" ref="F126">IF(E126="","",IF(H125&lt;&gt;"",H125,INDEX(D:D,E126)))</f>
        <v>0</v>
      </c>
      <c r="G126" s="165" t="str">
        <f t="shared" si="14"/>
        <v>0</v>
      </c>
      <c r="H126" s="174" t="str">
        <f t="shared" si="15"/>
        <v/>
      </c>
      <c r="I126" s="184" t="str">
        <f>IF(AND(F126&lt;&gt;"",N10&gt;0,M126&gt;N10),"Mot &gt; limite","")</f>
        <v/>
      </c>
      <c r="J126" s="175" t="str">
        <f>IF(K126="","",COUNTIF(K18:K126,"&lt;&gt;"))</f>
        <v/>
      </c>
      <c r="K126" s="111"/>
      <c r="L126" s="175" t="str">
        <f t="shared" si="16"/>
        <v/>
      </c>
      <c r="M126" s="135">
        <f>IF(OR(F126="",N10="",N10&lt;=0),"",IF(LEN(F126)&lt;=N10,LEN(F126),IFERROR(FIND("♦",SUBSTITUTE(LEFT(F126,N10)," ","♦",LEN(LEFT(F126,N10))-LEN(SUBSTITUTE(LEFT(F126,N10)," ","")))),FIND(" ",F126&amp;" ",N10+1)-1)))</f>
        <v>1</v>
      </c>
      <c r="N126" s="176">
        <f t="shared" si="17"/>
        <v>109</v>
      </c>
      <c r="O126" s="177" t="str">
        <f t="shared" si="18"/>
        <v>0</v>
      </c>
      <c r="P126" s="176">
        <f t="shared" si="19"/>
        <v>1</v>
      </c>
      <c r="Q126" s="176">
        <f t="shared" si="20"/>
        <v>1</v>
      </c>
      <c r="S126" s="213"/>
      <c r="T126" s="208" t="s">
        <v>960</v>
      </c>
      <c r="U126" s="214" t="s">
        <v>961</v>
      </c>
      <c r="V126" s="213"/>
      <c r="W126" s="213"/>
      <c r="X126" s="213"/>
      <c r="Y126" s="213"/>
      <c r="Z126" s="213"/>
      <c r="AA126" s="213"/>
      <c r="AB126" s="213"/>
      <c r="AC126" s="213"/>
      <c r="AD126" s="213"/>
      <c r="AE126" s="213"/>
      <c r="AF126" s="213"/>
      <c r="AG126" s="213"/>
      <c r="AH126" s="213"/>
      <c r="AI126" s="213"/>
      <c r="AJ126" s="213"/>
      <c r="AK126" s="213"/>
      <c r="DE126" s="152"/>
      <c r="DF126" s="160" t="s">
        <v>962</v>
      </c>
      <c r="DG126" s="160" t="s">
        <v>584</v>
      </c>
      <c r="DH126" s="160" t="s">
        <v>126</v>
      </c>
      <c r="DI126" s="160" t="s">
        <v>963</v>
      </c>
      <c r="DJ126" s="160" t="s">
        <v>349</v>
      </c>
      <c r="DK126" s="160" t="s">
        <v>588</v>
      </c>
      <c r="DL126" s="160" t="s">
        <v>956</v>
      </c>
      <c r="DM126" s="160" t="s">
        <v>590</v>
      </c>
      <c r="DN126" s="161" t="s">
        <v>591</v>
      </c>
      <c r="DP126" s="130">
        <v>1</v>
      </c>
    </row>
    <row r="127" spans="2:120" ht="30" customHeight="1">
      <c r="B127" s="165" t="str">
        <f t="shared" si="12"/>
        <v/>
      </c>
      <c r="C127" s="165" t="str">
        <f t="shared" si="13"/>
        <v/>
      </c>
      <c r="D127" s="165" t="str">
        <f>IF(UPPER(TRIM(N11))="X",C127,B127)</f>
        <v/>
      </c>
      <c r="E127" s="165" cm="1">
        <f t="array" ref="E127">IF(H126&lt;&gt;"",E126,IF(E126="","",IFERROR(MATCH(TRUE(),INDEX(INDEX(K:K,E126+1):K203&lt;&gt;"",0),0)+E126,"")))</f>
        <v>219</v>
      </c>
      <c r="F127" s="165" cm="1">
        <f t="array" ref="F127">IF(E127="","",IF(H126&lt;&gt;"",H126,INDEX(D:D,E127)))</f>
        <v>0</v>
      </c>
      <c r="G127" s="165" t="str">
        <f t="shared" si="14"/>
        <v>0</v>
      </c>
      <c r="H127" s="174" t="str">
        <f t="shared" si="15"/>
        <v/>
      </c>
      <c r="I127" s="184" t="str">
        <f>IF(AND(F127&lt;&gt;"",N10&gt;0,M127&gt;N10),"Mot &gt; limite","")</f>
        <v/>
      </c>
      <c r="J127" s="175" t="str">
        <f>IF(K127="","",COUNTIF(K18:K127,"&lt;&gt;"))</f>
        <v/>
      </c>
      <c r="K127" s="111"/>
      <c r="L127" s="175" t="str">
        <f t="shared" si="16"/>
        <v/>
      </c>
      <c r="M127" s="135">
        <f>IF(OR(F127="",N10="",N10&lt;=0),"",IF(LEN(F127)&lt;=N10,LEN(F127),IFERROR(FIND("♦",SUBSTITUTE(LEFT(F127,N10)," ","♦",LEN(LEFT(F127,N10))-LEN(SUBSTITUTE(LEFT(F127,N10)," ","")))),FIND(" ",F127&amp;" ",N10+1)-1)))</f>
        <v>1</v>
      </c>
      <c r="N127" s="176">
        <f t="shared" si="17"/>
        <v>110</v>
      </c>
      <c r="O127" s="177" t="str">
        <f t="shared" si="18"/>
        <v>0</v>
      </c>
      <c r="P127" s="176">
        <f t="shared" si="19"/>
        <v>1</v>
      </c>
      <c r="Q127" s="176">
        <f t="shared" si="20"/>
        <v>1</v>
      </c>
      <c r="S127" s="213"/>
      <c r="T127" s="208" t="s">
        <v>964</v>
      </c>
      <c r="U127" s="214" t="s">
        <v>821</v>
      </c>
      <c r="V127" s="213"/>
      <c r="W127" s="213"/>
      <c r="X127" s="213"/>
      <c r="Y127" s="213"/>
      <c r="Z127" s="213"/>
      <c r="AA127" s="213"/>
      <c r="AB127" s="213"/>
      <c r="AC127" s="213"/>
      <c r="AD127" s="213"/>
      <c r="AE127" s="213"/>
      <c r="AF127" s="213"/>
      <c r="AG127" s="213"/>
      <c r="AH127" s="213"/>
      <c r="AI127" s="213"/>
      <c r="AJ127" s="213"/>
      <c r="AK127" s="213"/>
      <c r="DE127" s="152"/>
      <c r="DF127" s="160" t="s">
        <v>965</v>
      </c>
      <c r="DG127" s="160" t="s">
        <v>584</v>
      </c>
      <c r="DH127" s="160" t="s">
        <v>125</v>
      </c>
      <c r="DI127" s="160" t="s">
        <v>966</v>
      </c>
      <c r="DJ127" s="160" t="s">
        <v>966</v>
      </c>
      <c r="DK127" s="160" t="s">
        <v>588</v>
      </c>
      <c r="DL127" s="160" t="s">
        <v>589</v>
      </c>
      <c r="DM127" s="160" t="s">
        <v>590</v>
      </c>
      <c r="DN127" s="161" t="s">
        <v>591</v>
      </c>
      <c r="DP127" s="130">
        <v>1</v>
      </c>
    </row>
    <row r="128" spans="2:120" ht="30" customHeight="1">
      <c r="B128" s="165" t="str">
        <f t="shared" si="12"/>
        <v/>
      </c>
      <c r="C128" s="165" t="str">
        <f t="shared" si="13"/>
        <v/>
      </c>
      <c r="D128" s="165" t="str">
        <f>IF(UPPER(TRIM(N11))="X",C128,B128)</f>
        <v/>
      </c>
      <c r="E128" s="165" cm="1">
        <f t="array" ref="E128">IF(H127&lt;&gt;"",E127,IF(E127="","",IFERROR(MATCH(TRUE(),INDEX(INDEX(K:K,E127+1):K203&lt;&gt;"",0),0)+E127,"")))</f>
        <v>220</v>
      </c>
      <c r="F128" s="165" cm="1">
        <f t="array" ref="F128">IF(E128="","",IF(H127&lt;&gt;"",H127,INDEX(D:D,E128)))</f>
        <v>0</v>
      </c>
      <c r="G128" s="165" t="str">
        <f t="shared" si="14"/>
        <v>0</v>
      </c>
      <c r="H128" s="174" t="str">
        <f t="shared" si="15"/>
        <v/>
      </c>
      <c r="I128" s="184" t="str">
        <f>IF(AND(F128&lt;&gt;"",N10&gt;0,M128&gt;N10),"Mot &gt; limite","")</f>
        <v/>
      </c>
      <c r="J128" s="175" t="str">
        <f>IF(K128="","",COUNTIF(K18:K128,"&lt;&gt;"))</f>
        <v/>
      </c>
      <c r="K128" s="111"/>
      <c r="L128" s="175" t="str">
        <f t="shared" si="16"/>
        <v/>
      </c>
      <c r="M128" s="135">
        <f>IF(OR(F128="",N10="",N10&lt;=0),"",IF(LEN(F128)&lt;=N10,LEN(F128),IFERROR(FIND("♦",SUBSTITUTE(LEFT(F128,N10)," ","♦",LEN(LEFT(F128,N10))-LEN(SUBSTITUTE(LEFT(F128,N10)," ","")))),FIND(" ",F128&amp;" ",N10+1)-1)))</f>
        <v>1</v>
      </c>
      <c r="N128" s="176">
        <f t="shared" si="17"/>
        <v>111</v>
      </c>
      <c r="O128" s="177" t="str">
        <f t="shared" si="18"/>
        <v>0</v>
      </c>
      <c r="P128" s="176">
        <f t="shared" si="19"/>
        <v>1</v>
      </c>
      <c r="Q128" s="176">
        <f t="shared" si="20"/>
        <v>1</v>
      </c>
      <c r="S128" s="213"/>
      <c r="T128" s="217"/>
      <c r="U128" s="214"/>
      <c r="V128" s="213"/>
      <c r="W128" s="213"/>
      <c r="X128" s="213"/>
      <c r="Y128" s="213"/>
      <c r="Z128" s="213"/>
      <c r="AA128" s="213"/>
      <c r="AB128" s="213"/>
      <c r="AC128" s="213"/>
      <c r="AD128" s="213"/>
      <c r="AE128" s="213"/>
      <c r="AF128" s="213"/>
      <c r="AG128" s="213"/>
      <c r="AH128" s="213"/>
      <c r="AI128" s="213"/>
      <c r="AJ128" s="213"/>
      <c r="AK128" s="213"/>
      <c r="DE128" s="152"/>
      <c r="DF128" s="160" t="s">
        <v>967</v>
      </c>
      <c r="DG128" s="160" t="s">
        <v>584</v>
      </c>
      <c r="DH128" s="160" t="s">
        <v>125</v>
      </c>
      <c r="DI128" s="160" t="s">
        <v>968</v>
      </c>
      <c r="DJ128" s="160" t="s">
        <v>968</v>
      </c>
      <c r="DK128" s="160" t="s">
        <v>588</v>
      </c>
      <c r="DL128" s="160" t="s">
        <v>589</v>
      </c>
      <c r="DM128" s="160" t="s">
        <v>590</v>
      </c>
      <c r="DN128" s="161" t="s">
        <v>591</v>
      </c>
      <c r="DP128" s="130">
        <v>1</v>
      </c>
    </row>
    <row r="129" spans="2:120" ht="30" customHeight="1">
      <c r="B129" s="165" t="str">
        <f t="shared" si="12"/>
        <v/>
      </c>
      <c r="C129" s="165" t="str">
        <f t="shared" si="13"/>
        <v/>
      </c>
      <c r="D129" s="165" t="str">
        <f>IF(UPPER(TRIM(N11))="X",C129,B129)</f>
        <v/>
      </c>
      <c r="E129" s="165" cm="1">
        <f t="array" ref="E129">IF(H128&lt;&gt;"",E128,IF(E128="","",IFERROR(MATCH(TRUE(),INDEX(INDEX(K:K,E128+1):K203&lt;&gt;"",0),0)+E128,"")))</f>
        <v>221</v>
      </c>
      <c r="F129" s="165" cm="1">
        <f t="array" ref="F129">IF(E129="","",IF(H128&lt;&gt;"",H128,INDEX(D:D,E129)))</f>
        <v>0</v>
      </c>
      <c r="G129" s="165" t="str">
        <f t="shared" si="14"/>
        <v>0</v>
      </c>
      <c r="H129" s="174" t="str">
        <f t="shared" si="15"/>
        <v/>
      </c>
      <c r="I129" s="184" t="str">
        <f>IF(AND(F129&lt;&gt;"",N10&gt;0,M129&gt;N10),"Mot &gt; limite","")</f>
        <v/>
      </c>
      <c r="J129" s="175" t="str">
        <f>IF(K129="","",COUNTIF(K18:K129,"&lt;&gt;"))</f>
        <v/>
      </c>
      <c r="K129" s="111"/>
      <c r="L129" s="175" t="str">
        <f t="shared" si="16"/>
        <v/>
      </c>
      <c r="M129" s="135">
        <f>IF(OR(F129="",N10="",N10&lt;=0),"",IF(LEN(F129)&lt;=N10,LEN(F129),IFERROR(FIND("♦",SUBSTITUTE(LEFT(F129,N10)," ","♦",LEN(LEFT(F129,N10))-LEN(SUBSTITUTE(LEFT(F129,N10)," ","")))),FIND(" ",F129&amp;" ",N10+1)-1)))</f>
        <v>1</v>
      </c>
      <c r="N129" s="176">
        <f t="shared" si="17"/>
        <v>112</v>
      </c>
      <c r="O129" s="177" t="str">
        <f t="shared" si="18"/>
        <v>0</v>
      </c>
      <c r="P129" s="176">
        <f t="shared" si="19"/>
        <v>1</v>
      </c>
      <c r="Q129" s="176">
        <f t="shared" si="20"/>
        <v>1</v>
      </c>
      <c r="S129" s="213"/>
      <c r="T129" s="218" t="s">
        <v>969</v>
      </c>
      <c r="U129" s="215"/>
      <c r="V129" s="213"/>
      <c r="W129" s="213"/>
      <c r="X129" s="213"/>
      <c r="Y129" s="213"/>
      <c r="Z129" s="213"/>
      <c r="AA129" s="213"/>
      <c r="AB129" s="213"/>
      <c r="AC129" s="213"/>
      <c r="AD129" s="213"/>
      <c r="AE129" s="213"/>
      <c r="AF129" s="213"/>
      <c r="AG129" s="213"/>
      <c r="AH129" s="213"/>
      <c r="AI129" s="213"/>
      <c r="AJ129" s="213"/>
      <c r="AK129" s="213"/>
      <c r="DE129" s="152"/>
      <c r="DF129" s="160" t="s">
        <v>970</v>
      </c>
      <c r="DG129" s="160" t="s">
        <v>584</v>
      </c>
      <c r="DH129" s="160" t="s">
        <v>125</v>
      </c>
      <c r="DI129" s="160" t="s">
        <v>971</v>
      </c>
      <c r="DJ129" s="160" t="s">
        <v>971</v>
      </c>
      <c r="DK129" s="160" t="s">
        <v>588</v>
      </c>
      <c r="DL129" s="160" t="s">
        <v>589</v>
      </c>
      <c r="DM129" s="160" t="s">
        <v>590</v>
      </c>
      <c r="DN129" s="161" t="s">
        <v>591</v>
      </c>
      <c r="DP129" s="130">
        <v>1</v>
      </c>
    </row>
    <row r="130" spans="2:120" ht="30" customHeight="1">
      <c r="B130" s="165" t="str">
        <f t="shared" si="12"/>
        <v/>
      </c>
      <c r="C130" s="165" t="str">
        <f t="shared" si="13"/>
        <v/>
      </c>
      <c r="D130" s="165" t="str">
        <f>IF(UPPER(TRIM(N11))="X",C130,B130)</f>
        <v/>
      </c>
      <c r="E130" s="165" cm="1">
        <f t="array" ref="E130">IF(H129&lt;&gt;"",E129,IF(E129="","",IFERROR(MATCH(TRUE(),INDEX(INDEX(K:K,E129+1):K203&lt;&gt;"",0),0)+E129,"")))</f>
        <v>222</v>
      </c>
      <c r="F130" s="165" cm="1">
        <f t="array" ref="F130">IF(E130="","",IF(H129&lt;&gt;"",H129,INDEX(D:D,E130)))</f>
        <v>0</v>
      </c>
      <c r="G130" s="165" t="str">
        <f t="shared" si="14"/>
        <v>0</v>
      </c>
      <c r="H130" s="174" t="str">
        <f t="shared" si="15"/>
        <v/>
      </c>
      <c r="I130" s="184" t="str">
        <f>IF(AND(F130&lt;&gt;"",N10&gt;0,M130&gt;N10),"Mot &gt; limite","")</f>
        <v/>
      </c>
      <c r="J130" s="175" t="str">
        <f>IF(K130="","",COUNTIF(K18:K130,"&lt;&gt;"))</f>
        <v/>
      </c>
      <c r="K130" s="111"/>
      <c r="L130" s="175" t="str">
        <f t="shared" si="16"/>
        <v/>
      </c>
      <c r="M130" s="135">
        <f>IF(OR(F130="",N10="",N10&lt;=0),"",IF(LEN(F130)&lt;=N10,LEN(F130),IFERROR(FIND("♦",SUBSTITUTE(LEFT(F130,N10)," ","♦",LEN(LEFT(F130,N10))-LEN(SUBSTITUTE(LEFT(F130,N10)," ","")))),FIND(" ",F130&amp;" ",N10+1)-1)))</f>
        <v>1</v>
      </c>
      <c r="N130" s="176">
        <f t="shared" si="17"/>
        <v>113</v>
      </c>
      <c r="O130" s="177" t="str">
        <f t="shared" si="18"/>
        <v>0</v>
      </c>
      <c r="P130" s="176">
        <f t="shared" si="19"/>
        <v>1</v>
      </c>
      <c r="Q130" s="176">
        <f t="shared" si="20"/>
        <v>1</v>
      </c>
      <c r="S130" s="213"/>
      <c r="T130" s="208" t="s">
        <v>972</v>
      </c>
      <c r="U130" s="214" t="s">
        <v>973</v>
      </c>
      <c r="V130" s="213"/>
      <c r="W130" s="213"/>
      <c r="X130" s="213"/>
      <c r="Y130" s="213"/>
      <c r="Z130" s="213"/>
      <c r="AA130" s="213"/>
      <c r="AB130" s="213"/>
      <c r="AC130" s="213"/>
      <c r="AD130" s="213"/>
      <c r="AE130" s="213"/>
      <c r="AF130" s="213"/>
      <c r="AG130" s="213"/>
      <c r="AH130" s="213"/>
      <c r="AI130" s="213"/>
      <c r="AJ130" s="213"/>
      <c r="AK130" s="213"/>
      <c r="DE130" s="152"/>
      <c r="DF130" s="160" t="s">
        <v>974</v>
      </c>
      <c r="DG130" s="160" t="s">
        <v>584</v>
      </c>
      <c r="DH130" s="160" t="s">
        <v>125</v>
      </c>
      <c r="DI130" s="160" t="s">
        <v>975</v>
      </c>
      <c r="DJ130" s="160" t="s">
        <v>976</v>
      </c>
      <c r="DK130" s="160" t="s">
        <v>588</v>
      </c>
      <c r="DL130" s="160" t="s">
        <v>589</v>
      </c>
      <c r="DM130" s="160" t="s">
        <v>590</v>
      </c>
      <c r="DN130" s="161" t="s">
        <v>591</v>
      </c>
      <c r="DP130" s="130">
        <v>1</v>
      </c>
    </row>
    <row r="131" spans="2:120" ht="30" customHeight="1">
      <c r="B131" s="165" t="str">
        <f t="shared" si="12"/>
        <v/>
      </c>
      <c r="C131" s="165" t="str">
        <f t="shared" si="13"/>
        <v/>
      </c>
      <c r="D131" s="165" t="str">
        <f>IF(UPPER(TRIM(N11))="X",C131,B131)</f>
        <v/>
      </c>
      <c r="E131" s="165" cm="1">
        <f t="array" ref="E131">IF(H130&lt;&gt;"",E130,IF(E130="","",IFERROR(MATCH(TRUE(),INDEX(INDEX(K:K,E130+1):K203&lt;&gt;"",0),0)+E130,"")))</f>
        <v>223</v>
      </c>
      <c r="F131" s="165" cm="1">
        <f t="array" ref="F131">IF(E131="","",IF(H130&lt;&gt;"",H130,INDEX(D:D,E131)))</f>
        <v>0</v>
      </c>
      <c r="G131" s="165" t="str">
        <f t="shared" si="14"/>
        <v>0</v>
      </c>
      <c r="H131" s="174" t="str">
        <f t="shared" si="15"/>
        <v/>
      </c>
      <c r="I131" s="184" t="str">
        <f>IF(AND(F131&lt;&gt;"",N10&gt;0,M131&gt;N10),"Mot &gt; limite","")</f>
        <v/>
      </c>
      <c r="J131" s="175" t="str">
        <f>IF(K131="","",COUNTIF(K18:K131,"&lt;&gt;"))</f>
        <v/>
      </c>
      <c r="K131" s="111"/>
      <c r="L131" s="175" t="str">
        <f t="shared" si="16"/>
        <v/>
      </c>
      <c r="M131" s="135">
        <f>IF(OR(F131="",N10="",N10&lt;=0),"",IF(LEN(F131)&lt;=N10,LEN(F131),IFERROR(FIND("♦",SUBSTITUTE(LEFT(F131,N10)," ","♦",LEN(LEFT(F131,N10))-LEN(SUBSTITUTE(LEFT(F131,N10)," ","")))),FIND(" ",F131&amp;" ",N10+1)-1)))</f>
        <v>1</v>
      </c>
      <c r="N131" s="176">
        <f t="shared" si="17"/>
        <v>114</v>
      </c>
      <c r="O131" s="177" t="str">
        <f t="shared" si="18"/>
        <v>0</v>
      </c>
      <c r="P131" s="176">
        <f t="shared" si="19"/>
        <v>1</v>
      </c>
      <c r="Q131" s="176">
        <f t="shared" si="20"/>
        <v>1</v>
      </c>
      <c r="S131" s="213"/>
      <c r="T131" s="208" t="s">
        <v>977</v>
      </c>
      <c r="U131" s="214" t="s">
        <v>978</v>
      </c>
      <c r="V131" s="213"/>
      <c r="W131" s="213"/>
      <c r="X131" s="213"/>
      <c r="Y131" s="213"/>
      <c r="Z131" s="213"/>
      <c r="AA131" s="213"/>
      <c r="AB131" s="213"/>
      <c r="AC131" s="213"/>
      <c r="AD131" s="213"/>
      <c r="AE131" s="213"/>
      <c r="AF131" s="213"/>
      <c r="AG131" s="213"/>
      <c r="AH131" s="213"/>
      <c r="AI131" s="213"/>
      <c r="AJ131" s="213"/>
      <c r="AK131" s="213"/>
      <c r="DE131" s="152"/>
      <c r="DF131" s="160" t="s">
        <v>979</v>
      </c>
      <c r="DG131" s="160" t="s">
        <v>584</v>
      </c>
      <c r="DH131" s="160" t="s">
        <v>125</v>
      </c>
      <c r="DI131" s="160" t="s">
        <v>980</v>
      </c>
      <c r="DJ131" s="160" t="s">
        <v>981</v>
      </c>
      <c r="DK131" s="160" t="s">
        <v>588</v>
      </c>
      <c r="DL131" s="160" t="s">
        <v>589</v>
      </c>
      <c r="DM131" s="160" t="s">
        <v>590</v>
      </c>
      <c r="DN131" s="161" t="s">
        <v>591</v>
      </c>
      <c r="DP131" s="130">
        <v>1</v>
      </c>
    </row>
    <row r="132" spans="2:120" ht="30" customHeight="1">
      <c r="B132" s="165" t="str">
        <f t="shared" si="12"/>
        <v/>
      </c>
      <c r="C132" s="165" t="str">
        <f t="shared" si="13"/>
        <v/>
      </c>
      <c r="D132" s="165" t="str">
        <f>IF(UPPER(TRIM(N11))="X",C132,B132)</f>
        <v/>
      </c>
      <c r="E132" s="165" cm="1">
        <f t="array" ref="E132">IF(H131&lt;&gt;"",E131,IF(E131="","",IFERROR(MATCH(TRUE(),INDEX(INDEX(K:K,E131+1):K203&lt;&gt;"",0),0)+E131,"")))</f>
        <v>224</v>
      </c>
      <c r="F132" s="165" cm="1">
        <f t="array" ref="F132">IF(E132="","",IF(H131&lt;&gt;"",H131,INDEX(D:D,E132)))</f>
        <v>0</v>
      </c>
      <c r="G132" s="165" t="str">
        <f t="shared" si="14"/>
        <v>0</v>
      </c>
      <c r="H132" s="174" t="str">
        <f t="shared" si="15"/>
        <v/>
      </c>
      <c r="I132" s="184" t="str">
        <f>IF(AND(F132&lt;&gt;"",N10&gt;0,M132&gt;N10),"Mot &gt; limite","")</f>
        <v/>
      </c>
      <c r="J132" s="175" t="str">
        <f>IF(K132="","",COUNTIF(K18:K132,"&lt;&gt;"))</f>
        <v/>
      </c>
      <c r="K132" s="111"/>
      <c r="L132" s="175" t="str">
        <f t="shared" si="16"/>
        <v/>
      </c>
      <c r="M132" s="135">
        <f>IF(OR(F132="",N10="",N10&lt;=0),"",IF(LEN(F132)&lt;=N10,LEN(F132),IFERROR(FIND("♦",SUBSTITUTE(LEFT(F132,N10)," ","♦",LEN(LEFT(F132,N10))-LEN(SUBSTITUTE(LEFT(F132,N10)," ","")))),FIND(" ",F132&amp;" ",N10+1)-1)))</f>
        <v>1</v>
      </c>
      <c r="N132" s="176">
        <f t="shared" si="17"/>
        <v>115</v>
      </c>
      <c r="O132" s="177" t="str">
        <f t="shared" si="18"/>
        <v>0</v>
      </c>
      <c r="P132" s="176">
        <f t="shared" si="19"/>
        <v>1</v>
      </c>
      <c r="Q132" s="176">
        <f t="shared" si="20"/>
        <v>1</v>
      </c>
      <c r="S132" s="213"/>
      <c r="T132" s="208" t="s">
        <v>982</v>
      </c>
      <c r="U132" s="214" t="s">
        <v>983</v>
      </c>
      <c r="V132" s="213"/>
      <c r="W132" s="213"/>
      <c r="X132" s="213"/>
      <c r="Y132" s="213"/>
      <c r="Z132" s="213"/>
      <c r="AA132" s="213"/>
      <c r="AB132" s="213"/>
      <c r="AC132" s="213"/>
      <c r="AD132" s="213"/>
      <c r="AE132" s="213"/>
      <c r="AF132" s="213"/>
      <c r="AG132" s="213"/>
      <c r="AH132" s="213"/>
      <c r="AI132" s="213"/>
      <c r="AJ132" s="213"/>
      <c r="AK132" s="213"/>
      <c r="DE132" s="152"/>
      <c r="DF132" s="160" t="s">
        <v>984</v>
      </c>
      <c r="DG132" s="160" t="s">
        <v>584</v>
      </c>
      <c r="DH132" s="160" t="s">
        <v>125</v>
      </c>
      <c r="DI132" s="160" t="s">
        <v>985</v>
      </c>
      <c r="DJ132" s="160" t="s">
        <v>985</v>
      </c>
      <c r="DK132" s="160" t="s">
        <v>588</v>
      </c>
      <c r="DL132" s="160" t="s">
        <v>589</v>
      </c>
      <c r="DM132" s="160" t="s">
        <v>590</v>
      </c>
      <c r="DN132" s="161" t="s">
        <v>591</v>
      </c>
      <c r="DP132" s="130">
        <v>1</v>
      </c>
    </row>
    <row r="133" spans="2:120" ht="30" customHeight="1">
      <c r="B133" s="165" t="str">
        <f t="shared" si="12"/>
        <v/>
      </c>
      <c r="C133" s="165" t="str">
        <f t="shared" si="13"/>
        <v/>
      </c>
      <c r="D133" s="165" t="str">
        <f>IF(UPPER(TRIM(N11))="X",C133,B133)</f>
        <v/>
      </c>
      <c r="E133" s="165" cm="1">
        <f t="array" ref="E133">IF(H132&lt;&gt;"",E132,IF(E132="","",IFERROR(MATCH(TRUE(),INDEX(INDEX(K:K,E132+1):K203&lt;&gt;"",0),0)+E132,"")))</f>
        <v>225</v>
      </c>
      <c r="F133" s="165" cm="1">
        <f t="array" ref="F133">IF(E133="","",IF(H132&lt;&gt;"",H132,INDEX(D:D,E133)))</f>
        <v>0</v>
      </c>
      <c r="G133" s="165" t="str">
        <f t="shared" si="14"/>
        <v>0</v>
      </c>
      <c r="H133" s="174" t="str">
        <f t="shared" si="15"/>
        <v/>
      </c>
      <c r="I133" s="184" t="str">
        <f>IF(AND(F133&lt;&gt;"",N10&gt;0,M133&gt;N10),"Mot &gt; limite","")</f>
        <v/>
      </c>
      <c r="J133" s="175" t="str">
        <f>IF(K133="","",COUNTIF(K18:K133,"&lt;&gt;"))</f>
        <v/>
      </c>
      <c r="K133" s="111"/>
      <c r="L133" s="175" t="str">
        <f t="shared" si="16"/>
        <v/>
      </c>
      <c r="M133" s="135">
        <f>IF(OR(F133="",N10="",N10&lt;=0),"",IF(LEN(F133)&lt;=N10,LEN(F133),IFERROR(FIND("♦",SUBSTITUTE(LEFT(F133,N10)," ","♦",LEN(LEFT(F133,N10))-LEN(SUBSTITUTE(LEFT(F133,N10)," ","")))),FIND(" ",F133&amp;" ",N10+1)-1)))</f>
        <v>1</v>
      </c>
      <c r="N133" s="176">
        <f t="shared" si="17"/>
        <v>116</v>
      </c>
      <c r="O133" s="177" t="str">
        <f t="shared" si="18"/>
        <v>0</v>
      </c>
      <c r="P133" s="176">
        <f t="shared" si="19"/>
        <v>1</v>
      </c>
      <c r="Q133" s="176">
        <f t="shared" si="20"/>
        <v>1</v>
      </c>
      <c r="S133" s="213"/>
      <c r="T133" s="216" t="s">
        <v>986</v>
      </c>
      <c r="U133" s="214" t="s">
        <v>987</v>
      </c>
      <c r="V133" s="213"/>
      <c r="W133" s="213"/>
      <c r="X133" s="213"/>
      <c r="Y133" s="213"/>
      <c r="Z133" s="213"/>
      <c r="AA133" s="213"/>
      <c r="AB133" s="213"/>
      <c r="AC133" s="213"/>
      <c r="AD133" s="213"/>
      <c r="AE133" s="213"/>
      <c r="AF133" s="213"/>
      <c r="AG133" s="213"/>
      <c r="AH133" s="213"/>
      <c r="AI133" s="213"/>
      <c r="AJ133" s="213"/>
      <c r="AK133" s="213"/>
      <c r="DE133" s="152"/>
      <c r="DF133" s="160" t="s">
        <v>988</v>
      </c>
      <c r="DG133" s="160" t="s">
        <v>584</v>
      </c>
      <c r="DH133" s="160" t="s">
        <v>125</v>
      </c>
      <c r="DI133" s="160" t="s">
        <v>989</v>
      </c>
      <c r="DJ133" s="160" t="s">
        <v>989</v>
      </c>
      <c r="DK133" s="160" t="s">
        <v>588</v>
      </c>
      <c r="DL133" s="160" t="s">
        <v>589</v>
      </c>
      <c r="DM133" s="160" t="s">
        <v>590</v>
      </c>
      <c r="DN133" s="161" t="s">
        <v>591</v>
      </c>
      <c r="DP133" s="130">
        <v>1</v>
      </c>
    </row>
    <row r="134" spans="2:120" ht="30" customHeight="1">
      <c r="B134" s="165" t="str">
        <f t="shared" si="12"/>
        <v/>
      </c>
      <c r="C134" s="165" t="str">
        <f t="shared" si="13"/>
        <v/>
      </c>
      <c r="D134" s="165" t="str">
        <f>IF(UPPER(TRIM(N11))="X",C134,B134)</f>
        <v/>
      </c>
      <c r="E134" s="165" cm="1">
        <f t="array" ref="E134">IF(H133&lt;&gt;"",E133,IF(E133="","",IFERROR(MATCH(TRUE(),INDEX(INDEX(K:K,E133+1):K203&lt;&gt;"",0),0)+E133,"")))</f>
        <v>226</v>
      </c>
      <c r="F134" s="165" cm="1">
        <f t="array" ref="F134">IF(E134="","",IF(H133&lt;&gt;"",H133,INDEX(D:D,E134)))</f>
        <v>0</v>
      </c>
      <c r="G134" s="165" t="str">
        <f t="shared" si="14"/>
        <v>0</v>
      </c>
      <c r="H134" s="174" t="str">
        <f t="shared" si="15"/>
        <v/>
      </c>
      <c r="I134" s="184" t="str">
        <f>IF(AND(F134&lt;&gt;"",N10&gt;0,M134&gt;N10),"Mot &gt; limite","")</f>
        <v/>
      </c>
      <c r="J134" s="175" t="str">
        <f>IF(K134="","",COUNTIF(K18:K134,"&lt;&gt;"))</f>
        <v/>
      </c>
      <c r="K134" s="111"/>
      <c r="L134" s="175" t="str">
        <f t="shared" si="16"/>
        <v/>
      </c>
      <c r="M134" s="135">
        <f>IF(OR(F134="",N10="",N10&lt;=0),"",IF(LEN(F134)&lt;=N10,LEN(F134),IFERROR(FIND("♦",SUBSTITUTE(LEFT(F134,N10)," ","♦",LEN(LEFT(F134,N10))-LEN(SUBSTITUTE(LEFT(F134,N10)," ","")))),FIND(" ",F134&amp;" ",N10+1)-1)))</f>
        <v>1</v>
      </c>
      <c r="N134" s="176">
        <f t="shared" si="17"/>
        <v>117</v>
      </c>
      <c r="O134" s="177" t="str">
        <f t="shared" si="18"/>
        <v>0</v>
      </c>
      <c r="P134" s="176">
        <f t="shared" si="19"/>
        <v>1</v>
      </c>
      <c r="Q134" s="176">
        <f t="shared" si="20"/>
        <v>1</v>
      </c>
      <c r="S134" s="213"/>
      <c r="T134" s="208" t="s">
        <v>990</v>
      </c>
      <c r="U134" s="214" t="s">
        <v>991</v>
      </c>
      <c r="V134" s="213"/>
      <c r="W134" s="213"/>
      <c r="X134" s="213"/>
      <c r="Y134" s="213"/>
      <c r="Z134" s="213"/>
      <c r="AA134" s="213"/>
      <c r="AB134" s="213"/>
      <c r="AC134" s="213"/>
      <c r="AD134" s="213"/>
      <c r="AE134" s="213"/>
      <c r="AF134" s="213"/>
      <c r="AG134" s="213"/>
      <c r="AH134" s="213"/>
      <c r="AI134" s="213"/>
      <c r="AJ134" s="213"/>
      <c r="AK134" s="213"/>
      <c r="DE134" s="152"/>
      <c r="DF134" s="160" t="s">
        <v>992</v>
      </c>
      <c r="DG134" s="160" t="s">
        <v>584</v>
      </c>
      <c r="DH134" s="160" t="s">
        <v>125</v>
      </c>
      <c r="DI134" s="160" t="s">
        <v>993</v>
      </c>
      <c r="DJ134" s="160" t="s">
        <v>993</v>
      </c>
      <c r="DK134" s="160" t="s">
        <v>588</v>
      </c>
      <c r="DL134" s="160" t="s">
        <v>589</v>
      </c>
      <c r="DM134" s="160" t="s">
        <v>590</v>
      </c>
      <c r="DN134" s="161" t="s">
        <v>591</v>
      </c>
      <c r="DP134" s="130">
        <v>1</v>
      </c>
    </row>
    <row r="135" spans="2:120" ht="30" customHeight="1">
      <c r="B135" s="165" t="str">
        <f t="shared" si="12"/>
        <v/>
      </c>
      <c r="C135" s="165" t="str">
        <f t="shared" si="13"/>
        <v/>
      </c>
      <c r="D135" s="165" t="str">
        <f>IF(UPPER(TRIM(N11))="X",C135,B135)</f>
        <v/>
      </c>
      <c r="E135" s="165" cm="1">
        <f t="array" ref="E135">IF(H134&lt;&gt;"",E134,IF(E134="","",IFERROR(MATCH(TRUE(),INDEX(INDEX(K:K,E134+1):K203&lt;&gt;"",0),0)+E134,"")))</f>
        <v>227</v>
      </c>
      <c r="F135" s="165" cm="1">
        <f t="array" ref="F135">IF(E135="","",IF(H134&lt;&gt;"",H134,INDEX(D:D,E135)))</f>
        <v>0</v>
      </c>
      <c r="G135" s="165" t="str">
        <f t="shared" si="14"/>
        <v>0</v>
      </c>
      <c r="H135" s="174" t="str">
        <f t="shared" si="15"/>
        <v/>
      </c>
      <c r="I135" s="184" t="str">
        <f>IF(AND(F135&lt;&gt;"",N10&gt;0,M135&gt;N10),"Mot &gt; limite","")</f>
        <v/>
      </c>
      <c r="J135" s="175" t="str">
        <f>IF(K135="","",COUNTIF(K18:K135,"&lt;&gt;"))</f>
        <v/>
      </c>
      <c r="K135" s="111"/>
      <c r="L135" s="175" t="str">
        <f t="shared" si="16"/>
        <v/>
      </c>
      <c r="M135" s="135">
        <f>IF(OR(F135="",N10="",N10&lt;=0),"",IF(LEN(F135)&lt;=N10,LEN(F135),IFERROR(FIND("♦",SUBSTITUTE(LEFT(F135,N10)," ","♦",LEN(LEFT(F135,N10))-LEN(SUBSTITUTE(LEFT(F135,N10)," ","")))),FIND(" ",F135&amp;" ",N10+1)-1)))</f>
        <v>1</v>
      </c>
      <c r="N135" s="176">
        <f t="shared" si="17"/>
        <v>118</v>
      </c>
      <c r="O135" s="177" t="str">
        <f t="shared" si="18"/>
        <v>0</v>
      </c>
      <c r="P135" s="176">
        <f t="shared" si="19"/>
        <v>1</v>
      </c>
      <c r="Q135" s="176">
        <f t="shared" si="20"/>
        <v>1</v>
      </c>
      <c r="S135" s="213"/>
      <c r="T135" s="208"/>
      <c r="U135" s="214" t="s">
        <v>994</v>
      </c>
      <c r="V135" s="213"/>
      <c r="W135" s="213"/>
      <c r="X135" s="213"/>
      <c r="Y135" s="213"/>
      <c r="Z135" s="213"/>
      <c r="AA135" s="213"/>
      <c r="AB135" s="213"/>
      <c r="AC135" s="213"/>
      <c r="AD135" s="213"/>
      <c r="AE135" s="213"/>
      <c r="AF135" s="213"/>
      <c r="AG135" s="213"/>
      <c r="AH135" s="213"/>
      <c r="AI135" s="213"/>
      <c r="AJ135" s="213"/>
      <c r="AK135" s="213"/>
      <c r="DE135" s="152"/>
      <c r="DF135" s="160" t="s">
        <v>995</v>
      </c>
      <c r="DG135" s="160" t="s">
        <v>584</v>
      </c>
      <c r="DH135" s="160" t="s">
        <v>125</v>
      </c>
      <c r="DI135" s="160" t="s">
        <v>996</v>
      </c>
      <c r="DJ135" s="160" t="s">
        <v>996</v>
      </c>
      <c r="DK135" s="160" t="s">
        <v>588</v>
      </c>
      <c r="DL135" s="160" t="s">
        <v>589</v>
      </c>
      <c r="DM135" s="160" t="s">
        <v>590</v>
      </c>
      <c r="DN135" s="161" t="s">
        <v>591</v>
      </c>
      <c r="DP135" s="130">
        <v>1</v>
      </c>
    </row>
    <row r="136" spans="2:120" ht="30" customHeight="1">
      <c r="B136" s="165" t="str">
        <f t="shared" si="12"/>
        <v/>
      </c>
      <c r="C136" s="165" t="str">
        <f t="shared" si="13"/>
        <v/>
      </c>
      <c r="D136" s="165" t="str">
        <f>IF(UPPER(TRIM(N11))="X",C136,B136)</f>
        <v/>
      </c>
      <c r="E136" s="165" cm="1">
        <f t="array" ref="E136">IF(H135&lt;&gt;"",E135,IF(E135="","",IFERROR(MATCH(TRUE(),INDEX(INDEX(K:K,E135+1):K203&lt;&gt;"",0),0)+E135,"")))</f>
        <v>228</v>
      </c>
      <c r="F136" s="165" cm="1">
        <f t="array" ref="F136">IF(E136="","",IF(H135&lt;&gt;"",H135,INDEX(D:D,E136)))</f>
        <v>0</v>
      </c>
      <c r="G136" s="165" t="str">
        <f t="shared" si="14"/>
        <v>0</v>
      </c>
      <c r="H136" s="174" t="str">
        <f t="shared" si="15"/>
        <v/>
      </c>
      <c r="I136" s="184" t="str">
        <f>IF(AND(F136&lt;&gt;"",N10&gt;0,M136&gt;N10),"Mot &gt; limite","")</f>
        <v/>
      </c>
      <c r="J136" s="175" t="str">
        <f>IF(K136="","",COUNTIF(K18:K136,"&lt;&gt;"))</f>
        <v/>
      </c>
      <c r="K136" s="111"/>
      <c r="L136" s="175" t="str">
        <f t="shared" si="16"/>
        <v/>
      </c>
      <c r="M136" s="135">
        <f>IF(OR(F136="",N10="",N10&lt;=0),"",IF(LEN(F136)&lt;=N10,LEN(F136),IFERROR(FIND("♦",SUBSTITUTE(LEFT(F136,N10)," ","♦",LEN(LEFT(F136,N10))-LEN(SUBSTITUTE(LEFT(F136,N10)," ","")))),FIND(" ",F136&amp;" ",N10+1)-1)))</f>
        <v>1</v>
      </c>
      <c r="N136" s="176">
        <f t="shared" si="17"/>
        <v>119</v>
      </c>
      <c r="O136" s="177" t="str">
        <f t="shared" si="18"/>
        <v>0</v>
      </c>
      <c r="P136" s="176">
        <f t="shared" si="19"/>
        <v>1</v>
      </c>
      <c r="Q136" s="176">
        <f t="shared" si="20"/>
        <v>1</v>
      </c>
      <c r="S136" s="213"/>
      <c r="T136" s="208" t="s">
        <v>997</v>
      </c>
      <c r="U136" s="214" t="s">
        <v>998</v>
      </c>
      <c r="V136" s="213"/>
      <c r="W136" s="213"/>
      <c r="X136" s="213"/>
      <c r="Y136" s="213"/>
      <c r="Z136" s="213"/>
      <c r="AA136" s="213"/>
      <c r="AB136" s="213"/>
      <c r="AC136" s="213"/>
      <c r="AD136" s="213"/>
      <c r="AE136" s="213"/>
      <c r="AF136" s="213"/>
      <c r="AG136" s="213"/>
      <c r="AH136" s="213"/>
      <c r="AI136" s="213"/>
      <c r="AJ136" s="213"/>
      <c r="AK136" s="213"/>
      <c r="DE136" s="152"/>
      <c r="DF136" s="160" t="s">
        <v>999</v>
      </c>
      <c r="DG136" s="160" t="s">
        <v>584</v>
      </c>
      <c r="DH136" s="160" t="s">
        <v>125</v>
      </c>
      <c r="DI136" s="160" t="s">
        <v>473</v>
      </c>
      <c r="DJ136" s="160" t="s">
        <v>473</v>
      </c>
      <c r="DK136" s="160" t="s">
        <v>666</v>
      </c>
      <c r="DL136" s="160" t="s">
        <v>667</v>
      </c>
      <c r="DM136" s="160" t="s">
        <v>590</v>
      </c>
      <c r="DN136" s="161" t="s">
        <v>668</v>
      </c>
      <c r="DP136" s="130">
        <v>1</v>
      </c>
    </row>
    <row r="137" spans="2:120" ht="30" customHeight="1">
      <c r="B137" s="165" t="str">
        <f t="shared" si="12"/>
        <v/>
      </c>
      <c r="C137" s="165" t="str">
        <f t="shared" si="13"/>
        <v/>
      </c>
      <c r="D137" s="165" t="str">
        <f>IF(UPPER(TRIM(N11))="X",C137,B137)</f>
        <v/>
      </c>
      <c r="E137" s="165" cm="1">
        <f t="array" ref="E137">IF(H136&lt;&gt;"",E136,IF(E136="","",IFERROR(MATCH(TRUE(),INDEX(INDEX(K:K,E136+1):K203&lt;&gt;"",0),0)+E136,"")))</f>
        <v>229</v>
      </c>
      <c r="F137" s="165" cm="1">
        <f t="array" ref="F137">IF(E137="","",IF(H136&lt;&gt;"",H136,INDEX(D:D,E137)))</f>
        <v>0</v>
      </c>
      <c r="G137" s="165" t="str">
        <f t="shared" si="14"/>
        <v>0</v>
      </c>
      <c r="H137" s="174" t="str">
        <f t="shared" si="15"/>
        <v/>
      </c>
      <c r="I137" s="184" t="str">
        <f>IF(AND(F137&lt;&gt;"",N10&gt;0,M137&gt;N10),"Mot &gt; limite","")</f>
        <v/>
      </c>
      <c r="J137" s="175" t="str">
        <f>IF(K137="","",COUNTIF(K18:K137,"&lt;&gt;"))</f>
        <v/>
      </c>
      <c r="K137" s="111"/>
      <c r="L137" s="175" t="str">
        <f t="shared" si="16"/>
        <v/>
      </c>
      <c r="M137" s="135">
        <f>IF(OR(F137="",N10="",N10&lt;=0),"",IF(LEN(F137)&lt;=N10,LEN(F137),IFERROR(FIND("♦",SUBSTITUTE(LEFT(F137,N10)," ","♦",LEN(LEFT(F137,N10))-LEN(SUBSTITUTE(LEFT(F137,N10)," ","")))),FIND(" ",F137&amp;" ",N10+1)-1)))</f>
        <v>1</v>
      </c>
      <c r="N137" s="176">
        <f t="shared" si="17"/>
        <v>120</v>
      </c>
      <c r="O137" s="177" t="str">
        <f t="shared" si="18"/>
        <v>0</v>
      </c>
      <c r="P137" s="176">
        <f t="shared" si="19"/>
        <v>1</v>
      </c>
      <c r="Q137" s="176">
        <f t="shared" si="20"/>
        <v>1</v>
      </c>
      <c r="S137" s="213"/>
      <c r="T137" s="216" t="s">
        <v>1000</v>
      </c>
      <c r="U137" s="214" t="s">
        <v>1001</v>
      </c>
      <c r="V137" s="213"/>
      <c r="W137" s="213"/>
      <c r="X137" s="213"/>
      <c r="Y137" s="213"/>
      <c r="Z137" s="213"/>
      <c r="AA137" s="213"/>
      <c r="AB137" s="213"/>
      <c r="AC137" s="213"/>
      <c r="AD137" s="213"/>
      <c r="AE137" s="213"/>
      <c r="AF137" s="213"/>
      <c r="AG137" s="213"/>
      <c r="AH137" s="213"/>
      <c r="AI137" s="213"/>
      <c r="AJ137" s="213"/>
      <c r="AK137" s="213"/>
      <c r="DE137" s="152"/>
      <c r="DF137" s="160" t="s">
        <v>1002</v>
      </c>
      <c r="DG137" s="160" t="s">
        <v>584</v>
      </c>
      <c r="DH137" s="160" t="s">
        <v>125</v>
      </c>
      <c r="DI137" s="160" t="s">
        <v>196</v>
      </c>
      <c r="DJ137" s="160" t="s">
        <v>196</v>
      </c>
      <c r="DK137" s="160" t="s">
        <v>588</v>
      </c>
      <c r="DL137" s="160" t="s">
        <v>589</v>
      </c>
      <c r="DM137" s="160" t="s">
        <v>590</v>
      </c>
      <c r="DN137" s="161" t="s">
        <v>591</v>
      </c>
      <c r="DP137" s="130">
        <v>1</v>
      </c>
    </row>
    <row r="138" spans="2:120" ht="30" customHeight="1">
      <c r="B138" s="165" t="str">
        <f t="shared" si="12"/>
        <v/>
      </c>
      <c r="C138" s="165" t="str">
        <f t="shared" si="13"/>
        <v/>
      </c>
      <c r="D138" s="165" t="str">
        <f>IF(UPPER(TRIM(N11))="X",C138,B138)</f>
        <v/>
      </c>
      <c r="E138" s="165" cm="1">
        <f t="array" ref="E138">IF(H137&lt;&gt;"",E137,IF(E137="","",IFERROR(MATCH(TRUE(),INDEX(INDEX(K:K,E137+1):K203&lt;&gt;"",0),0)+E137,"")))</f>
        <v>230</v>
      </c>
      <c r="F138" s="165" cm="1">
        <f t="array" ref="F138">IF(E138="","",IF(H137&lt;&gt;"",H137,INDEX(D:D,E138)))</f>
        <v>0</v>
      </c>
      <c r="G138" s="165" t="str">
        <f t="shared" si="14"/>
        <v>0</v>
      </c>
      <c r="H138" s="174" t="str">
        <f t="shared" si="15"/>
        <v/>
      </c>
      <c r="I138" s="184" t="str">
        <f>IF(AND(F138&lt;&gt;"",N10&gt;0,M138&gt;N10),"Mot &gt; limite","")</f>
        <v/>
      </c>
      <c r="J138" s="175" t="str">
        <f>IF(K138="","",COUNTIF(K18:K138,"&lt;&gt;"))</f>
        <v/>
      </c>
      <c r="K138" s="111"/>
      <c r="L138" s="175" t="str">
        <f t="shared" si="16"/>
        <v/>
      </c>
      <c r="M138" s="135">
        <f>IF(OR(F138="",N10="",N10&lt;=0),"",IF(LEN(F138)&lt;=N10,LEN(F138),IFERROR(FIND("♦",SUBSTITUTE(LEFT(F138,N10)," ","♦",LEN(LEFT(F138,N10))-LEN(SUBSTITUTE(LEFT(F138,N10)," ","")))),FIND(" ",F138&amp;" ",N10+1)-1)))</f>
        <v>1</v>
      </c>
      <c r="N138" s="176">
        <f t="shared" si="17"/>
        <v>121</v>
      </c>
      <c r="O138" s="177" t="str">
        <f t="shared" si="18"/>
        <v>0</v>
      </c>
      <c r="P138" s="176">
        <f t="shared" si="19"/>
        <v>1</v>
      </c>
      <c r="Q138" s="176">
        <f t="shared" si="20"/>
        <v>1</v>
      </c>
      <c r="S138" s="213"/>
      <c r="T138" s="217"/>
      <c r="U138" s="214" t="s">
        <v>1003</v>
      </c>
      <c r="V138" s="213"/>
      <c r="W138" s="213"/>
      <c r="X138" s="213"/>
      <c r="Y138" s="213"/>
      <c r="Z138" s="213"/>
      <c r="AA138" s="213"/>
      <c r="AB138" s="213"/>
      <c r="AC138" s="213"/>
      <c r="AD138" s="213"/>
      <c r="AE138" s="213"/>
      <c r="AF138" s="213"/>
      <c r="AG138" s="213"/>
      <c r="AH138" s="213"/>
      <c r="AI138" s="213"/>
      <c r="AJ138" s="213"/>
      <c r="AK138" s="213"/>
      <c r="DE138" s="152"/>
      <c r="DF138" s="160" t="s">
        <v>1004</v>
      </c>
      <c r="DG138" s="160" t="s">
        <v>584</v>
      </c>
      <c r="DH138" s="160" t="s">
        <v>125</v>
      </c>
      <c r="DI138" s="160" t="s">
        <v>197</v>
      </c>
      <c r="DJ138" s="160" t="s">
        <v>197</v>
      </c>
      <c r="DK138" s="160" t="s">
        <v>588</v>
      </c>
      <c r="DL138" s="160" t="s">
        <v>589</v>
      </c>
      <c r="DM138" s="160" t="s">
        <v>590</v>
      </c>
      <c r="DN138" s="161" t="s">
        <v>591</v>
      </c>
      <c r="DP138" s="130">
        <v>1</v>
      </c>
    </row>
    <row r="139" spans="2:120" ht="30" customHeight="1">
      <c r="B139" s="165" t="str">
        <f t="shared" si="12"/>
        <v/>
      </c>
      <c r="C139" s="165" t="str">
        <f t="shared" si="13"/>
        <v/>
      </c>
      <c r="D139" s="165" t="str">
        <f>IF(UPPER(TRIM(N11))="X",C139,B139)</f>
        <v/>
      </c>
      <c r="E139" s="165" cm="1">
        <f t="array" ref="E139">IF(H138&lt;&gt;"",E138,IF(E138="","",IFERROR(MATCH(TRUE(),INDEX(INDEX(K:K,E138+1):K203&lt;&gt;"",0),0)+E138,"")))</f>
        <v>231</v>
      </c>
      <c r="F139" s="165" cm="1">
        <f t="array" ref="F139">IF(E139="","",IF(H138&lt;&gt;"",H138,INDEX(D:D,E139)))</f>
        <v>0</v>
      </c>
      <c r="G139" s="165" t="str">
        <f t="shared" si="14"/>
        <v>0</v>
      </c>
      <c r="H139" s="174" t="str">
        <f t="shared" si="15"/>
        <v/>
      </c>
      <c r="I139" s="184" t="str">
        <f>IF(AND(F139&lt;&gt;"",N10&gt;0,M139&gt;N10),"Mot &gt; limite","")</f>
        <v/>
      </c>
      <c r="J139" s="175" t="str">
        <f>IF(K139="","",COUNTIF(K18:K139,"&lt;&gt;"))</f>
        <v/>
      </c>
      <c r="K139" s="111"/>
      <c r="L139" s="175" t="str">
        <f t="shared" si="16"/>
        <v/>
      </c>
      <c r="M139" s="135">
        <f>IF(OR(F139="",N10="",N10&lt;=0),"",IF(LEN(F139)&lt;=N10,LEN(F139),IFERROR(FIND("♦",SUBSTITUTE(LEFT(F139,N10)," ","♦",LEN(LEFT(F139,N10))-LEN(SUBSTITUTE(LEFT(F139,N10)," ","")))),FIND(" ",F139&amp;" ",N10+1)-1)))</f>
        <v>1</v>
      </c>
      <c r="N139" s="176">
        <f t="shared" si="17"/>
        <v>122</v>
      </c>
      <c r="O139" s="177" t="str">
        <f t="shared" si="18"/>
        <v>0</v>
      </c>
      <c r="P139" s="176">
        <f t="shared" si="19"/>
        <v>1</v>
      </c>
      <c r="Q139" s="176">
        <f t="shared" si="20"/>
        <v>1</v>
      </c>
      <c r="S139" s="213"/>
      <c r="T139" s="217"/>
      <c r="U139" s="214"/>
      <c r="V139" s="213"/>
      <c r="W139" s="213"/>
      <c r="X139" s="213"/>
      <c r="Y139" s="213"/>
      <c r="Z139" s="213"/>
      <c r="AA139" s="213"/>
      <c r="AB139" s="213"/>
      <c r="AC139" s="213"/>
      <c r="AD139" s="213"/>
      <c r="AE139" s="213"/>
      <c r="AF139" s="213"/>
      <c r="AG139" s="213"/>
      <c r="AH139" s="213"/>
      <c r="AI139" s="213"/>
      <c r="AJ139" s="213"/>
      <c r="AK139" s="213"/>
      <c r="DE139" s="152"/>
      <c r="DF139" s="160" t="s">
        <v>1005</v>
      </c>
      <c r="DG139" s="160" t="s">
        <v>584</v>
      </c>
      <c r="DH139" s="160" t="s">
        <v>125</v>
      </c>
      <c r="DI139" s="160" t="s">
        <v>198</v>
      </c>
      <c r="DJ139" s="160" t="s">
        <v>198</v>
      </c>
      <c r="DK139" s="160" t="s">
        <v>588</v>
      </c>
      <c r="DL139" s="160" t="s">
        <v>589</v>
      </c>
      <c r="DM139" s="160" t="s">
        <v>590</v>
      </c>
      <c r="DN139" s="161" t="s">
        <v>591</v>
      </c>
      <c r="DP139" s="130">
        <v>1</v>
      </c>
    </row>
    <row r="140" spans="2:120" ht="30" customHeight="1">
      <c r="B140" s="165" t="str">
        <f t="shared" si="12"/>
        <v/>
      </c>
      <c r="C140" s="165" t="str">
        <f t="shared" si="13"/>
        <v/>
      </c>
      <c r="D140" s="165" t="str">
        <f>IF(UPPER(TRIM(N11))="X",C140,B140)</f>
        <v/>
      </c>
      <c r="E140" s="165" cm="1">
        <f t="array" ref="E140">IF(H139&lt;&gt;"",E139,IF(E139="","",IFERROR(MATCH(TRUE(),INDEX(INDEX(K:K,E139+1):K203&lt;&gt;"",0),0)+E139,"")))</f>
        <v>232</v>
      </c>
      <c r="F140" s="165" cm="1">
        <f t="array" ref="F140">IF(E140="","",IF(H139&lt;&gt;"",H139,INDEX(D:D,E140)))</f>
        <v>0</v>
      </c>
      <c r="G140" s="165" t="str">
        <f t="shared" si="14"/>
        <v>0</v>
      </c>
      <c r="H140" s="174" t="str">
        <f t="shared" si="15"/>
        <v/>
      </c>
      <c r="I140" s="184" t="str">
        <f>IF(AND(F140&lt;&gt;"",N10&gt;0,M140&gt;N10),"Mot &gt; limite","")</f>
        <v/>
      </c>
      <c r="J140" s="175" t="str">
        <f>IF(K140="","",COUNTIF(K18:K140,"&lt;&gt;"))</f>
        <v/>
      </c>
      <c r="K140" s="111"/>
      <c r="L140" s="175" t="str">
        <f t="shared" si="16"/>
        <v/>
      </c>
      <c r="M140" s="135">
        <f>IF(OR(F140="",N10="",N10&lt;=0),"",IF(LEN(F140)&lt;=N10,LEN(F140),IFERROR(FIND("♦",SUBSTITUTE(LEFT(F140,N10)," ","♦",LEN(LEFT(F140,N10))-LEN(SUBSTITUTE(LEFT(F140,N10)," ","")))),FIND(" ",F140&amp;" ",N10+1)-1)))</f>
        <v>1</v>
      </c>
      <c r="N140" s="176">
        <f t="shared" si="17"/>
        <v>123</v>
      </c>
      <c r="O140" s="177" t="str">
        <f t="shared" si="18"/>
        <v>0</v>
      </c>
      <c r="P140" s="176">
        <f t="shared" si="19"/>
        <v>1</v>
      </c>
      <c r="Q140" s="176">
        <f t="shared" si="20"/>
        <v>1</v>
      </c>
      <c r="S140" s="214"/>
      <c r="T140" s="219" t="s">
        <v>1006</v>
      </c>
      <c r="U140" s="220"/>
      <c r="V140" s="214"/>
      <c r="W140" s="214"/>
      <c r="X140" s="214"/>
      <c r="Y140" s="214"/>
      <c r="Z140" s="214"/>
      <c r="AA140" s="214"/>
      <c r="AB140" s="214"/>
      <c r="AC140" s="214"/>
      <c r="AD140" s="214"/>
      <c r="AE140" s="214"/>
      <c r="AF140" s="214"/>
      <c r="AG140" s="214"/>
      <c r="AH140" s="214"/>
      <c r="AI140" s="214"/>
      <c r="AJ140" s="214"/>
      <c r="AK140" s="214"/>
      <c r="DE140" s="152"/>
      <c r="DF140" s="160" t="s">
        <v>1007</v>
      </c>
      <c r="DG140" s="160" t="s">
        <v>584</v>
      </c>
      <c r="DH140" s="160" t="s">
        <v>125</v>
      </c>
      <c r="DI140" s="160" t="s">
        <v>1008</v>
      </c>
      <c r="DJ140" s="160" t="s">
        <v>199</v>
      </c>
      <c r="DK140" s="160" t="s">
        <v>588</v>
      </c>
      <c r="DL140" s="160" t="s">
        <v>589</v>
      </c>
      <c r="DM140" s="160" t="s">
        <v>590</v>
      </c>
      <c r="DN140" s="161" t="s">
        <v>591</v>
      </c>
      <c r="DP140" s="130">
        <v>1</v>
      </c>
    </row>
    <row r="141" spans="2:120" ht="30" customHeight="1">
      <c r="B141" s="165" t="str">
        <f t="shared" si="12"/>
        <v/>
      </c>
      <c r="C141" s="165" t="str">
        <f t="shared" si="13"/>
        <v/>
      </c>
      <c r="D141" s="165" t="str">
        <f>IF(UPPER(TRIM(N11))="X",C141,B141)</f>
        <v/>
      </c>
      <c r="E141" s="165" cm="1">
        <f t="array" ref="E141">IF(H140&lt;&gt;"",E140,IF(E140="","",IFERROR(MATCH(TRUE(),INDEX(INDEX(K:K,E140+1):K203&lt;&gt;"",0),0)+E140,"")))</f>
        <v>233</v>
      </c>
      <c r="F141" s="165" cm="1">
        <f t="array" ref="F141">IF(E141="","",IF(H140&lt;&gt;"",H140,INDEX(D:D,E141)))</f>
        <v>0</v>
      </c>
      <c r="G141" s="165" t="str">
        <f t="shared" si="14"/>
        <v>0</v>
      </c>
      <c r="H141" s="174" t="str">
        <f t="shared" si="15"/>
        <v/>
      </c>
      <c r="I141" s="184" t="str">
        <f>IF(AND(F141&lt;&gt;"",N10&gt;0,M141&gt;N10),"Mot &gt; limite","")</f>
        <v/>
      </c>
      <c r="J141" s="175" t="str">
        <f>IF(K141="","",COUNTIF(K18:K141,"&lt;&gt;"))</f>
        <v/>
      </c>
      <c r="K141" s="111"/>
      <c r="L141" s="175" t="str">
        <f t="shared" si="16"/>
        <v/>
      </c>
      <c r="M141" s="135">
        <f>IF(OR(F141="",N10="",N10&lt;=0),"",IF(LEN(F141)&lt;=N10,LEN(F141),IFERROR(FIND("♦",SUBSTITUTE(LEFT(F141,N10)," ","♦",LEN(LEFT(F141,N10))-LEN(SUBSTITUTE(LEFT(F141,N10)," ","")))),FIND(" ",F141&amp;" ",N10+1)-1)))</f>
        <v>1</v>
      </c>
      <c r="N141" s="176">
        <f t="shared" si="17"/>
        <v>124</v>
      </c>
      <c r="O141" s="177" t="str">
        <f t="shared" si="18"/>
        <v>0</v>
      </c>
      <c r="P141" s="176">
        <f t="shared" si="19"/>
        <v>1</v>
      </c>
      <c r="Q141" s="176">
        <f t="shared" si="20"/>
        <v>1</v>
      </c>
      <c r="S141" s="214"/>
      <c r="T141" s="221" t="s">
        <v>1009</v>
      </c>
      <c r="U141" s="222" t="s">
        <v>1010</v>
      </c>
      <c r="V141" s="214"/>
      <c r="W141" s="214"/>
      <c r="X141" s="214"/>
      <c r="Y141" s="214"/>
      <c r="Z141" s="214"/>
      <c r="AA141" s="214"/>
      <c r="AB141" s="214"/>
      <c r="AC141" s="214"/>
      <c r="AD141" s="214"/>
      <c r="AE141" s="214"/>
      <c r="AF141" s="214"/>
      <c r="AG141" s="214"/>
      <c r="AH141" s="214"/>
      <c r="AI141" s="214"/>
      <c r="AJ141" s="214"/>
      <c r="AK141" s="214"/>
      <c r="DE141" s="152"/>
      <c r="DF141" s="160" t="s">
        <v>1011</v>
      </c>
      <c r="DG141" s="160" t="s">
        <v>584</v>
      </c>
      <c r="DH141" s="160" t="s">
        <v>125</v>
      </c>
      <c r="DI141" s="160" t="s">
        <v>1012</v>
      </c>
      <c r="DJ141" s="160" t="s">
        <v>1012</v>
      </c>
      <c r="DK141" s="160" t="s">
        <v>588</v>
      </c>
      <c r="DL141" s="160" t="s">
        <v>589</v>
      </c>
      <c r="DM141" s="160" t="s">
        <v>590</v>
      </c>
      <c r="DN141" s="161" t="s">
        <v>591</v>
      </c>
      <c r="DP141" s="130">
        <v>1</v>
      </c>
    </row>
    <row r="142" spans="2:120" ht="30" customHeight="1">
      <c r="B142" s="165" t="str">
        <f t="shared" si="12"/>
        <v/>
      </c>
      <c r="C142" s="165" t="str">
        <f t="shared" si="13"/>
        <v/>
      </c>
      <c r="D142" s="165" t="str">
        <f>IF(UPPER(TRIM(N11))="X",C142,B142)</f>
        <v/>
      </c>
      <c r="E142" s="165" cm="1">
        <f t="array" ref="E142">IF(H141&lt;&gt;"",E141,IF(E141="","",IFERROR(MATCH(TRUE(),INDEX(INDEX(K:K,E141+1):K203&lt;&gt;"",0),0)+E141,"")))</f>
        <v>234</v>
      </c>
      <c r="F142" s="165" cm="1">
        <f t="array" ref="F142">IF(E142="","",IF(H141&lt;&gt;"",H141,INDEX(D:D,E142)))</f>
        <v>0</v>
      </c>
      <c r="G142" s="165" t="str">
        <f t="shared" si="14"/>
        <v>0</v>
      </c>
      <c r="H142" s="174" t="str">
        <f t="shared" si="15"/>
        <v/>
      </c>
      <c r="I142" s="184" t="str">
        <f>IF(AND(F142&lt;&gt;"",N10&gt;0,M142&gt;N10),"Mot &gt; limite","")</f>
        <v/>
      </c>
      <c r="J142" s="175" t="str">
        <f>IF(K142="","",COUNTIF(K18:K142,"&lt;&gt;"))</f>
        <v/>
      </c>
      <c r="K142" s="111"/>
      <c r="L142" s="175" t="str">
        <f t="shared" si="16"/>
        <v/>
      </c>
      <c r="M142" s="135">
        <f>IF(OR(F142="",N10="",N10&lt;=0),"",IF(LEN(F142)&lt;=N10,LEN(F142),IFERROR(FIND("♦",SUBSTITUTE(LEFT(F142,N10)," ","♦",LEN(LEFT(F142,N10))-LEN(SUBSTITUTE(LEFT(F142,N10)," ","")))),FIND(" ",F142&amp;" ",N10+1)-1)))</f>
        <v>1</v>
      </c>
      <c r="N142" s="176">
        <f t="shared" si="17"/>
        <v>125</v>
      </c>
      <c r="O142" s="177" t="str">
        <f t="shared" si="18"/>
        <v>0</v>
      </c>
      <c r="P142" s="176">
        <f t="shared" si="19"/>
        <v>1</v>
      </c>
      <c r="Q142" s="176">
        <f t="shared" si="20"/>
        <v>1</v>
      </c>
      <c r="S142" s="214"/>
      <c r="T142" s="221" t="s">
        <v>1013</v>
      </c>
      <c r="U142" s="222" t="s">
        <v>1014</v>
      </c>
      <c r="V142" s="214"/>
      <c r="W142" s="214"/>
      <c r="X142" s="214"/>
      <c r="Y142" s="214"/>
      <c r="Z142" s="214"/>
      <c r="AA142" s="214"/>
      <c r="AB142" s="214"/>
      <c r="AC142" s="214"/>
      <c r="AD142" s="214"/>
      <c r="AE142" s="214"/>
      <c r="AF142" s="214"/>
      <c r="AG142" s="214"/>
      <c r="AH142" s="214"/>
      <c r="AI142" s="214"/>
      <c r="AJ142" s="214"/>
      <c r="AK142" s="214"/>
      <c r="DE142" s="152"/>
      <c r="DF142" s="160" t="s">
        <v>1015</v>
      </c>
      <c r="DG142" s="160" t="s">
        <v>584</v>
      </c>
      <c r="DH142" s="160" t="s">
        <v>125</v>
      </c>
      <c r="DI142" s="160" t="s">
        <v>1016</v>
      </c>
      <c r="DJ142" s="160" t="s">
        <v>1016</v>
      </c>
      <c r="DK142" s="160" t="s">
        <v>588</v>
      </c>
      <c r="DL142" s="160" t="s">
        <v>589</v>
      </c>
      <c r="DM142" s="160" t="s">
        <v>590</v>
      </c>
      <c r="DN142" s="161" t="s">
        <v>591</v>
      </c>
      <c r="DP142" s="130">
        <v>1</v>
      </c>
    </row>
    <row r="143" spans="2:120" ht="30" customHeight="1">
      <c r="B143" s="165" t="str">
        <f t="shared" si="12"/>
        <v/>
      </c>
      <c r="C143" s="165" t="str">
        <f t="shared" si="13"/>
        <v/>
      </c>
      <c r="D143" s="165" t="str">
        <f>IF(UPPER(TRIM(N11))="X",C143,B143)</f>
        <v/>
      </c>
      <c r="E143" s="165" cm="1">
        <f t="array" ref="E143">IF(H142&lt;&gt;"",E142,IF(E142="","",IFERROR(MATCH(TRUE(),INDEX(INDEX(K:K,E142+1):K203&lt;&gt;"",0),0)+E142,"")))</f>
        <v>235</v>
      </c>
      <c r="F143" s="165" cm="1">
        <f t="array" ref="F143">IF(E143="","",IF(H142&lt;&gt;"",H142,INDEX(D:D,E143)))</f>
        <v>0</v>
      </c>
      <c r="G143" s="165" t="str">
        <f t="shared" si="14"/>
        <v>0</v>
      </c>
      <c r="H143" s="174" t="str">
        <f t="shared" si="15"/>
        <v/>
      </c>
      <c r="I143" s="184" t="str">
        <f>IF(AND(F143&lt;&gt;"",N10&gt;0,M143&gt;N10),"Mot &gt; limite","")</f>
        <v/>
      </c>
      <c r="J143" s="175" t="str">
        <f>IF(K143="","",COUNTIF(K18:K143,"&lt;&gt;"))</f>
        <v/>
      </c>
      <c r="K143" s="111"/>
      <c r="L143" s="175" t="str">
        <f t="shared" si="16"/>
        <v/>
      </c>
      <c r="M143" s="135">
        <f>IF(OR(F143="",N10="",N10&lt;=0),"",IF(LEN(F143)&lt;=N10,LEN(F143),IFERROR(FIND("♦",SUBSTITUTE(LEFT(F143,N10)," ","♦",LEN(LEFT(F143,N10))-LEN(SUBSTITUTE(LEFT(F143,N10)," ","")))),FIND(" ",F143&amp;" ",N10+1)-1)))</f>
        <v>1</v>
      </c>
      <c r="N143" s="176">
        <f t="shared" si="17"/>
        <v>126</v>
      </c>
      <c r="O143" s="177" t="str">
        <f t="shared" si="18"/>
        <v>0</v>
      </c>
      <c r="P143" s="176">
        <f t="shared" si="19"/>
        <v>1</v>
      </c>
      <c r="Q143" s="176">
        <f t="shared" si="20"/>
        <v>1</v>
      </c>
      <c r="S143" s="214"/>
      <c r="T143" s="221"/>
      <c r="U143" s="222" t="s">
        <v>1017</v>
      </c>
      <c r="V143" s="214"/>
      <c r="W143" s="214"/>
      <c r="X143" s="214"/>
      <c r="Y143" s="214"/>
      <c r="Z143" s="214"/>
      <c r="AA143" s="214"/>
      <c r="AB143" s="214"/>
      <c r="AC143" s="214"/>
      <c r="AD143" s="214"/>
      <c r="AE143" s="214"/>
      <c r="AF143" s="214"/>
      <c r="AG143" s="214"/>
      <c r="AH143" s="214"/>
      <c r="AI143" s="214"/>
      <c r="AJ143" s="214"/>
      <c r="AK143" s="214"/>
      <c r="DE143" s="152"/>
      <c r="DF143" s="160" t="s">
        <v>1018</v>
      </c>
      <c r="DG143" s="160" t="s">
        <v>584</v>
      </c>
      <c r="DH143" s="160" t="s">
        <v>125</v>
      </c>
      <c r="DI143" s="160" t="s">
        <v>1019</v>
      </c>
      <c r="DJ143" s="160" t="s">
        <v>1019</v>
      </c>
      <c r="DK143" s="160" t="s">
        <v>588</v>
      </c>
      <c r="DL143" s="160" t="s">
        <v>589</v>
      </c>
      <c r="DM143" s="160" t="s">
        <v>590</v>
      </c>
      <c r="DN143" s="161" t="s">
        <v>591</v>
      </c>
      <c r="DP143" s="130">
        <v>1</v>
      </c>
    </row>
    <row r="144" spans="2:120" ht="30" customHeight="1">
      <c r="B144" s="165" t="str">
        <f t="shared" si="12"/>
        <v/>
      </c>
      <c r="C144" s="165" t="str">
        <f t="shared" si="13"/>
        <v/>
      </c>
      <c r="D144" s="165" t="str">
        <f>IF(UPPER(TRIM(N11))="X",C144,B144)</f>
        <v/>
      </c>
      <c r="E144" s="165" cm="1">
        <f t="array" ref="E144">IF(H143&lt;&gt;"",E143,IF(E143="","",IFERROR(MATCH(TRUE(),INDEX(INDEX(K:K,E143+1):K203&lt;&gt;"",0),0)+E143,"")))</f>
        <v>236</v>
      </c>
      <c r="F144" s="165" cm="1">
        <f t="array" ref="F144">IF(E144="","",IF(H143&lt;&gt;"",H143,INDEX(D:D,E144)))</f>
        <v>0</v>
      </c>
      <c r="G144" s="165" t="str">
        <f t="shared" si="14"/>
        <v>0</v>
      </c>
      <c r="H144" s="174" t="str">
        <f t="shared" si="15"/>
        <v/>
      </c>
      <c r="I144" s="184" t="str">
        <f>IF(AND(F144&lt;&gt;"",N10&gt;0,M144&gt;N10),"Mot &gt; limite","")</f>
        <v/>
      </c>
      <c r="J144" s="175" t="str">
        <f>IF(K144="","",COUNTIF(K18:K144,"&lt;&gt;"))</f>
        <v/>
      </c>
      <c r="K144" s="111"/>
      <c r="L144" s="175" t="str">
        <f t="shared" si="16"/>
        <v/>
      </c>
      <c r="M144" s="135">
        <f>IF(OR(F144="",N10="",N10&lt;=0),"",IF(LEN(F144)&lt;=N10,LEN(F144),IFERROR(FIND("♦",SUBSTITUTE(LEFT(F144,N10)," ","♦",LEN(LEFT(F144,N10))-LEN(SUBSTITUTE(LEFT(F144,N10)," ","")))),FIND(" ",F144&amp;" ",N10+1)-1)))</f>
        <v>1</v>
      </c>
      <c r="N144" s="176">
        <f t="shared" si="17"/>
        <v>127</v>
      </c>
      <c r="O144" s="177" t="str">
        <f t="shared" si="18"/>
        <v>0</v>
      </c>
      <c r="P144" s="176">
        <f t="shared" si="19"/>
        <v>1</v>
      </c>
      <c r="Q144" s="176">
        <f t="shared" si="20"/>
        <v>1</v>
      </c>
      <c r="S144" s="214"/>
      <c r="T144" s="221" t="s">
        <v>1020</v>
      </c>
      <c r="U144" s="222" t="s">
        <v>1021</v>
      </c>
      <c r="V144" s="214"/>
      <c r="W144" s="214"/>
      <c r="X144" s="214"/>
      <c r="Y144" s="214"/>
      <c r="Z144" s="214"/>
      <c r="AA144" s="214"/>
      <c r="AB144" s="214"/>
      <c r="AC144" s="214"/>
      <c r="AD144" s="214"/>
      <c r="AE144" s="214"/>
      <c r="AF144" s="214"/>
      <c r="AG144" s="214"/>
      <c r="AH144" s="214"/>
      <c r="AI144" s="214"/>
      <c r="AJ144" s="214"/>
      <c r="AK144" s="214"/>
      <c r="DE144" s="152"/>
      <c r="DF144" s="160" t="s">
        <v>1022</v>
      </c>
      <c r="DG144" s="160" t="s">
        <v>584</v>
      </c>
      <c r="DH144" s="160" t="s">
        <v>125</v>
      </c>
      <c r="DI144" s="160" t="s">
        <v>1023</v>
      </c>
      <c r="DJ144" s="160" t="s">
        <v>200</v>
      </c>
      <c r="DK144" s="160" t="s">
        <v>588</v>
      </c>
      <c r="DL144" s="160" t="s">
        <v>589</v>
      </c>
      <c r="DM144" s="160" t="s">
        <v>590</v>
      </c>
      <c r="DN144" s="161" t="s">
        <v>591</v>
      </c>
      <c r="DP144" s="130">
        <v>1</v>
      </c>
    </row>
    <row r="145" spans="2:120" ht="30" customHeight="1">
      <c r="B145" s="165" t="str">
        <f t="shared" si="12"/>
        <v/>
      </c>
      <c r="C145" s="165" t="str">
        <f t="shared" si="13"/>
        <v/>
      </c>
      <c r="D145" s="165" t="str">
        <f>IF(UPPER(TRIM(N11))="X",C145,B145)</f>
        <v/>
      </c>
      <c r="E145" s="165" cm="1">
        <f t="array" ref="E145">IF(H144&lt;&gt;"",E144,IF(E144="","",IFERROR(MATCH(TRUE(),INDEX(INDEX(K:K,E144+1):K203&lt;&gt;"",0),0)+E144,"")))</f>
        <v>237</v>
      </c>
      <c r="F145" s="165" cm="1">
        <f t="array" ref="F145">IF(E145="","",IF(H144&lt;&gt;"",H144,INDEX(D:D,E145)))</f>
        <v>0</v>
      </c>
      <c r="G145" s="165" t="str">
        <f t="shared" si="14"/>
        <v>0</v>
      </c>
      <c r="H145" s="174" t="str">
        <f t="shared" si="15"/>
        <v/>
      </c>
      <c r="I145" s="184" t="str">
        <f>IF(AND(F145&lt;&gt;"",N10&gt;0,M145&gt;N10),"Mot &gt; limite","")</f>
        <v/>
      </c>
      <c r="J145" s="175" t="str">
        <f>IF(K145="","",COUNTIF(K18:K145,"&lt;&gt;"))</f>
        <v/>
      </c>
      <c r="K145" s="111"/>
      <c r="L145" s="175" t="str">
        <f t="shared" si="16"/>
        <v/>
      </c>
      <c r="M145" s="135">
        <f>IF(OR(F145="",N10="",N10&lt;=0),"",IF(LEN(F145)&lt;=N10,LEN(F145),IFERROR(FIND("♦",SUBSTITUTE(LEFT(F145,N10)," ","♦",LEN(LEFT(F145,N10))-LEN(SUBSTITUTE(LEFT(F145,N10)," ","")))),FIND(" ",F145&amp;" ",N10+1)-1)))</f>
        <v>1</v>
      </c>
      <c r="N145" s="176">
        <f t="shared" si="17"/>
        <v>128</v>
      </c>
      <c r="O145" s="177" t="str">
        <f t="shared" si="18"/>
        <v>0</v>
      </c>
      <c r="P145" s="176">
        <f t="shared" si="19"/>
        <v>1</v>
      </c>
      <c r="Q145" s="176">
        <f t="shared" si="20"/>
        <v>1</v>
      </c>
      <c r="S145" s="214"/>
      <c r="T145" s="221"/>
      <c r="U145" s="222" t="s">
        <v>1024</v>
      </c>
      <c r="V145" s="214"/>
      <c r="W145" s="214"/>
      <c r="X145" s="214"/>
      <c r="Y145" s="214"/>
      <c r="Z145" s="214"/>
      <c r="AA145" s="214"/>
      <c r="AB145" s="214"/>
      <c r="AC145" s="214"/>
      <c r="AD145" s="214"/>
      <c r="AE145" s="214"/>
      <c r="AF145" s="214"/>
      <c r="AG145" s="214"/>
      <c r="AH145" s="214"/>
      <c r="AI145" s="214"/>
      <c r="AJ145" s="214"/>
      <c r="AK145" s="214"/>
      <c r="DE145" s="152"/>
      <c r="DF145" s="160" t="s">
        <v>1025</v>
      </c>
      <c r="DG145" s="160" t="s">
        <v>584</v>
      </c>
      <c r="DH145" s="160" t="s">
        <v>125</v>
      </c>
      <c r="DI145" s="160" t="s">
        <v>1026</v>
      </c>
      <c r="DJ145" s="160" t="s">
        <v>1026</v>
      </c>
      <c r="DK145" s="160" t="s">
        <v>588</v>
      </c>
      <c r="DL145" s="160" t="s">
        <v>589</v>
      </c>
      <c r="DM145" s="160" t="s">
        <v>590</v>
      </c>
      <c r="DN145" s="161" t="s">
        <v>591</v>
      </c>
      <c r="DP145" s="130">
        <v>1</v>
      </c>
    </row>
    <row r="146" spans="2:120" ht="30" customHeight="1">
      <c r="B146" s="165" t="str">
        <f t="shared" ref="B146:B203" si="21">IF(TRIM(SUBSTITUTE(K146,CHAR(160),""))="","",TRIM(SUBSTITUTE(SUBSTITUTE(SUBSTITUTE(SUBSTITUTE(CLEAN(K146),CHAR(160)," "),CHAR(9)," "),CHAR(10)," "),CHAR(13)," ")))</f>
        <v/>
      </c>
      <c r="C146" s="165" t="str">
        <f t="shared" ref="C146:C203" si="22">IF(B146="","",TRIM(SUBSTITUTE(SUBSTITUTE(SUBSTITUTE(SUBSTITUTE(SUBSTITUTE(SUBSTITUTE(SUBSTITUTE(SUBSTITUTE(SUBSTITUTE(SUBSTITUTE(B146,","," "),";"," "),":"," "),"."," "),"?"," "), "!"," "),"/"," "), "("," "), ")"," "), "-"," ")))</f>
        <v/>
      </c>
      <c r="D146" s="165" t="str">
        <f>IF(UPPER(TRIM(N11))="X",C146,B146)</f>
        <v/>
      </c>
      <c r="E146" s="165" cm="1">
        <f t="array" ref="E146">IF(H145&lt;&gt;"",E145,IF(E145="","",IFERROR(MATCH(TRUE(),INDEX(INDEX(K:K,E145+1):K203&lt;&gt;"",0),0)+E145,"")))</f>
        <v>238</v>
      </c>
      <c r="F146" s="165" cm="1">
        <f t="array" ref="F146">IF(E146="","",IF(H145&lt;&gt;"",H145,INDEX(D:D,E146)))</f>
        <v>0</v>
      </c>
      <c r="G146" s="165" t="str">
        <f t="shared" ref="G146:G209" si="23">IF(OR(F146="",M146=""),"",LEFT(F146,M146))</f>
        <v>0</v>
      </c>
      <c r="H146" s="174" t="str">
        <f t="shared" ref="H146:H209" si="24">IF(OR(F146="",M146=""),"",TRIM(MID(F146,M146+1,99999)))</f>
        <v/>
      </c>
      <c r="I146" s="184" t="str">
        <f>IF(AND(F146&lt;&gt;"",N10&gt;0,M146&gt;N10),"Mot &gt; limite","")</f>
        <v/>
      </c>
      <c r="J146" s="175" t="str">
        <f>IF(K146="","",COUNTIF(K18:K146,"&lt;&gt;"))</f>
        <v/>
      </c>
      <c r="K146" s="111"/>
      <c r="L146" s="175" t="str">
        <f t="shared" ref="L146:L203" si="25">IF(TRIM(SUBSTITUTE(K146,CHAR(160),""))="","",LEN(K146))</f>
        <v/>
      </c>
      <c r="M146" s="135">
        <f>IF(OR(F146="",N10="",N10&lt;=0),"",IF(LEN(F146)&lt;=N10,LEN(F146),IFERROR(FIND("♦",SUBSTITUTE(LEFT(F146,N10)," ","♦",LEN(LEFT(F146,N10))-LEN(SUBSTITUTE(LEFT(F146,N10)," ","")))),FIND(" ",F146&amp;" ",N10+1)-1)))</f>
        <v>1</v>
      </c>
      <c r="N146" s="176">
        <f t="shared" ref="N146:N209" si="26">IF(O146="","",ROW()-17)</f>
        <v>129</v>
      </c>
      <c r="O146" s="177" t="str">
        <f t="shared" ref="O146:O209" si="27">G146</f>
        <v>0</v>
      </c>
      <c r="P146" s="176">
        <f t="shared" ref="P146:P209" si="28">IF(O146="","",LEN(TRIM(O146))-LEN(SUBSTITUTE(TRIM(O146)," ",""))+1)</f>
        <v>1</v>
      </c>
      <c r="Q146" s="176">
        <f t="shared" ref="Q146:Q209" si="29">IF(O146="","",LEN(O146))</f>
        <v>1</v>
      </c>
      <c r="S146" s="214"/>
      <c r="T146" s="223"/>
      <c r="U146" s="223"/>
      <c r="V146" s="214"/>
      <c r="W146" s="214"/>
      <c r="X146" s="214"/>
      <c r="Y146" s="214"/>
      <c r="Z146" s="214"/>
      <c r="AA146" s="214"/>
      <c r="AB146" s="214"/>
      <c r="AC146" s="214"/>
      <c r="AD146" s="214"/>
      <c r="AE146" s="214"/>
      <c r="AF146" s="214"/>
      <c r="AG146" s="214"/>
      <c r="AH146" s="214"/>
      <c r="AI146" s="214"/>
      <c r="AJ146" s="214"/>
      <c r="AK146" s="214"/>
      <c r="DE146" s="152"/>
      <c r="DF146" s="160" t="s">
        <v>1027</v>
      </c>
      <c r="DG146" s="160" t="s">
        <v>584</v>
      </c>
      <c r="DH146" s="160" t="s">
        <v>125</v>
      </c>
      <c r="DI146" s="160" t="s">
        <v>474</v>
      </c>
      <c r="DJ146" s="160" t="s">
        <v>474</v>
      </c>
      <c r="DK146" s="160" t="s">
        <v>666</v>
      </c>
      <c r="DL146" s="160" t="s">
        <v>667</v>
      </c>
      <c r="DM146" s="160" t="s">
        <v>590</v>
      </c>
      <c r="DN146" s="161" t="s">
        <v>668</v>
      </c>
      <c r="DP146" s="130">
        <v>1</v>
      </c>
    </row>
    <row r="147" spans="2:120" ht="30" customHeight="1">
      <c r="B147" s="165" t="str">
        <f t="shared" si="21"/>
        <v/>
      </c>
      <c r="C147" s="165" t="str">
        <f t="shared" si="22"/>
        <v/>
      </c>
      <c r="D147" s="165" t="str">
        <f>IF(UPPER(TRIM(N11))="X",C147,B147)</f>
        <v/>
      </c>
      <c r="E147" s="165" cm="1">
        <f t="array" ref="E147">IF(H146&lt;&gt;"",E146,IF(E146="","",IFERROR(MATCH(TRUE(),INDEX(INDEX(K:K,E146+1):K203&lt;&gt;"",0),0)+E146,"")))</f>
        <v>239</v>
      </c>
      <c r="F147" s="165" cm="1">
        <f t="array" ref="F147">IF(E147="","",IF(H146&lt;&gt;"",H146,INDEX(D:D,E147)))</f>
        <v>0</v>
      </c>
      <c r="G147" s="165" t="str">
        <f t="shared" si="23"/>
        <v>0</v>
      </c>
      <c r="H147" s="174" t="str">
        <f t="shared" si="24"/>
        <v/>
      </c>
      <c r="I147" s="184" t="str">
        <f>IF(AND(F147&lt;&gt;"",N10&gt;0,M147&gt;N10),"Mot &gt; limite","")</f>
        <v/>
      </c>
      <c r="J147" s="175" t="str">
        <f>IF(K147="","",COUNTIF(K18:K147,"&lt;&gt;"))</f>
        <v/>
      </c>
      <c r="K147" s="111"/>
      <c r="L147" s="175" t="str">
        <f t="shared" si="25"/>
        <v/>
      </c>
      <c r="M147" s="135">
        <f>IF(OR(F147="",N10="",N10&lt;=0),"",IF(LEN(F147)&lt;=N10,LEN(F147),IFERROR(FIND("♦",SUBSTITUTE(LEFT(F147,N10)," ","♦",LEN(LEFT(F147,N10))-LEN(SUBSTITUTE(LEFT(F147,N10)," ","")))),FIND(" ",F147&amp;" ",N10+1)-1)))</f>
        <v>1</v>
      </c>
      <c r="N147" s="176">
        <f t="shared" si="26"/>
        <v>130</v>
      </c>
      <c r="O147" s="177" t="str">
        <f t="shared" si="27"/>
        <v>0</v>
      </c>
      <c r="P147" s="176">
        <f t="shared" si="28"/>
        <v>1</v>
      </c>
      <c r="Q147" s="176">
        <f t="shared" si="29"/>
        <v>1</v>
      </c>
      <c r="S147" s="214"/>
      <c r="T147" s="224" t="s">
        <v>1028</v>
      </c>
      <c r="U147" s="224" t="s">
        <v>1029</v>
      </c>
      <c r="V147" s="213"/>
      <c r="W147" s="213"/>
      <c r="X147" s="214"/>
      <c r="Y147" s="214"/>
      <c r="Z147" s="214"/>
      <c r="AA147" s="213"/>
      <c r="AB147" s="214"/>
      <c r="AC147" s="214"/>
      <c r="AD147" s="213"/>
      <c r="AE147" s="214"/>
      <c r="AF147" s="214"/>
      <c r="AG147" s="214"/>
      <c r="AH147" s="214"/>
      <c r="AI147" s="214"/>
      <c r="AJ147" s="214"/>
      <c r="AK147" s="214"/>
      <c r="DE147" s="152"/>
      <c r="DF147" s="160" t="s">
        <v>1030</v>
      </c>
      <c r="DG147" s="160" t="s">
        <v>584</v>
      </c>
      <c r="DH147" s="160" t="s">
        <v>125</v>
      </c>
      <c r="DI147" s="160" t="s">
        <v>1031</v>
      </c>
      <c r="DJ147" s="160" t="s">
        <v>1031</v>
      </c>
      <c r="DK147" s="160" t="s">
        <v>588</v>
      </c>
      <c r="DL147" s="160" t="s">
        <v>589</v>
      </c>
      <c r="DM147" s="160" t="s">
        <v>590</v>
      </c>
      <c r="DN147" s="161" t="s">
        <v>591</v>
      </c>
      <c r="DP147" s="130">
        <v>1</v>
      </c>
    </row>
    <row r="148" spans="2:120" ht="30" customHeight="1">
      <c r="B148" s="165" t="str">
        <f t="shared" si="21"/>
        <v/>
      </c>
      <c r="C148" s="165" t="str">
        <f t="shared" si="22"/>
        <v/>
      </c>
      <c r="D148" s="165" t="str">
        <f>IF(UPPER(TRIM(N11))="X",C148,B148)</f>
        <v/>
      </c>
      <c r="E148" s="165" cm="1">
        <f t="array" ref="E148">IF(H147&lt;&gt;"",E147,IF(E147="","",IFERROR(MATCH(TRUE(),INDEX(INDEX(K:K,E147+1):K203&lt;&gt;"",0),0)+E147,"")))</f>
        <v>240</v>
      </c>
      <c r="F148" s="165" cm="1">
        <f t="array" ref="F148">IF(E148="","",IF(H147&lt;&gt;"",H147,INDEX(D:D,E148)))</f>
        <v>0</v>
      </c>
      <c r="G148" s="165" t="str">
        <f t="shared" si="23"/>
        <v>0</v>
      </c>
      <c r="H148" s="174" t="str">
        <f t="shared" si="24"/>
        <v/>
      </c>
      <c r="I148" s="184" t="str">
        <f>IF(AND(F148&lt;&gt;"",N10&gt;0,M148&gt;N10),"Mot &gt; limite","")</f>
        <v/>
      </c>
      <c r="J148" s="175" t="str">
        <f>IF(K148="","",COUNTIF(K18:K148,"&lt;&gt;"))</f>
        <v/>
      </c>
      <c r="K148" s="111"/>
      <c r="L148" s="175" t="str">
        <f t="shared" si="25"/>
        <v/>
      </c>
      <c r="M148" s="135">
        <f>IF(OR(F148="",N10="",N10&lt;=0),"",IF(LEN(F148)&lt;=N10,LEN(F148),IFERROR(FIND("♦",SUBSTITUTE(LEFT(F148,N10)," ","♦",LEN(LEFT(F148,N10))-LEN(SUBSTITUTE(LEFT(F148,N10)," ","")))),FIND(" ",F148&amp;" ",N10+1)-1)))</f>
        <v>1</v>
      </c>
      <c r="N148" s="176">
        <f t="shared" si="26"/>
        <v>131</v>
      </c>
      <c r="O148" s="177" t="str">
        <f t="shared" si="27"/>
        <v>0</v>
      </c>
      <c r="P148" s="176">
        <f t="shared" si="28"/>
        <v>1</v>
      </c>
      <c r="Q148" s="176">
        <f t="shared" si="29"/>
        <v>1</v>
      </c>
      <c r="S148" s="214"/>
      <c r="T148" s="225" t="s">
        <v>1032</v>
      </c>
      <c r="U148" s="222" t="s">
        <v>1033</v>
      </c>
      <c r="V148" s="213"/>
      <c r="W148" s="213"/>
      <c r="X148" s="214"/>
      <c r="Y148" s="214"/>
      <c r="Z148" s="214"/>
      <c r="AA148" s="213"/>
      <c r="AB148" s="214"/>
      <c r="AC148" s="214"/>
      <c r="AD148" s="213"/>
      <c r="AE148" s="214"/>
      <c r="AF148" s="214"/>
      <c r="AG148" s="214"/>
      <c r="AH148" s="214"/>
      <c r="AI148" s="214"/>
      <c r="AJ148" s="214"/>
      <c r="AK148" s="214"/>
      <c r="DE148" s="152"/>
      <c r="DF148" s="160" t="s">
        <v>1034</v>
      </c>
      <c r="DG148" s="160" t="s">
        <v>584</v>
      </c>
      <c r="DH148" s="160" t="s">
        <v>125</v>
      </c>
      <c r="DI148" s="160" t="s">
        <v>1035</v>
      </c>
      <c r="DJ148" s="160" t="s">
        <v>1035</v>
      </c>
      <c r="DK148" s="160" t="s">
        <v>588</v>
      </c>
      <c r="DL148" s="160" t="s">
        <v>589</v>
      </c>
      <c r="DM148" s="160" t="s">
        <v>590</v>
      </c>
      <c r="DN148" s="161" t="s">
        <v>591</v>
      </c>
      <c r="DP148" s="130">
        <v>1</v>
      </c>
    </row>
    <row r="149" spans="2:120" ht="30" customHeight="1">
      <c r="B149" s="165" t="str">
        <f t="shared" si="21"/>
        <v/>
      </c>
      <c r="C149" s="165" t="str">
        <f t="shared" si="22"/>
        <v/>
      </c>
      <c r="D149" s="165" t="str">
        <f>IF(UPPER(TRIM(N11))="X",C149,B149)</f>
        <v/>
      </c>
      <c r="E149" s="165" cm="1">
        <f t="array" ref="E149">IF(H148&lt;&gt;"",E148,IF(E148="","",IFERROR(MATCH(TRUE(),INDEX(INDEX(K:K,E148+1):K203&lt;&gt;"",0),0)+E148,"")))</f>
        <v>241</v>
      </c>
      <c r="F149" s="165" cm="1">
        <f t="array" ref="F149">IF(E149="","",IF(H148&lt;&gt;"",H148,INDEX(D:D,E149)))</f>
        <v>0</v>
      </c>
      <c r="G149" s="165" t="str">
        <f t="shared" si="23"/>
        <v>0</v>
      </c>
      <c r="H149" s="174" t="str">
        <f t="shared" si="24"/>
        <v/>
      </c>
      <c r="I149" s="184" t="str">
        <f>IF(AND(F149&lt;&gt;"",N10&gt;0,M149&gt;N10),"Mot &gt; limite","")</f>
        <v/>
      </c>
      <c r="J149" s="175" t="str">
        <f>IF(K149="","",COUNTIF(K18:K149,"&lt;&gt;"))</f>
        <v/>
      </c>
      <c r="K149" s="111"/>
      <c r="L149" s="175" t="str">
        <f t="shared" si="25"/>
        <v/>
      </c>
      <c r="M149" s="135">
        <f>IF(OR(F149="",N10="",N10&lt;=0),"",IF(LEN(F149)&lt;=N10,LEN(F149),IFERROR(FIND("♦",SUBSTITUTE(LEFT(F149,N10)," ","♦",LEN(LEFT(F149,N10))-LEN(SUBSTITUTE(LEFT(F149,N10)," ","")))),FIND(" ",F149&amp;" ",N10+1)-1)))</f>
        <v>1</v>
      </c>
      <c r="N149" s="176">
        <f t="shared" si="26"/>
        <v>132</v>
      </c>
      <c r="O149" s="177" t="str">
        <f t="shared" si="27"/>
        <v>0</v>
      </c>
      <c r="P149" s="176">
        <f t="shared" si="28"/>
        <v>1</v>
      </c>
      <c r="Q149" s="176">
        <f t="shared" si="29"/>
        <v>1</v>
      </c>
      <c r="S149" s="214"/>
      <c r="T149" s="225" t="s">
        <v>1036</v>
      </c>
      <c r="U149" s="222" t="s">
        <v>1037</v>
      </c>
      <c r="V149" s="213"/>
      <c r="W149" s="213"/>
      <c r="X149" s="214"/>
      <c r="Y149" s="214"/>
      <c r="Z149" s="214"/>
      <c r="AA149" s="213"/>
      <c r="AB149" s="214"/>
      <c r="AC149" s="214"/>
      <c r="AD149" s="213"/>
      <c r="AE149" s="214"/>
      <c r="AF149" s="214"/>
      <c r="AG149" s="214"/>
      <c r="AH149" s="214"/>
      <c r="AI149" s="214"/>
      <c r="AJ149" s="214"/>
      <c r="AK149" s="214"/>
      <c r="DE149" s="152"/>
      <c r="DF149" s="160" t="s">
        <v>1038</v>
      </c>
      <c r="DG149" s="160" t="s">
        <v>584</v>
      </c>
      <c r="DH149" s="160" t="s">
        <v>125</v>
      </c>
      <c r="DI149" s="160" t="s">
        <v>1039</v>
      </c>
      <c r="DJ149" s="160" t="s">
        <v>1040</v>
      </c>
      <c r="DK149" s="160" t="s">
        <v>588</v>
      </c>
      <c r="DL149" s="160" t="s">
        <v>589</v>
      </c>
      <c r="DM149" s="160" t="s">
        <v>590</v>
      </c>
      <c r="DN149" s="161" t="s">
        <v>591</v>
      </c>
      <c r="DP149" s="130">
        <v>1</v>
      </c>
    </row>
    <row r="150" spans="2:120" ht="30" customHeight="1">
      <c r="B150" s="165" t="str">
        <f t="shared" si="21"/>
        <v/>
      </c>
      <c r="C150" s="165" t="str">
        <f t="shared" si="22"/>
        <v/>
      </c>
      <c r="D150" s="165" t="str">
        <f>IF(UPPER(TRIM(N11))="X",C150,B150)</f>
        <v/>
      </c>
      <c r="E150" s="165" cm="1">
        <f t="array" ref="E150">IF(H149&lt;&gt;"",E149,IF(E149="","",IFERROR(MATCH(TRUE(),INDEX(INDEX(K:K,E149+1):K203&lt;&gt;"",0),0)+E149,"")))</f>
        <v>242</v>
      </c>
      <c r="F150" s="165" cm="1">
        <f t="array" ref="F150">IF(E150="","",IF(H149&lt;&gt;"",H149,INDEX(D:D,E150)))</f>
        <v>0</v>
      </c>
      <c r="G150" s="165" t="str">
        <f t="shared" si="23"/>
        <v>0</v>
      </c>
      <c r="H150" s="174" t="str">
        <f t="shared" si="24"/>
        <v/>
      </c>
      <c r="I150" s="184" t="str">
        <f>IF(AND(F150&lt;&gt;"",N10&gt;0,M150&gt;N10),"Mot &gt; limite","")</f>
        <v/>
      </c>
      <c r="J150" s="175" t="str">
        <f>IF(K150="","",COUNTIF(K18:K150,"&lt;&gt;"))</f>
        <v/>
      </c>
      <c r="K150" s="111"/>
      <c r="L150" s="175" t="str">
        <f t="shared" si="25"/>
        <v/>
      </c>
      <c r="M150" s="135">
        <f>IF(OR(F150="",N10="",N10&lt;=0),"",IF(LEN(F150)&lt;=N10,LEN(F150),IFERROR(FIND("♦",SUBSTITUTE(LEFT(F150,N10)," ","♦",LEN(LEFT(F150,N10))-LEN(SUBSTITUTE(LEFT(F150,N10)," ","")))),FIND(" ",F150&amp;" ",N10+1)-1)))</f>
        <v>1</v>
      </c>
      <c r="N150" s="176">
        <f t="shared" si="26"/>
        <v>133</v>
      </c>
      <c r="O150" s="177" t="str">
        <f t="shared" si="27"/>
        <v>0</v>
      </c>
      <c r="P150" s="176">
        <f t="shared" si="28"/>
        <v>1</v>
      </c>
      <c r="Q150" s="176">
        <f t="shared" si="29"/>
        <v>1</v>
      </c>
      <c r="S150" s="214"/>
      <c r="T150" s="225" t="s">
        <v>1041</v>
      </c>
      <c r="U150" s="222" t="s">
        <v>1042</v>
      </c>
      <c r="V150" s="213"/>
      <c r="W150" s="213"/>
      <c r="X150" s="214"/>
      <c r="Y150" s="214"/>
      <c r="Z150" s="214"/>
      <c r="AA150" s="213"/>
      <c r="AB150" s="214"/>
      <c r="AC150" s="214"/>
      <c r="AD150" s="213"/>
      <c r="AE150" s="214"/>
      <c r="AF150" s="214"/>
      <c r="AG150" s="214"/>
      <c r="AH150" s="214"/>
      <c r="AI150" s="214"/>
      <c r="AJ150" s="214"/>
      <c r="AK150" s="214"/>
      <c r="DE150" s="152"/>
      <c r="DF150" s="160" t="s">
        <v>1043</v>
      </c>
      <c r="DG150" s="160" t="s">
        <v>584</v>
      </c>
      <c r="DH150" s="160" t="s">
        <v>125</v>
      </c>
      <c r="DI150" s="160" t="s">
        <v>1044</v>
      </c>
      <c r="DJ150" s="160" t="s">
        <v>1044</v>
      </c>
      <c r="DK150" s="160" t="s">
        <v>588</v>
      </c>
      <c r="DL150" s="160" t="s">
        <v>589</v>
      </c>
      <c r="DM150" s="160" t="s">
        <v>590</v>
      </c>
      <c r="DN150" s="161" t="s">
        <v>591</v>
      </c>
      <c r="DP150" s="130">
        <v>1</v>
      </c>
    </row>
    <row r="151" spans="2:120" ht="30" customHeight="1">
      <c r="B151" s="165" t="str">
        <f t="shared" si="21"/>
        <v/>
      </c>
      <c r="C151" s="165" t="str">
        <f t="shared" si="22"/>
        <v/>
      </c>
      <c r="D151" s="165" t="str">
        <f>IF(UPPER(TRIM(N11))="X",C151,B151)</f>
        <v/>
      </c>
      <c r="E151" s="165" cm="1">
        <f t="array" ref="E151">IF(H150&lt;&gt;"",E150,IF(E150="","",IFERROR(MATCH(TRUE(),INDEX(INDEX(K:K,E150+1):K203&lt;&gt;"",0),0)+E150,"")))</f>
        <v>243</v>
      </c>
      <c r="F151" s="165" cm="1">
        <f t="array" ref="F151">IF(E151="","",IF(H150&lt;&gt;"",H150,INDEX(D:D,E151)))</f>
        <v>0</v>
      </c>
      <c r="G151" s="165" t="str">
        <f t="shared" si="23"/>
        <v>0</v>
      </c>
      <c r="H151" s="174" t="str">
        <f t="shared" si="24"/>
        <v/>
      </c>
      <c r="I151" s="184" t="str">
        <f>IF(AND(F151&lt;&gt;"",N10&gt;0,M151&gt;N10),"Mot &gt; limite","")</f>
        <v/>
      </c>
      <c r="J151" s="175" t="str">
        <f>IF(K151="","",COUNTIF(K18:K151,"&lt;&gt;"))</f>
        <v/>
      </c>
      <c r="K151" s="111"/>
      <c r="L151" s="175" t="str">
        <f t="shared" si="25"/>
        <v/>
      </c>
      <c r="M151" s="135">
        <f>IF(OR(F151="",N10="",N10&lt;=0),"",IF(LEN(F151)&lt;=N10,LEN(F151),IFERROR(FIND("♦",SUBSTITUTE(LEFT(F151,N10)," ","♦",LEN(LEFT(F151,N10))-LEN(SUBSTITUTE(LEFT(F151,N10)," ","")))),FIND(" ",F151&amp;" ",N10+1)-1)))</f>
        <v>1</v>
      </c>
      <c r="N151" s="176">
        <f t="shared" si="26"/>
        <v>134</v>
      </c>
      <c r="O151" s="177" t="str">
        <f t="shared" si="27"/>
        <v>0</v>
      </c>
      <c r="P151" s="176">
        <f t="shared" si="28"/>
        <v>1</v>
      </c>
      <c r="Q151" s="176">
        <f t="shared" si="29"/>
        <v>1</v>
      </c>
      <c r="S151" s="214"/>
      <c r="T151" s="225" t="s">
        <v>1045</v>
      </c>
      <c r="U151" s="222" t="s">
        <v>1046</v>
      </c>
      <c r="V151" s="213"/>
      <c r="W151" s="213"/>
      <c r="X151" s="214"/>
      <c r="Y151" s="214"/>
      <c r="Z151" s="214"/>
      <c r="AA151" s="213"/>
      <c r="AB151" s="214"/>
      <c r="AC151" s="214"/>
      <c r="AD151" s="213"/>
      <c r="AE151" s="214"/>
      <c r="AF151" s="214"/>
      <c r="AG151" s="214"/>
      <c r="AH151" s="214"/>
      <c r="AI151" s="214"/>
      <c r="AJ151" s="214"/>
      <c r="AK151" s="214"/>
      <c r="DE151" s="152"/>
      <c r="DF151" s="160" t="s">
        <v>1047</v>
      </c>
      <c r="DG151" s="160" t="s">
        <v>584</v>
      </c>
      <c r="DH151" s="160" t="s">
        <v>125</v>
      </c>
      <c r="DI151" s="160" t="s">
        <v>1048</v>
      </c>
      <c r="DJ151" s="160" t="s">
        <v>1048</v>
      </c>
      <c r="DK151" s="160" t="s">
        <v>588</v>
      </c>
      <c r="DL151" s="160" t="s">
        <v>589</v>
      </c>
      <c r="DM151" s="160" t="s">
        <v>590</v>
      </c>
      <c r="DN151" s="161" t="s">
        <v>591</v>
      </c>
      <c r="DP151" s="130">
        <v>1</v>
      </c>
    </row>
    <row r="152" spans="2:120" ht="30" customHeight="1">
      <c r="B152" s="165" t="str">
        <f t="shared" si="21"/>
        <v/>
      </c>
      <c r="C152" s="165" t="str">
        <f t="shared" si="22"/>
        <v/>
      </c>
      <c r="D152" s="165" t="str">
        <f>IF(UPPER(TRIM(N11))="X",C152,B152)</f>
        <v/>
      </c>
      <c r="E152" s="165" cm="1">
        <f t="array" ref="E152">IF(H151&lt;&gt;"",E151,IF(E151="","",IFERROR(MATCH(TRUE(),INDEX(INDEX(K:K,E151+1):K203&lt;&gt;"",0),0)+E151,"")))</f>
        <v>244</v>
      </c>
      <c r="F152" s="165" cm="1">
        <f t="array" ref="F152">IF(E152="","",IF(H151&lt;&gt;"",H151,INDEX(D:D,E152)))</f>
        <v>0</v>
      </c>
      <c r="G152" s="165" t="str">
        <f t="shared" si="23"/>
        <v>0</v>
      </c>
      <c r="H152" s="174" t="str">
        <f t="shared" si="24"/>
        <v/>
      </c>
      <c r="I152" s="184" t="str">
        <f>IF(AND(F152&lt;&gt;"",N10&gt;0,M152&gt;N10),"Mot &gt; limite","")</f>
        <v/>
      </c>
      <c r="J152" s="175" t="str">
        <f>IF(K152="","",COUNTIF(K18:K152,"&lt;&gt;"))</f>
        <v/>
      </c>
      <c r="K152" s="111"/>
      <c r="L152" s="175" t="str">
        <f t="shared" si="25"/>
        <v/>
      </c>
      <c r="M152" s="135">
        <f>IF(OR(F152="",N10="",N10&lt;=0),"",IF(LEN(F152)&lt;=N10,LEN(F152),IFERROR(FIND("♦",SUBSTITUTE(LEFT(F152,N10)," ","♦",LEN(LEFT(F152,N10))-LEN(SUBSTITUTE(LEFT(F152,N10)," ","")))),FIND(" ",F152&amp;" ",N10+1)-1)))</f>
        <v>1</v>
      </c>
      <c r="N152" s="176">
        <f t="shared" si="26"/>
        <v>135</v>
      </c>
      <c r="O152" s="177" t="str">
        <f t="shared" si="27"/>
        <v>0</v>
      </c>
      <c r="P152" s="176">
        <f t="shared" si="28"/>
        <v>1</v>
      </c>
      <c r="Q152" s="176">
        <f t="shared" si="29"/>
        <v>1</v>
      </c>
      <c r="S152" s="214"/>
      <c r="T152" s="225" t="s">
        <v>1049</v>
      </c>
      <c r="U152" s="222" t="s">
        <v>1050</v>
      </c>
      <c r="V152" s="213"/>
      <c r="W152" s="213"/>
      <c r="X152" s="214"/>
      <c r="Y152" s="214"/>
      <c r="Z152" s="214"/>
      <c r="AA152" s="213"/>
      <c r="AB152" s="214"/>
      <c r="AC152" s="214"/>
      <c r="AD152" s="213"/>
      <c r="AE152" s="214"/>
      <c r="AF152" s="214"/>
      <c r="AG152" s="214"/>
      <c r="AH152" s="214"/>
      <c r="AI152" s="214"/>
      <c r="AJ152" s="214"/>
      <c r="AK152" s="214"/>
      <c r="DE152" s="152"/>
      <c r="DF152" s="160" t="s">
        <v>1051</v>
      </c>
      <c r="DG152" s="160" t="s">
        <v>584</v>
      </c>
      <c r="DH152" s="160" t="s">
        <v>125</v>
      </c>
      <c r="DI152" s="160" t="s">
        <v>1052</v>
      </c>
      <c r="DJ152" s="160" t="s">
        <v>1052</v>
      </c>
      <c r="DK152" s="160" t="s">
        <v>588</v>
      </c>
      <c r="DL152" s="160" t="s">
        <v>589</v>
      </c>
      <c r="DM152" s="160" t="s">
        <v>590</v>
      </c>
      <c r="DN152" s="161" t="s">
        <v>591</v>
      </c>
      <c r="DP152" s="130">
        <v>1</v>
      </c>
    </row>
    <row r="153" spans="2:120" ht="30" customHeight="1">
      <c r="B153" s="165" t="str">
        <f t="shared" si="21"/>
        <v/>
      </c>
      <c r="C153" s="165" t="str">
        <f t="shared" si="22"/>
        <v/>
      </c>
      <c r="D153" s="165" t="str">
        <f>IF(UPPER(TRIM(N11))="X",C153,B153)</f>
        <v/>
      </c>
      <c r="E153" s="165" cm="1">
        <f t="array" ref="E153">IF(H152&lt;&gt;"",E152,IF(E152="","",IFERROR(MATCH(TRUE(),INDEX(INDEX(K:K,E152+1):K203&lt;&gt;"",0),0)+E152,"")))</f>
        <v>245</v>
      </c>
      <c r="F153" s="165" cm="1">
        <f t="array" ref="F153">IF(E153="","",IF(H152&lt;&gt;"",H152,INDEX(D:D,E153)))</f>
        <v>0</v>
      </c>
      <c r="G153" s="165" t="str">
        <f t="shared" si="23"/>
        <v>0</v>
      </c>
      <c r="H153" s="174" t="str">
        <f t="shared" si="24"/>
        <v/>
      </c>
      <c r="I153" s="184" t="str">
        <f>IF(AND(F153&lt;&gt;"",N10&gt;0,M153&gt;N10),"Mot &gt; limite","")</f>
        <v/>
      </c>
      <c r="J153" s="175" t="str">
        <f>IF(K153="","",COUNTIF(K18:K153,"&lt;&gt;"))</f>
        <v/>
      </c>
      <c r="K153" s="111"/>
      <c r="L153" s="175" t="str">
        <f t="shared" si="25"/>
        <v/>
      </c>
      <c r="M153" s="135">
        <f>IF(OR(F153="",N10="",N10&lt;=0),"",IF(LEN(F153)&lt;=N10,LEN(F153),IFERROR(FIND("♦",SUBSTITUTE(LEFT(F153,N10)," ","♦",LEN(LEFT(F153,N10))-LEN(SUBSTITUTE(LEFT(F153,N10)," ","")))),FIND(" ",F153&amp;" ",N10+1)-1)))</f>
        <v>1</v>
      </c>
      <c r="N153" s="176">
        <f t="shared" si="26"/>
        <v>136</v>
      </c>
      <c r="O153" s="177" t="str">
        <f t="shared" si="27"/>
        <v>0</v>
      </c>
      <c r="P153" s="176">
        <f t="shared" si="28"/>
        <v>1</v>
      </c>
      <c r="Q153" s="176">
        <f t="shared" si="29"/>
        <v>1</v>
      </c>
      <c r="S153" s="214"/>
      <c r="T153" s="225" t="s">
        <v>1053</v>
      </c>
      <c r="U153" s="222" t="s">
        <v>1054</v>
      </c>
      <c r="V153" s="213"/>
      <c r="W153" s="213"/>
      <c r="X153" s="214"/>
      <c r="Y153" s="214"/>
      <c r="Z153" s="214"/>
      <c r="AA153" s="213"/>
      <c r="AB153" s="214"/>
      <c r="AC153" s="214"/>
      <c r="AD153" s="213"/>
      <c r="AE153" s="214"/>
      <c r="AF153" s="214"/>
      <c r="AG153" s="214"/>
      <c r="AH153" s="214"/>
      <c r="AI153" s="214"/>
      <c r="AJ153" s="214"/>
      <c r="AK153" s="214"/>
      <c r="DE153" s="152"/>
      <c r="DF153" s="160" t="s">
        <v>1055</v>
      </c>
      <c r="DG153" s="160" t="s">
        <v>584</v>
      </c>
      <c r="DH153" s="160" t="s">
        <v>125</v>
      </c>
      <c r="DI153" s="160" t="s">
        <v>1056</v>
      </c>
      <c r="DJ153" s="160" t="s">
        <v>1056</v>
      </c>
      <c r="DK153" s="160" t="s">
        <v>588</v>
      </c>
      <c r="DL153" s="160" t="s">
        <v>589</v>
      </c>
      <c r="DM153" s="160" t="s">
        <v>590</v>
      </c>
      <c r="DN153" s="161" t="s">
        <v>591</v>
      </c>
      <c r="DP153" s="130">
        <v>1</v>
      </c>
    </row>
    <row r="154" spans="2:120" ht="30" customHeight="1">
      <c r="B154" s="165" t="str">
        <f t="shared" si="21"/>
        <v/>
      </c>
      <c r="C154" s="165" t="str">
        <f t="shared" si="22"/>
        <v/>
      </c>
      <c r="D154" s="165" t="str">
        <f>IF(UPPER(TRIM(N11))="X",C154,B154)</f>
        <v/>
      </c>
      <c r="E154" s="165" cm="1">
        <f t="array" ref="E154">IF(H153&lt;&gt;"",E153,IF(E153="","",IFERROR(MATCH(TRUE(),INDEX(INDEX(K:K,E153+1):K203&lt;&gt;"",0),0)+E153,"")))</f>
        <v>246</v>
      </c>
      <c r="F154" s="165" cm="1">
        <f t="array" ref="F154">IF(E154="","",IF(H153&lt;&gt;"",H153,INDEX(D:D,E154)))</f>
        <v>0</v>
      </c>
      <c r="G154" s="165" t="str">
        <f t="shared" si="23"/>
        <v>0</v>
      </c>
      <c r="H154" s="174" t="str">
        <f t="shared" si="24"/>
        <v/>
      </c>
      <c r="I154" s="184" t="str">
        <f>IF(AND(F154&lt;&gt;"",N10&gt;0,M154&gt;N10),"Mot &gt; limite","")</f>
        <v/>
      </c>
      <c r="J154" s="175" t="str">
        <f>IF(K154="","",COUNTIF(K18:K154,"&lt;&gt;"))</f>
        <v/>
      </c>
      <c r="K154" s="111"/>
      <c r="L154" s="175" t="str">
        <f t="shared" si="25"/>
        <v/>
      </c>
      <c r="M154" s="135">
        <f>IF(OR(F154="",N10="",N10&lt;=0),"",IF(LEN(F154)&lt;=N10,LEN(F154),IFERROR(FIND("♦",SUBSTITUTE(LEFT(F154,N10)," ","♦",LEN(LEFT(F154,N10))-LEN(SUBSTITUTE(LEFT(F154,N10)," ","")))),FIND(" ",F154&amp;" ",N10+1)-1)))</f>
        <v>1</v>
      </c>
      <c r="N154" s="176">
        <f t="shared" si="26"/>
        <v>137</v>
      </c>
      <c r="O154" s="177" t="str">
        <f t="shared" si="27"/>
        <v>0</v>
      </c>
      <c r="P154" s="176">
        <f t="shared" si="28"/>
        <v>1</v>
      </c>
      <c r="Q154" s="176">
        <f t="shared" si="29"/>
        <v>1</v>
      </c>
      <c r="S154" s="214"/>
      <c r="T154" s="225" t="s">
        <v>1057</v>
      </c>
      <c r="U154" s="222" t="s">
        <v>1058</v>
      </c>
      <c r="V154" s="213"/>
      <c r="W154" s="213"/>
      <c r="X154" s="214"/>
      <c r="Y154" s="214"/>
      <c r="Z154" s="214"/>
      <c r="AA154" s="213"/>
      <c r="AB154" s="214"/>
      <c r="AC154" s="214"/>
      <c r="AD154" s="213"/>
      <c r="AE154" s="214"/>
      <c r="AF154" s="214"/>
      <c r="AG154" s="214"/>
      <c r="AH154" s="214"/>
      <c r="AI154" s="214"/>
      <c r="AJ154" s="214"/>
      <c r="AK154" s="214"/>
      <c r="DE154" s="152"/>
      <c r="DF154" s="160" t="s">
        <v>1059</v>
      </c>
      <c r="DG154" s="160" t="s">
        <v>584</v>
      </c>
      <c r="DH154" s="160" t="s">
        <v>125</v>
      </c>
      <c r="DI154" s="160" t="s">
        <v>1060</v>
      </c>
      <c r="DJ154" s="160" t="s">
        <v>1061</v>
      </c>
      <c r="DK154" s="160" t="s">
        <v>588</v>
      </c>
      <c r="DL154" s="160" t="s">
        <v>589</v>
      </c>
      <c r="DM154" s="160" t="s">
        <v>590</v>
      </c>
      <c r="DN154" s="161" t="s">
        <v>591</v>
      </c>
      <c r="DP154" s="130">
        <v>1</v>
      </c>
    </row>
    <row r="155" spans="2:120" ht="30" customHeight="1">
      <c r="B155" s="165" t="str">
        <f t="shared" si="21"/>
        <v/>
      </c>
      <c r="C155" s="165" t="str">
        <f t="shared" si="22"/>
        <v/>
      </c>
      <c r="D155" s="165" t="str">
        <f>IF(UPPER(TRIM(N11))="X",C155,B155)</f>
        <v/>
      </c>
      <c r="E155" s="165" cm="1">
        <f t="array" ref="E155">IF(H154&lt;&gt;"",E154,IF(E154="","",IFERROR(MATCH(TRUE(),INDEX(INDEX(K:K,E154+1):K203&lt;&gt;"",0),0)+E154,"")))</f>
        <v>247</v>
      </c>
      <c r="F155" s="165" cm="1">
        <f t="array" ref="F155">IF(E155="","",IF(H154&lt;&gt;"",H154,INDEX(D:D,E155)))</f>
        <v>0</v>
      </c>
      <c r="G155" s="165" t="str">
        <f t="shared" si="23"/>
        <v>0</v>
      </c>
      <c r="H155" s="174" t="str">
        <f t="shared" si="24"/>
        <v/>
      </c>
      <c r="I155" s="184" t="str">
        <f>IF(AND(F155&lt;&gt;"",N10&gt;0,M155&gt;N10),"Mot &gt; limite","")</f>
        <v/>
      </c>
      <c r="J155" s="175" t="str">
        <f>IF(K155="","",COUNTIF(K18:K155,"&lt;&gt;"))</f>
        <v/>
      </c>
      <c r="K155" s="111"/>
      <c r="L155" s="175" t="str">
        <f t="shared" si="25"/>
        <v/>
      </c>
      <c r="M155" s="135">
        <f>IF(OR(F155="",N10="",N10&lt;=0),"",IF(LEN(F155)&lt;=N10,LEN(F155),IFERROR(FIND("♦",SUBSTITUTE(LEFT(F155,N10)," ","♦",LEN(LEFT(F155,N10))-LEN(SUBSTITUTE(LEFT(F155,N10)," ","")))),FIND(" ",F155&amp;" ",N10+1)-1)))</f>
        <v>1</v>
      </c>
      <c r="N155" s="176">
        <f t="shared" si="26"/>
        <v>138</v>
      </c>
      <c r="O155" s="177" t="str">
        <f t="shared" si="27"/>
        <v>0</v>
      </c>
      <c r="P155" s="176">
        <f t="shared" si="28"/>
        <v>1</v>
      </c>
      <c r="Q155" s="176">
        <f t="shared" si="29"/>
        <v>1</v>
      </c>
      <c r="S155" s="214"/>
      <c r="T155" s="225" t="s">
        <v>1062</v>
      </c>
      <c r="U155" s="222" t="s">
        <v>1063</v>
      </c>
      <c r="V155" s="213"/>
      <c r="W155" s="213"/>
      <c r="X155" s="214"/>
      <c r="Y155" s="214"/>
      <c r="Z155" s="214"/>
      <c r="AA155" s="213"/>
      <c r="AB155" s="214"/>
      <c r="AC155" s="214"/>
      <c r="AD155" s="213"/>
      <c r="AE155" s="214"/>
      <c r="AF155" s="214"/>
      <c r="AG155" s="214"/>
      <c r="AH155" s="214"/>
      <c r="AI155" s="214"/>
      <c r="AJ155" s="214"/>
      <c r="AK155" s="214"/>
      <c r="DE155" s="152"/>
      <c r="DF155" s="160" t="s">
        <v>1064</v>
      </c>
      <c r="DG155" s="160" t="s">
        <v>584</v>
      </c>
      <c r="DH155" s="160" t="s">
        <v>125</v>
      </c>
      <c r="DI155" s="160" t="s">
        <v>1065</v>
      </c>
      <c r="DJ155" s="160" t="s">
        <v>1065</v>
      </c>
      <c r="DK155" s="160" t="s">
        <v>588</v>
      </c>
      <c r="DL155" s="160" t="s">
        <v>589</v>
      </c>
      <c r="DM155" s="160" t="s">
        <v>590</v>
      </c>
      <c r="DN155" s="161" t="s">
        <v>591</v>
      </c>
      <c r="DP155" s="130">
        <v>1</v>
      </c>
    </row>
    <row r="156" spans="2:120" ht="30" customHeight="1">
      <c r="B156" s="165" t="str">
        <f t="shared" si="21"/>
        <v/>
      </c>
      <c r="C156" s="165" t="str">
        <f t="shared" si="22"/>
        <v/>
      </c>
      <c r="D156" s="165" t="str">
        <f>IF(UPPER(TRIM(N11))="X",C156,B156)</f>
        <v/>
      </c>
      <c r="E156" s="165" cm="1">
        <f t="array" ref="E156">IF(H155&lt;&gt;"",E155,IF(E155="","",IFERROR(MATCH(TRUE(),INDEX(INDEX(K:K,E155+1):K203&lt;&gt;"",0),0)+E155,"")))</f>
        <v>248</v>
      </c>
      <c r="F156" s="165" cm="1">
        <f t="array" ref="F156">IF(E156="","",IF(H155&lt;&gt;"",H155,INDEX(D:D,E156)))</f>
        <v>0</v>
      </c>
      <c r="G156" s="165" t="str">
        <f t="shared" si="23"/>
        <v>0</v>
      </c>
      <c r="H156" s="174" t="str">
        <f t="shared" si="24"/>
        <v/>
      </c>
      <c r="I156" s="184" t="str">
        <f>IF(AND(F156&lt;&gt;"",N10&gt;0,M156&gt;N10),"Mot &gt; limite","")</f>
        <v/>
      </c>
      <c r="J156" s="175" t="str">
        <f>IF(K156="","",COUNTIF(K18:K156,"&lt;&gt;"))</f>
        <v/>
      </c>
      <c r="K156" s="111"/>
      <c r="L156" s="175" t="str">
        <f t="shared" si="25"/>
        <v/>
      </c>
      <c r="M156" s="135">
        <f>IF(OR(F156="",N10="",N10&lt;=0),"",IF(LEN(F156)&lt;=N10,LEN(F156),IFERROR(FIND("♦",SUBSTITUTE(LEFT(F156,N10)," ","♦",LEN(LEFT(F156,N10))-LEN(SUBSTITUTE(LEFT(F156,N10)," ","")))),FIND(" ",F156&amp;" ",N10+1)-1)))</f>
        <v>1</v>
      </c>
      <c r="N156" s="176">
        <f t="shared" si="26"/>
        <v>139</v>
      </c>
      <c r="O156" s="177" t="str">
        <f t="shared" si="27"/>
        <v>0</v>
      </c>
      <c r="P156" s="176">
        <f t="shared" si="28"/>
        <v>1</v>
      </c>
      <c r="Q156" s="176">
        <f t="shared" si="29"/>
        <v>1</v>
      </c>
      <c r="S156" s="214"/>
      <c r="T156" s="225" t="s">
        <v>1066</v>
      </c>
      <c r="U156" s="222" t="s">
        <v>1067</v>
      </c>
      <c r="V156" s="213"/>
      <c r="W156" s="213"/>
      <c r="X156" s="214"/>
      <c r="Y156" s="214"/>
      <c r="Z156" s="214"/>
      <c r="AA156" s="213"/>
      <c r="AB156" s="214"/>
      <c r="AC156" s="214"/>
      <c r="AD156" s="213"/>
      <c r="AE156" s="214"/>
      <c r="AF156" s="214"/>
      <c r="AG156" s="214"/>
      <c r="AH156" s="214"/>
      <c r="AI156" s="214"/>
      <c r="AJ156" s="214"/>
      <c r="AK156" s="214"/>
      <c r="DE156" s="152"/>
      <c r="DF156" s="160" t="s">
        <v>1068</v>
      </c>
      <c r="DG156" s="160" t="s">
        <v>584</v>
      </c>
      <c r="DH156" s="160" t="s">
        <v>125</v>
      </c>
      <c r="DI156" s="160" t="s">
        <v>201</v>
      </c>
      <c r="DJ156" s="160" t="s">
        <v>201</v>
      </c>
      <c r="DK156" s="160" t="s">
        <v>588</v>
      </c>
      <c r="DL156" s="160" t="s">
        <v>589</v>
      </c>
      <c r="DM156" s="160" t="s">
        <v>590</v>
      </c>
      <c r="DN156" s="161" t="s">
        <v>591</v>
      </c>
      <c r="DP156" s="130">
        <v>1</v>
      </c>
    </row>
    <row r="157" spans="2:120" ht="30" customHeight="1">
      <c r="B157" s="165" t="str">
        <f t="shared" si="21"/>
        <v/>
      </c>
      <c r="C157" s="165" t="str">
        <f t="shared" si="22"/>
        <v/>
      </c>
      <c r="D157" s="165" t="str">
        <f>IF(UPPER(TRIM(N11))="X",C157,B157)</f>
        <v/>
      </c>
      <c r="E157" s="165" cm="1">
        <f t="array" ref="E157">IF(H156&lt;&gt;"",E156,IF(E156="","",IFERROR(MATCH(TRUE(),INDEX(INDEX(K:K,E156+1):K203&lt;&gt;"",0),0)+E156,"")))</f>
        <v>249</v>
      </c>
      <c r="F157" s="165" cm="1">
        <f t="array" ref="F157">IF(E157="","",IF(H156&lt;&gt;"",H156,INDEX(D:D,E157)))</f>
        <v>0</v>
      </c>
      <c r="G157" s="165" t="str">
        <f t="shared" si="23"/>
        <v>0</v>
      </c>
      <c r="H157" s="174" t="str">
        <f t="shared" si="24"/>
        <v/>
      </c>
      <c r="I157" s="184" t="str">
        <f>IF(AND(F157&lt;&gt;"",N10&gt;0,M157&gt;N10),"Mot &gt; limite","")</f>
        <v/>
      </c>
      <c r="J157" s="175" t="str">
        <f>IF(K157="","",COUNTIF(K18:K157,"&lt;&gt;"))</f>
        <v/>
      </c>
      <c r="K157" s="111"/>
      <c r="L157" s="175" t="str">
        <f t="shared" si="25"/>
        <v/>
      </c>
      <c r="M157" s="135">
        <f>IF(OR(F157="",N10="",N10&lt;=0),"",IF(LEN(F157)&lt;=N10,LEN(F157),IFERROR(FIND("♦",SUBSTITUTE(LEFT(F157,N10)," ","♦",LEN(LEFT(F157,N10))-LEN(SUBSTITUTE(LEFT(F157,N10)," ","")))),FIND(" ",F157&amp;" ",N10+1)-1)))</f>
        <v>1</v>
      </c>
      <c r="N157" s="176">
        <f t="shared" si="26"/>
        <v>140</v>
      </c>
      <c r="O157" s="177" t="str">
        <f t="shared" si="27"/>
        <v>0</v>
      </c>
      <c r="P157" s="176">
        <f t="shared" si="28"/>
        <v>1</v>
      </c>
      <c r="Q157" s="176">
        <f t="shared" si="29"/>
        <v>1</v>
      </c>
      <c r="S157" s="214"/>
      <c r="T157" s="225" t="s">
        <v>1069</v>
      </c>
      <c r="U157" s="222" t="s">
        <v>1070</v>
      </c>
      <c r="V157" s="213"/>
      <c r="W157" s="213"/>
      <c r="X157" s="214"/>
      <c r="Y157" s="214"/>
      <c r="Z157" s="214"/>
      <c r="AA157" s="213"/>
      <c r="AB157" s="214"/>
      <c r="AC157" s="214"/>
      <c r="AD157" s="213"/>
      <c r="AE157" s="214"/>
      <c r="AF157" s="214"/>
      <c r="AG157" s="214"/>
      <c r="AH157" s="214"/>
      <c r="AI157" s="214"/>
      <c r="AJ157" s="214"/>
      <c r="AK157" s="214"/>
      <c r="DE157" s="152"/>
      <c r="DF157" s="160" t="s">
        <v>1071</v>
      </c>
      <c r="DG157" s="160" t="s">
        <v>584</v>
      </c>
      <c r="DH157" s="160" t="s">
        <v>125</v>
      </c>
      <c r="DI157" s="160" t="s">
        <v>1072</v>
      </c>
      <c r="DJ157" s="160" t="s">
        <v>1072</v>
      </c>
      <c r="DK157" s="160" t="s">
        <v>588</v>
      </c>
      <c r="DL157" s="160" t="s">
        <v>589</v>
      </c>
      <c r="DM157" s="160" t="s">
        <v>590</v>
      </c>
      <c r="DN157" s="161" t="s">
        <v>591</v>
      </c>
      <c r="DP157" s="130">
        <v>1</v>
      </c>
    </row>
    <row r="158" spans="2:120" ht="30" customHeight="1">
      <c r="B158" s="165" t="str">
        <f t="shared" si="21"/>
        <v/>
      </c>
      <c r="C158" s="165" t="str">
        <f t="shared" si="22"/>
        <v/>
      </c>
      <c r="D158" s="165" t="str">
        <f>IF(UPPER(TRIM(N11))="X",C158,B158)</f>
        <v/>
      </c>
      <c r="E158" s="165" cm="1">
        <f t="array" ref="E158">IF(H157&lt;&gt;"",E157,IF(E157="","",IFERROR(MATCH(TRUE(),INDEX(INDEX(K:K,E157+1):K203&lt;&gt;"",0),0)+E157,"")))</f>
        <v>250</v>
      </c>
      <c r="F158" s="165" cm="1">
        <f t="array" ref="F158">IF(E158="","",IF(H157&lt;&gt;"",H157,INDEX(D:D,E158)))</f>
        <v>0</v>
      </c>
      <c r="G158" s="165" t="str">
        <f t="shared" si="23"/>
        <v>0</v>
      </c>
      <c r="H158" s="174" t="str">
        <f t="shared" si="24"/>
        <v/>
      </c>
      <c r="I158" s="184" t="str">
        <f>IF(AND(F158&lt;&gt;"",N10&gt;0,M158&gt;N10),"Mot &gt; limite","")</f>
        <v/>
      </c>
      <c r="J158" s="175" t="str">
        <f>IF(K158="","",COUNTIF(K18:K158,"&lt;&gt;"))</f>
        <v/>
      </c>
      <c r="K158" s="111"/>
      <c r="L158" s="175" t="str">
        <f t="shared" si="25"/>
        <v/>
      </c>
      <c r="M158" s="135">
        <f>IF(OR(F158="",N10="",N10&lt;=0),"",IF(LEN(F158)&lt;=N10,LEN(F158),IFERROR(FIND("♦",SUBSTITUTE(LEFT(F158,N10)," ","♦",LEN(LEFT(F158,N10))-LEN(SUBSTITUTE(LEFT(F158,N10)," ","")))),FIND(" ",F158&amp;" ",N10+1)-1)))</f>
        <v>1</v>
      </c>
      <c r="N158" s="176">
        <f t="shared" si="26"/>
        <v>141</v>
      </c>
      <c r="O158" s="177" t="str">
        <f t="shared" si="27"/>
        <v>0</v>
      </c>
      <c r="P158" s="176">
        <f t="shared" si="28"/>
        <v>1</v>
      </c>
      <c r="Q158" s="176">
        <f t="shared" si="29"/>
        <v>1</v>
      </c>
      <c r="S158" s="214"/>
      <c r="T158" s="225" t="s">
        <v>1073</v>
      </c>
      <c r="U158" s="222" t="s">
        <v>1074</v>
      </c>
      <c r="V158" s="213"/>
      <c r="W158" s="213"/>
      <c r="X158" s="214"/>
      <c r="Y158" s="214"/>
      <c r="Z158" s="214"/>
      <c r="AA158" s="213"/>
      <c r="AB158" s="214"/>
      <c r="AC158" s="214"/>
      <c r="AD158" s="213"/>
      <c r="AE158" s="214"/>
      <c r="AF158" s="214"/>
      <c r="AG158" s="214"/>
      <c r="AH158" s="214"/>
      <c r="AI158" s="214"/>
      <c r="AJ158" s="214"/>
      <c r="AK158" s="214"/>
      <c r="DE158" s="152"/>
      <c r="DF158" s="160" t="s">
        <v>1075</v>
      </c>
      <c r="DG158" s="160" t="s">
        <v>584</v>
      </c>
      <c r="DH158" s="160" t="s">
        <v>125</v>
      </c>
      <c r="DI158" s="160" t="s">
        <v>1076</v>
      </c>
      <c r="DJ158" s="160" t="s">
        <v>1076</v>
      </c>
      <c r="DK158" s="160" t="s">
        <v>588</v>
      </c>
      <c r="DL158" s="160" t="s">
        <v>589</v>
      </c>
      <c r="DM158" s="160" t="s">
        <v>590</v>
      </c>
      <c r="DN158" s="161" t="s">
        <v>591</v>
      </c>
      <c r="DP158" s="130">
        <v>1</v>
      </c>
    </row>
    <row r="159" spans="2:120" ht="30" customHeight="1">
      <c r="B159" s="165" t="str">
        <f t="shared" si="21"/>
        <v/>
      </c>
      <c r="C159" s="165" t="str">
        <f t="shared" si="22"/>
        <v/>
      </c>
      <c r="D159" s="165" t="str">
        <f>IF(UPPER(TRIM(N11))="X",C159,B159)</f>
        <v/>
      </c>
      <c r="E159" s="165" cm="1">
        <f t="array" ref="E159">IF(H158&lt;&gt;"",E158,IF(E158="","",IFERROR(MATCH(TRUE(),INDEX(INDEX(K:K,E158+1):K203&lt;&gt;"",0),0)+E158,"")))</f>
        <v>251</v>
      </c>
      <c r="F159" s="165" cm="1">
        <f t="array" ref="F159">IF(E159="","",IF(H158&lt;&gt;"",H158,INDEX(D:D,E159)))</f>
        <v>0</v>
      </c>
      <c r="G159" s="165" t="str">
        <f t="shared" si="23"/>
        <v>0</v>
      </c>
      <c r="H159" s="174" t="str">
        <f t="shared" si="24"/>
        <v/>
      </c>
      <c r="I159" s="184" t="str">
        <f>IF(AND(F159&lt;&gt;"",N10&gt;0,M159&gt;N10),"Mot &gt; limite","")</f>
        <v/>
      </c>
      <c r="J159" s="175" t="str">
        <f>IF(K159="","",COUNTIF(K18:K159,"&lt;&gt;"))</f>
        <v/>
      </c>
      <c r="K159" s="111"/>
      <c r="L159" s="175" t="str">
        <f t="shared" si="25"/>
        <v/>
      </c>
      <c r="M159" s="135">
        <f>IF(OR(F159="",N10="",N10&lt;=0),"",IF(LEN(F159)&lt;=N10,LEN(F159),IFERROR(FIND("♦",SUBSTITUTE(LEFT(F159,N10)," ","♦",LEN(LEFT(F159,N10))-LEN(SUBSTITUTE(LEFT(F159,N10)," ","")))),FIND(" ",F159&amp;" ",N10+1)-1)))</f>
        <v>1</v>
      </c>
      <c r="N159" s="176">
        <f t="shared" si="26"/>
        <v>142</v>
      </c>
      <c r="O159" s="177" t="str">
        <f t="shared" si="27"/>
        <v>0</v>
      </c>
      <c r="P159" s="176">
        <f t="shared" si="28"/>
        <v>1</v>
      </c>
      <c r="Q159" s="176">
        <f t="shared" si="29"/>
        <v>1</v>
      </c>
      <c r="S159" s="214"/>
      <c r="T159" s="225" t="s">
        <v>1077</v>
      </c>
      <c r="U159" s="222" t="s">
        <v>1078</v>
      </c>
      <c r="V159" s="213"/>
      <c r="W159" s="213"/>
      <c r="X159" s="214"/>
      <c r="Y159" s="214"/>
      <c r="Z159" s="214"/>
      <c r="AA159" s="213"/>
      <c r="AB159" s="214"/>
      <c r="AC159" s="214"/>
      <c r="AD159" s="213"/>
      <c r="AE159" s="214"/>
      <c r="AF159" s="214"/>
      <c r="AG159" s="214"/>
      <c r="AH159" s="214"/>
      <c r="AI159" s="214"/>
      <c r="AJ159" s="214"/>
      <c r="AK159" s="214"/>
      <c r="DE159" s="152"/>
      <c r="DF159" s="160" t="s">
        <v>1079</v>
      </c>
      <c r="DG159" s="160" t="s">
        <v>584</v>
      </c>
      <c r="DH159" s="160" t="s">
        <v>126</v>
      </c>
      <c r="DI159" s="160" t="s">
        <v>350</v>
      </c>
      <c r="DJ159" s="160" t="s">
        <v>350</v>
      </c>
      <c r="DK159" s="160" t="s">
        <v>588</v>
      </c>
      <c r="DL159" s="160" t="s">
        <v>956</v>
      </c>
      <c r="DM159" s="160" t="s">
        <v>590</v>
      </c>
      <c r="DN159" s="161" t="s">
        <v>591</v>
      </c>
      <c r="DP159" s="130">
        <v>1</v>
      </c>
    </row>
    <row r="160" spans="2:120" ht="30" customHeight="1">
      <c r="B160" s="165" t="str">
        <f t="shared" si="21"/>
        <v/>
      </c>
      <c r="C160" s="165" t="str">
        <f t="shared" si="22"/>
        <v/>
      </c>
      <c r="D160" s="165" t="str">
        <f>IF(UPPER(TRIM(N11))="X",C160,B160)</f>
        <v/>
      </c>
      <c r="E160" s="165" cm="1">
        <f t="array" ref="E160">IF(H159&lt;&gt;"",E159,IF(E159="","",IFERROR(MATCH(TRUE(),INDEX(INDEX(K:K,E159+1):K203&lt;&gt;"",0),0)+E159,"")))</f>
        <v>252</v>
      </c>
      <c r="F160" s="165" cm="1">
        <f t="array" ref="F160">IF(E160="","",IF(H159&lt;&gt;"",H159,INDEX(D:D,E160)))</f>
        <v>0</v>
      </c>
      <c r="G160" s="165" t="str">
        <f t="shared" si="23"/>
        <v>0</v>
      </c>
      <c r="H160" s="174" t="str">
        <f t="shared" si="24"/>
        <v/>
      </c>
      <c r="I160" s="184" t="str">
        <f>IF(AND(F160&lt;&gt;"",N10&gt;0,M160&gt;N10),"Mot &gt; limite","")</f>
        <v/>
      </c>
      <c r="J160" s="175" t="str">
        <f>IF(K160="","",COUNTIF(K18:K160,"&lt;&gt;"))</f>
        <v/>
      </c>
      <c r="K160" s="111"/>
      <c r="L160" s="175" t="str">
        <f t="shared" si="25"/>
        <v/>
      </c>
      <c r="M160" s="135">
        <f>IF(OR(F160="",N10="",N10&lt;=0),"",IF(LEN(F160)&lt;=N10,LEN(F160),IFERROR(FIND("♦",SUBSTITUTE(LEFT(F160,N10)," ","♦",LEN(LEFT(F160,N10))-LEN(SUBSTITUTE(LEFT(F160,N10)," ","")))),FIND(" ",F160&amp;" ",N10+1)-1)))</f>
        <v>1</v>
      </c>
      <c r="N160" s="176">
        <f t="shared" si="26"/>
        <v>143</v>
      </c>
      <c r="O160" s="177" t="str">
        <f t="shared" si="27"/>
        <v>0</v>
      </c>
      <c r="P160" s="176">
        <f t="shared" si="28"/>
        <v>1</v>
      </c>
      <c r="Q160" s="176">
        <f t="shared" si="29"/>
        <v>1</v>
      </c>
      <c r="S160" s="214"/>
      <c r="T160" s="225" t="s">
        <v>1080</v>
      </c>
      <c r="U160" s="222" t="s">
        <v>1081</v>
      </c>
      <c r="V160" s="213"/>
      <c r="W160" s="213"/>
      <c r="X160" s="214"/>
      <c r="Y160" s="214"/>
      <c r="Z160" s="214"/>
      <c r="AA160" s="213"/>
      <c r="AB160" s="214"/>
      <c r="AC160" s="214"/>
      <c r="AD160" s="213"/>
      <c r="AE160" s="214"/>
      <c r="AF160" s="214"/>
      <c r="AG160" s="214"/>
      <c r="AH160" s="214"/>
      <c r="AI160" s="214"/>
      <c r="AJ160" s="214"/>
      <c r="AK160" s="214"/>
      <c r="DE160" s="152"/>
      <c r="DF160" s="160" t="s">
        <v>1082</v>
      </c>
      <c r="DG160" s="160" t="s">
        <v>584</v>
      </c>
      <c r="DH160" s="160" t="s">
        <v>125</v>
      </c>
      <c r="DI160" s="160" t="s">
        <v>475</v>
      </c>
      <c r="DJ160" s="160" t="s">
        <v>475</v>
      </c>
      <c r="DK160" s="160" t="s">
        <v>666</v>
      </c>
      <c r="DL160" s="160" t="s">
        <v>667</v>
      </c>
      <c r="DM160" s="160" t="s">
        <v>590</v>
      </c>
      <c r="DN160" s="161" t="s">
        <v>668</v>
      </c>
      <c r="DP160" s="130">
        <v>1</v>
      </c>
    </row>
    <row r="161" spans="2:120" ht="30" customHeight="1">
      <c r="B161" s="165" t="str">
        <f t="shared" si="21"/>
        <v/>
      </c>
      <c r="C161" s="165" t="str">
        <f t="shared" si="22"/>
        <v/>
      </c>
      <c r="D161" s="165" t="str">
        <f>IF(UPPER(TRIM(N11))="X",C161,B161)</f>
        <v/>
      </c>
      <c r="E161" s="165" cm="1">
        <f t="array" ref="E161">IF(H160&lt;&gt;"",E160,IF(E160="","",IFERROR(MATCH(TRUE(),INDEX(INDEX(K:K,E160+1):K203&lt;&gt;"",0),0)+E160,"")))</f>
        <v>253</v>
      </c>
      <c r="F161" s="165" cm="1">
        <f t="array" ref="F161">IF(E161="","",IF(H160&lt;&gt;"",H160,INDEX(D:D,E161)))</f>
        <v>0</v>
      </c>
      <c r="G161" s="165" t="str">
        <f t="shared" si="23"/>
        <v>0</v>
      </c>
      <c r="H161" s="174" t="str">
        <f t="shared" si="24"/>
        <v/>
      </c>
      <c r="I161" s="184" t="str">
        <f>IF(AND(F161&lt;&gt;"",N10&gt;0,M161&gt;N10),"Mot &gt; limite","")</f>
        <v/>
      </c>
      <c r="J161" s="175" t="str">
        <f>IF(K161="","",COUNTIF(K18:K161,"&lt;&gt;"))</f>
        <v/>
      </c>
      <c r="K161" s="111"/>
      <c r="L161" s="175" t="str">
        <f t="shared" si="25"/>
        <v/>
      </c>
      <c r="M161" s="135">
        <f>IF(OR(F161="",N10="",N10&lt;=0),"",IF(LEN(F161)&lt;=N10,LEN(F161),IFERROR(FIND("♦",SUBSTITUTE(LEFT(F161,N10)," ","♦",LEN(LEFT(F161,N10))-LEN(SUBSTITUTE(LEFT(F161,N10)," ","")))),FIND(" ",F161&amp;" ",N10+1)-1)))</f>
        <v>1</v>
      </c>
      <c r="N161" s="176">
        <f t="shared" si="26"/>
        <v>144</v>
      </c>
      <c r="O161" s="177" t="str">
        <f t="shared" si="27"/>
        <v>0</v>
      </c>
      <c r="P161" s="176">
        <f t="shared" si="28"/>
        <v>1</v>
      </c>
      <c r="Q161" s="176">
        <f t="shared" si="29"/>
        <v>1</v>
      </c>
      <c r="S161" s="214"/>
      <c r="T161" s="225" t="s">
        <v>1083</v>
      </c>
      <c r="U161" s="222" t="s">
        <v>1084</v>
      </c>
      <c r="V161" s="213"/>
      <c r="W161" s="213"/>
      <c r="X161" s="214"/>
      <c r="Y161" s="214"/>
      <c r="Z161" s="214"/>
      <c r="AA161" s="213"/>
      <c r="AB161" s="214"/>
      <c r="AC161" s="214"/>
      <c r="AD161" s="213"/>
      <c r="AE161" s="214"/>
      <c r="AF161" s="214"/>
      <c r="AG161" s="214"/>
      <c r="AH161" s="214"/>
      <c r="AI161" s="214"/>
      <c r="AJ161" s="214"/>
      <c r="AK161" s="214"/>
      <c r="DE161" s="152"/>
      <c r="DF161" s="160" t="s">
        <v>1085</v>
      </c>
      <c r="DG161" s="160" t="s">
        <v>584</v>
      </c>
      <c r="DH161" s="160" t="s">
        <v>125</v>
      </c>
      <c r="DI161" s="160" t="s">
        <v>1086</v>
      </c>
      <c r="DJ161" s="160" t="s">
        <v>1086</v>
      </c>
      <c r="DK161" s="160" t="s">
        <v>588</v>
      </c>
      <c r="DL161" s="160" t="s">
        <v>589</v>
      </c>
      <c r="DM161" s="160" t="s">
        <v>590</v>
      </c>
      <c r="DN161" s="161" t="s">
        <v>591</v>
      </c>
      <c r="DP161" s="130">
        <v>1</v>
      </c>
    </row>
    <row r="162" spans="2:120" ht="30" customHeight="1">
      <c r="B162" s="165" t="str">
        <f t="shared" si="21"/>
        <v/>
      </c>
      <c r="C162" s="165" t="str">
        <f t="shared" si="22"/>
        <v/>
      </c>
      <c r="D162" s="165" t="str">
        <f>IF(UPPER(TRIM(N11))="X",C162,B162)</f>
        <v/>
      </c>
      <c r="E162" s="165" cm="1">
        <f t="array" ref="E162">IF(H161&lt;&gt;"",E161,IF(E161="","",IFERROR(MATCH(TRUE(),INDEX(INDEX(K:K,E161+1):K203&lt;&gt;"",0),0)+E161,"")))</f>
        <v>254</v>
      </c>
      <c r="F162" s="165" cm="1">
        <f t="array" ref="F162">IF(E162="","",IF(H161&lt;&gt;"",H161,INDEX(D:D,E162)))</f>
        <v>0</v>
      </c>
      <c r="G162" s="165" t="str">
        <f t="shared" si="23"/>
        <v>0</v>
      </c>
      <c r="H162" s="174" t="str">
        <f t="shared" si="24"/>
        <v/>
      </c>
      <c r="I162" s="184" t="str">
        <f>IF(AND(F162&lt;&gt;"",N10&gt;0,M162&gt;N10),"Mot &gt; limite","")</f>
        <v/>
      </c>
      <c r="J162" s="175" t="str">
        <f>IF(K162="","",COUNTIF(K18:K162,"&lt;&gt;"))</f>
        <v/>
      </c>
      <c r="K162" s="111"/>
      <c r="L162" s="175" t="str">
        <f t="shared" si="25"/>
        <v/>
      </c>
      <c r="M162" s="135">
        <f>IF(OR(F162="",N10="",N10&lt;=0),"",IF(LEN(F162)&lt;=N10,LEN(F162),IFERROR(FIND("♦",SUBSTITUTE(LEFT(F162,N10)," ","♦",LEN(LEFT(F162,N10))-LEN(SUBSTITUTE(LEFT(F162,N10)," ","")))),FIND(" ",F162&amp;" ",N10+1)-1)))</f>
        <v>1</v>
      </c>
      <c r="N162" s="176">
        <f t="shared" si="26"/>
        <v>145</v>
      </c>
      <c r="O162" s="177" t="str">
        <f t="shared" si="27"/>
        <v>0</v>
      </c>
      <c r="P162" s="176">
        <f t="shared" si="28"/>
        <v>1</v>
      </c>
      <c r="Q162" s="176">
        <f t="shared" si="29"/>
        <v>1</v>
      </c>
      <c r="S162" s="214"/>
      <c r="T162" s="223"/>
      <c r="U162" s="223"/>
      <c r="V162" s="214"/>
      <c r="W162" s="214"/>
      <c r="X162" s="214"/>
      <c r="Y162" s="214"/>
      <c r="Z162" s="214"/>
      <c r="AA162" s="214"/>
      <c r="AB162" s="214"/>
      <c r="AC162" s="214"/>
      <c r="AD162" s="214"/>
      <c r="AE162" s="214"/>
      <c r="AF162" s="214"/>
      <c r="AG162" s="214"/>
      <c r="AH162" s="214"/>
      <c r="AI162" s="214"/>
      <c r="AJ162" s="214"/>
      <c r="AK162" s="214"/>
      <c r="DE162" s="152"/>
      <c r="DF162" s="160" t="s">
        <v>1087</v>
      </c>
      <c r="DG162" s="160" t="s">
        <v>584</v>
      </c>
      <c r="DH162" s="160" t="s">
        <v>125</v>
      </c>
      <c r="DI162" s="160" t="s">
        <v>1088</v>
      </c>
      <c r="DJ162" s="160" t="s">
        <v>1088</v>
      </c>
      <c r="DK162" s="160" t="s">
        <v>588</v>
      </c>
      <c r="DL162" s="160" t="s">
        <v>589</v>
      </c>
      <c r="DM162" s="160" t="s">
        <v>590</v>
      </c>
      <c r="DN162" s="161" t="s">
        <v>591</v>
      </c>
      <c r="DP162" s="130">
        <v>1</v>
      </c>
    </row>
    <row r="163" spans="2:120" ht="30" customHeight="1">
      <c r="B163" s="165" t="str">
        <f t="shared" si="21"/>
        <v/>
      </c>
      <c r="C163" s="165" t="str">
        <f t="shared" si="22"/>
        <v/>
      </c>
      <c r="D163" s="165" t="str">
        <f>IF(UPPER(TRIM(N11))="X",C163,B163)</f>
        <v/>
      </c>
      <c r="E163" s="165" cm="1">
        <f t="array" ref="E163">IF(H162&lt;&gt;"",E162,IF(E162="","",IFERROR(MATCH(TRUE(),INDEX(INDEX(K:K,E162+1):K203&lt;&gt;"",0),0)+E162,"")))</f>
        <v>255</v>
      </c>
      <c r="F163" s="165" cm="1">
        <f t="array" ref="F163">IF(E163="","",IF(H162&lt;&gt;"",H162,INDEX(D:D,E163)))</f>
        <v>0</v>
      </c>
      <c r="G163" s="165" t="str">
        <f t="shared" si="23"/>
        <v>0</v>
      </c>
      <c r="H163" s="174" t="str">
        <f t="shared" si="24"/>
        <v/>
      </c>
      <c r="I163" s="184" t="str">
        <f>IF(AND(F163&lt;&gt;"",N10&gt;0,M163&gt;N10),"Mot &gt; limite","")</f>
        <v/>
      </c>
      <c r="J163" s="175" t="str">
        <f>IF(K163="","",COUNTIF(K18:K163,"&lt;&gt;"))</f>
        <v/>
      </c>
      <c r="K163" s="111"/>
      <c r="L163" s="175" t="str">
        <f t="shared" si="25"/>
        <v/>
      </c>
      <c r="M163" s="135">
        <f>IF(OR(F163="",N10="",N10&lt;=0),"",IF(LEN(F163)&lt;=N10,LEN(F163),IFERROR(FIND("♦",SUBSTITUTE(LEFT(F163,N10)," ","♦",LEN(LEFT(F163,N10))-LEN(SUBSTITUTE(LEFT(F163,N10)," ","")))),FIND(" ",F163&amp;" ",N10+1)-1)))</f>
        <v>1</v>
      </c>
      <c r="N163" s="176">
        <f t="shared" si="26"/>
        <v>146</v>
      </c>
      <c r="O163" s="177" t="str">
        <f t="shared" si="27"/>
        <v>0</v>
      </c>
      <c r="P163" s="176">
        <f t="shared" si="28"/>
        <v>1</v>
      </c>
      <c r="Q163" s="176">
        <f t="shared" si="29"/>
        <v>1</v>
      </c>
      <c r="S163" s="214"/>
      <c r="T163" s="224"/>
      <c r="U163" s="224" t="s">
        <v>1089</v>
      </c>
      <c r="V163" s="214"/>
      <c r="W163" s="214"/>
      <c r="X163" s="214"/>
      <c r="Y163" s="214"/>
      <c r="Z163" s="214"/>
      <c r="AA163" s="214"/>
      <c r="AB163" s="214"/>
      <c r="AC163" s="214"/>
      <c r="AD163" s="214"/>
      <c r="AE163" s="214"/>
      <c r="AF163" s="214"/>
      <c r="AG163" s="214"/>
      <c r="AH163" s="214"/>
      <c r="AI163" s="214"/>
      <c r="AJ163" s="214"/>
      <c r="AK163" s="214"/>
      <c r="DE163" s="152"/>
      <c r="DF163" s="160" t="s">
        <v>1090</v>
      </c>
      <c r="DG163" s="160" t="s">
        <v>584</v>
      </c>
      <c r="DH163" s="160" t="s">
        <v>126</v>
      </c>
      <c r="DI163" s="160" t="s">
        <v>1091</v>
      </c>
      <c r="DJ163" s="160" t="s">
        <v>1092</v>
      </c>
      <c r="DK163" s="160" t="s">
        <v>588</v>
      </c>
      <c r="DL163" s="160" t="s">
        <v>956</v>
      </c>
      <c r="DM163" s="160" t="s">
        <v>590</v>
      </c>
      <c r="DN163" s="161" t="s">
        <v>591</v>
      </c>
      <c r="DP163" s="130">
        <v>1</v>
      </c>
    </row>
    <row r="164" spans="2:120" ht="30" customHeight="1">
      <c r="B164" s="165" t="str">
        <f t="shared" si="21"/>
        <v/>
      </c>
      <c r="C164" s="165" t="str">
        <f t="shared" si="22"/>
        <v/>
      </c>
      <c r="D164" s="165" t="str">
        <f>IF(UPPER(TRIM(N11))="X",C164,B164)</f>
        <v/>
      </c>
      <c r="E164" s="165" cm="1">
        <f t="array" ref="E164">IF(H163&lt;&gt;"",E163,IF(E163="","",IFERROR(MATCH(TRUE(),INDEX(INDEX(K:K,E163+1):K203&lt;&gt;"",0),0)+E163,"")))</f>
        <v>256</v>
      </c>
      <c r="F164" s="165" cm="1">
        <f t="array" ref="F164">IF(E164="","",IF(H163&lt;&gt;"",H163,INDEX(D:D,E164)))</f>
        <v>0</v>
      </c>
      <c r="G164" s="165" t="str">
        <f t="shared" si="23"/>
        <v>0</v>
      </c>
      <c r="H164" s="174" t="str">
        <f t="shared" si="24"/>
        <v/>
      </c>
      <c r="I164" s="184" t="str">
        <f>IF(AND(F164&lt;&gt;"",N10&gt;0,M164&gt;N10),"Mot &gt; limite","")</f>
        <v/>
      </c>
      <c r="J164" s="175" t="str">
        <f>IF(K164="","",COUNTIF(K18:K164,"&lt;&gt;"))</f>
        <v/>
      </c>
      <c r="K164" s="111"/>
      <c r="L164" s="175" t="str">
        <f t="shared" si="25"/>
        <v/>
      </c>
      <c r="M164" s="135">
        <f>IF(OR(F164="",N10="",N10&lt;=0),"",IF(LEN(F164)&lt;=N10,LEN(F164),IFERROR(FIND("♦",SUBSTITUTE(LEFT(F164,N10)," ","♦",LEN(LEFT(F164,N10))-LEN(SUBSTITUTE(LEFT(F164,N10)," ","")))),FIND(" ",F164&amp;" ",N10+1)-1)))</f>
        <v>1</v>
      </c>
      <c r="N164" s="176">
        <f t="shared" si="26"/>
        <v>147</v>
      </c>
      <c r="O164" s="177" t="str">
        <f t="shared" si="27"/>
        <v>0</v>
      </c>
      <c r="P164" s="176">
        <f t="shared" si="28"/>
        <v>1</v>
      </c>
      <c r="Q164" s="176">
        <f t="shared" si="29"/>
        <v>1</v>
      </c>
      <c r="S164" s="214"/>
      <c r="T164" s="225" t="s">
        <v>1032</v>
      </c>
      <c r="U164" s="222" t="s">
        <v>1093</v>
      </c>
      <c r="V164" s="214"/>
      <c r="W164" s="214"/>
      <c r="X164" s="214"/>
      <c r="Y164" s="214"/>
      <c r="Z164" s="214"/>
      <c r="AA164" s="214"/>
      <c r="AB164" s="214"/>
      <c r="AC164" s="214"/>
      <c r="AD164" s="214"/>
      <c r="AE164" s="214"/>
      <c r="AF164" s="214"/>
      <c r="AG164" s="214"/>
      <c r="AH164" s="214"/>
      <c r="AI164" s="214"/>
      <c r="AJ164" s="214"/>
      <c r="AK164" s="214"/>
      <c r="DE164" s="152"/>
      <c r="DF164" s="160" t="s">
        <v>1094</v>
      </c>
      <c r="DG164" s="160" t="s">
        <v>584</v>
      </c>
      <c r="DH164" s="160" t="s">
        <v>126</v>
      </c>
      <c r="DI164" s="160" t="s">
        <v>1095</v>
      </c>
      <c r="DJ164" s="160" t="s">
        <v>1095</v>
      </c>
      <c r="DK164" s="160" t="s">
        <v>588</v>
      </c>
      <c r="DL164" s="160" t="s">
        <v>956</v>
      </c>
      <c r="DM164" s="160" t="s">
        <v>590</v>
      </c>
      <c r="DN164" s="161" t="s">
        <v>591</v>
      </c>
      <c r="DP164" s="130">
        <v>1</v>
      </c>
    </row>
    <row r="165" spans="2:120" ht="30" customHeight="1">
      <c r="B165" s="165" t="str">
        <f t="shared" si="21"/>
        <v/>
      </c>
      <c r="C165" s="165" t="str">
        <f t="shared" si="22"/>
        <v/>
      </c>
      <c r="D165" s="165" t="str">
        <f>IF(UPPER(TRIM(N11))="X",C165,B165)</f>
        <v/>
      </c>
      <c r="E165" s="165" cm="1">
        <f t="array" ref="E165">IF(H164&lt;&gt;"",E164,IF(E164="","",IFERROR(MATCH(TRUE(),INDEX(INDEX(K:K,E164+1):K203&lt;&gt;"",0),0)+E164,"")))</f>
        <v>257</v>
      </c>
      <c r="F165" s="165" cm="1">
        <f t="array" ref="F165">IF(E165="","",IF(H164&lt;&gt;"",H164,INDEX(D:D,E165)))</f>
        <v>0</v>
      </c>
      <c r="G165" s="165" t="str">
        <f t="shared" si="23"/>
        <v>0</v>
      </c>
      <c r="H165" s="174" t="str">
        <f t="shared" si="24"/>
        <v/>
      </c>
      <c r="I165" s="184" t="str">
        <f>IF(AND(F165&lt;&gt;"",N10&gt;0,M165&gt;N10),"Mot &gt; limite","")</f>
        <v/>
      </c>
      <c r="J165" s="175" t="str">
        <f>IF(K165="","",COUNTIF(K18:K165,"&lt;&gt;"))</f>
        <v/>
      </c>
      <c r="K165" s="111"/>
      <c r="L165" s="175" t="str">
        <f t="shared" si="25"/>
        <v/>
      </c>
      <c r="M165" s="135">
        <f>IF(OR(F165="",N10="",N10&lt;=0),"",IF(LEN(F165)&lt;=N10,LEN(F165),IFERROR(FIND("♦",SUBSTITUTE(LEFT(F165,N10)," ","♦",LEN(LEFT(F165,N10))-LEN(SUBSTITUTE(LEFT(F165,N10)," ","")))),FIND(" ",F165&amp;" ",N10+1)-1)))</f>
        <v>1</v>
      </c>
      <c r="N165" s="176">
        <f t="shared" si="26"/>
        <v>148</v>
      </c>
      <c r="O165" s="177" t="str">
        <f t="shared" si="27"/>
        <v>0</v>
      </c>
      <c r="P165" s="176">
        <f t="shared" si="28"/>
        <v>1</v>
      </c>
      <c r="Q165" s="176">
        <f t="shared" si="29"/>
        <v>1</v>
      </c>
      <c r="S165" s="214"/>
      <c r="T165" s="225" t="s">
        <v>1036</v>
      </c>
      <c r="U165" s="222" t="s">
        <v>1096</v>
      </c>
      <c r="V165" s="214"/>
      <c r="W165" s="214"/>
      <c r="X165" s="214"/>
      <c r="Y165" s="214"/>
      <c r="Z165" s="214"/>
      <c r="AA165" s="214"/>
      <c r="AB165" s="214"/>
      <c r="AC165" s="214"/>
      <c r="AD165" s="214"/>
      <c r="AE165" s="214"/>
      <c r="AF165" s="214"/>
      <c r="AG165" s="214"/>
      <c r="AH165" s="214"/>
      <c r="AI165" s="214"/>
      <c r="AJ165" s="214"/>
      <c r="AK165" s="214"/>
      <c r="DE165" s="152"/>
      <c r="DF165" s="160" t="s">
        <v>1097</v>
      </c>
      <c r="DG165" s="160" t="s">
        <v>584</v>
      </c>
      <c r="DH165" s="160" t="s">
        <v>126</v>
      </c>
      <c r="DI165" s="160" t="s">
        <v>1098</v>
      </c>
      <c r="DJ165" s="160" t="s">
        <v>1098</v>
      </c>
      <c r="DK165" s="160" t="s">
        <v>666</v>
      </c>
      <c r="DL165" s="160" t="s">
        <v>952</v>
      </c>
      <c r="DM165" s="160" t="s">
        <v>590</v>
      </c>
      <c r="DN165" s="161" t="s">
        <v>668</v>
      </c>
      <c r="DP165" s="130">
        <v>1</v>
      </c>
    </row>
    <row r="166" spans="2:120" ht="30" customHeight="1">
      <c r="B166" s="165" t="str">
        <f t="shared" si="21"/>
        <v/>
      </c>
      <c r="C166" s="165" t="str">
        <f t="shared" si="22"/>
        <v/>
      </c>
      <c r="D166" s="165" t="str">
        <f>IF(UPPER(TRIM(N11))="X",C166,B166)</f>
        <v/>
      </c>
      <c r="E166" s="165" cm="1">
        <f t="array" ref="E166">IF(H165&lt;&gt;"",E165,IF(E165="","",IFERROR(MATCH(TRUE(),INDEX(INDEX(K:K,E165+1):K203&lt;&gt;"",0),0)+E165,"")))</f>
        <v>258</v>
      </c>
      <c r="F166" s="165" cm="1">
        <f t="array" ref="F166">IF(E166="","",IF(H165&lt;&gt;"",H165,INDEX(D:D,E166)))</f>
        <v>0</v>
      </c>
      <c r="G166" s="165" t="str">
        <f t="shared" si="23"/>
        <v>0</v>
      </c>
      <c r="H166" s="174" t="str">
        <f t="shared" si="24"/>
        <v/>
      </c>
      <c r="I166" s="184" t="str">
        <f>IF(AND(F166&lt;&gt;"",N10&gt;0,M166&gt;N10),"Mot &gt; limite","")</f>
        <v/>
      </c>
      <c r="J166" s="175" t="str">
        <f>IF(K166="","",COUNTIF(K18:K166,"&lt;&gt;"))</f>
        <v/>
      </c>
      <c r="K166" s="111"/>
      <c r="L166" s="175" t="str">
        <f t="shared" si="25"/>
        <v/>
      </c>
      <c r="M166" s="135">
        <f>IF(OR(F166="",N10="",N10&lt;=0),"",IF(LEN(F166)&lt;=N10,LEN(F166),IFERROR(FIND("♦",SUBSTITUTE(LEFT(F166,N10)," ","♦",LEN(LEFT(F166,N10))-LEN(SUBSTITUTE(LEFT(F166,N10)," ","")))),FIND(" ",F166&amp;" ",N10+1)-1)))</f>
        <v>1</v>
      </c>
      <c r="N166" s="176">
        <f t="shared" si="26"/>
        <v>149</v>
      </c>
      <c r="O166" s="177" t="str">
        <f t="shared" si="27"/>
        <v>0</v>
      </c>
      <c r="P166" s="176">
        <f t="shared" si="28"/>
        <v>1</v>
      </c>
      <c r="Q166" s="176">
        <f t="shared" si="29"/>
        <v>1</v>
      </c>
      <c r="S166" s="214"/>
      <c r="T166" s="225" t="s">
        <v>1041</v>
      </c>
      <c r="U166" s="222" t="s">
        <v>1099</v>
      </c>
      <c r="V166" s="214"/>
      <c r="W166" s="214"/>
      <c r="X166" s="214"/>
      <c r="Y166" s="214"/>
      <c r="Z166" s="214"/>
      <c r="AA166" s="214"/>
      <c r="AB166" s="214"/>
      <c r="AC166" s="214"/>
      <c r="AD166" s="214"/>
      <c r="AE166" s="214"/>
      <c r="AF166" s="214"/>
      <c r="AG166" s="214"/>
      <c r="AH166" s="214"/>
      <c r="AI166" s="214"/>
      <c r="AJ166" s="214"/>
      <c r="AK166" s="214"/>
      <c r="DE166" s="152"/>
      <c r="DF166" s="160" t="s">
        <v>1100</v>
      </c>
      <c r="DG166" s="160" t="s">
        <v>584</v>
      </c>
      <c r="DH166" s="160" t="s">
        <v>126</v>
      </c>
      <c r="DI166" s="160" t="s">
        <v>1101</v>
      </c>
      <c r="DJ166" s="160" t="s">
        <v>1101</v>
      </c>
      <c r="DK166" s="160" t="s">
        <v>666</v>
      </c>
      <c r="DL166" s="160" t="s">
        <v>952</v>
      </c>
      <c r="DM166" s="160" t="s">
        <v>590</v>
      </c>
      <c r="DN166" s="161" t="s">
        <v>668</v>
      </c>
      <c r="DP166" s="130">
        <v>1</v>
      </c>
    </row>
    <row r="167" spans="2:120" ht="30" customHeight="1">
      <c r="B167" s="165" t="str">
        <f t="shared" si="21"/>
        <v/>
      </c>
      <c r="C167" s="165" t="str">
        <f t="shared" si="22"/>
        <v/>
      </c>
      <c r="D167" s="165" t="str">
        <f>IF(UPPER(TRIM(N11))="X",C167,B167)</f>
        <v/>
      </c>
      <c r="E167" s="165" cm="1">
        <f t="array" ref="E167">IF(H166&lt;&gt;"",E166,IF(E166="","",IFERROR(MATCH(TRUE(),INDEX(INDEX(K:K,E166+1):K203&lt;&gt;"",0),0)+E166,"")))</f>
        <v>259</v>
      </c>
      <c r="F167" s="165" cm="1">
        <f t="array" ref="F167">IF(E167="","",IF(H166&lt;&gt;"",H166,INDEX(D:D,E167)))</f>
        <v>0</v>
      </c>
      <c r="G167" s="165" t="str">
        <f t="shared" si="23"/>
        <v>0</v>
      </c>
      <c r="H167" s="174" t="str">
        <f t="shared" si="24"/>
        <v/>
      </c>
      <c r="I167" s="184" t="str">
        <f>IF(AND(F167&lt;&gt;"",N10&gt;0,M167&gt;N10),"Mot &gt; limite","")</f>
        <v/>
      </c>
      <c r="J167" s="175" t="str">
        <f>IF(K167="","",COUNTIF(K18:K167,"&lt;&gt;"))</f>
        <v/>
      </c>
      <c r="K167" s="111"/>
      <c r="L167" s="175" t="str">
        <f t="shared" si="25"/>
        <v/>
      </c>
      <c r="M167" s="135">
        <f>IF(OR(F167="",N10="",N10&lt;=0),"",IF(LEN(F167)&lt;=N10,LEN(F167),IFERROR(FIND("♦",SUBSTITUTE(LEFT(F167,N10)," ","♦",LEN(LEFT(F167,N10))-LEN(SUBSTITUTE(LEFT(F167,N10)," ","")))),FIND(" ",F167&amp;" ",N10+1)-1)))</f>
        <v>1</v>
      </c>
      <c r="N167" s="176">
        <f t="shared" si="26"/>
        <v>150</v>
      </c>
      <c r="O167" s="177" t="str">
        <f t="shared" si="27"/>
        <v>0</v>
      </c>
      <c r="P167" s="176">
        <f t="shared" si="28"/>
        <v>1</v>
      </c>
      <c r="Q167" s="176">
        <f t="shared" si="29"/>
        <v>1</v>
      </c>
      <c r="S167" s="214"/>
      <c r="T167" s="225" t="s">
        <v>1045</v>
      </c>
      <c r="U167" s="222" t="s">
        <v>1102</v>
      </c>
      <c r="V167" s="214"/>
      <c r="W167" s="214"/>
      <c r="X167" s="214"/>
      <c r="Y167" s="214"/>
      <c r="Z167" s="214"/>
      <c r="AA167" s="214"/>
      <c r="AB167" s="214"/>
      <c r="AC167" s="214"/>
      <c r="AD167" s="214"/>
      <c r="AE167" s="214"/>
      <c r="AF167" s="214"/>
      <c r="AG167" s="214"/>
      <c r="AH167" s="214"/>
      <c r="AI167" s="214"/>
      <c r="AJ167" s="214"/>
      <c r="AK167" s="214"/>
      <c r="DE167" s="152"/>
      <c r="DF167" s="160" t="s">
        <v>1103</v>
      </c>
      <c r="DG167" s="160" t="s">
        <v>584</v>
      </c>
      <c r="DH167" s="160" t="s">
        <v>126</v>
      </c>
      <c r="DI167" s="160" t="s">
        <v>542</v>
      </c>
      <c r="DJ167" s="160" t="s">
        <v>542</v>
      </c>
      <c r="DK167" s="160" t="s">
        <v>588</v>
      </c>
      <c r="DL167" s="160" t="s">
        <v>956</v>
      </c>
      <c r="DM167" s="160" t="s">
        <v>590</v>
      </c>
      <c r="DN167" s="161" t="s">
        <v>591</v>
      </c>
      <c r="DP167" s="130">
        <v>1</v>
      </c>
    </row>
    <row r="168" spans="2:120" ht="30" customHeight="1">
      <c r="B168" s="165" t="str">
        <f t="shared" si="21"/>
        <v/>
      </c>
      <c r="C168" s="165" t="str">
        <f t="shared" si="22"/>
        <v/>
      </c>
      <c r="D168" s="165" t="str">
        <f>IF(UPPER(TRIM(N11))="X",C168,B168)</f>
        <v/>
      </c>
      <c r="E168" s="165" cm="1">
        <f t="array" ref="E168">IF(H167&lt;&gt;"",E167,IF(E167="","",IFERROR(MATCH(TRUE(),INDEX(INDEX(K:K,E167+1):K203&lt;&gt;"",0),0)+E167,"")))</f>
        <v>260</v>
      </c>
      <c r="F168" s="165" cm="1">
        <f t="array" ref="F168">IF(E168="","",IF(H167&lt;&gt;"",H167,INDEX(D:D,E168)))</f>
        <v>0</v>
      </c>
      <c r="G168" s="165" t="str">
        <f t="shared" si="23"/>
        <v>0</v>
      </c>
      <c r="H168" s="174" t="str">
        <f t="shared" si="24"/>
        <v/>
      </c>
      <c r="I168" s="184" t="str">
        <f>IF(AND(F168&lt;&gt;"",N10&gt;0,M168&gt;N10),"Mot &gt; limite","")</f>
        <v/>
      </c>
      <c r="J168" s="175" t="str">
        <f>IF(K168="","",COUNTIF(K18:K168,"&lt;&gt;"))</f>
        <v/>
      </c>
      <c r="K168" s="111"/>
      <c r="L168" s="175" t="str">
        <f t="shared" si="25"/>
        <v/>
      </c>
      <c r="M168" s="135">
        <f>IF(OR(F168="",N10="",N10&lt;=0),"",IF(LEN(F168)&lt;=N10,LEN(F168),IFERROR(FIND("♦",SUBSTITUTE(LEFT(F168,N10)," ","♦",LEN(LEFT(F168,N10))-LEN(SUBSTITUTE(LEFT(F168,N10)," ","")))),FIND(" ",F168&amp;" ",N10+1)-1)))</f>
        <v>1</v>
      </c>
      <c r="N168" s="176">
        <f t="shared" si="26"/>
        <v>151</v>
      </c>
      <c r="O168" s="177" t="str">
        <f t="shared" si="27"/>
        <v>0</v>
      </c>
      <c r="P168" s="176">
        <f t="shared" si="28"/>
        <v>1</v>
      </c>
      <c r="Q168" s="176">
        <f t="shared" si="29"/>
        <v>1</v>
      </c>
      <c r="S168" s="214"/>
      <c r="T168" s="225" t="s">
        <v>1049</v>
      </c>
      <c r="U168" s="222" t="s">
        <v>1104</v>
      </c>
      <c r="V168" s="214"/>
      <c r="W168" s="214"/>
      <c r="X168" s="214"/>
      <c r="Y168" s="214"/>
      <c r="Z168" s="214"/>
      <c r="AA168" s="214"/>
      <c r="AB168" s="214"/>
      <c r="AC168" s="214"/>
      <c r="AD168" s="214"/>
      <c r="AE168" s="214"/>
      <c r="AF168" s="214"/>
      <c r="AG168" s="214"/>
      <c r="AH168" s="214"/>
      <c r="AI168" s="214"/>
      <c r="AJ168" s="214"/>
      <c r="AK168" s="214"/>
      <c r="DE168" s="152"/>
      <c r="DF168" s="160" t="s">
        <v>1105</v>
      </c>
      <c r="DG168" s="160" t="s">
        <v>584</v>
      </c>
      <c r="DH168" s="160" t="s">
        <v>126</v>
      </c>
      <c r="DI168" s="160" t="s">
        <v>229</v>
      </c>
      <c r="DJ168" s="160" t="s">
        <v>229</v>
      </c>
      <c r="DK168" s="160" t="s">
        <v>588</v>
      </c>
      <c r="DL168" s="160" t="s">
        <v>956</v>
      </c>
      <c r="DM168" s="160" t="s">
        <v>590</v>
      </c>
      <c r="DN168" s="161" t="s">
        <v>591</v>
      </c>
      <c r="DP168" s="130">
        <v>1</v>
      </c>
    </row>
    <row r="169" spans="2:120" ht="30" customHeight="1">
      <c r="B169" s="165" t="str">
        <f t="shared" si="21"/>
        <v/>
      </c>
      <c r="C169" s="165" t="str">
        <f t="shared" si="22"/>
        <v/>
      </c>
      <c r="D169" s="165" t="str">
        <f>IF(UPPER(TRIM(N11))="X",C169,B169)</f>
        <v/>
      </c>
      <c r="E169" s="165" cm="1">
        <f t="array" ref="E169">IF(H168&lt;&gt;"",E168,IF(E168="","",IFERROR(MATCH(TRUE(),INDEX(INDEX(K:K,E168+1):K203&lt;&gt;"",0),0)+E168,"")))</f>
        <v>261</v>
      </c>
      <c r="F169" s="165" cm="1">
        <f t="array" ref="F169">IF(E169="","",IF(H168&lt;&gt;"",H168,INDEX(D:D,E169)))</f>
        <v>0</v>
      </c>
      <c r="G169" s="165" t="str">
        <f t="shared" si="23"/>
        <v>0</v>
      </c>
      <c r="H169" s="174" t="str">
        <f t="shared" si="24"/>
        <v/>
      </c>
      <c r="I169" s="184" t="str">
        <f>IF(AND(F169&lt;&gt;"",N10&gt;0,M169&gt;N10),"Mot &gt; limite","")</f>
        <v/>
      </c>
      <c r="J169" s="175" t="str">
        <f>IF(K169="","",COUNTIF(K18:K169,"&lt;&gt;"))</f>
        <v/>
      </c>
      <c r="K169" s="111"/>
      <c r="L169" s="175" t="str">
        <f t="shared" si="25"/>
        <v/>
      </c>
      <c r="M169" s="135">
        <f>IF(OR(F169="",N10="",N10&lt;=0),"",IF(LEN(F169)&lt;=N10,LEN(F169),IFERROR(FIND("♦",SUBSTITUTE(LEFT(F169,N10)," ","♦",LEN(LEFT(F169,N10))-LEN(SUBSTITUTE(LEFT(F169,N10)," ","")))),FIND(" ",F169&amp;" ",N10+1)-1)))</f>
        <v>1</v>
      </c>
      <c r="N169" s="176">
        <f t="shared" si="26"/>
        <v>152</v>
      </c>
      <c r="O169" s="177" t="str">
        <f t="shared" si="27"/>
        <v>0</v>
      </c>
      <c r="P169" s="176">
        <f t="shared" si="28"/>
        <v>1</v>
      </c>
      <c r="Q169" s="176">
        <f t="shared" si="29"/>
        <v>1</v>
      </c>
      <c r="S169" s="214"/>
      <c r="T169" s="225" t="s">
        <v>1053</v>
      </c>
      <c r="U169" s="222" t="s">
        <v>1106</v>
      </c>
      <c r="V169" s="214"/>
      <c r="W169" s="214"/>
      <c r="X169" s="214"/>
      <c r="Y169" s="214"/>
      <c r="Z169" s="214"/>
      <c r="AA169" s="214"/>
      <c r="AB169" s="214"/>
      <c r="AC169" s="214"/>
      <c r="AD169" s="214"/>
      <c r="AE169" s="214"/>
      <c r="AF169" s="214"/>
      <c r="AG169" s="214"/>
      <c r="AH169" s="214"/>
      <c r="AI169" s="214"/>
      <c r="AJ169" s="214"/>
      <c r="AK169" s="214"/>
      <c r="DE169" s="152"/>
      <c r="DF169" s="160" t="s">
        <v>1107</v>
      </c>
      <c r="DG169" s="160" t="s">
        <v>584</v>
      </c>
      <c r="DH169" s="160" t="s">
        <v>126</v>
      </c>
      <c r="DI169" s="160" t="s">
        <v>1108</v>
      </c>
      <c r="DJ169" s="160" t="s">
        <v>351</v>
      </c>
      <c r="DK169" s="160" t="s">
        <v>588</v>
      </c>
      <c r="DL169" s="160" t="s">
        <v>956</v>
      </c>
      <c r="DM169" s="160" t="s">
        <v>590</v>
      </c>
      <c r="DN169" s="161" t="s">
        <v>591</v>
      </c>
      <c r="DP169" s="130">
        <v>1</v>
      </c>
    </row>
    <row r="170" spans="2:120" ht="30" customHeight="1">
      <c r="B170" s="165" t="str">
        <f t="shared" si="21"/>
        <v/>
      </c>
      <c r="C170" s="165" t="str">
        <f t="shared" si="22"/>
        <v/>
      </c>
      <c r="D170" s="165" t="str">
        <f>IF(UPPER(TRIM(N11))="X",C170,B170)</f>
        <v/>
      </c>
      <c r="E170" s="165" cm="1">
        <f t="array" ref="E170">IF(H169&lt;&gt;"",E169,IF(E169="","",IFERROR(MATCH(TRUE(),INDEX(INDEX(K:K,E169+1):K203&lt;&gt;"",0),0)+E169,"")))</f>
        <v>262</v>
      </c>
      <c r="F170" s="165" cm="1">
        <f t="array" ref="F170">IF(E170="","",IF(H169&lt;&gt;"",H169,INDEX(D:D,E170)))</f>
        <v>0</v>
      </c>
      <c r="G170" s="165" t="str">
        <f t="shared" si="23"/>
        <v>0</v>
      </c>
      <c r="H170" s="174" t="str">
        <f t="shared" si="24"/>
        <v/>
      </c>
      <c r="I170" s="184" t="str">
        <f>IF(AND(F170&lt;&gt;"",N10&gt;0,M170&gt;N10),"Mot &gt; limite","")</f>
        <v/>
      </c>
      <c r="J170" s="175" t="str">
        <f>IF(K170="","",COUNTIF(K18:K170,"&lt;&gt;"))</f>
        <v/>
      </c>
      <c r="K170" s="111"/>
      <c r="L170" s="175" t="str">
        <f t="shared" si="25"/>
        <v/>
      </c>
      <c r="M170" s="135">
        <f>IF(OR(F170="",N10="",N10&lt;=0),"",IF(LEN(F170)&lt;=N10,LEN(F170),IFERROR(FIND("♦",SUBSTITUTE(LEFT(F170,N10)," ","♦",LEN(LEFT(F170,N10))-LEN(SUBSTITUTE(LEFT(F170,N10)," ","")))),FIND(" ",F170&amp;" ",N10+1)-1)))</f>
        <v>1</v>
      </c>
      <c r="N170" s="176">
        <f t="shared" si="26"/>
        <v>153</v>
      </c>
      <c r="O170" s="177" t="str">
        <f t="shared" si="27"/>
        <v>0</v>
      </c>
      <c r="P170" s="176">
        <f t="shared" si="28"/>
        <v>1</v>
      </c>
      <c r="Q170" s="176">
        <f t="shared" si="29"/>
        <v>1</v>
      </c>
      <c r="S170" s="214"/>
      <c r="T170" s="225" t="s">
        <v>1057</v>
      </c>
      <c r="U170" s="222" t="s">
        <v>1109</v>
      </c>
      <c r="V170" s="214"/>
      <c r="W170" s="214"/>
      <c r="X170" s="214"/>
      <c r="Y170" s="214"/>
      <c r="Z170" s="214"/>
      <c r="AA170" s="214"/>
      <c r="AB170" s="214"/>
      <c r="AC170" s="214"/>
      <c r="AD170" s="214"/>
      <c r="AE170" s="214"/>
      <c r="AF170" s="214"/>
      <c r="AG170" s="214"/>
      <c r="AH170" s="214"/>
      <c r="AI170" s="214"/>
      <c r="AJ170" s="214"/>
      <c r="AK170" s="214"/>
      <c r="DE170" s="152"/>
      <c r="DF170" s="160" t="s">
        <v>1110</v>
      </c>
      <c r="DG170" s="160" t="s">
        <v>584</v>
      </c>
      <c r="DH170" s="160" t="s">
        <v>126</v>
      </c>
      <c r="DI170" s="160" t="s">
        <v>543</v>
      </c>
      <c r="DJ170" s="160" t="s">
        <v>543</v>
      </c>
      <c r="DK170" s="160" t="s">
        <v>588</v>
      </c>
      <c r="DL170" s="160" t="s">
        <v>956</v>
      </c>
      <c r="DM170" s="160" t="s">
        <v>590</v>
      </c>
      <c r="DN170" s="161" t="s">
        <v>591</v>
      </c>
      <c r="DP170" s="130">
        <v>1</v>
      </c>
    </row>
    <row r="171" spans="2:120" ht="30" customHeight="1">
      <c r="B171" s="165" t="str">
        <f t="shared" si="21"/>
        <v/>
      </c>
      <c r="C171" s="165" t="str">
        <f t="shared" si="22"/>
        <v/>
      </c>
      <c r="D171" s="165" t="str">
        <f>IF(UPPER(TRIM(N11))="X",C171,B171)</f>
        <v/>
      </c>
      <c r="E171" s="165" cm="1">
        <f t="array" ref="E171">IF(H170&lt;&gt;"",E170,IF(E170="","",IFERROR(MATCH(TRUE(),INDEX(INDEX(K:K,E170+1):K203&lt;&gt;"",0),0)+E170,"")))</f>
        <v>263</v>
      </c>
      <c r="F171" s="165" cm="1">
        <f t="array" ref="F171">IF(E171="","",IF(H170&lt;&gt;"",H170,INDEX(D:D,E171)))</f>
        <v>0</v>
      </c>
      <c r="G171" s="165" t="str">
        <f t="shared" si="23"/>
        <v>0</v>
      </c>
      <c r="H171" s="174" t="str">
        <f t="shared" si="24"/>
        <v/>
      </c>
      <c r="I171" s="184" t="str">
        <f>IF(AND(F171&lt;&gt;"",N10&gt;0,M171&gt;N10),"Mot &gt; limite","")</f>
        <v/>
      </c>
      <c r="J171" s="175" t="str">
        <f>IF(K171="","",COUNTIF(K18:K171,"&lt;&gt;"))</f>
        <v/>
      </c>
      <c r="K171" s="111"/>
      <c r="L171" s="175" t="str">
        <f t="shared" si="25"/>
        <v/>
      </c>
      <c r="M171" s="135">
        <f>IF(OR(F171="",N10="",N10&lt;=0),"",IF(LEN(F171)&lt;=N10,LEN(F171),IFERROR(FIND("♦",SUBSTITUTE(LEFT(F171,N10)," ","♦",LEN(LEFT(F171,N10))-LEN(SUBSTITUTE(LEFT(F171,N10)," ","")))),FIND(" ",F171&amp;" ",N10+1)-1)))</f>
        <v>1</v>
      </c>
      <c r="N171" s="176">
        <f t="shared" si="26"/>
        <v>154</v>
      </c>
      <c r="O171" s="177" t="str">
        <f t="shared" si="27"/>
        <v>0</v>
      </c>
      <c r="P171" s="176">
        <f t="shared" si="28"/>
        <v>1</v>
      </c>
      <c r="Q171" s="176">
        <f t="shared" si="29"/>
        <v>1</v>
      </c>
      <c r="S171" s="214"/>
      <c r="T171" s="225" t="s">
        <v>1062</v>
      </c>
      <c r="U171" s="222" t="s">
        <v>1111</v>
      </c>
      <c r="V171" s="214"/>
      <c r="W171" s="214"/>
      <c r="X171" s="214"/>
      <c r="Y171" s="214"/>
      <c r="Z171" s="214"/>
      <c r="AA171" s="214"/>
      <c r="AB171" s="214"/>
      <c r="AC171" s="214"/>
      <c r="AD171" s="214"/>
      <c r="AE171" s="214"/>
      <c r="AF171" s="214"/>
      <c r="AG171" s="214"/>
      <c r="AH171" s="214"/>
      <c r="AI171" s="214"/>
      <c r="AJ171" s="214"/>
      <c r="AK171" s="214"/>
      <c r="DE171" s="152"/>
      <c r="DF171" s="160" t="s">
        <v>1112</v>
      </c>
      <c r="DG171" s="160" t="s">
        <v>584</v>
      </c>
      <c r="DH171" s="160" t="s">
        <v>126</v>
      </c>
      <c r="DI171" s="160" t="s">
        <v>353</v>
      </c>
      <c r="DJ171" s="160" t="s">
        <v>353</v>
      </c>
      <c r="DK171" s="160" t="s">
        <v>588</v>
      </c>
      <c r="DL171" s="160" t="s">
        <v>956</v>
      </c>
      <c r="DM171" s="160" t="s">
        <v>590</v>
      </c>
      <c r="DN171" s="161" t="s">
        <v>591</v>
      </c>
      <c r="DP171" s="130">
        <v>1</v>
      </c>
    </row>
    <row r="172" spans="2:120" ht="30" customHeight="1">
      <c r="B172" s="165" t="str">
        <f t="shared" si="21"/>
        <v/>
      </c>
      <c r="C172" s="165" t="str">
        <f t="shared" si="22"/>
        <v/>
      </c>
      <c r="D172" s="165" t="str">
        <f>IF(UPPER(TRIM(N11))="X",C172,B172)</f>
        <v/>
      </c>
      <c r="E172" s="165" cm="1">
        <f t="array" ref="E172">IF(H171&lt;&gt;"",E171,IF(E171="","",IFERROR(MATCH(TRUE(),INDEX(INDEX(K:K,E171+1):K203&lt;&gt;"",0),0)+E171,"")))</f>
        <v>264</v>
      </c>
      <c r="F172" s="165" cm="1">
        <f t="array" ref="F172">IF(E172="","",IF(H171&lt;&gt;"",H171,INDEX(D:D,E172)))</f>
        <v>0</v>
      </c>
      <c r="G172" s="165" t="str">
        <f t="shared" si="23"/>
        <v>0</v>
      </c>
      <c r="H172" s="174" t="str">
        <f t="shared" si="24"/>
        <v/>
      </c>
      <c r="I172" s="184" t="str">
        <f>IF(AND(F172&lt;&gt;"",N10&gt;0,M172&gt;N10),"Mot &gt; limite","")</f>
        <v/>
      </c>
      <c r="J172" s="175" t="str">
        <f>IF(K172="","",COUNTIF(K18:K172,"&lt;&gt;"))</f>
        <v/>
      </c>
      <c r="K172" s="111"/>
      <c r="L172" s="175" t="str">
        <f t="shared" si="25"/>
        <v/>
      </c>
      <c r="M172" s="135">
        <f>IF(OR(F172="",N10="",N10&lt;=0),"",IF(LEN(F172)&lt;=N10,LEN(F172),IFERROR(FIND("♦",SUBSTITUTE(LEFT(F172,N10)," ","♦",LEN(LEFT(F172,N10))-LEN(SUBSTITUTE(LEFT(F172,N10)," ","")))),FIND(" ",F172&amp;" ",N10+1)-1)))</f>
        <v>1</v>
      </c>
      <c r="N172" s="176">
        <f t="shared" si="26"/>
        <v>155</v>
      </c>
      <c r="O172" s="177" t="str">
        <f t="shared" si="27"/>
        <v>0</v>
      </c>
      <c r="P172" s="176">
        <f t="shared" si="28"/>
        <v>1</v>
      </c>
      <c r="Q172" s="176">
        <f t="shared" si="29"/>
        <v>1</v>
      </c>
      <c r="S172" s="214"/>
      <c r="T172" s="225" t="s">
        <v>1066</v>
      </c>
      <c r="U172" s="222" t="s">
        <v>1113</v>
      </c>
      <c r="V172" s="214"/>
      <c r="W172" s="214"/>
      <c r="X172" s="214"/>
      <c r="Y172" s="214"/>
      <c r="Z172" s="214"/>
      <c r="AA172" s="214"/>
      <c r="AB172" s="214"/>
      <c r="AC172" s="214"/>
      <c r="AD172" s="214"/>
      <c r="AE172" s="214"/>
      <c r="AF172" s="214"/>
      <c r="AG172" s="214"/>
      <c r="AH172" s="214"/>
      <c r="AI172" s="214"/>
      <c r="AJ172" s="214"/>
      <c r="AK172" s="214"/>
      <c r="DE172" s="152"/>
      <c r="DF172" s="160" t="s">
        <v>1114</v>
      </c>
      <c r="DG172" s="160" t="s">
        <v>584</v>
      </c>
      <c r="DH172" s="160" t="s">
        <v>126</v>
      </c>
      <c r="DI172" s="160" t="s">
        <v>544</v>
      </c>
      <c r="DJ172" s="160" t="s">
        <v>544</v>
      </c>
      <c r="DK172" s="160" t="s">
        <v>588</v>
      </c>
      <c r="DL172" s="160" t="s">
        <v>956</v>
      </c>
      <c r="DM172" s="160" t="s">
        <v>590</v>
      </c>
      <c r="DN172" s="161" t="s">
        <v>591</v>
      </c>
      <c r="DP172" s="130">
        <v>1</v>
      </c>
    </row>
    <row r="173" spans="2:120" ht="30" customHeight="1">
      <c r="B173" s="165" t="str">
        <f t="shared" si="21"/>
        <v/>
      </c>
      <c r="C173" s="165" t="str">
        <f t="shared" si="22"/>
        <v/>
      </c>
      <c r="D173" s="165" t="str">
        <f>IF(UPPER(TRIM(N11))="X",C173,B173)</f>
        <v/>
      </c>
      <c r="E173" s="165" cm="1">
        <f t="array" ref="E173">IF(H172&lt;&gt;"",E172,IF(E172="","",IFERROR(MATCH(TRUE(),INDEX(INDEX(K:K,E172+1):K203&lt;&gt;"",0),0)+E172,"")))</f>
        <v>265</v>
      </c>
      <c r="F173" s="165" cm="1">
        <f t="array" ref="F173">IF(E173="","",IF(H172&lt;&gt;"",H172,INDEX(D:D,E173)))</f>
        <v>0</v>
      </c>
      <c r="G173" s="165" t="str">
        <f t="shared" si="23"/>
        <v>0</v>
      </c>
      <c r="H173" s="174" t="str">
        <f t="shared" si="24"/>
        <v/>
      </c>
      <c r="I173" s="184" t="str">
        <f>IF(AND(F173&lt;&gt;"",N10&gt;0,M173&gt;N10),"Mot &gt; limite","")</f>
        <v/>
      </c>
      <c r="J173" s="175" t="str">
        <f>IF(K173="","",COUNTIF(K18:K173,"&lt;&gt;"))</f>
        <v/>
      </c>
      <c r="K173" s="111"/>
      <c r="L173" s="175" t="str">
        <f t="shared" si="25"/>
        <v/>
      </c>
      <c r="M173" s="135">
        <f>IF(OR(F173="",N10="",N10&lt;=0),"",IF(LEN(F173)&lt;=N10,LEN(F173),IFERROR(FIND("♦",SUBSTITUTE(LEFT(F173,N10)," ","♦",LEN(LEFT(F173,N10))-LEN(SUBSTITUTE(LEFT(F173,N10)," ","")))),FIND(" ",F173&amp;" ",N10+1)-1)))</f>
        <v>1</v>
      </c>
      <c r="N173" s="176">
        <f t="shared" si="26"/>
        <v>156</v>
      </c>
      <c r="O173" s="177" t="str">
        <f t="shared" si="27"/>
        <v>0</v>
      </c>
      <c r="P173" s="176">
        <f t="shared" si="28"/>
        <v>1</v>
      </c>
      <c r="Q173" s="176">
        <f t="shared" si="29"/>
        <v>1</v>
      </c>
      <c r="S173" s="214"/>
      <c r="T173" s="225" t="s">
        <v>1069</v>
      </c>
      <c r="U173" s="222" t="s">
        <v>1115</v>
      </c>
      <c r="V173" s="214"/>
      <c r="W173" s="214"/>
      <c r="X173" s="214"/>
      <c r="Y173" s="214"/>
      <c r="Z173" s="214"/>
      <c r="AA173" s="214"/>
      <c r="AB173" s="214"/>
      <c r="AC173" s="214"/>
      <c r="AD173" s="214"/>
      <c r="AE173" s="214"/>
      <c r="AF173" s="214"/>
      <c r="AG173" s="214"/>
      <c r="AH173" s="214"/>
      <c r="AI173" s="214"/>
      <c r="AJ173" s="214"/>
      <c r="AK173" s="214"/>
      <c r="DE173" s="152"/>
      <c r="DF173" s="160" t="s">
        <v>1116</v>
      </c>
      <c r="DG173" s="160" t="s">
        <v>584</v>
      </c>
      <c r="DH173" s="160" t="s">
        <v>126</v>
      </c>
      <c r="DI173" s="160" t="s">
        <v>354</v>
      </c>
      <c r="DJ173" s="160" t="s">
        <v>354</v>
      </c>
      <c r="DK173" s="160" t="s">
        <v>588</v>
      </c>
      <c r="DL173" s="160" t="s">
        <v>956</v>
      </c>
      <c r="DM173" s="160" t="s">
        <v>590</v>
      </c>
      <c r="DN173" s="161" t="s">
        <v>591</v>
      </c>
      <c r="DP173" s="130">
        <v>1</v>
      </c>
    </row>
    <row r="174" spans="2:120" ht="30" customHeight="1">
      <c r="B174" s="165" t="str">
        <f t="shared" si="21"/>
        <v/>
      </c>
      <c r="C174" s="165" t="str">
        <f t="shared" si="22"/>
        <v/>
      </c>
      <c r="D174" s="165" t="str">
        <f>IF(UPPER(TRIM(N11))="X",C174,B174)</f>
        <v/>
      </c>
      <c r="E174" s="165" cm="1">
        <f t="array" ref="E174">IF(H173&lt;&gt;"",E173,IF(E173="","",IFERROR(MATCH(TRUE(),INDEX(INDEX(K:K,E173+1):K203&lt;&gt;"",0),0)+E173,"")))</f>
        <v>266</v>
      </c>
      <c r="F174" s="165" cm="1">
        <f t="array" ref="F174">IF(E174="","",IF(H173&lt;&gt;"",H173,INDEX(D:D,E174)))</f>
        <v>0</v>
      </c>
      <c r="G174" s="165" t="str">
        <f t="shared" si="23"/>
        <v>0</v>
      </c>
      <c r="H174" s="174" t="str">
        <f t="shared" si="24"/>
        <v/>
      </c>
      <c r="I174" s="184" t="str">
        <f>IF(AND(F174&lt;&gt;"",N10&gt;0,M174&gt;N10),"Mot &gt; limite","")</f>
        <v/>
      </c>
      <c r="J174" s="175" t="str">
        <f>IF(K174="","",COUNTIF(K18:K174,"&lt;&gt;"))</f>
        <v/>
      </c>
      <c r="K174" s="111"/>
      <c r="L174" s="175" t="str">
        <f t="shared" si="25"/>
        <v/>
      </c>
      <c r="M174" s="135">
        <f>IF(OR(F174="",N10="",N10&lt;=0),"",IF(LEN(F174)&lt;=N10,LEN(F174),IFERROR(FIND("♦",SUBSTITUTE(LEFT(F174,N10)," ","♦",LEN(LEFT(F174,N10))-LEN(SUBSTITUTE(LEFT(F174,N10)," ","")))),FIND(" ",F174&amp;" ",N10+1)-1)))</f>
        <v>1</v>
      </c>
      <c r="N174" s="176">
        <f t="shared" si="26"/>
        <v>157</v>
      </c>
      <c r="O174" s="177" t="str">
        <f t="shared" si="27"/>
        <v>0</v>
      </c>
      <c r="P174" s="176">
        <f t="shared" si="28"/>
        <v>1</v>
      </c>
      <c r="Q174" s="176">
        <f t="shared" si="29"/>
        <v>1</v>
      </c>
      <c r="S174" s="214"/>
      <c r="T174" s="225" t="s">
        <v>1073</v>
      </c>
      <c r="U174" s="222" t="s">
        <v>1117</v>
      </c>
      <c r="V174" s="214"/>
      <c r="W174" s="214"/>
      <c r="X174" s="214"/>
      <c r="Y174" s="214"/>
      <c r="Z174" s="214"/>
      <c r="AA174" s="214"/>
      <c r="AB174" s="214"/>
      <c r="AC174" s="214"/>
      <c r="AD174" s="214"/>
      <c r="AE174" s="214"/>
      <c r="AF174" s="214"/>
      <c r="AG174" s="214"/>
      <c r="AH174" s="214"/>
      <c r="AI174" s="214"/>
      <c r="AJ174" s="214"/>
      <c r="AK174" s="214"/>
      <c r="DE174" s="152"/>
      <c r="DF174" s="160" t="s">
        <v>1118</v>
      </c>
      <c r="DG174" s="160" t="s">
        <v>584</v>
      </c>
      <c r="DH174" s="160" t="s">
        <v>126</v>
      </c>
      <c r="DI174" s="160" t="s">
        <v>355</v>
      </c>
      <c r="DJ174" s="160" t="s">
        <v>355</v>
      </c>
      <c r="DK174" s="160" t="s">
        <v>588</v>
      </c>
      <c r="DL174" s="160" t="s">
        <v>956</v>
      </c>
      <c r="DM174" s="160" t="s">
        <v>590</v>
      </c>
      <c r="DN174" s="161" t="s">
        <v>591</v>
      </c>
      <c r="DP174" s="130">
        <v>1</v>
      </c>
    </row>
    <row r="175" spans="2:120" ht="30" customHeight="1">
      <c r="B175" s="165" t="str">
        <f t="shared" si="21"/>
        <v/>
      </c>
      <c r="C175" s="165" t="str">
        <f t="shared" si="22"/>
        <v/>
      </c>
      <c r="D175" s="165" t="str">
        <f>IF(UPPER(TRIM(N11))="X",C175,B175)</f>
        <v/>
      </c>
      <c r="E175" s="165" cm="1">
        <f t="array" ref="E175">IF(H174&lt;&gt;"",E174,IF(E174="","",IFERROR(MATCH(TRUE(),INDEX(INDEX(K:K,E174+1):K203&lt;&gt;"",0),0)+E174,"")))</f>
        <v>267</v>
      </c>
      <c r="F175" s="165" cm="1">
        <f t="array" ref="F175">IF(E175="","",IF(H174&lt;&gt;"",H174,INDEX(D:D,E175)))</f>
        <v>0</v>
      </c>
      <c r="G175" s="165" t="str">
        <f t="shared" si="23"/>
        <v>0</v>
      </c>
      <c r="H175" s="174" t="str">
        <f t="shared" si="24"/>
        <v/>
      </c>
      <c r="I175" s="184" t="str">
        <f>IF(AND(F175&lt;&gt;"",N10&gt;0,M175&gt;N10),"Mot &gt; limite","")</f>
        <v/>
      </c>
      <c r="J175" s="175" t="str">
        <f>IF(K175="","",COUNTIF(K18:K175,"&lt;&gt;"))</f>
        <v/>
      </c>
      <c r="K175" s="111"/>
      <c r="L175" s="175" t="str">
        <f t="shared" si="25"/>
        <v/>
      </c>
      <c r="M175" s="135">
        <f>IF(OR(F175="",N10="",N10&lt;=0),"",IF(LEN(F175)&lt;=N10,LEN(F175),IFERROR(FIND("♦",SUBSTITUTE(LEFT(F175,N10)," ","♦",LEN(LEFT(F175,N10))-LEN(SUBSTITUTE(LEFT(F175,N10)," ","")))),FIND(" ",F175&amp;" ",N10+1)-1)))</f>
        <v>1</v>
      </c>
      <c r="N175" s="176">
        <f t="shared" si="26"/>
        <v>158</v>
      </c>
      <c r="O175" s="177" t="str">
        <f t="shared" si="27"/>
        <v>0</v>
      </c>
      <c r="P175" s="176">
        <f t="shared" si="28"/>
        <v>1</v>
      </c>
      <c r="Q175" s="176">
        <f t="shared" si="29"/>
        <v>1</v>
      </c>
      <c r="S175" s="214"/>
      <c r="T175" s="225" t="s">
        <v>1077</v>
      </c>
      <c r="U175" s="222" t="s">
        <v>1119</v>
      </c>
      <c r="V175" s="214"/>
      <c r="W175" s="214"/>
      <c r="X175" s="214"/>
      <c r="Y175" s="214"/>
      <c r="Z175" s="214"/>
      <c r="AA175" s="214"/>
      <c r="AB175" s="214"/>
      <c r="AC175" s="214"/>
      <c r="AD175" s="214"/>
      <c r="AE175" s="214"/>
      <c r="AF175" s="214"/>
      <c r="AG175" s="214"/>
      <c r="AH175" s="214"/>
      <c r="AI175" s="214"/>
      <c r="AJ175" s="214"/>
      <c r="AK175" s="214"/>
      <c r="DE175" s="152"/>
      <c r="DF175" s="160" t="s">
        <v>1120</v>
      </c>
      <c r="DG175" s="160" t="s">
        <v>584</v>
      </c>
      <c r="DH175" s="160" t="s">
        <v>126</v>
      </c>
      <c r="DI175" s="160" t="s">
        <v>545</v>
      </c>
      <c r="DJ175" s="160" t="s">
        <v>545</v>
      </c>
      <c r="DK175" s="160" t="s">
        <v>588</v>
      </c>
      <c r="DL175" s="160" t="s">
        <v>956</v>
      </c>
      <c r="DM175" s="160" t="s">
        <v>590</v>
      </c>
      <c r="DN175" s="161" t="s">
        <v>591</v>
      </c>
      <c r="DP175" s="130">
        <v>1</v>
      </c>
    </row>
    <row r="176" spans="2:120" ht="30" customHeight="1">
      <c r="B176" s="165" t="str">
        <f t="shared" si="21"/>
        <v/>
      </c>
      <c r="C176" s="165" t="str">
        <f t="shared" si="22"/>
        <v/>
      </c>
      <c r="D176" s="165" t="str">
        <f>IF(UPPER(TRIM(N11))="X",C176,B176)</f>
        <v/>
      </c>
      <c r="E176" s="165" cm="1">
        <f t="array" ref="E176">IF(H175&lt;&gt;"",E175,IF(E175="","",IFERROR(MATCH(TRUE(),INDEX(INDEX(K:K,E175+1):K203&lt;&gt;"",0),0)+E175,"")))</f>
        <v>268</v>
      </c>
      <c r="F176" s="165" cm="1">
        <f t="array" ref="F176">IF(E176="","",IF(H175&lt;&gt;"",H175,INDEX(D:D,E176)))</f>
        <v>0</v>
      </c>
      <c r="G176" s="165" t="str">
        <f t="shared" si="23"/>
        <v>0</v>
      </c>
      <c r="H176" s="174" t="str">
        <f t="shared" si="24"/>
        <v/>
      </c>
      <c r="I176" s="184" t="str">
        <f>IF(AND(F176&lt;&gt;"",N10&gt;0,M176&gt;N10),"Mot &gt; limite","")</f>
        <v/>
      </c>
      <c r="J176" s="175" t="str">
        <f>IF(K176="","",COUNTIF(K18:K176,"&lt;&gt;"))</f>
        <v/>
      </c>
      <c r="K176" s="111"/>
      <c r="L176" s="175" t="str">
        <f t="shared" si="25"/>
        <v/>
      </c>
      <c r="M176" s="135">
        <f>IF(OR(F176="",N10="",N10&lt;=0),"",IF(LEN(F176)&lt;=N10,LEN(F176),IFERROR(FIND("♦",SUBSTITUTE(LEFT(F176,N10)," ","♦",LEN(LEFT(F176,N10))-LEN(SUBSTITUTE(LEFT(F176,N10)," ","")))),FIND(" ",F176&amp;" ",N10+1)-1)))</f>
        <v>1</v>
      </c>
      <c r="N176" s="176">
        <f t="shared" si="26"/>
        <v>159</v>
      </c>
      <c r="O176" s="177" t="str">
        <f t="shared" si="27"/>
        <v>0</v>
      </c>
      <c r="P176" s="176">
        <f t="shared" si="28"/>
        <v>1</v>
      </c>
      <c r="Q176" s="176">
        <f t="shared" si="29"/>
        <v>1</v>
      </c>
      <c r="S176" s="214"/>
      <c r="T176" s="225" t="s">
        <v>1080</v>
      </c>
      <c r="U176" s="222" t="s">
        <v>1121</v>
      </c>
      <c r="V176" s="214"/>
      <c r="W176" s="214"/>
      <c r="X176" s="214"/>
      <c r="Y176" s="214"/>
      <c r="Z176" s="214"/>
      <c r="AA176" s="214"/>
      <c r="AB176" s="214"/>
      <c r="AC176" s="214"/>
      <c r="AD176" s="214"/>
      <c r="AE176" s="214"/>
      <c r="AF176" s="214"/>
      <c r="AG176" s="214"/>
      <c r="AH176" s="214"/>
      <c r="AI176" s="214"/>
      <c r="AJ176" s="214"/>
      <c r="AK176" s="214"/>
      <c r="DE176" s="152"/>
      <c r="DF176" s="160" t="s">
        <v>1122</v>
      </c>
      <c r="DG176" s="160" t="s">
        <v>584</v>
      </c>
      <c r="DH176" s="160" t="s">
        <v>126</v>
      </c>
      <c r="DI176" s="160" t="s">
        <v>1123</v>
      </c>
      <c r="DJ176" s="160" t="s">
        <v>1123</v>
      </c>
      <c r="DK176" s="160" t="s">
        <v>588</v>
      </c>
      <c r="DL176" s="160" t="s">
        <v>956</v>
      </c>
      <c r="DM176" s="160" t="s">
        <v>590</v>
      </c>
      <c r="DN176" s="161" t="s">
        <v>591</v>
      </c>
      <c r="DP176" s="130">
        <v>1</v>
      </c>
    </row>
    <row r="177" spans="2:120" ht="30" customHeight="1">
      <c r="B177" s="165" t="str">
        <f t="shared" si="21"/>
        <v/>
      </c>
      <c r="C177" s="165" t="str">
        <f t="shared" si="22"/>
        <v/>
      </c>
      <c r="D177" s="165" t="str">
        <f>IF(UPPER(TRIM(N11))="X",C177,B177)</f>
        <v/>
      </c>
      <c r="E177" s="165" cm="1">
        <f t="array" ref="E177">IF(H176&lt;&gt;"",E176,IF(E176="","",IFERROR(MATCH(TRUE(),INDEX(INDEX(K:K,E176+1):K203&lt;&gt;"",0),0)+E176,"")))</f>
        <v>269</v>
      </c>
      <c r="F177" s="165" cm="1">
        <f t="array" ref="F177">IF(E177="","",IF(H176&lt;&gt;"",H176,INDEX(D:D,E177)))</f>
        <v>0</v>
      </c>
      <c r="G177" s="165" t="str">
        <f t="shared" si="23"/>
        <v>0</v>
      </c>
      <c r="H177" s="174" t="str">
        <f t="shared" si="24"/>
        <v/>
      </c>
      <c r="I177" s="184" t="str">
        <f>IF(AND(F177&lt;&gt;"",N10&gt;0,M177&gt;N10),"Mot &gt; limite","")</f>
        <v/>
      </c>
      <c r="J177" s="175" t="str">
        <f>IF(K177="","",COUNTIF(K18:K177,"&lt;&gt;"))</f>
        <v/>
      </c>
      <c r="K177" s="111"/>
      <c r="L177" s="175" t="str">
        <f t="shared" si="25"/>
        <v/>
      </c>
      <c r="M177" s="135">
        <f>IF(OR(F177="",N10="",N10&lt;=0),"",IF(LEN(F177)&lt;=N10,LEN(F177),IFERROR(FIND("♦",SUBSTITUTE(LEFT(F177,N10)," ","♦",LEN(LEFT(F177,N10))-LEN(SUBSTITUTE(LEFT(F177,N10)," ","")))),FIND(" ",F177&amp;" ",N10+1)-1)))</f>
        <v>1</v>
      </c>
      <c r="N177" s="176">
        <f t="shared" si="26"/>
        <v>160</v>
      </c>
      <c r="O177" s="177" t="str">
        <f t="shared" si="27"/>
        <v>0</v>
      </c>
      <c r="P177" s="176">
        <f t="shared" si="28"/>
        <v>1</v>
      </c>
      <c r="Q177" s="176">
        <f t="shared" si="29"/>
        <v>1</v>
      </c>
      <c r="S177" s="214"/>
      <c r="T177" s="225" t="s">
        <v>1083</v>
      </c>
      <c r="U177" s="222" t="s">
        <v>1124</v>
      </c>
      <c r="V177" s="214"/>
      <c r="W177" s="214"/>
      <c r="X177" s="214"/>
      <c r="Y177" s="214"/>
      <c r="Z177" s="214"/>
      <c r="AA177" s="214"/>
      <c r="AB177" s="214"/>
      <c r="AC177" s="214"/>
      <c r="AD177" s="214"/>
      <c r="AE177" s="214"/>
      <c r="AF177" s="214"/>
      <c r="AG177" s="214"/>
      <c r="AH177" s="214"/>
      <c r="AI177" s="214"/>
      <c r="AJ177" s="214"/>
      <c r="AK177" s="214"/>
      <c r="DE177" s="152"/>
      <c r="DF177" s="160" t="s">
        <v>1125</v>
      </c>
      <c r="DG177" s="160" t="s">
        <v>584</v>
      </c>
      <c r="DH177" s="160" t="s">
        <v>126</v>
      </c>
      <c r="DI177" s="160" t="s">
        <v>1126</v>
      </c>
      <c r="DJ177" s="160" t="s">
        <v>1126</v>
      </c>
      <c r="DK177" s="160" t="s">
        <v>588</v>
      </c>
      <c r="DL177" s="160" t="s">
        <v>956</v>
      </c>
      <c r="DM177" s="160" t="s">
        <v>590</v>
      </c>
      <c r="DN177" s="161" t="s">
        <v>591</v>
      </c>
      <c r="DP177" s="130">
        <v>1</v>
      </c>
    </row>
    <row r="178" spans="2:120" ht="30" customHeight="1">
      <c r="B178" s="165" t="str">
        <f t="shared" si="21"/>
        <v/>
      </c>
      <c r="C178" s="165" t="str">
        <f t="shared" si="22"/>
        <v/>
      </c>
      <c r="D178" s="165" t="str">
        <f>IF(UPPER(TRIM(N11))="X",C178,B178)</f>
        <v/>
      </c>
      <c r="E178" s="165" cm="1">
        <f t="array" ref="E178">IF(H177&lt;&gt;"",E177,IF(E177="","",IFERROR(MATCH(TRUE(),INDEX(INDEX(K:K,E177+1):K203&lt;&gt;"",0),0)+E177,"")))</f>
        <v>270</v>
      </c>
      <c r="F178" s="165" cm="1">
        <f t="array" ref="F178">IF(E178="","",IF(H177&lt;&gt;"",H177,INDEX(D:D,E178)))</f>
        <v>0</v>
      </c>
      <c r="G178" s="165" t="str">
        <f t="shared" si="23"/>
        <v>0</v>
      </c>
      <c r="H178" s="174" t="str">
        <f t="shared" si="24"/>
        <v/>
      </c>
      <c r="I178" s="184" t="str">
        <f>IF(AND(F178&lt;&gt;"",N10&gt;0,M178&gt;N10),"Mot &gt; limite","")</f>
        <v/>
      </c>
      <c r="J178" s="175" t="str">
        <f>IF(K178="","",COUNTIF(K18:K178,"&lt;&gt;"))</f>
        <v/>
      </c>
      <c r="K178" s="111"/>
      <c r="L178" s="175" t="str">
        <f t="shared" si="25"/>
        <v/>
      </c>
      <c r="M178" s="135">
        <f>IF(OR(F178="",N10="",N10&lt;=0),"",IF(LEN(F178)&lt;=N10,LEN(F178),IFERROR(FIND("♦",SUBSTITUTE(LEFT(F178,N10)," ","♦",LEN(LEFT(F178,N10))-LEN(SUBSTITUTE(LEFT(F178,N10)," ","")))),FIND(" ",F178&amp;" ",N10+1)-1)))</f>
        <v>1</v>
      </c>
      <c r="N178" s="176">
        <f t="shared" si="26"/>
        <v>161</v>
      </c>
      <c r="O178" s="177" t="str">
        <f t="shared" si="27"/>
        <v>0</v>
      </c>
      <c r="P178" s="176">
        <f t="shared" si="28"/>
        <v>1</v>
      </c>
      <c r="Q178" s="176">
        <f t="shared" si="29"/>
        <v>1</v>
      </c>
      <c r="S178" s="214"/>
      <c r="T178" s="223"/>
      <c r="U178" s="223"/>
      <c r="V178" s="214"/>
      <c r="W178" s="214"/>
      <c r="X178" s="214"/>
      <c r="Y178" s="214"/>
      <c r="Z178" s="214"/>
      <c r="AA178" s="214"/>
      <c r="AB178" s="214"/>
      <c r="AC178" s="214"/>
      <c r="AD178" s="214"/>
      <c r="AE178" s="214"/>
      <c r="AF178" s="214"/>
      <c r="AG178" s="214"/>
      <c r="AH178" s="214"/>
      <c r="AI178" s="214"/>
      <c r="AJ178" s="214"/>
      <c r="AK178" s="214"/>
      <c r="DE178" s="152"/>
      <c r="DF178" s="160" t="s">
        <v>1127</v>
      </c>
      <c r="DG178" s="160" t="s">
        <v>584</v>
      </c>
      <c r="DH178" s="160" t="s">
        <v>126</v>
      </c>
      <c r="DI178" s="160" t="s">
        <v>1128</v>
      </c>
      <c r="DJ178" s="160" t="s">
        <v>1128</v>
      </c>
      <c r="DK178" s="160" t="s">
        <v>666</v>
      </c>
      <c r="DL178" s="160" t="s">
        <v>952</v>
      </c>
      <c r="DM178" s="160" t="s">
        <v>590</v>
      </c>
      <c r="DN178" s="161" t="s">
        <v>668</v>
      </c>
      <c r="DP178" s="130">
        <v>1</v>
      </c>
    </row>
    <row r="179" spans="2:120" ht="30" customHeight="1">
      <c r="B179" s="165" t="str">
        <f t="shared" si="21"/>
        <v/>
      </c>
      <c r="C179" s="165" t="str">
        <f t="shared" si="22"/>
        <v/>
      </c>
      <c r="D179" s="165" t="str">
        <f>IF(UPPER(TRIM(N11))="X",C179,B179)</f>
        <v/>
      </c>
      <c r="E179" s="165" cm="1">
        <f t="array" ref="E179">IF(H178&lt;&gt;"",E178,IF(E178="","",IFERROR(MATCH(TRUE(),INDEX(INDEX(K:K,E178+1):K203&lt;&gt;"",0),0)+E178,"")))</f>
        <v>271</v>
      </c>
      <c r="F179" s="165" cm="1">
        <f t="array" ref="F179">IF(E179="","",IF(H178&lt;&gt;"",H178,INDEX(D:D,E179)))</f>
        <v>0</v>
      </c>
      <c r="G179" s="165" t="str">
        <f t="shared" si="23"/>
        <v>0</v>
      </c>
      <c r="H179" s="174" t="str">
        <f t="shared" si="24"/>
        <v/>
      </c>
      <c r="I179" s="184" t="str">
        <f>IF(AND(F179&lt;&gt;"",N10&gt;0,M179&gt;N10),"Mot &gt; limite","")</f>
        <v/>
      </c>
      <c r="J179" s="175" t="str">
        <f>IF(K179="","",COUNTIF(K18:K179,"&lt;&gt;"))</f>
        <v/>
      </c>
      <c r="K179" s="111"/>
      <c r="L179" s="175" t="str">
        <f t="shared" si="25"/>
        <v/>
      </c>
      <c r="M179" s="135">
        <f>IF(OR(F179="",N10="",N10&lt;=0),"",IF(LEN(F179)&lt;=N10,LEN(F179),IFERROR(FIND("♦",SUBSTITUTE(LEFT(F179,N10)," ","♦",LEN(LEFT(F179,N10))-LEN(SUBSTITUTE(LEFT(F179,N10)," ","")))),FIND(" ",F179&amp;" ",N10+1)-1)))</f>
        <v>1</v>
      </c>
      <c r="N179" s="176">
        <f t="shared" si="26"/>
        <v>162</v>
      </c>
      <c r="O179" s="177" t="str">
        <f t="shared" si="27"/>
        <v>0</v>
      </c>
      <c r="P179" s="176">
        <f t="shared" si="28"/>
        <v>1</v>
      </c>
      <c r="Q179" s="176">
        <f t="shared" si="29"/>
        <v>1</v>
      </c>
      <c r="S179" s="214"/>
      <c r="T179" s="226"/>
      <c r="U179" s="226" t="s">
        <v>1129</v>
      </c>
      <c r="V179" s="214"/>
      <c r="W179" s="214"/>
      <c r="X179" s="214"/>
      <c r="Y179" s="214"/>
      <c r="Z179" s="214"/>
      <c r="AA179" s="214"/>
      <c r="AB179" s="214"/>
      <c r="AC179" s="214"/>
      <c r="AD179" s="214"/>
      <c r="AE179" s="214"/>
      <c r="AF179" s="214"/>
      <c r="AG179" s="214"/>
      <c r="AH179" s="214"/>
      <c r="AI179" s="214"/>
      <c r="AJ179" s="214"/>
      <c r="AK179" s="214"/>
      <c r="DE179" s="152"/>
      <c r="DF179" s="160" t="s">
        <v>1130</v>
      </c>
      <c r="DG179" s="160" t="s">
        <v>584</v>
      </c>
      <c r="DH179" s="160" t="s">
        <v>126</v>
      </c>
      <c r="DI179" s="160" t="s">
        <v>1131</v>
      </c>
      <c r="DJ179" s="160" t="s">
        <v>550</v>
      </c>
      <c r="DK179" s="160" t="s">
        <v>666</v>
      </c>
      <c r="DL179" s="160" t="s">
        <v>952</v>
      </c>
      <c r="DM179" s="160" t="s">
        <v>590</v>
      </c>
      <c r="DN179" s="161" t="s">
        <v>668</v>
      </c>
      <c r="DP179" s="130">
        <v>1</v>
      </c>
    </row>
    <row r="180" spans="2:120" ht="30" customHeight="1">
      <c r="B180" s="165" t="str">
        <f t="shared" si="21"/>
        <v/>
      </c>
      <c r="C180" s="165" t="str">
        <f t="shared" si="22"/>
        <v/>
      </c>
      <c r="D180" s="165" t="str">
        <f>IF(UPPER(TRIM(N11))="X",C180,B180)</f>
        <v/>
      </c>
      <c r="E180" s="165" cm="1">
        <f t="array" ref="E180">IF(H179&lt;&gt;"",E179,IF(E179="","",IFERROR(MATCH(TRUE(),INDEX(INDEX(K:K,E179+1):K203&lt;&gt;"",0),0)+E179,"")))</f>
        <v>272</v>
      </c>
      <c r="F180" s="165" cm="1">
        <f t="array" ref="F180">IF(E180="","",IF(H179&lt;&gt;"",H179,INDEX(D:D,E180)))</f>
        <v>0</v>
      </c>
      <c r="G180" s="165" t="str">
        <f t="shared" si="23"/>
        <v>0</v>
      </c>
      <c r="H180" s="174" t="str">
        <f t="shared" si="24"/>
        <v/>
      </c>
      <c r="I180" s="184" t="str">
        <f>IF(AND(F180&lt;&gt;"",N10&gt;0,M180&gt;N10),"Mot &gt; limite","")</f>
        <v/>
      </c>
      <c r="J180" s="175" t="str">
        <f>IF(K180="","",COUNTIF(K18:K180,"&lt;&gt;"))</f>
        <v/>
      </c>
      <c r="K180" s="111"/>
      <c r="L180" s="175" t="str">
        <f t="shared" si="25"/>
        <v/>
      </c>
      <c r="M180" s="135">
        <f>IF(OR(F180="",N10="",N10&lt;=0),"",IF(LEN(F180)&lt;=N10,LEN(F180),IFERROR(FIND("♦",SUBSTITUTE(LEFT(F180,N10)," ","♦",LEN(LEFT(F180,N10))-LEN(SUBSTITUTE(LEFT(F180,N10)," ","")))),FIND(" ",F180&amp;" ",N10+1)-1)))</f>
        <v>1</v>
      </c>
      <c r="N180" s="176">
        <f t="shared" si="26"/>
        <v>163</v>
      </c>
      <c r="O180" s="177" t="str">
        <f t="shared" si="27"/>
        <v>0</v>
      </c>
      <c r="P180" s="176">
        <f t="shared" si="28"/>
        <v>1</v>
      </c>
      <c r="Q180" s="176">
        <f t="shared" si="29"/>
        <v>1</v>
      </c>
      <c r="S180" s="214"/>
      <c r="T180" s="227" t="s">
        <v>1032</v>
      </c>
      <c r="U180" s="222" t="s">
        <v>1132</v>
      </c>
      <c r="V180" s="214"/>
      <c r="W180" s="214"/>
      <c r="X180" s="214"/>
      <c r="Y180" s="214"/>
      <c r="Z180" s="214"/>
      <c r="AA180" s="214"/>
      <c r="AB180" s="214"/>
      <c r="AC180" s="214"/>
      <c r="AD180" s="214"/>
      <c r="AE180" s="214"/>
      <c r="AF180" s="214"/>
      <c r="AG180" s="214"/>
      <c r="AH180" s="214"/>
      <c r="AI180" s="214"/>
      <c r="AJ180" s="214"/>
      <c r="AK180" s="214"/>
      <c r="DE180" s="152"/>
      <c r="DF180" s="160" t="s">
        <v>1133</v>
      </c>
      <c r="DG180" s="160" t="s">
        <v>584</v>
      </c>
      <c r="DH180" s="160" t="s">
        <v>126</v>
      </c>
      <c r="DI180" s="160" t="s">
        <v>1134</v>
      </c>
      <c r="DJ180" s="160" t="s">
        <v>551</v>
      </c>
      <c r="DK180" s="160" t="s">
        <v>666</v>
      </c>
      <c r="DL180" s="160" t="s">
        <v>952</v>
      </c>
      <c r="DM180" s="160" t="s">
        <v>590</v>
      </c>
      <c r="DN180" s="161" t="s">
        <v>668</v>
      </c>
      <c r="DP180" s="130">
        <v>1</v>
      </c>
    </row>
    <row r="181" spans="2:120" ht="30" customHeight="1">
      <c r="B181" s="165" t="str">
        <f t="shared" si="21"/>
        <v/>
      </c>
      <c r="C181" s="165" t="str">
        <f t="shared" si="22"/>
        <v/>
      </c>
      <c r="D181" s="165" t="str">
        <f>IF(UPPER(TRIM(N11))="X",C181,B181)</f>
        <v/>
      </c>
      <c r="E181" s="165" cm="1">
        <f t="array" ref="E181">IF(H180&lt;&gt;"",E180,IF(E180="","",IFERROR(MATCH(TRUE(),INDEX(INDEX(K:K,E180+1):K203&lt;&gt;"",0),0)+E180,"")))</f>
        <v>273</v>
      </c>
      <c r="F181" s="165" cm="1">
        <f t="array" ref="F181">IF(E181="","",IF(H180&lt;&gt;"",H180,INDEX(D:D,E181)))</f>
        <v>0</v>
      </c>
      <c r="G181" s="165" t="str">
        <f t="shared" si="23"/>
        <v>0</v>
      </c>
      <c r="H181" s="174" t="str">
        <f t="shared" si="24"/>
        <v/>
      </c>
      <c r="I181" s="184" t="str">
        <f>IF(AND(F181&lt;&gt;"",N10&gt;0,M181&gt;N10),"Mot &gt; limite","")</f>
        <v/>
      </c>
      <c r="J181" s="175" t="str">
        <f>IF(K181="","",COUNTIF(K18:K181,"&lt;&gt;"))</f>
        <v/>
      </c>
      <c r="K181" s="111"/>
      <c r="L181" s="175" t="str">
        <f t="shared" si="25"/>
        <v/>
      </c>
      <c r="M181" s="135">
        <f>IF(OR(F181="",N10="",N10&lt;=0),"",IF(LEN(F181)&lt;=N10,LEN(F181),IFERROR(FIND("♦",SUBSTITUTE(LEFT(F181,N10)," ","♦",LEN(LEFT(F181,N10))-LEN(SUBSTITUTE(LEFT(F181,N10)," ","")))),FIND(" ",F181&amp;" ",N10+1)-1)))</f>
        <v>1</v>
      </c>
      <c r="N181" s="176">
        <f t="shared" si="26"/>
        <v>164</v>
      </c>
      <c r="O181" s="177" t="str">
        <f t="shared" si="27"/>
        <v>0</v>
      </c>
      <c r="P181" s="176">
        <f t="shared" si="28"/>
        <v>1</v>
      </c>
      <c r="Q181" s="176">
        <f t="shared" si="29"/>
        <v>1</v>
      </c>
      <c r="S181" s="214"/>
      <c r="T181" s="225" t="s">
        <v>1036</v>
      </c>
      <c r="U181" s="222" t="s">
        <v>1135</v>
      </c>
      <c r="V181" s="214"/>
      <c r="W181" s="214"/>
      <c r="X181" s="214"/>
      <c r="Y181" s="214"/>
      <c r="Z181" s="214"/>
      <c r="AA181" s="214"/>
      <c r="AB181" s="214"/>
      <c r="AC181" s="214"/>
      <c r="AD181" s="214"/>
      <c r="AE181" s="214"/>
      <c r="AF181" s="214"/>
      <c r="AG181" s="214"/>
      <c r="AH181" s="214"/>
      <c r="AI181" s="214"/>
      <c r="AJ181" s="214"/>
      <c r="AK181" s="214"/>
      <c r="DE181" s="152"/>
      <c r="DF181" s="160" t="s">
        <v>1136</v>
      </c>
      <c r="DG181" s="160" t="s">
        <v>584</v>
      </c>
      <c r="DH181" s="160" t="s">
        <v>126</v>
      </c>
      <c r="DI181" s="160" t="s">
        <v>1137</v>
      </c>
      <c r="DJ181" s="160" t="s">
        <v>1138</v>
      </c>
      <c r="DK181" s="160" t="s">
        <v>666</v>
      </c>
      <c r="DL181" s="160" t="s">
        <v>952</v>
      </c>
      <c r="DM181" s="160" t="s">
        <v>590</v>
      </c>
      <c r="DN181" s="161" t="s">
        <v>668</v>
      </c>
      <c r="DP181" s="130">
        <v>1</v>
      </c>
    </row>
    <row r="182" spans="2:120" ht="30" customHeight="1">
      <c r="B182" s="165" t="str">
        <f t="shared" si="21"/>
        <v/>
      </c>
      <c r="C182" s="165" t="str">
        <f t="shared" si="22"/>
        <v/>
      </c>
      <c r="D182" s="165" t="str">
        <f>IF(UPPER(TRIM(N11))="X",C182,B182)</f>
        <v/>
      </c>
      <c r="E182" s="165" cm="1">
        <f t="array" ref="E182">IF(H181&lt;&gt;"",E181,IF(E181="","",IFERROR(MATCH(TRUE(),INDEX(INDEX(K:K,E181+1):K203&lt;&gt;"",0),0)+E181,"")))</f>
        <v>274</v>
      </c>
      <c r="F182" s="165" cm="1">
        <f t="array" ref="F182">IF(E182="","",IF(H181&lt;&gt;"",H181,INDEX(D:D,E182)))</f>
        <v>0</v>
      </c>
      <c r="G182" s="165" t="str">
        <f t="shared" si="23"/>
        <v>0</v>
      </c>
      <c r="H182" s="174" t="str">
        <f t="shared" si="24"/>
        <v/>
      </c>
      <c r="I182" s="184" t="str">
        <f>IF(AND(F182&lt;&gt;"",N10&gt;0,M182&gt;N10),"Mot &gt; limite","")</f>
        <v/>
      </c>
      <c r="J182" s="175" t="str">
        <f>IF(K182="","",COUNTIF(K18:K182,"&lt;&gt;"))</f>
        <v/>
      </c>
      <c r="K182" s="111"/>
      <c r="L182" s="175" t="str">
        <f t="shared" si="25"/>
        <v/>
      </c>
      <c r="M182" s="135">
        <f>IF(OR(F182="",N10="",N10&lt;=0),"",IF(LEN(F182)&lt;=N10,LEN(F182),IFERROR(FIND("♦",SUBSTITUTE(LEFT(F182,N10)," ","♦",LEN(LEFT(F182,N10))-LEN(SUBSTITUTE(LEFT(F182,N10)," ","")))),FIND(" ",F182&amp;" ",N10+1)-1)))</f>
        <v>1</v>
      </c>
      <c r="N182" s="176">
        <f t="shared" si="26"/>
        <v>165</v>
      </c>
      <c r="O182" s="177" t="str">
        <f t="shared" si="27"/>
        <v>0</v>
      </c>
      <c r="P182" s="176">
        <f t="shared" si="28"/>
        <v>1</v>
      </c>
      <c r="Q182" s="176">
        <f t="shared" si="29"/>
        <v>1</v>
      </c>
      <c r="S182" s="214"/>
      <c r="T182" s="225" t="s">
        <v>1041</v>
      </c>
      <c r="U182" s="222" t="s">
        <v>1139</v>
      </c>
      <c r="V182" s="214"/>
      <c r="W182" s="214"/>
      <c r="X182" s="214"/>
      <c r="Y182" s="214"/>
      <c r="Z182" s="214"/>
      <c r="AA182" s="214"/>
      <c r="AB182" s="214"/>
      <c r="AC182" s="214"/>
      <c r="AD182" s="214"/>
      <c r="AE182" s="214"/>
      <c r="AF182" s="214"/>
      <c r="AG182" s="214"/>
      <c r="AH182" s="214"/>
      <c r="AI182" s="214"/>
      <c r="AJ182" s="214"/>
      <c r="AK182" s="214"/>
      <c r="DE182" s="152"/>
      <c r="DF182" s="160" t="s">
        <v>1140</v>
      </c>
      <c r="DG182" s="160" t="s">
        <v>584</v>
      </c>
      <c r="DH182" s="160" t="s">
        <v>126</v>
      </c>
      <c r="DI182" s="160" t="s">
        <v>1141</v>
      </c>
      <c r="DJ182" s="160" t="s">
        <v>1142</v>
      </c>
      <c r="DK182" s="160" t="s">
        <v>666</v>
      </c>
      <c r="DL182" s="160" t="s">
        <v>952</v>
      </c>
      <c r="DM182" s="160" t="s">
        <v>590</v>
      </c>
      <c r="DN182" s="161" t="s">
        <v>668</v>
      </c>
      <c r="DP182" s="130">
        <v>1</v>
      </c>
    </row>
    <row r="183" spans="2:120" ht="30" customHeight="1">
      <c r="B183" s="165" t="str">
        <f t="shared" si="21"/>
        <v/>
      </c>
      <c r="C183" s="165" t="str">
        <f t="shared" si="22"/>
        <v/>
      </c>
      <c r="D183" s="165" t="str">
        <f>IF(UPPER(TRIM(N11))="X",C183,B183)</f>
        <v/>
      </c>
      <c r="E183" s="165" cm="1">
        <f t="array" ref="E183">IF(H182&lt;&gt;"",E182,IF(E182="","",IFERROR(MATCH(TRUE(),INDEX(INDEX(K:K,E182+1):K203&lt;&gt;"",0),0)+E182,"")))</f>
        <v>275</v>
      </c>
      <c r="F183" s="165" cm="1">
        <f t="array" ref="F183">IF(E183="","",IF(H182&lt;&gt;"",H182,INDEX(D:D,E183)))</f>
        <v>0</v>
      </c>
      <c r="G183" s="165" t="str">
        <f t="shared" si="23"/>
        <v>0</v>
      </c>
      <c r="H183" s="174" t="str">
        <f t="shared" si="24"/>
        <v/>
      </c>
      <c r="I183" s="184" t="str">
        <f>IF(AND(F183&lt;&gt;"",N10&gt;0,M183&gt;N10),"Mot &gt; limite","")</f>
        <v/>
      </c>
      <c r="J183" s="175" t="str">
        <f>IF(K183="","",COUNTIF(K18:K183,"&lt;&gt;"))</f>
        <v/>
      </c>
      <c r="K183" s="111"/>
      <c r="L183" s="175" t="str">
        <f t="shared" si="25"/>
        <v/>
      </c>
      <c r="M183" s="135">
        <f>IF(OR(F183="",N10="",N10&lt;=0),"",IF(LEN(F183)&lt;=N10,LEN(F183),IFERROR(FIND("♦",SUBSTITUTE(LEFT(F183,N10)," ","♦",LEN(LEFT(F183,N10))-LEN(SUBSTITUTE(LEFT(F183,N10)," ","")))),FIND(" ",F183&amp;" ",N10+1)-1)))</f>
        <v>1</v>
      </c>
      <c r="N183" s="176">
        <f t="shared" si="26"/>
        <v>166</v>
      </c>
      <c r="O183" s="177" t="str">
        <f t="shared" si="27"/>
        <v>0</v>
      </c>
      <c r="P183" s="176">
        <f t="shared" si="28"/>
        <v>1</v>
      </c>
      <c r="Q183" s="176">
        <f t="shared" si="29"/>
        <v>1</v>
      </c>
      <c r="S183" s="214"/>
      <c r="T183" s="225" t="s">
        <v>1045</v>
      </c>
      <c r="U183" s="222" t="s">
        <v>1143</v>
      </c>
      <c r="V183" s="214"/>
      <c r="W183" s="214"/>
      <c r="X183" s="214"/>
      <c r="Y183" s="214"/>
      <c r="Z183" s="214"/>
      <c r="AA183" s="214"/>
      <c r="AB183" s="214"/>
      <c r="AC183" s="214"/>
      <c r="AD183" s="214"/>
      <c r="AE183" s="214"/>
      <c r="AF183" s="214"/>
      <c r="AG183" s="214"/>
      <c r="AH183" s="214"/>
      <c r="AI183" s="214"/>
      <c r="AJ183" s="214"/>
      <c r="AK183" s="214"/>
      <c r="DE183" s="152"/>
      <c r="DF183" s="160" t="s">
        <v>1144</v>
      </c>
      <c r="DG183" s="160" t="s">
        <v>584</v>
      </c>
      <c r="DH183" s="160" t="s">
        <v>126</v>
      </c>
      <c r="DI183" s="160" t="s">
        <v>1145</v>
      </c>
      <c r="DJ183" s="160" t="s">
        <v>552</v>
      </c>
      <c r="DK183" s="160" t="s">
        <v>666</v>
      </c>
      <c r="DL183" s="160" t="s">
        <v>952</v>
      </c>
      <c r="DM183" s="160" t="s">
        <v>590</v>
      </c>
      <c r="DN183" s="161" t="s">
        <v>668</v>
      </c>
      <c r="DP183" s="130">
        <v>1</v>
      </c>
    </row>
    <row r="184" spans="2:120" ht="30" customHeight="1">
      <c r="B184" s="165" t="str">
        <f t="shared" si="21"/>
        <v/>
      </c>
      <c r="C184" s="165" t="str">
        <f t="shared" si="22"/>
        <v/>
      </c>
      <c r="D184" s="165" t="str">
        <f>IF(UPPER(TRIM(N11))="X",C184,B184)</f>
        <v/>
      </c>
      <c r="E184" s="165" cm="1">
        <f t="array" ref="E184">IF(H183&lt;&gt;"",E183,IF(E183="","",IFERROR(MATCH(TRUE(),INDEX(INDEX(K:K,E183+1):K203&lt;&gt;"",0),0)+E183,"")))</f>
        <v>276</v>
      </c>
      <c r="F184" s="165" cm="1">
        <f t="array" ref="F184">IF(E184="","",IF(H183&lt;&gt;"",H183,INDEX(D:D,E184)))</f>
        <v>0</v>
      </c>
      <c r="G184" s="165" t="str">
        <f t="shared" si="23"/>
        <v>0</v>
      </c>
      <c r="H184" s="174" t="str">
        <f t="shared" si="24"/>
        <v/>
      </c>
      <c r="I184" s="184" t="str">
        <f>IF(AND(F184&lt;&gt;"",N10&gt;0,M184&gt;N10),"Mot &gt; limite","")</f>
        <v/>
      </c>
      <c r="J184" s="175" t="str">
        <f>IF(K184="","",COUNTIF(K18:K184,"&lt;&gt;"))</f>
        <v/>
      </c>
      <c r="K184" s="111"/>
      <c r="L184" s="175" t="str">
        <f t="shared" si="25"/>
        <v/>
      </c>
      <c r="M184" s="135">
        <f>IF(OR(F184="",N10="",N10&lt;=0),"",IF(LEN(F184)&lt;=N10,LEN(F184),IFERROR(FIND("♦",SUBSTITUTE(LEFT(F184,N10)," ","♦",LEN(LEFT(F184,N10))-LEN(SUBSTITUTE(LEFT(F184,N10)," ","")))),FIND(" ",F184&amp;" ",N10+1)-1)))</f>
        <v>1</v>
      </c>
      <c r="N184" s="176">
        <f t="shared" si="26"/>
        <v>167</v>
      </c>
      <c r="O184" s="177" t="str">
        <f t="shared" si="27"/>
        <v>0</v>
      </c>
      <c r="P184" s="176">
        <f t="shared" si="28"/>
        <v>1</v>
      </c>
      <c r="Q184" s="176">
        <f t="shared" si="29"/>
        <v>1</v>
      </c>
      <c r="S184" s="214"/>
      <c r="T184" s="225" t="s">
        <v>1049</v>
      </c>
      <c r="U184" s="222" t="s">
        <v>1146</v>
      </c>
      <c r="V184" s="214"/>
      <c r="W184" s="214"/>
      <c r="X184" s="214"/>
      <c r="Y184" s="214"/>
      <c r="Z184" s="214"/>
      <c r="AA184" s="214"/>
      <c r="AB184" s="214"/>
      <c r="AC184" s="214"/>
      <c r="AD184" s="214"/>
      <c r="AE184" s="214"/>
      <c r="AF184" s="214"/>
      <c r="AG184" s="214"/>
      <c r="AH184" s="214"/>
      <c r="AI184" s="214"/>
      <c r="AJ184" s="214"/>
      <c r="AK184" s="214"/>
      <c r="DE184" s="152"/>
      <c r="DF184" s="160" t="s">
        <v>1147</v>
      </c>
      <c r="DG184" s="160" t="s">
        <v>584</v>
      </c>
      <c r="DH184" s="160" t="s">
        <v>126</v>
      </c>
      <c r="DI184" s="160" t="s">
        <v>1148</v>
      </c>
      <c r="DJ184" s="160" t="s">
        <v>1149</v>
      </c>
      <c r="DK184" s="160" t="s">
        <v>666</v>
      </c>
      <c r="DL184" s="160" t="s">
        <v>952</v>
      </c>
      <c r="DM184" s="160" t="s">
        <v>590</v>
      </c>
      <c r="DN184" s="161" t="s">
        <v>668</v>
      </c>
      <c r="DP184" s="130">
        <v>1</v>
      </c>
    </row>
    <row r="185" spans="2:120" ht="30" customHeight="1">
      <c r="B185" s="165" t="str">
        <f t="shared" si="21"/>
        <v/>
      </c>
      <c r="C185" s="165" t="str">
        <f t="shared" si="22"/>
        <v/>
      </c>
      <c r="D185" s="165" t="str">
        <f>IF(UPPER(TRIM(N11))="X",C185,B185)</f>
        <v/>
      </c>
      <c r="E185" s="165" cm="1">
        <f t="array" ref="E185">IF(H184&lt;&gt;"",E184,IF(E184="","",IFERROR(MATCH(TRUE(),INDEX(INDEX(K:K,E184+1):K203&lt;&gt;"",0),0)+E184,"")))</f>
        <v>277</v>
      </c>
      <c r="F185" s="165" cm="1">
        <f t="array" ref="F185">IF(E185="","",IF(H184&lt;&gt;"",H184,INDEX(D:D,E185)))</f>
        <v>0</v>
      </c>
      <c r="G185" s="165" t="str">
        <f t="shared" si="23"/>
        <v>0</v>
      </c>
      <c r="H185" s="174" t="str">
        <f t="shared" si="24"/>
        <v/>
      </c>
      <c r="I185" s="184" t="str">
        <f>IF(AND(F185&lt;&gt;"",N10&gt;0,M185&gt;N10),"Mot &gt; limite","")</f>
        <v/>
      </c>
      <c r="J185" s="175" t="str">
        <f>IF(K185="","",COUNTIF(K18:K185,"&lt;&gt;"))</f>
        <v/>
      </c>
      <c r="K185" s="111"/>
      <c r="L185" s="175" t="str">
        <f t="shared" si="25"/>
        <v/>
      </c>
      <c r="M185" s="135">
        <f>IF(OR(F185="",N10="",N10&lt;=0),"",IF(LEN(F185)&lt;=N10,LEN(F185),IFERROR(FIND("♦",SUBSTITUTE(LEFT(F185,N10)," ","♦",LEN(LEFT(F185,N10))-LEN(SUBSTITUTE(LEFT(F185,N10)," ","")))),FIND(" ",F185&amp;" ",N10+1)-1)))</f>
        <v>1</v>
      </c>
      <c r="N185" s="176">
        <f t="shared" si="26"/>
        <v>168</v>
      </c>
      <c r="O185" s="177" t="str">
        <f t="shared" si="27"/>
        <v>0</v>
      </c>
      <c r="P185" s="176">
        <f t="shared" si="28"/>
        <v>1</v>
      </c>
      <c r="Q185" s="176">
        <f t="shared" si="29"/>
        <v>1</v>
      </c>
      <c r="S185" s="214"/>
      <c r="T185" s="225" t="s">
        <v>1053</v>
      </c>
      <c r="U185" s="222" t="s">
        <v>1150</v>
      </c>
      <c r="V185" s="214"/>
      <c r="W185" s="214"/>
      <c r="X185" s="214"/>
      <c r="Y185" s="214"/>
      <c r="Z185" s="214"/>
      <c r="AA185" s="214"/>
      <c r="AB185" s="214"/>
      <c r="AC185" s="214"/>
      <c r="AD185" s="214"/>
      <c r="AE185" s="214"/>
      <c r="AF185" s="214"/>
      <c r="AG185" s="214"/>
      <c r="AH185" s="214"/>
      <c r="AI185" s="214"/>
      <c r="AJ185" s="214"/>
      <c r="AK185" s="214"/>
      <c r="DE185" s="152"/>
      <c r="DF185" s="160" t="s">
        <v>1151</v>
      </c>
      <c r="DG185" s="160" t="s">
        <v>584</v>
      </c>
      <c r="DH185" s="160" t="s">
        <v>126</v>
      </c>
      <c r="DI185" s="160" t="s">
        <v>1152</v>
      </c>
      <c r="DJ185" s="160" t="s">
        <v>553</v>
      </c>
      <c r="DK185" s="160" t="s">
        <v>666</v>
      </c>
      <c r="DL185" s="160" t="s">
        <v>952</v>
      </c>
      <c r="DM185" s="160" t="s">
        <v>590</v>
      </c>
      <c r="DN185" s="161" t="s">
        <v>668</v>
      </c>
      <c r="DP185" s="130">
        <v>1</v>
      </c>
    </row>
    <row r="186" spans="2:120" ht="30" customHeight="1">
      <c r="B186" s="165" t="str">
        <f t="shared" si="21"/>
        <v/>
      </c>
      <c r="C186" s="165" t="str">
        <f t="shared" si="22"/>
        <v/>
      </c>
      <c r="D186" s="165" t="str">
        <f>IF(UPPER(TRIM(N11))="X",C186,B186)</f>
        <v/>
      </c>
      <c r="E186" s="165" cm="1">
        <f t="array" ref="E186">IF(H185&lt;&gt;"",E185,IF(E185="","",IFERROR(MATCH(TRUE(),INDEX(INDEX(K:K,E185+1):K203&lt;&gt;"",0),0)+E185,"")))</f>
        <v>278</v>
      </c>
      <c r="F186" s="165" cm="1">
        <f t="array" ref="F186">IF(E186="","",IF(H185&lt;&gt;"",H185,INDEX(D:D,E186)))</f>
        <v>0</v>
      </c>
      <c r="G186" s="165" t="str">
        <f t="shared" si="23"/>
        <v>0</v>
      </c>
      <c r="H186" s="174" t="str">
        <f t="shared" si="24"/>
        <v/>
      </c>
      <c r="I186" s="184" t="str">
        <f>IF(AND(F186&lt;&gt;"",N10&gt;0,M186&gt;N10),"Mot &gt; limite","")</f>
        <v/>
      </c>
      <c r="J186" s="175" t="str">
        <f>IF(K186="","",COUNTIF(K18:K186,"&lt;&gt;"))</f>
        <v/>
      </c>
      <c r="K186" s="111"/>
      <c r="L186" s="175" t="str">
        <f t="shared" si="25"/>
        <v/>
      </c>
      <c r="M186" s="135">
        <f>IF(OR(F186="",N10="",N10&lt;=0),"",IF(LEN(F186)&lt;=N10,LEN(F186),IFERROR(FIND("♦",SUBSTITUTE(LEFT(F186,N10)," ","♦",LEN(LEFT(F186,N10))-LEN(SUBSTITUTE(LEFT(F186,N10)," ","")))),FIND(" ",F186&amp;" ",N10+1)-1)))</f>
        <v>1</v>
      </c>
      <c r="N186" s="176">
        <f t="shared" si="26"/>
        <v>169</v>
      </c>
      <c r="O186" s="177" t="str">
        <f t="shared" si="27"/>
        <v>0</v>
      </c>
      <c r="P186" s="176">
        <f t="shared" si="28"/>
        <v>1</v>
      </c>
      <c r="Q186" s="176">
        <f t="shared" si="29"/>
        <v>1</v>
      </c>
      <c r="S186" s="214"/>
      <c r="T186" s="225" t="s">
        <v>1057</v>
      </c>
      <c r="U186" s="222" t="s">
        <v>1153</v>
      </c>
      <c r="V186" s="214"/>
      <c r="W186" s="214"/>
      <c r="X186" s="214"/>
      <c r="Y186" s="214"/>
      <c r="Z186" s="214"/>
      <c r="AA186" s="214"/>
      <c r="AB186" s="214"/>
      <c r="AC186" s="214"/>
      <c r="AD186" s="214"/>
      <c r="AE186" s="214"/>
      <c r="AF186" s="214"/>
      <c r="AG186" s="214"/>
      <c r="AH186" s="214"/>
      <c r="AI186" s="214"/>
      <c r="AJ186" s="214"/>
      <c r="AK186" s="214"/>
      <c r="DE186" s="152"/>
      <c r="DF186" s="160" t="s">
        <v>1154</v>
      </c>
      <c r="DG186" s="160" t="s">
        <v>584</v>
      </c>
      <c r="DH186" s="160" t="s">
        <v>126</v>
      </c>
      <c r="DI186" s="160" t="s">
        <v>1155</v>
      </c>
      <c r="DJ186" s="160" t="s">
        <v>1155</v>
      </c>
      <c r="DK186" s="160" t="s">
        <v>588</v>
      </c>
      <c r="DL186" s="160" t="s">
        <v>956</v>
      </c>
      <c r="DM186" s="160" t="s">
        <v>590</v>
      </c>
      <c r="DN186" s="161" t="s">
        <v>591</v>
      </c>
      <c r="DP186" s="130">
        <v>1</v>
      </c>
    </row>
    <row r="187" spans="2:120" ht="30" customHeight="1">
      <c r="B187" s="165" t="str">
        <f t="shared" si="21"/>
        <v/>
      </c>
      <c r="C187" s="165" t="str">
        <f t="shared" si="22"/>
        <v/>
      </c>
      <c r="D187" s="165" t="str">
        <f>IF(UPPER(TRIM(N11))="X",C187,B187)</f>
        <v/>
      </c>
      <c r="E187" s="165" cm="1">
        <f t="array" ref="E187">IF(H186&lt;&gt;"",E186,IF(E186="","",IFERROR(MATCH(TRUE(),INDEX(INDEX(K:K,E186+1):K203&lt;&gt;"",0),0)+E186,"")))</f>
        <v>279</v>
      </c>
      <c r="F187" s="165" cm="1">
        <f t="array" ref="F187">IF(E187="","",IF(H186&lt;&gt;"",H186,INDEX(D:D,E187)))</f>
        <v>0</v>
      </c>
      <c r="G187" s="165" t="str">
        <f t="shared" si="23"/>
        <v>0</v>
      </c>
      <c r="H187" s="174" t="str">
        <f t="shared" si="24"/>
        <v/>
      </c>
      <c r="I187" s="184" t="str">
        <f>IF(AND(F187&lt;&gt;"",N10&gt;0,M187&gt;N10),"Mot &gt; limite","")</f>
        <v/>
      </c>
      <c r="J187" s="175" t="str">
        <f>IF(K187="","",COUNTIF(K18:K187,"&lt;&gt;"))</f>
        <v/>
      </c>
      <c r="K187" s="111"/>
      <c r="L187" s="175" t="str">
        <f t="shared" si="25"/>
        <v/>
      </c>
      <c r="M187" s="135">
        <f>IF(OR(F187="",N10="",N10&lt;=0),"",IF(LEN(F187)&lt;=N10,LEN(F187),IFERROR(FIND("♦",SUBSTITUTE(LEFT(F187,N10)," ","♦",LEN(LEFT(F187,N10))-LEN(SUBSTITUTE(LEFT(F187,N10)," ","")))),FIND(" ",F187&amp;" ",N10+1)-1)))</f>
        <v>1</v>
      </c>
      <c r="N187" s="176">
        <f t="shared" si="26"/>
        <v>170</v>
      </c>
      <c r="O187" s="177" t="str">
        <f t="shared" si="27"/>
        <v>0</v>
      </c>
      <c r="P187" s="176">
        <f t="shared" si="28"/>
        <v>1</v>
      </c>
      <c r="Q187" s="176">
        <f t="shared" si="29"/>
        <v>1</v>
      </c>
      <c r="S187" s="214"/>
      <c r="T187" s="225" t="s">
        <v>1062</v>
      </c>
      <c r="U187" s="222" t="s">
        <v>1156</v>
      </c>
      <c r="V187" s="214"/>
      <c r="W187" s="214"/>
      <c r="X187" s="214"/>
      <c r="Y187" s="214"/>
      <c r="Z187" s="214"/>
      <c r="AA187" s="214"/>
      <c r="AB187" s="214"/>
      <c r="AC187" s="214"/>
      <c r="AD187" s="214"/>
      <c r="AE187" s="214"/>
      <c r="AF187" s="214"/>
      <c r="AG187" s="214"/>
      <c r="AH187" s="214"/>
      <c r="AI187" s="214"/>
      <c r="AJ187" s="214"/>
      <c r="AK187" s="214"/>
      <c r="DE187" s="152"/>
      <c r="DF187" s="160" t="s">
        <v>1157</v>
      </c>
      <c r="DG187" s="160" t="s">
        <v>584</v>
      </c>
      <c r="DH187" s="160" t="s">
        <v>126</v>
      </c>
      <c r="DI187" s="160" t="s">
        <v>1158</v>
      </c>
      <c r="DJ187" s="160" t="s">
        <v>1158</v>
      </c>
      <c r="DK187" s="160" t="s">
        <v>666</v>
      </c>
      <c r="DL187" s="160" t="s">
        <v>952</v>
      </c>
      <c r="DM187" s="160" t="s">
        <v>590</v>
      </c>
      <c r="DN187" s="161" t="s">
        <v>668</v>
      </c>
      <c r="DP187" s="130">
        <v>1</v>
      </c>
    </row>
    <row r="188" spans="2:120" ht="30" customHeight="1">
      <c r="B188" s="165" t="str">
        <f t="shared" si="21"/>
        <v/>
      </c>
      <c r="C188" s="165" t="str">
        <f t="shared" si="22"/>
        <v/>
      </c>
      <c r="D188" s="165" t="str">
        <f>IF(UPPER(TRIM(N11))="X",C188,B188)</f>
        <v/>
      </c>
      <c r="E188" s="165" cm="1">
        <f t="array" ref="E188">IF(H187&lt;&gt;"",E187,IF(E187="","",IFERROR(MATCH(TRUE(),INDEX(INDEX(K:K,E187+1):K203&lt;&gt;"",0),0)+E187,"")))</f>
        <v>280</v>
      </c>
      <c r="F188" s="165" cm="1">
        <f t="array" ref="F188">IF(E188="","",IF(H187&lt;&gt;"",H187,INDEX(D:D,E188)))</f>
        <v>0</v>
      </c>
      <c r="G188" s="165" t="str">
        <f t="shared" si="23"/>
        <v>0</v>
      </c>
      <c r="H188" s="174" t="str">
        <f t="shared" si="24"/>
        <v/>
      </c>
      <c r="I188" s="184" t="str">
        <f>IF(AND(F188&lt;&gt;"",N10&gt;0,M188&gt;N10),"Mot &gt; limite","")</f>
        <v/>
      </c>
      <c r="J188" s="175" t="str">
        <f>IF(K188="","",COUNTIF(K18:K188,"&lt;&gt;"))</f>
        <v/>
      </c>
      <c r="K188" s="111"/>
      <c r="L188" s="175" t="str">
        <f t="shared" si="25"/>
        <v/>
      </c>
      <c r="M188" s="135">
        <f>IF(OR(F188="",N10="",N10&lt;=0),"",IF(LEN(F188)&lt;=N10,LEN(F188),IFERROR(FIND("♦",SUBSTITUTE(LEFT(F188,N10)," ","♦",LEN(LEFT(F188,N10))-LEN(SUBSTITUTE(LEFT(F188,N10)," ","")))),FIND(" ",F188&amp;" ",N10+1)-1)))</f>
        <v>1</v>
      </c>
      <c r="N188" s="176">
        <f t="shared" si="26"/>
        <v>171</v>
      </c>
      <c r="O188" s="177" t="str">
        <f t="shared" si="27"/>
        <v>0</v>
      </c>
      <c r="P188" s="176">
        <f t="shared" si="28"/>
        <v>1</v>
      </c>
      <c r="Q188" s="176">
        <f t="shared" si="29"/>
        <v>1</v>
      </c>
      <c r="S188" s="214"/>
      <c r="T188" s="225" t="s">
        <v>1066</v>
      </c>
      <c r="U188" s="222" t="s">
        <v>1159</v>
      </c>
      <c r="V188" s="214"/>
      <c r="W188" s="214"/>
      <c r="X188" s="214"/>
      <c r="Y188" s="214"/>
      <c r="Z188" s="214"/>
      <c r="AA188" s="214"/>
      <c r="AB188" s="214"/>
      <c r="AC188" s="214"/>
      <c r="AD188" s="214"/>
      <c r="AE188" s="214"/>
      <c r="AF188" s="214"/>
      <c r="AG188" s="214"/>
      <c r="AH188" s="214"/>
      <c r="AI188" s="214"/>
      <c r="AJ188" s="214"/>
      <c r="AK188" s="214"/>
      <c r="DE188" s="152"/>
      <c r="DF188" s="160" t="s">
        <v>1160</v>
      </c>
      <c r="DG188" s="160" t="s">
        <v>584</v>
      </c>
      <c r="DH188" s="160" t="s">
        <v>126</v>
      </c>
      <c r="DI188" s="160" t="s">
        <v>1161</v>
      </c>
      <c r="DJ188" s="160" t="s">
        <v>1161</v>
      </c>
      <c r="DK188" s="160" t="s">
        <v>666</v>
      </c>
      <c r="DL188" s="160" t="s">
        <v>952</v>
      </c>
      <c r="DM188" s="160" t="s">
        <v>590</v>
      </c>
      <c r="DN188" s="161" t="s">
        <v>668</v>
      </c>
      <c r="DP188" s="130">
        <v>1</v>
      </c>
    </row>
    <row r="189" spans="2:120" ht="30" customHeight="1">
      <c r="B189" s="165" t="str">
        <f t="shared" si="21"/>
        <v/>
      </c>
      <c r="C189" s="165" t="str">
        <f t="shared" si="22"/>
        <v/>
      </c>
      <c r="D189" s="165" t="str">
        <f>IF(UPPER(TRIM(N11))="X",C189,B189)</f>
        <v/>
      </c>
      <c r="E189" s="165" cm="1">
        <f t="array" ref="E189">IF(H188&lt;&gt;"",E188,IF(E188="","",IFERROR(MATCH(TRUE(),INDEX(INDEX(K:K,E188+1):K203&lt;&gt;"",0),0)+E188,"")))</f>
        <v>281</v>
      </c>
      <c r="F189" s="165" cm="1">
        <f t="array" ref="F189">IF(E189="","",IF(H188&lt;&gt;"",H188,INDEX(D:D,E189)))</f>
        <v>0</v>
      </c>
      <c r="G189" s="165" t="str">
        <f t="shared" si="23"/>
        <v>0</v>
      </c>
      <c r="H189" s="174" t="str">
        <f t="shared" si="24"/>
        <v/>
      </c>
      <c r="I189" s="184" t="str">
        <f>IF(AND(F189&lt;&gt;"",N10&gt;0,M189&gt;N10),"Mot &gt; limite","")</f>
        <v/>
      </c>
      <c r="J189" s="175" t="str">
        <f>IF(K189="","",COUNTIF(K18:K189,"&lt;&gt;"))</f>
        <v/>
      </c>
      <c r="K189" s="111"/>
      <c r="L189" s="175" t="str">
        <f t="shared" si="25"/>
        <v/>
      </c>
      <c r="M189" s="135">
        <f>IF(OR(F189="",N10="",N10&lt;=0),"",IF(LEN(F189)&lt;=N10,LEN(F189),IFERROR(FIND("♦",SUBSTITUTE(LEFT(F189,N10)," ","♦",LEN(LEFT(F189,N10))-LEN(SUBSTITUTE(LEFT(F189,N10)," ","")))),FIND(" ",F189&amp;" ",N10+1)-1)))</f>
        <v>1</v>
      </c>
      <c r="N189" s="176">
        <f t="shared" si="26"/>
        <v>172</v>
      </c>
      <c r="O189" s="177" t="str">
        <f t="shared" si="27"/>
        <v>0</v>
      </c>
      <c r="P189" s="176">
        <f t="shared" si="28"/>
        <v>1</v>
      </c>
      <c r="Q189" s="176">
        <f t="shared" si="29"/>
        <v>1</v>
      </c>
      <c r="S189" s="214"/>
      <c r="T189" s="225" t="s">
        <v>1069</v>
      </c>
      <c r="U189" s="222" t="s">
        <v>1162</v>
      </c>
      <c r="V189" s="214"/>
      <c r="W189" s="214"/>
      <c r="X189" s="214"/>
      <c r="Y189" s="214"/>
      <c r="Z189" s="214"/>
      <c r="AA189" s="214"/>
      <c r="AB189" s="214"/>
      <c r="AC189" s="214"/>
      <c r="AD189" s="214"/>
      <c r="AE189" s="214"/>
      <c r="AF189" s="214"/>
      <c r="AG189" s="214"/>
      <c r="AH189" s="214"/>
      <c r="AI189" s="214"/>
      <c r="AJ189" s="214"/>
      <c r="AK189" s="214"/>
      <c r="DE189" s="152"/>
      <c r="DF189" s="160" t="s">
        <v>1163</v>
      </c>
      <c r="DG189" s="160" t="s">
        <v>584</v>
      </c>
      <c r="DH189" s="160" t="s">
        <v>126</v>
      </c>
      <c r="DI189" s="160" t="s">
        <v>1164</v>
      </c>
      <c r="DJ189" s="160" t="s">
        <v>1165</v>
      </c>
      <c r="DK189" s="160" t="s">
        <v>588</v>
      </c>
      <c r="DL189" s="160" t="s">
        <v>956</v>
      </c>
      <c r="DM189" s="160" t="s">
        <v>590</v>
      </c>
      <c r="DN189" s="161" t="s">
        <v>591</v>
      </c>
      <c r="DP189" s="130">
        <v>1</v>
      </c>
    </row>
    <row r="190" spans="2:120" ht="30" customHeight="1">
      <c r="B190" s="165" t="str">
        <f t="shared" si="21"/>
        <v/>
      </c>
      <c r="C190" s="165" t="str">
        <f t="shared" si="22"/>
        <v/>
      </c>
      <c r="D190" s="165" t="str">
        <f>IF(UPPER(TRIM(N11))="X",C190,B190)</f>
        <v/>
      </c>
      <c r="E190" s="165" cm="1">
        <f t="array" ref="E190">IF(H189&lt;&gt;"",E189,IF(E189="","",IFERROR(MATCH(TRUE(),INDEX(INDEX(K:K,E189+1):K203&lt;&gt;"",0),0)+E189,"")))</f>
        <v>282</v>
      </c>
      <c r="F190" s="165" cm="1">
        <f t="array" ref="F190">IF(E190="","",IF(H189&lt;&gt;"",H189,INDEX(D:D,E190)))</f>
        <v>0</v>
      </c>
      <c r="G190" s="165" t="str">
        <f t="shared" si="23"/>
        <v>0</v>
      </c>
      <c r="H190" s="174" t="str">
        <f t="shared" si="24"/>
        <v/>
      </c>
      <c r="I190" s="184" t="str">
        <f>IF(AND(F190&lt;&gt;"",N10&gt;0,M190&gt;N10),"Mot &gt; limite","")</f>
        <v/>
      </c>
      <c r="J190" s="175" t="str">
        <f>IF(K190="","",COUNTIF(K18:K190,"&lt;&gt;"))</f>
        <v/>
      </c>
      <c r="K190" s="111"/>
      <c r="L190" s="175" t="str">
        <f t="shared" si="25"/>
        <v/>
      </c>
      <c r="M190" s="135">
        <f>IF(OR(F190="",N10="",N10&lt;=0),"",IF(LEN(F190)&lt;=N10,LEN(F190),IFERROR(FIND("♦",SUBSTITUTE(LEFT(F190,N10)," ","♦",LEN(LEFT(F190,N10))-LEN(SUBSTITUTE(LEFT(F190,N10)," ","")))),FIND(" ",F190&amp;" ",N10+1)-1)))</f>
        <v>1</v>
      </c>
      <c r="N190" s="176">
        <f t="shared" si="26"/>
        <v>173</v>
      </c>
      <c r="O190" s="177" t="str">
        <f t="shared" si="27"/>
        <v>0</v>
      </c>
      <c r="P190" s="176">
        <f t="shared" si="28"/>
        <v>1</v>
      </c>
      <c r="Q190" s="176">
        <f t="shared" si="29"/>
        <v>1</v>
      </c>
      <c r="S190" s="214"/>
      <c r="T190" s="225" t="s">
        <v>1073</v>
      </c>
      <c r="U190" s="222" t="s">
        <v>1166</v>
      </c>
      <c r="V190" s="214"/>
      <c r="W190" s="214"/>
      <c r="X190" s="214"/>
      <c r="Y190" s="214"/>
      <c r="Z190" s="214"/>
      <c r="AA190" s="214"/>
      <c r="AB190" s="214"/>
      <c r="AC190" s="214"/>
      <c r="AD190" s="214"/>
      <c r="AE190" s="214"/>
      <c r="AF190" s="214"/>
      <c r="AG190" s="214"/>
      <c r="AH190" s="214"/>
      <c r="AI190" s="214"/>
      <c r="AJ190" s="214"/>
      <c r="AK190" s="214"/>
      <c r="DE190" s="152"/>
      <c r="DF190" s="160" t="s">
        <v>1167</v>
      </c>
      <c r="DG190" s="160" t="s">
        <v>584</v>
      </c>
      <c r="DH190" s="160" t="s">
        <v>126</v>
      </c>
      <c r="DI190" s="160" t="s">
        <v>1168</v>
      </c>
      <c r="DJ190" s="160" t="s">
        <v>1168</v>
      </c>
      <c r="DK190" s="160" t="s">
        <v>588</v>
      </c>
      <c r="DL190" s="160" t="s">
        <v>956</v>
      </c>
      <c r="DM190" s="160" t="s">
        <v>590</v>
      </c>
      <c r="DN190" s="161" t="s">
        <v>591</v>
      </c>
      <c r="DP190" s="130">
        <v>1</v>
      </c>
    </row>
    <row r="191" spans="2:120" ht="30" customHeight="1">
      <c r="B191" s="165" t="str">
        <f t="shared" si="21"/>
        <v/>
      </c>
      <c r="C191" s="165" t="str">
        <f t="shared" si="22"/>
        <v/>
      </c>
      <c r="D191" s="165" t="str">
        <f>IF(UPPER(TRIM(N11))="X",C191,B191)</f>
        <v/>
      </c>
      <c r="E191" s="165" cm="1">
        <f t="array" ref="E191">IF(H190&lt;&gt;"",E190,IF(E190="","",IFERROR(MATCH(TRUE(),INDEX(INDEX(K:K,E190+1):K203&lt;&gt;"",0),0)+E190,"")))</f>
        <v>283</v>
      </c>
      <c r="F191" s="165" cm="1">
        <f t="array" ref="F191">IF(E191="","",IF(H190&lt;&gt;"",H190,INDEX(D:D,E191)))</f>
        <v>0</v>
      </c>
      <c r="G191" s="165" t="str">
        <f t="shared" si="23"/>
        <v>0</v>
      </c>
      <c r="H191" s="174" t="str">
        <f t="shared" si="24"/>
        <v/>
      </c>
      <c r="I191" s="184" t="str">
        <f>IF(AND(F191&lt;&gt;"",N10&gt;0,M191&gt;N10),"Mot &gt; limite","")</f>
        <v/>
      </c>
      <c r="J191" s="175" t="str">
        <f>IF(K191="","",COUNTIF(K18:K191,"&lt;&gt;"))</f>
        <v/>
      </c>
      <c r="K191" s="111"/>
      <c r="L191" s="175" t="str">
        <f t="shared" si="25"/>
        <v/>
      </c>
      <c r="M191" s="135">
        <f>IF(OR(F191="",N10="",N10&lt;=0),"",IF(LEN(F191)&lt;=N10,LEN(F191),IFERROR(FIND("♦",SUBSTITUTE(LEFT(F191,N10)," ","♦",LEN(LEFT(F191,N10))-LEN(SUBSTITUTE(LEFT(F191,N10)," ","")))),FIND(" ",F191&amp;" ",N10+1)-1)))</f>
        <v>1</v>
      </c>
      <c r="N191" s="176">
        <f t="shared" si="26"/>
        <v>174</v>
      </c>
      <c r="O191" s="177" t="str">
        <f t="shared" si="27"/>
        <v>0</v>
      </c>
      <c r="P191" s="176">
        <f t="shared" si="28"/>
        <v>1</v>
      </c>
      <c r="Q191" s="176">
        <f t="shared" si="29"/>
        <v>1</v>
      </c>
      <c r="S191" s="214"/>
      <c r="T191" s="225" t="s">
        <v>1077</v>
      </c>
      <c r="U191" s="222" t="s">
        <v>1169</v>
      </c>
      <c r="V191" s="214"/>
      <c r="W191" s="214"/>
      <c r="X191" s="214"/>
      <c r="Y191" s="214"/>
      <c r="Z191" s="214"/>
      <c r="AA191" s="214"/>
      <c r="AB191" s="214"/>
      <c r="AC191" s="214"/>
      <c r="AD191" s="214"/>
      <c r="AE191" s="214"/>
      <c r="AF191" s="214"/>
      <c r="AG191" s="214"/>
      <c r="AH191" s="214"/>
      <c r="AI191" s="214"/>
      <c r="AJ191" s="214"/>
      <c r="AK191" s="214"/>
      <c r="DE191" s="152"/>
      <c r="DF191" s="160" t="s">
        <v>1170</v>
      </c>
      <c r="DG191" s="160" t="s">
        <v>584</v>
      </c>
      <c r="DH191" s="160" t="s">
        <v>126</v>
      </c>
      <c r="DI191" s="160" t="s">
        <v>1171</v>
      </c>
      <c r="DJ191" s="160" t="s">
        <v>1171</v>
      </c>
      <c r="DK191" s="160" t="s">
        <v>588</v>
      </c>
      <c r="DL191" s="160" t="s">
        <v>956</v>
      </c>
      <c r="DM191" s="160" t="s">
        <v>590</v>
      </c>
      <c r="DN191" s="161" t="s">
        <v>591</v>
      </c>
      <c r="DP191" s="130">
        <v>1</v>
      </c>
    </row>
    <row r="192" spans="2:120" ht="30" customHeight="1">
      <c r="B192" s="165" t="str">
        <f t="shared" si="21"/>
        <v/>
      </c>
      <c r="C192" s="165" t="str">
        <f t="shared" si="22"/>
        <v/>
      </c>
      <c r="D192" s="165" t="str">
        <f>IF(UPPER(TRIM(N11))="X",C192,B192)</f>
        <v/>
      </c>
      <c r="E192" s="165" cm="1">
        <f t="array" ref="E192">IF(H191&lt;&gt;"",E191,IF(E191="","",IFERROR(MATCH(TRUE(),INDEX(INDEX(K:K,E191+1):K203&lt;&gt;"",0),0)+E191,"")))</f>
        <v>284</v>
      </c>
      <c r="F192" s="165" cm="1">
        <f t="array" ref="F192">IF(E192="","",IF(H191&lt;&gt;"",H191,INDEX(D:D,E192)))</f>
        <v>0</v>
      </c>
      <c r="G192" s="165" t="str">
        <f t="shared" si="23"/>
        <v>0</v>
      </c>
      <c r="H192" s="174" t="str">
        <f t="shared" si="24"/>
        <v/>
      </c>
      <c r="I192" s="184" t="str">
        <f>IF(AND(F192&lt;&gt;"",N10&gt;0,M192&gt;N10),"Mot &gt; limite","")</f>
        <v/>
      </c>
      <c r="J192" s="175" t="str">
        <f>IF(K192="","",COUNTIF(K18:K192,"&lt;&gt;"))</f>
        <v/>
      </c>
      <c r="K192" s="111"/>
      <c r="L192" s="175" t="str">
        <f t="shared" si="25"/>
        <v/>
      </c>
      <c r="M192" s="135">
        <f>IF(OR(F192="",N10="",N10&lt;=0),"",IF(LEN(F192)&lt;=N10,LEN(F192),IFERROR(FIND("♦",SUBSTITUTE(LEFT(F192,N10)," ","♦",LEN(LEFT(F192,N10))-LEN(SUBSTITUTE(LEFT(F192,N10)," ","")))),FIND(" ",F192&amp;" ",N10+1)-1)))</f>
        <v>1</v>
      </c>
      <c r="N192" s="176">
        <f t="shared" si="26"/>
        <v>175</v>
      </c>
      <c r="O192" s="177" t="str">
        <f t="shared" si="27"/>
        <v>0</v>
      </c>
      <c r="P192" s="176">
        <f t="shared" si="28"/>
        <v>1</v>
      </c>
      <c r="Q192" s="176">
        <f t="shared" si="29"/>
        <v>1</v>
      </c>
      <c r="S192" s="214"/>
      <c r="T192" s="225" t="s">
        <v>1080</v>
      </c>
      <c r="U192" s="222" t="s">
        <v>1172</v>
      </c>
      <c r="V192" s="214"/>
      <c r="W192" s="214"/>
      <c r="X192" s="214"/>
      <c r="Y192" s="214"/>
      <c r="Z192" s="214"/>
      <c r="AA192" s="214"/>
      <c r="AB192" s="214"/>
      <c r="AC192" s="214"/>
      <c r="AD192" s="214"/>
      <c r="AE192" s="214"/>
      <c r="AF192" s="214"/>
      <c r="AG192" s="214"/>
      <c r="AH192" s="214"/>
      <c r="AI192" s="214"/>
      <c r="AJ192" s="214"/>
      <c r="AK192" s="214"/>
      <c r="DE192" s="152"/>
      <c r="DF192" s="160" t="s">
        <v>1173</v>
      </c>
      <c r="DG192" s="160" t="s">
        <v>584</v>
      </c>
      <c r="DH192" s="160" t="s">
        <v>126</v>
      </c>
      <c r="DI192" s="160" t="s">
        <v>1174</v>
      </c>
      <c r="DJ192" s="160" t="s">
        <v>1174</v>
      </c>
      <c r="DK192" s="160" t="s">
        <v>588</v>
      </c>
      <c r="DL192" s="160" t="s">
        <v>956</v>
      </c>
      <c r="DM192" s="160" t="s">
        <v>590</v>
      </c>
      <c r="DN192" s="161" t="s">
        <v>591</v>
      </c>
      <c r="DP192" s="130">
        <v>1</v>
      </c>
    </row>
    <row r="193" spans="2:120" ht="30" customHeight="1">
      <c r="B193" s="165" t="str">
        <f t="shared" si="21"/>
        <v/>
      </c>
      <c r="C193" s="165" t="str">
        <f t="shared" si="22"/>
        <v/>
      </c>
      <c r="D193" s="165" t="str">
        <f>IF(UPPER(TRIM(N11))="X",C193,B193)</f>
        <v/>
      </c>
      <c r="E193" s="165" cm="1">
        <f t="array" ref="E193">IF(H192&lt;&gt;"",E192,IF(E192="","",IFERROR(MATCH(TRUE(),INDEX(INDEX(K:K,E192+1):K203&lt;&gt;"",0),0)+E192,"")))</f>
        <v>285</v>
      </c>
      <c r="F193" s="165" cm="1">
        <f t="array" ref="F193">IF(E193="","",IF(H192&lt;&gt;"",H192,INDEX(D:D,E193)))</f>
        <v>0</v>
      </c>
      <c r="G193" s="165" t="str">
        <f t="shared" si="23"/>
        <v>0</v>
      </c>
      <c r="H193" s="174" t="str">
        <f t="shared" si="24"/>
        <v/>
      </c>
      <c r="I193" s="184" t="str">
        <f>IF(AND(F193&lt;&gt;"",N10&gt;0,M193&gt;N10),"Mot &gt; limite","")</f>
        <v/>
      </c>
      <c r="J193" s="175" t="str">
        <f>IF(K193="","",COUNTIF(K18:K193,"&lt;&gt;"))</f>
        <v/>
      </c>
      <c r="K193" s="111"/>
      <c r="L193" s="175" t="str">
        <f t="shared" si="25"/>
        <v/>
      </c>
      <c r="M193" s="135">
        <f>IF(OR(F193="",N10="",N10&lt;=0),"",IF(LEN(F193)&lt;=N10,LEN(F193),IFERROR(FIND("♦",SUBSTITUTE(LEFT(F193,N10)," ","♦",LEN(LEFT(F193,N10))-LEN(SUBSTITUTE(LEFT(F193,N10)," ","")))),FIND(" ",F193&amp;" ",N10+1)-1)))</f>
        <v>1</v>
      </c>
      <c r="N193" s="176">
        <f t="shared" si="26"/>
        <v>176</v>
      </c>
      <c r="O193" s="177" t="str">
        <f t="shared" si="27"/>
        <v>0</v>
      </c>
      <c r="P193" s="176">
        <f t="shared" si="28"/>
        <v>1</v>
      </c>
      <c r="Q193" s="176">
        <f t="shared" si="29"/>
        <v>1</v>
      </c>
      <c r="S193" s="214"/>
      <c r="T193" s="225" t="s">
        <v>1083</v>
      </c>
      <c r="U193" s="222" t="s">
        <v>1175</v>
      </c>
      <c r="V193" s="214"/>
      <c r="W193" s="214"/>
      <c r="X193" s="214"/>
      <c r="Y193" s="214"/>
      <c r="Z193" s="214"/>
      <c r="AA193" s="214"/>
      <c r="AB193" s="214"/>
      <c r="AC193" s="214"/>
      <c r="AD193" s="214"/>
      <c r="AE193" s="214"/>
      <c r="AF193" s="214"/>
      <c r="AG193" s="214"/>
      <c r="AH193" s="214"/>
      <c r="AI193" s="214"/>
      <c r="AJ193" s="214"/>
      <c r="AK193" s="214"/>
      <c r="DE193" s="152"/>
      <c r="DF193" s="160" t="s">
        <v>1176</v>
      </c>
      <c r="DG193" s="160" t="s">
        <v>584</v>
      </c>
      <c r="DH193" s="160" t="s">
        <v>126</v>
      </c>
      <c r="DI193" s="160" t="s">
        <v>1177</v>
      </c>
      <c r="DJ193" s="160" t="s">
        <v>1177</v>
      </c>
      <c r="DK193" s="160" t="s">
        <v>588</v>
      </c>
      <c r="DL193" s="160" t="s">
        <v>956</v>
      </c>
      <c r="DM193" s="160" t="s">
        <v>590</v>
      </c>
      <c r="DN193" s="161" t="s">
        <v>591</v>
      </c>
      <c r="DP193" s="130">
        <v>1</v>
      </c>
    </row>
    <row r="194" spans="2:120" ht="30" customHeight="1">
      <c r="B194" s="165" t="str">
        <f t="shared" si="21"/>
        <v/>
      </c>
      <c r="C194" s="165" t="str">
        <f t="shared" si="22"/>
        <v/>
      </c>
      <c r="D194" s="165" t="str">
        <f>IF(UPPER(TRIM(N11))="X",C194,B194)</f>
        <v/>
      </c>
      <c r="E194" s="165" cm="1">
        <f t="array" ref="E194">IF(H193&lt;&gt;"",E193,IF(E193="","",IFERROR(MATCH(TRUE(),INDEX(INDEX(K:K,E193+1):K203&lt;&gt;"",0),0)+E193,"")))</f>
        <v>286</v>
      </c>
      <c r="F194" s="165" cm="1">
        <f t="array" ref="F194">IF(E194="","",IF(H193&lt;&gt;"",H193,INDEX(D:D,E194)))</f>
        <v>0</v>
      </c>
      <c r="G194" s="165" t="str">
        <f t="shared" si="23"/>
        <v>0</v>
      </c>
      <c r="H194" s="174" t="str">
        <f t="shared" si="24"/>
        <v/>
      </c>
      <c r="I194" s="184" t="str">
        <f>IF(AND(F194&lt;&gt;"",N10&gt;0,M194&gt;N10),"Mot &gt; limite","")</f>
        <v/>
      </c>
      <c r="J194" s="175" t="str">
        <f>IF(K194="","",COUNTIF(K18:K194,"&lt;&gt;"))</f>
        <v/>
      </c>
      <c r="K194" s="111"/>
      <c r="L194" s="175" t="str">
        <f t="shared" si="25"/>
        <v/>
      </c>
      <c r="M194" s="135">
        <f>IF(OR(F194="",N10="",N10&lt;=0),"",IF(LEN(F194)&lt;=N10,LEN(F194),IFERROR(FIND("♦",SUBSTITUTE(LEFT(F194,N10)," ","♦",LEN(LEFT(F194,N10))-LEN(SUBSTITUTE(LEFT(F194,N10)," ","")))),FIND(" ",F194&amp;" ",N10+1)-1)))</f>
        <v>1</v>
      </c>
      <c r="N194" s="176">
        <f t="shared" si="26"/>
        <v>177</v>
      </c>
      <c r="O194" s="177" t="str">
        <f t="shared" si="27"/>
        <v>0</v>
      </c>
      <c r="P194" s="176">
        <f t="shared" si="28"/>
        <v>1</v>
      </c>
      <c r="Q194" s="176">
        <f t="shared" si="29"/>
        <v>1</v>
      </c>
      <c r="S194" s="214"/>
      <c r="T194" s="225"/>
      <c r="U194" s="222"/>
      <c r="V194" s="214"/>
      <c r="W194" s="214"/>
      <c r="X194" s="214"/>
      <c r="Y194" s="214"/>
      <c r="Z194" s="214"/>
      <c r="AA194" s="214"/>
      <c r="AB194" s="214"/>
      <c r="AC194" s="214"/>
      <c r="AD194" s="214"/>
      <c r="AE194" s="214"/>
      <c r="AF194" s="214"/>
      <c r="AG194" s="214"/>
      <c r="AH194" s="214"/>
      <c r="AI194" s="214"/>
      <c r="AJ194" s="214"/>
      <c r="AK194" s="214"/>
      <c r="DE194" s="152"/>
      <c r="DF194" s="160" t="s">
        <v>1178</v>
      </c>
      <c r="DG194" s="160" t="s">
        <v>584</v>
      </c>
      <c r="DH194" s="160" t="s">
        <v>126</v>
      </c>
      <c r="DI194" s="160" t="s">
        <v>1179</v>
      </c>
      <c r="DJ194" s="160" t="s">
        <v>1179</v>
      </c>
      <c r="DK194" s="160" t="s">
        <v>588</v>
      </c>
      <c r="DL194" s="160" t="s">
        <v>956</v>
      </c>
      <c r="DM194" s="160" t="s">
        <v>590</v>
      </c>
      <c r="DN194" s="161" t="s">
        <v>591</v>
      </c>
      <c r="DP194" s="130">
        <v>1</v>
      </c>
    </row>
    <row r="195" spans="2:120" ht="30" customHeight="1">
      <c r="B195" s="165" t="str">
        <f t="shared" si="21"/>
        <v/>
      </c>
      <c r="C195" s="165" t="str">
        <f t="shared" si="22"/>
        <v/>
      </c>
      <c r="D195" s="165" t="str">
        <f>IF(UPPER(TRIM(N11))="X",C195,B195)</f>
        <v/>
      </c>
      <c r="E195" s="165" cm="1">
        <f t="array" ref="E195">IF(H194&lt;&gt;"",E194,IF(E194="","",IFERROR(MATCH(TRUE(),INDEX(INDEX(K:K,E194+1):K203&lt;&gt;"",0),0)+E194,"")))</f>
        <v>287</v>
      </c>
      <c r="F195" s="165" cm="1">
        <f t="array" ref="F195">IF(E195="","",IF(H194&lt;&gt;"",H194,INDEX(D:D,E195)))</f>
        <v>0</v>
      </c>
      <c r="G195" s="165" t="str">
        <f t="shared" si="23"/>
        <v>0</v>
      </c>
      <c r="H195" s="174" t="str">
        <f t="shared" si="24"/>
        <v/>
      </c>
      <c r="I195" s="184" t="str">
        <f>IF(AND(F195&lt;&gt;"",N10&gt;0,M195&gt;N10),"Mot &gt; limite","")</f>
        <v/>
      </c>
      <c r="J195" s="175" t="str">
        <f>IF(K195="","",COUNTIF(K18:K195,"&lt;&gt;"))</f>
        <v/>
      </c>
      <c r="K195" s="111"/>
      <c r="L195" s="175" t="str">
        <f t="shared" si="25"/>
        <v/>
      </c>
      <c r="M195" s="135">
        <f>IF(OR(F195="",N10="",N10&lt;=0),"",IF(LEN(F195)&lt;=N10,LEN(F195),IFERROR(FIND("♦",SUBSTITUTE(LEFT(F195,N10)," ","♦",LEN(LEFT(F195,N10))-LEN(SUBSTITUTE(LEFT(F195,N10)," ","")))),FIND(" ",F195&amp;" ",N10+1)-1)))</f>
        <v>1</v>
      </c>
      <c r="N195" s="176">
        <f t="shared" si="26"/>
        <v>178</v>
      </c>
      <c r="O195" s="177" t="str">
        <f t="shared" si="27"/>
        <v>0</v>
      </c>
      <c r="P195" s="176">
        <f t="shared" si="28"/>
        <v>1</v>
      </c>
      <c r="Q195" s="176">
        <f t="shared" si="29"/>
        <v>1</v>
      </c>
      <c r="S195" s="214"/>
      <c r="T195" s="228" t="s">
        <v>1180</v>
      </c>
      <c r="U195" s="228"/>
      <c r="V195" s="214"/>
      <c r="W195" s="214"/>
      <c r="X195" s="214"/>
      <c r="Y195" s="214"/>
      <c r="Z195" s="214"/>
      <c r="AA195" s="214"/>
      <c r="AB195" s="214"/>
      <c r="AC195" s="214"/>
      <c r="AD195" s="214"/>
      <c r="AE195" s="214"/>
      <c r="AF195" s="214"/>
      <c r="AG195" s="214"/>
      <c r="AH195" s="214"/>
      <c r="AI195" s="214"/>
      <c r="AJ195" s="214"/>
      <c r="AK195" s="214"/>
      <c r="DE195" s="152"/>
      <c r="DF195" s="160" t="s">
        <v>1181</v>
      </c>
      <c r="DG195" s="160" t="s">
        <v>584</v>
      </c>
      <c r="DH195" s="160" t="s">
        <v>1182</v>
      </c>
      <c r="DI195" s="160" t="s">
        <v>1183</v>
      </c>
      <c r="DJ195" s="160" t="s">
        <v>1183</v>
      </c>
      <c r="DK195" s="160" t="s">
        <v>588</v>
      </c>
      <c r="DL195" s="160" t="s">
        <v>1184</v>
      </c>
      <c r="DM195" s="160" t="s">
        <v>590</v>
      </c>
      <c r="DN195" s="161" t="s">
        <v>591</v>
      </c>
      <c r="DP195" s="130">
        <v>1</v>
      </c>
    </row>
    <row r="196" spans="2:120" ht="30" customHeight="1">
      <c r="B196" s="165" t="str">
        <f t="shared" si="21"/>
        <v/>
      </c>
      <c r="C196" s="165" t="str">
        <f t="shared" si="22"/>
        <v/>
      </c>
      <c r="D196" s="165" t="str">
        <f>IF(UPPER(TRIM(N11))="X",C196,B196)</f>
        <v/>
      </c>
      <c r="E196" s="165" cm="1">
        <f t="array" ref="E196">IF(H195&lt;&gt;"",E195,IF(E195="","",IFERROR(MATCH(TRUE(),INDEX(INDEX(K:K,E195+1):K203&lt;&gt;"",0),0)+E195,"")))</f>
        <v>288</v>
      </c>
      <c r="F196" s="165" cm="1">
        <f t="array" ref="F196">IF(E196="","",IF(H195&lt;&gt;"",H195,INDEX(D:D,E196)))</f>
        <v>0</v>
      </c>
      <c r="G196" s="165" t="str">
        <f t="shared" si="23"/>
        <v>0</v>
      </c>
      <c r="H196" s="174" t="str">
        <f t="shared" si="24"/>
        <v/>
      </c>
      <c r="I196" s="184" t="str">
        <f>IF(AND(F196&lt;&gt;"",N10&gt;0,M196&gt;N10),"Mot &gt; limite","")</f>
        <v/>
      </c>
      <c r="J196" s="175" t="str">
        <f>IF(K196="","",COUNTIF(K18:K196,"&lt;&gt;"))</f>
        <v/>
      </c>
      <c r="K196" s="111"/>
      <c r="L196" s="175" t="str">
        <f t="shared" si="25"/>
        <v/>
      </c>
      <c r="M196" s="135">
        <f>IF(OR(F196="",N10="",N10&lt;=0),"",IF(LEN(F196)&lt;=N10,LEN(F196),IFERROR(FIND("♦",SUBSTITUTE(LEFT(F196,N10)," ","♦",LEN(LEFT(F196,N10))-LEN(SUBSTITUTE(LEFT(F196,N10)," ","")))),FIND(" ",F196&amp;" ",N10+1)-1)))</f>
        <v>1</v>
      </c>
      <c r="N196" s="176">
        <f t="shared" si="26"/>
        <v>179</v>
      </c>
      <c r="O196" s="177" t="str">
        <f t="shared" si="27"/>
        <v>0</v>
      </c>
      <c r="P196" s="176">
        <f t="shared" si="28"/>
        <v>1</v>
      </c>
      <c r="Q196" s="176">
        <f t="shared" si="29"/>
        <v>1</v>
      </c>
      <c r="S196" s="214"/>
      <c r="T196" s="229" t="s">
        <v>1185</v>
      </c>
      <c r="U196" s="222" t="s">
        <v>1186</v>
      </c>
      <c r="V196" s="214"/>
      <c r="W196" s="214"/>
      <c r="X196" s="214"/>
      <c r="Y196" s="214"/>
      <c r="Z196" s="214"/>
      <c r="AA196" s="214"/>
      <c r="AB196" s="214"/>
      <c r="AC196" s="214"/>
      <c r="AD196" s="214"/>
      <c r="AE196" s="214"/>
      <c r="AF196" s="214"/>
      <c r="AG196" s="214"/>
      <c r="AH196" s="214"/>
      <c r="AI196" s="214"/>
      <c r="AJ196" s="214"/>
      <c r="AK196" s="214"/>
      <c r="DE196" s="152"/>
      <c r="DF196" s="160" t="s">
        <v>1187</v>
      </c>
      <c r="DG196" s="160" t="s">
        <v>584</v>
      </c>
      <c r="DH196" s="160" t="s">
        <v>1182</v>
      </c>
      <c r="DI196" s="160" t="s">
        <v>1188</v>
      </c>
      <c r="DJ196" s="160" t="s">
        <v>1188</v>
      </c>
      <c r="DK196" s="160" t="s">
        <v>588</v>
      </c>
      <c r="DL196" s="160" t="s">
        <v>1184</v>
      </c>
      <c r="DM196" s="160" t="s">
        <v>590</v>
      </c>
      <c r="DN196" s="161" t="s">
        <v>591</v>
      </c>
      <c r="DP196" s="130">
        <v>1</v>
      </c>
    </row>
    <row r="197" spans="2:120" ht="30" customHeight="1">
      <c r="B197" s="165" t="str">
        <f t="shared" si="21"/>
        <v/>
      </c>
      <c r="C197" s="165" t="str">
        <f t="shared" si="22"/>
        <v/>
      </c>
      <c r="D197" s="165" t="str">
        <f>IF(UPPER(TRIM(N11))="X",C197,B197)</f>
        <v/>
      </c>
      <c r="E197" s="165" cm="1">
        <f t="array" ref="E197">IF(H196&lt;&gt;"",E196,IF(E196="","",IFERROR(MATCH(TRUE(),INDEX(INDEX(K:K,E196+1):K203&lt;&gt;"",0),0)+E196,"")))</f>
        <v>289</v>
      </c>
      <c r="F197" s="165" cm="1">
        <f t="array" ref="F197">IF(E197="","",IF(H196&lt;&gt;"",H196,INDEX(D:D,E197)))</f>
        <v>0</v>
      </c>
      <c r="G197" s="165" t="str">
        <f t="shared" si="23"/>
        <v>0</v>
      </c>
      <c r="H197" s="174" t="str">
        <f t="shared" si="24"/>
        <v/>
      </c>
      <c r="I197" s="184" t="str">
        <f>IF(AND(F197&lt;&gt;"",N10&gt;0,M197&gt;N10),"Mot &gt; limite","")</f>
        <v/>
      </c>
      <c r="J197" s="175" t="str">
        <f>IF(K197="","",COUNTIF(K18:K197,"&lt;&gt;"))</f>
        <v/>
      </c>
      <c r="K197" s="111"/>
      <c r="L197" s="175" t="str">
        <f t="shared" si="25"/>
        <v/>
      </c>
      <c r="M197" s="135">
        <f>IF(OR(F197="",N10="",N10&lt;=0),"",IF(LEN(F197)&lt;=N10,LEN(F197),IFERROR(FIND("♦",SUBSTITUTE(LEFT(F197,N10)," ","♦",LEN(LEFT(F197,N10))-LEN(SUBSTITUTE(LEFT(F197,N10)," ","")))),FIND(" ",F197&amp;" ",N10+1)-1)))</f>
        <v>1</v>
      </c>
      <c r="N197" s="176">
        <f t="shared" si="26"/>
        <v>180</v>
      </c>
      <c r="O197" s="177" t="str">
        <f t="shared" si="27"/>
        <v>0</v>
      </c>
      <c r="P197" s="176">
        <f t="shared" si="28"/>
        <v>1</v>
      </c>
      <c r="Q197" s="176">
        <f t="shared" si="29"/>
        <v>1</v>
      </c>
      <c r="S197" s="214"/>
      <c r="T197" s="230"/>
      <c r="U197" s="222" t="s">
        <v>1189</v>
      </c>
      <c r="V197" s="214"/>
      <c r="W197" s="214"/>
      <c r="X197" s="214"/>
      <c r="Y197" s="214"/>
      <c r="Z197" s="214"/>
      <c r="AA197" s="214"/>
      <c r="AB197" s="214"/>
      <c r="AC197" s="214"/>
      <c r="AD197" s="214"/>
      <c r="AE197" s="214"/>
      <c r="AF197" s="214"/>
      <c r="AG197" s="214"/>
      <c r="AH197" s="214"/>
      <c r="AI197" s="214"/>
      <c r="AJ197" s="214"/>
      <c r="AK197" s="214"/>
      <c r="DE197" s="152"/>
      <c r="DF197" s="160" t="s">
        <v>1190</v>
      </c>
      <c r="DG197" s="160" t="s">
        <v>584</v>
      </c>
      <c r="DH197" s="160" t="s">
        <v>1182</v>
      </c>
      <c r="DI197" s="160" t="s">
        <v>1191</v>
      </c>
      <c r="DJ197" s="160" t="s">
        <v>1191</v>
      </c>
      <c r="DK197" s="160" t="s">
        <v>666</v>
      </c>
      <c r="DL197" s="160" t="s">
        <v>1192</v>
      </c>
      <c r="DM197" s="160" t="s">
        <v>590</v>
      </c>
      <c r="DN197" s="161" t="s">
        <v>668</v>
      </c>
      <c r="DP197" s="130">
        <v>1</v>
      </c>
    </row>
    <row r="198" spans="2:120" ht="30" customHeight="1">
      <c r="B198" s="165" t="str">
        <f t="shared" si="21"/>
        <v/>
      </c>
      <c r="C198" s="165" t="str">
        <f t="shared" si="22"/>
        <v/>
      </c>
      <c r="D198" s="165" t="str">
        <f>IF(UPPER(TRIM(N11))="X",C198,B198)</f>
        <v/>
      </c>
      <c r="E198" s="165" cm="1">
        <f t="array" ref="E198">IF(H197&lt;&gt;"",E197,IF(E197="","",IFERROR(MATCH(TRUE(),INDEX(INDEX(K:K,E197+1):K203&lt;&gt;"",0),0)+E197,"")))</f>
        <v>290</v>
      </c>
      <c r="F198" s="165" cm="1">
        <f t="array" ref="F198">IF(E198="","",IF(H197&lt;&gt;"",H197,INDEX(D:D,E198)))</f>
        <v>0</v>
      </c>
      <c r="G198" s="165" t="str">
        <f t="shared" si="23"/>
        <v>0</v>
      </c>
      <c r="H198" s="174" t="str">
        <f t="shared" si="24"/>
        <v/>
      </c>
      <c r="I198" s="184" t="str">
        <f>IF(AND(F198&lt;&gt;"",N10&gt;0,M198&gt;N10),"Mot &gt; limite","")</f>
        <v/>
      </c>
      <c r="J198" s="175" t="str">
        <f>IF(K198="","",COUNTIF(K18:K198,"&lt;&gt;"))</f>
        <v/>
      </c>
      <c r="K198" s="111"/>
      <c r="L198" s="175" t="str">
        <f t="shared" si="25"/>
        <v/>
      </c>
      <c r="M198" s="135">
        <f>IF(OR(F198="",N10="",N10&lt;=0),"",IF(LEN(F198)&lt;=N10,LEN(F198),IFERROR(FIND("♦",SUBSTITUTE(LEFT(F198,N10)," ","♦",LEN(LEFT(F198,N10))-LEN(SUBSTITUTE(LEFT(F198,N10)," ","")))),FIND(" ",F198&amp;" ",N10+1)-1)))</f>
        <v>1</v>
      </c>
      <c r="N198" s="176">
        <f t="shared" si="26"/>
        <v>181</v>
      </c>
      <c r="O198" s="177" t="str">
        <f t="shared" si="27"/>
        <v>0</v>
      </c>
      <c r="P198" s="176">
        <f t="shared" si="28"/>
        <v>1</v>
      </c>
      <c r="Q198" s="176">
        <f t="shared" si="29"/>
        <v>1</v>
      </c>
      <c r="S198" s="214"/>
      <c r="T198" s="229" t="s">
        <v>1193</v>
      </c>
      <c r="U198" s="222" t="s">
        <v>1194</v>
      </c>
      <c r="V198" s="214"/>
      <c r="W198" s="214"/>
      <c r="X198" s="214"/>
      <c r="Y198" s="214"/>
      <c r="Z198" s="214"/>
      <c r="AA198" s="214"/>
      <c r="AB198" s="214"/>
      <c r="AC198" s="214"/>
      <c r="AD198" s="214"/>
      <c r="AE198" s="214"/>
      <c r="AF198" s="214"/>
      <c r="AG198" s="214"/>
      <c r="AH198" s="214"/>
      <c r="AI198" s="214"/>
      <c r="AJ198" s="214"/>
      <c r="AK198" s="214"/>
      <c r="DE198" s="152"/>
      <c r="DF198" s="160" t="s">
        <v>1195</v>
      </c>
      <c r="DG198" s="160" t="s">
        <v>584</v>
      </c>
      <c r="DH198" s="160" t="s">
        <v>1182</v>
      </c>
      <c r="DI198" s="160" t="s">
        <v>1196</v>
      </c>
      <c r="DJ198" s="160" t="s">
        <v>1196</v>
      </c>
      <c r="DK198" s="160" t="s">
        <v>666</v>
      </c>
      <c r="DL198" s="160" t="s">
        <v>1192</v>
      </c>
      <c r="DM198" s="160" t="s">
        <v>590</v>
      </c>
      <c r="DN198" s="161" t="s">
        <v>668</v>
      </c>
      <c r="DP198" s="130">
        <v>1</v>
      </c>
    </row>
    <row r="199" spans="2:120" ht="30" customHeight="1">
      <c r="B199" s="165" t="str">
        <f t="shared" si="21"/>
        <v/>
      </c>
      <c r="C199" s="165" t="str">
        <f t="shared" si="22"/>
        <v/>
      </c>
      <c r="D199" s="165" t="str">
        <f>IF(UPPER(TRIM(N11))="X",C199,B199)</f>
        <v/>
      </c>
      <c r="E199" s="165" cm="1">
        <f t="array" ref="E199">IF(H198&lt;&gt;"",E198,IF(E198="","",IFERROR(MATCH(TRUE(),INDEX(INDEX(K:K,E198+1):K203&lt;&gt;"",0),0)+E198,"")))</f>
        <v>291</v>
      </c>
      <c r="F199" s="165" cm="1">
        <f t="array" ref="F199">IF(E199="","",IF(H198&lt;&gt;"",H198,INDEX(D:D,E199)))</f>
        <v>0</v>
      </c>
      <c r="G199" s="165" t="str">
        <f t="shared" si="23"/>
        <v>0</v>
      </c>
      <c r="H199" s="174" t="str">
        <f t="shared" si="24"/>
        <v/>
      </c>
      <c r="I199" s="184" t="str">
        <f>IF(AND(F199&lt;&gt;"",N10&gt;0,M199&gt;N10),"Mot &gt; limite","")</f>
        <v/>
      </c>
      <c r="J199" s="175" t="str">
        <f>IF(K199="","",COUNTIF(K18:K199,"&lt;&gt;"))</f>
        <v/>
      </c>
      <c r="K199" s="111"/>
      <c r="L199" s="175" t="str">
        <f t="shared" si="25"/>
        <v/>
      </c>
      <c r="M199" s="135">
        <f>IF(OR(F199="",N10="",N10&lt;=0),"",IF(LEN(F199)&lt;=N10,LEN(F199),IFERROR(FIND("♦",SUBSTITUTE(LEFT(F199,N10)," ","♦",LEN(LEFT(F199,N10))-LEN(SUBSTITUTE(LEFT(F199,N10)," ","")))),FIND(" ",F199&amp;" ",N10+1)-1)))</f>
        <v>1</v>
      </c>
      <c r="N199" s="176">
        <f t="shared" si="26"/>
        <v>182</v>
      </c>
      <c r="O199" s="177" t="str">
        <f t="shared" si="27"/>
        <v>0</v>
      </c>
      <c r="P199" s="176">
        <f t="shared" si="28"/>
        <v>1</v>
      </c>
      <c r="Q199" s="176">
        <f t="shared" si="29"/>
        <v>1</v>
      </c>
      <c r="S199" s="214"/>
      <c r="T199" s="222"/>
      <c r="U199" s="222" t="s">
        <v>1197</v>
      </c>
      <c r="V199" s="214"/>
      <c r="W199" s="214"/>
      <c r="X199" s="214"/>
      <c r="Y199" s="214"/>
      <c r="Z199" s="214"/>
      <c r="AA199" s="214"/>
      <c r="AB199" s="214"/>
      <c r="AC199" s="214"/>
      <c r="AD199" s="214"/>
      <c r="AE199" s="214"/>
      <c r="AF199" s="214"/>
      <c r="AG199" s="214"/>
      <c r="AH199" s="214"/>
      <c r="AI199" s="214"/>
      <c r="AJ199" s="214"/>
      <c r="AK199" s="214"/>
      <c r="DE199" s="152"/>
      <c r="DF199" s="160" t="s">
        <v>1198</v>
      </c>
      <c r="DG199" s="160" t="s">
        <v>584</v>
      </c>
      <c r="DH199" s="160" t="s">
        <v>1182</v>
      </c>
      <c r="DI199" s="160" t="s">
        <v>1199</v>
      </c>
      <c r="DJ199" s="160" t="s">
        <v>1199</v>
      </c>
      <c r="DK199" s="160" t="s">
        <v>588</v>
      </c>
      <c r="DL199" s="160" t="s">
        <v>1184</v>
      </c>
      <c r="DM199" s="160" t="s">
        <v>590</v>
      </c>
      <c r="DN199" s="161" t="s">
        <v>591</v>
      </c>
      <c r="DP199" s="130">
        <v>1</v>
      </c>
    </row>
    <row r="200" spans="2:120" ht="30" customHeight="1">
      <c r="B200" s="165" t="str">
        <f t="shared" si="21"/>
        <v/>
      </c>
      <c r="C200" s="165" t="str">
        <f t="shared" si="22"/>
        <v/>
      </c>
      <c r="D200" s="165" t="str">
        <f>IF(UPPER(TRIM(N11))="X",C200,B200)</f>
        <v/>
      </c>
      <c r="E200" s="165" cm="1">
        <f t="array" ref="E200">IF(H199&lt;&gt;"",E199,IF(E199="","",IFERROR(MATCH(TRUE(),INDEX(INDEX(K:K,E199+1):K203&lt;&gt;"",0),0)+E199,"")))</f>
        <v>292</v>
      </c>
      <c r="F200" s="165" cm="1">
        <f t="array" ref="F200">IF(E200="","",IF(H199&lt;&gt;"",H199,INDEX(D:D,E200)))</f>
        <v>0</v>
      </c>
      <c r="G200" s="165" t="str">
        <f t="shared" si="23"/>
        <v>0</v>
      </c>
      <c r="H200" s="174" t="str">
        <f t="shared" si="24"/>
        <v/>
      </c>
      <c r="I200" s="184" t="str">
        <f>IF(AND(F200&lt;&gt;"",N10&gt;0,M200&gt;N10),"Mot &gt; limite","")</f>
        <v/>
      </c>
      <c r="J200" s="175" t="str">
        <f>IF(K200="","",COUNTIF(K18:K200,"&lt;&gt;"))</f>
        <v/>
      </c>
      <c r="K200" s="111"/>
      <c r="L200" s="175" t="str">
        <f t="shared" si="25"/>
        <v/>
      </c>
      <c r="M200" s="135">
        <f>IF(OR(F200="",N10="",N10&lt;=0),"",IF(LEN(F200)&lt;=N10,LEN(F200),IFERROR(FIND("♦",SUBSTITUTE(LEFT(F200,N10)," ","♦",LEN(LEFT(F200,N10))-LEN(SUBSTITUTE(LEFT(F200,N10)," ","")))),FIND(" ",F200&amp;" ",N10+1)-1)))</f>
        <v>1</v>
      </c>
      <c r="N200" s="176">
        <f t="shared" si="26"/>
        <v>183</v>
      </c>
      <c r="O200" s="177" t="str">
        <f t="shared" si="27"/>
        <v>0</v>
      </c>
      <c r="P200" s="176">
        <f t="shared" si="28"/>
        <v>1</v>
      </c>
      <c r="Q200" s="176">
        <f t="shared" si="29"/>
        <v>1</v>
      </c>
      <c r="S200" s="214"/>
      <c r="T200" s="222"/>
      <c r="U200" s="222"/>
      <c r="V200" s="214"/>
      <c r="W200" s="214"/>
      <c r="X200" s="214"/>
      <c r="Y200" s="214"/>
      <c r="Z200" s="214"/>
      <c r="AA200" s="214"/>
      <c r="AB200" s="214"/>
      <c r="AC200" s="214"/>
      <c r="AD200" s="214"/>
      <c r="AE200" s="214"/>
      <c r="AF200" s="214"/>
      <c r="AG200" s="214"/>
      <c r="AH200" s="214"/>
      <c r="AI200" s="214"/>
      <c r="AJ200" s="214"/>
      <c r="AK200" s="214"/>
      <c r="DE200" s="152"/>
      <c r="DF200" s="160" t="s">
        <v>1200</v>
      </c>
      <c r="DG200" s="160" t="s">
        <v>584</v>
      </c>
      <c r="DH200" s="160" t="s">
        <v>1182</v>
      </c>
      <c r="DI200" s="160" t="s">
        <v>1201</v>
      </c>
      <c r="DJ200" s="160" t="s">
        <v>1201</v>
      </c>
      <c r="DK200" s="160" t="s">
        <v>588</v>
      </c>
      <c r="DL200" s="160" t="s">
        <v>1184</v>
      </c>
      <c r="DM200" s="160" t="s">
        <v>590</v>
      </c>
      <c r="DN200" s="161" t="s">
        <v>591</v>
      </c>
      <c r="DP200" s="130">
        <v>1</v>
      </c>
    </row>
    <row r="201" spans="2:120" ht="30" customHeight="1">
      <c r="B201" s="165" t="str">
        <f t="shared" si="21"/>
        <v/>
      </c>
      <c r="C201" s="165" t="str">
        <f t="shared" si="22"/>
        <v/>
      </c>
      <c r="D201" s="165" t="str">
        <f>IF(UPPER(TRIM(N11))="X",C201,B201)</f>
        <v/>
      </c>
      <c r="E201" s="165" cm="1">
        <f t="array" ref="E201">IF(H200&lt;&gt;"",E200,IF(E200="","",IFERROR(MATCH(TRUE(),INDEX(INDEX(K:K,E200+1):K203&lt;&gt;"",0),0)+E200,"")))</f>
        <v>293</v>
      </c>
      <c r="F201" s="165" cm="1">
        <f t="array" ref="F201">IF(E201="","",IF(H200&lt;&gt;"",H200,INDEX(D:D,E201)))</f>
        <v>0</v>
      </c>
      <c r="G201" s="165" t="str">
        <f t="shared" si="23"/>
        <v>0</v>
      </c>
      <c r="H201" s="174" t="str">
        <f t="shared" si="24"/>
        <v/>
      </c>
      <c r="I201" s="184" t="str">
        <f>IF(AND(F201&lt;&gt;"",N10&gt;0,M201&gt;N10),"Mot &gt; limite","")</f>
        <v/>
      </c>
      <c r="J201" s="175" t="str">
        <f>IF(K201="","",COUNTIF(K18:K201,"&lt;&gt;"))</f>
        <v/>
      </c>
      <c r="K201" s="111"/>
      <c r="L201" s="175" t="str">
        <f t="shared" si="25"/>
        <v/>
      </c>
      <c r="M201" s="135">
        <f>IF(OR(F201="",N10="",N10&lt;=0),"",IF(LEN(F201)&lt;=N10,LEN(F201),IFERROR(FIND("♦",SUBSTITUTE(LEFT(F201,N10)," ","♦",LEN(LEFT(F201,N10))-LEN(SUBSTITUTE(LEFT(F201,N10)," ","")))),FIND(" ",F201&amp;" ",N10+1)-1)))</f>
        <v>1</v>
      </c>
      <c r="N201" s="176">
        <f t="shared" si="26"/>
        <v>184</v>
      </c>
      <c r="O201" s="177" t="str">
        <f t="shared" si="27"/>
        <v>0</v>
      </c>
      <c r="P201" s="176">
        <f t="shared" si="28"/>
        <v>1</v>
      </c>
      <c r="Q201" s="176">
        <f t="shared" si="29"/>
        <v>1</v>
      </c>
      <c r="S201" s="214"/>
      <c r="T201" s="228" t="s">
        <v>1202</v>
      </c>
      <c r="U201" s="228"/>
      <c r="V201" s="214"/>
      <c r="W201" s="214"/>
      <c r="X201" s="214"/>
      <c r="Y201" s="214"/>
      <c r="Z201" s="214"/>
      <c r="AA201" s="214"/>
      <c r="AB201" s="214"/>
      <c r="AC201" s="214"/>
      <c r="AD201" s="214"/>
      <c r="AE201" s="214"/>
      <c r="AF201" s="214"/>
      <c r="AG201" s="214"/>
      <c r="AH201" s="214"/>
      <c r="AI201" s="214"/>
      <c r="AJ201" s="214"/>
      <c r="AK201" s="214"/>
      <c r="DE201" s="152"/>
      <c r="DF201" s="160" t="s">
        <v>1203</v>
      </c>
      <c r="DG201" s="160" t="s">
        <v>584</v>
      </c>
      <c r="DH201" s="160" t="s">
        <v>1182</v>
      </c>
      <c r="DI201" s="160" t="s">
        <v>1204</v>
      </c>
      <c r="DJ201" s="160" t="s">
        <v>1204</v>
      </c>
      <c r="DK201" s="160" t="s">
        <v>588</v>
      </c>
      <c r="DL201" s="160" t="s">
        <v>1184</v>
      </c>
      <c r="DM201" s="160" t="s">
        <v>590</v>
      </c>
      <c r="DN201" s="161" t="s">
        <v>591</v>
      </c>
      <c r="DP201" s="130">
        <v>1</v>
      </c>
    </row>
    <row r="202" spans="2:120" ht="30" customHeight="1">
      <c r="B202" s="165" t="str">
        <f t="shared" si="21"/>
        <v/>
      </c>
      <c r="C202" s="165" t="str">
        <f t="shared" si="22"/>
        <v/>
      </c>
      <c r="D202" s="165" t="str">
        <f>IF(UPPER(TRIM(N11))="X",C202,B202)</f>
        <v/>
      </c>
      <c r="E202" s="165" cm="1">
        <f t="array" ref="E202">IF(H201&lt;&gt;"",E201,IF(E201="","",IFERROR(MATCH(TRUE(),INDEX(INDEX(K:K,E201+1):K203&lt;&gt;"",0),0)+E201,"")))</f>
        <v>294</v>
      </c>
      <c r="F202" s="165" cm="1">
        <f t="array" ref="F202">IF(E202="","",IF(H201&lt;&gt;"",H201,INDEX(D:D,E202)))</f>
        <v>0</v>
      </c>
      <c r="G202" s="165" t="str">
        <f t="shared" si="23"/>
        <v>0</v>
      </c>
      <c r="H202" s="174" t="str">
        <f t="shared" si="24"/>
        <v/>
      </c>
      <c r="I202" s="184" t="str">
        <f>IF(AND(F202&lt;&gt;"",N10&gt;0,M202&gt;N10),"Mot &gt; limite","")</f>
        <v/>
      </c>
      <c r="J202" s="175" t="str">
        <f>IF(K202="","",COUNTIF(K18:K202,"&lt;&gt;"))</f>
        <v/>
      </c>
      <c r="K202" s="111"/>
      <c r="L202" s="175" t="str">
        <f t="shared" si="25"/>
        <v/>
      </c>
      <c r="M202" s="135">
        <f>IF(OR(F202="",N10="",N10&lt;=0),"",IF(LEN(F202)&lt;=N10,LEN(F202),IFERROR(FIND("♦",SUBSTITUTE(LEFT(F202,N10)," ","♦",LEN(LEFT(F202,N10))-LEN(SUBSTITUTE(LEFT(F202,N10)," ","")))),FIND(" ",F202&amp;" ",N10+1)-1)))</f>
        <v>1</v>
      </c>
      <c r="N202" s="176">
        <f t="shared" si="26"/>
        <v>185</v>
      </c>
      <c r="O202" s="177" t="str">
        <f t="shared" si="27"/>
        <v>0</v>
      </c>
      <c r="P202" s="176">
        <f t="shared" si="28"/>
        <v>1</v>
      </c>
      <c r="Q202" s="176">
        <f t="shared" si="29"/>
        <v>1</v>
      </c>
      <c r="S202" s="214"/>
      <c r="T202" s="225" t="s">
        <v>1205</v>
      </c>
      <c r="U202" s="222" t="s">
        <v>1206</v>
      </c>
      <c r="V202" s="214"/>
      <c r="W202" s="214"/>
      <c r="X202" s="214"/>
      <c r="Y202" s="214"/>
      <c r="Z202" s="214"/>
      <c r="AA202" s="214"/>
      <c r="AB202" s="214"/>
      <c r="AC202" s="214"/>
      <c r="AD202" s="214"/>
      <c r="AE202" s="214"/>
      <c r="AF202" s="214"/>
      <c r="AG202" s="214"/>
      <c r="AH202" s="214"/>
      <c r="AI202" s="214"/>
      <c r="AJ202" s="214"/>
      <c r="AK202" s="214"/>
      <c r="DE202" s="152"/>
      <c r="DF202" s="160" t="s">
        <v>1207</v>
      </c>
      <c r="DG202" s="160" t="s">
        <v>584</v>
      </c>
      <c r="DH202" s="160" t="s">
        <v>1182</v>
      </c>
      <c r="DI202" s="160" t="s">
        <v>1208</v>
      </c>
      <c r="DJ202" s="160" t="s">
        <v>1208</v>
      </c>
      <c r="DK202" s="160" t="s">
        <v>588</v>
      </c>
      <c r="DL202" s="160" t="s">
        <v>1184</v>
      </c>
      <c r="DM202" s="160" t="s">
        <v>590</v>
      </c>
      <c r="DN202" s="161" t="s">
        <v>591</v>
      </c>
      <c r="DP202" s="130">
        <v>1</v>
      </c>
    </row>
    <row r="203" spans="2:120" ht="21" customHeight="1">
      <c r="B203" s="165" t="str">
        <f t="shared" si="21"/>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C203" s="165" t="str">
        <f t="shared" si="22"/>
        <v>Si vous récupérez du texte sur internet collez le d’abord dans la colonne 1️⃣ pour le “nettoyer” cela supprime les espaces insécables tabulations invisibles et autres “pollutions” ◄ 2️⃣ Saisissez la largeur du document dans lequel vous collerez ensuite le texte ◄ 3️⃣ saisissez un nombre de caractères par lignes ◄ 4️⃣ Si vous ne voulez pas de ponctuation saisissez un X dans la cellule Ensuite dans la colonne B copiez le texte nettoyé puis dans votre document faites Collage spécial &gt; 1 2 3 Valeurs pour ne coller que le texte sans formules</v>
      </c>
      <c r="D203" s="165" t="str">
        <f>IF(UPPER(TRIM(N11))="X",C203,B203)</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E203" s="165" cm="1">
        <f t="array" ref="E203">IF(H202&lt;&gt;"",E202,IF(E202="","",IFERROR(MATCH(TRUE(),INDEX(INDEX(K:K,E202+1):K203&lt;&gt;"",0),0)+E202,"")))</f>
        <v>295</v>
      </c>
      <c r="F203" s="165" cm="1">
        <f t="array" ref="F203">IF(E203="","",IF(H202&lt;&gt;"",H202,INDEX(D:D,E203)))</f>
        <v>0</v>
      </c>
      <c r="G203" s="165" t="str">
        <f t="shared" si="23"/>
        <v>0</v>
      </c>
      <c r="H203" s="174" t="str">
        <f t="shared" si="24"/>
        <v/>
      </c>
      <c r="I203" s="184" t="str">
        <f>IF(AND(F203&lt;&gt;"",N10&gt;0,M203&gt;N10),"Mot &gt; limite","")</f>
        <v/>
      </c>
      <c r="J203" s="175">
        <f>IF(K203="","",COUNTIF(K18:K203,"&lt;&gt;"))</f>
        <v>54</v>
      </c>
      <c r="K203" s="111" t="s">
        <v>53</v>
      </c>
      <c r="L203" s="175">
        <f t="shared" si="25"/>
        <v>558</v>
      </c>
      <c r="M203" s="135">
        <f>IF(OR(F203="",N10="",N10&lt;=0),"",IF(LEN(F203)&lt;=N10,LEN(F203),IFERROR(FIND("♦",SUBSTITUTE(LEFT(F203,N10)," ","♦",LEN(LEFT(F203,N10))-LEN(SUBSTITUTE(LEFT(F203,N10)," ","")))),FIND(" ",F203&amp;" ",N10+1)-1)))</f>
        <v>1</v>
      </c>
      <c r="N203" s="176">
        <f t="shared" si="26"/>
        <v>186</v>
      </c>
      <c r="O203" s="177" t="str">
        <f t="shared" si="27"/>
        <v>0</v>
      </c>
      <c r="P203" s="176">
        <f t="shared" si="28"/>
        <v>1</v>
      </c>
      <c r="Q203" s="176">
        <f t="shared" si="29"/>
        <v>1</v>
      </c>
      <c r="S203" s="214"/>
      <c r="T203" s="225" t="s">
        <v>1209</v>
      </c>
      <c r="U203" s="222" t="s">
        <v>1210</v>
      </c>
      <c r="V203" s="214"/>
      <c r="W203" s="214"/>
      <c r="X203" s="214"/>
      <c r="Y203" s="214"/>
      <c r="Z203" s="214"/>
      <c r="AA203" s="214"/>
      <c r="AB203" s="214"/>
      <c r="AC203" s="214"/>
      <c r="AD203" s="214"/>
      <c r="AE203" s="214"/>
      <c r="AF203" s="214"/>
      <c r="AG203" s="214"/>
      <c r="AH203" s="214"/>
      <c r="AI203" s="214"/>
      <c r="AJ203" s="214"/>
      <c r="AK203" s="214"/>
      <c r="DE203" s="152"/>
      <c r="DF203" s="160" t="s">
        <v>1211</v>
      </c>
      <c r="DG203" s="160" t="s">
        <v>584</v>
      </c>
      <c r="DH203" s="160" t="s">
        <v>1182</v>
      </c>
      <c r="DI203" s="160" t="s">
        <v>1212</v>
      </c>
      <c r="DJ203" s="160" t="s">
        <v>1212</v>
      </c>
      <c r="DK203" s="160" t="s">
        <v>588</v>
      </c>
      <c r="DL203" s="160" t="s">
        <v>1184</v>
      </c>
      <c r="DM203" s="160" t="s">
        <v>590</v>
      </c>
      <c r="DN203" s="161" t="s">
        <v>591</v>
      </c>
      <c r="DP203" s="130">
        <v>1</v>
      </c>
    </row>
    <row r="204" spans="2:120">
      <c r="B204" s="231"/>
      <c r="C204" s="231"/>
      <c r="D204" s="231"/>
      <c r="E204" s="231" cm="1">
        <f t="array" ref="E204">IF(H203&lt;&gt;"",E203,IF(E203="","",IFERROR(MATCH(TRUE(),INDEX(INDEX(K:K,E203+1):K203&lt;&gt;"",0),0)+E203,"")))</f>
        <v>296</v>
      </c>
      <c r="F204" s="232" cm="1">
        <f t="array" ref="F204">IF(E204="","",IF(H203&lt;&gt;"",H203,INDEX(D:D,E204)))</f>
        <v>0</v>
      </c>
      <c r="G204" s="232" t="str">
        <f t="shared" si="23"/>
        <v>0</v>
      </c>
      <c r="H204" s="233" t="str">
        <f t="shared" si="24"/>
        <v/>
      </c>
      <c r="I204" s="231" t="str">
        <f>IF(AND(F204&lt;&gt;"",N10&gt;0,M204&gt;N10),"Mot &gt; limite","")</f>
        <v/>
      </c>
      <c r="M204" s="126">
        <f>IF(OR(F204="",N10="",N10&lt;=0),"",IF(LEN(F204)&lt;=N10,LEN(F204),IFERROR(FIND("♦",SUBSTITUTE(LEFT(F204,N10)," ","♦",LEN(LEFT(F204,N10))-LEN(SUBSTITUTE(LEFT(F204,N10)," ","")))),FIND(" ",F204&amp;" ",N10+1)-1)))</f>
        <v>1</v>
      </c>
      <c r="N204" s="234">
        <f t="shared" si="26"/>
        <v>187</v>
      </c>
      <c r="O204" s="165" t="str">
        <f t="shared" si="27"/>
        <v>0</v>
      </c>
      <c r="P204" s="234">
        <f t="shared" si="28"/>
        <v>1</v>
      </c>
      <c r="Q204" s="234">
        <f t="shared" si="29"/>
        <v>1</v>
      </c>
      <c r="S204" s="214"/>
      <c r="T204" s="225" t="s">
        <v>1213</v>
      </c>
      <c r="U204" s="222" t="s">
        <v>1214</v>
      </c>
      <c r="V204" s="214"/>
      <c r="W204" s="214"/>
      <c r="X204" s="214"/>
      <c r="Y204" s="214"/>
      <c r="Z204" s="214"/>
      <c r="AA204" s="214"/>
      <c r="AB204" s="214"/>
      <c r="AC204" s="214"/>
      <c r="AD204" s="214"/>
      <c r="AE204" s="214"/>
      <c r="AF204" s="214"/>
      <c r="AG204" s="214"/>
      <c r="AH204" s="214"/>
      <c r="AI204" s="214"/>
      <c r="AJ204" s="214"/>
      <c r="AK204" s="214"/>
      <c r="DE204" s="152"/>
      <c r="DF204" s="160" t="s">
        <v>1215</v>
      </c>
      <c r="DG204" s="160" t="s">
        <v>584</v>
      </c>
      <c r="DH204" s="160" t="s">
        <v>1182</v>
      </c>
      <c r="DI204" s="160" t="s">
        <v>1216</v>
      </c>
      <c r="DJ204" s="160" t="s">
        <v>1216</v>
      </c>
      <c r="DK204" s="160" t="s">
        <v>588</v>
      </c>
      <c r="DL204" s="160" t="s">
        <v>1184</v>
      </c>
      <c r="DM204" s="160" t="s">
        <v>590</v>
      </c>
      <c r="DN204" s="161" t="s">
        <v>591</v>
      </c>
      <c r="DP204" s="130">
        <v>1</v>
      </c>
    </row>
    <row r="205" spans="2:120">
      <c r="B205" s="231"/>
      <c r="C205" s="231"/>
      <c r="D205" s="231"/>
      <c r="E205" s="231" cm="1">
        <f t="array" ref="E205">IF(H204&lt;&gt;"",E204,IF(E204="","",IFERROR(MATCH(TRUE(),INDEX(INDEX(K:K,E204+1):K203&lt;&gt;"",0),0)+E204,"")))</f>
        <v>297</v>
      </c>
      <c r="F205" s="232" cm="1">
        <f t="array" ref="F205">IF(E205="","",IF(H204&lt;&gt;"",H204,INDEX(D:D,E205)))</f>
        <v>0</v>
      </c>
      <c r="G205" s="232" t="str">
        <f t="shared" si="23"/>
        <v>0</v>
      </c>
      <c r="H205" s="233" t="str">
        <f t="shared" si="24"/>
        <v/>
      </c>
      <c r="I205" s="231" t="str">
        <f>IF(AND(F205&lt;&gt;"",N10&gt;0,M205&gt;N10),"Mot &gt; limite","")</f>
        <v/>
      </c>
      <c r="M205" s="126">
        <f>IF(OR(F205="",N10="",N10&lt;=0),"",IF(LEN(F205)&lt;=N10,LEN(F205),IFERROR(FIND("♦",SUBSTITUTE(LEFT(F205,N10)," ","♦",LEN(LEFT(F205,N10))-LEN(SUBSTITUTE(LEFT(F205,N10)," ","")))),FIND(" ",F205&amp;" ",N10+1)-1)))</f>
        <v>1</v>
      </c>
      <c r="N205" s="234">
        <f t="shared" si="26"/>
        <v>188</v>
      </c>
      <c r="O205" s="165" t="str">
        <f t="shared" si="27"/>
        <v>0</v>
      </c>
      <c r="P205" s="234">
        <f t="shared" si="28"/>
        <v>1</v>
      </c>
      <c r="Q205" s="234">
        <f t="shared" si="29"/>
        <v>1</v>
      </c>
      <c r="S205" s="214"/>
      <c r="T205" s="225" t="s">
        <v>1217</v>
      </c>
      <c r="U205" s="222" t="s">
        <v>1218</v>
      </c>
      <c r="V205" s="214"/>
      <c r="W205" s="214"/>
      <c r="X205" s="214"/>
      <c r="Y205" s="214"/>
      <c r="Z205" s="214"/>
      <c r="AA205" s="214"/>
      <c r="AB205" s="214"/>
      <c r="AC205" s="214"/>
      <c r="AD205" s="214"/>
      <c r="AE205" s="214"/>
      <c r="AF205" s="214"/>
      <c r="AG205" s="214"/>
      <c r="AH205" s="214"/>
      <c r="AI205" s="214"/>
      <c r="AJ205" s="214"/>
      <c r="AK205" s="214"/>
      <c r="DE205" s="152"/>
      <c r="DF205" s="160" t="s">
        <v>1219</v>
      </c>
      <c r="DG205" s="160" t="s">
        <v>584</v>
      </c>
      <c r="DH205" s="160" t="s">
        <v>1182</v>
      </c>
      <c r="DI205" s="160" t="s">
        <v>1220</v>
      </c>
      <c r="DJ205" s="160" t="s">
        <v>1220</v>
      </c>
      <c r="DK205" s="160" t="s">
        <v>588</v>
      </c>
      <c r="DL205" s="160" t="s">
        <v>1184</v>
      </c>
      <c r="DM205" s="160" t="s">
        <v>590</v>
      </c>
      <c r="DN205" s="161" t="s">
        <v>591</v>
      </c>
      <c r="DP205" s="130">
        <v>1</v>
      </c>
    </row>
    <row r="206" spans="2:120">
      <c r="B206" s="231"/>
      <c r="C206" s="231"/>
      <c r="D206" s="231"/>
      <c r="E206" s="231" cm="1">
        <f t="array" ref="E206">IF(H205&lt;&gt;"",E205,IF(E205="","",IFERROR(MATCH(TRUE(),INDEX(INDEX(K:K,E205+1):K203&lt;&gt;"",0),0)+E205,"")))</f>
        <v>298</v>
      </c>
      <c r="F206" s="232" cm="1">
        <f t="array" ref="F206">IF(E206="","",IF(H205&lt;&gt;"",H205,INDEX(D:D,E206)))</f>
        <v>0</v>
      </c>
      <c r="G206" s="232" t="str">
        <f t="shared" si="23"/>
        <v>0</v>
      </c>
      <c r="H206" s="233" t="str">
        <f t="shared" si="24"/>
        <v/>
      </c>
      <c r="I206" s="231" t="str">
        <f>IF(AND(F206&lt;&gt;"",N10&gt;0,M206&gt;N10),"Mot &gt; limite","")</f>
        <v/>
      </c>
      <c r="M206" s="126">
        <f>IF(OR(F206="",N10="",N10&lt;=0),"",IF(LEN(F206)&lt;=N10,LEN(F206),IFERROR(FIND("♦",SUBSTITUTE(LEFT(F206,N10)," ","♦",LEN(LEFT(F206,N10))-LEN(SUBSTITUTE(LEFT(F206,N10)," ","")))),FIND(" ",F206&amp;" ",N10+1)-1)))</f>
        <v>1</v>
      </c>
      <c r="N206" s="234">
        <f t="shared" si="26"/>
        <v>189</v>
      </c>
      <c r="O206" s="165" t="str">
        <f t="shared" si="27"/>
        <v>0</v>
      </c>
      <c r="P206" s="234">
        <f t="shared" si="28"/>
        <v>1</v>
      </c>
      <c r="Q206" s="234">
        <f t="shared" si="29"/>
        <v>1</v>
      </c>
      <c r="S206" s="214"/>
      <c r="T206" s="225"/>
      <c r="U206" s="222" t="s">
        <v>1221</v>
      </c>
      <c r="V206" s="214"/>
      <c r="W206" s="214"/>
      <c r="X206" s="214"/>
      <c r="Y206" s="214"/>
      <c r="Z206" s="214"/>
      <c r="AA206" s="214"/>
      <c r="AB206" s="214"/>
      <c r="AC206" s="214"/>
      <c r="AD206" s="214"/>
      <c r="AE206" s="214"/>
      <c r="AF206" s="214"/>
      <c r="AG206" s="214"/>
      <c r="AH206" s="214"/>
      <c r="AI206" s="214"/>
      <c r="AJ206" s="214"/>
      <c r="AK206" s="214"/>
      <c r="DE206" s="152"/>
      <c r="DF206" s="160" t="s">
        <v>1222</v>
      </c>
      <c r="DG206" s="160" t="s">
        <v>584</v>
      </c>
      <c r="DH206" s="160" t="s">
        <v>1182</v>
      </c>
      <c r="DI206" s="160" t="s">
        <v>1223</v>
      </c>
      <c r="DJ206" s="160" t="s">
        <v>1224</v>
      </c>
      <c r="DK206" s="160" t="s">
        <v>666</v>
      </c>
      <c r="DL206" s="160" t="s">
        <v>1192</v>
      </c>
      <c r="DM206" s="160" t="s">
        <v>590</v>
      </c>
      <c r="DN206" s="161" t="s">
        <v>668</v>
      </c>
      <c r="DP206" s="130">
        <v>1</v>
      </c>
    </row>
    <row r="207" spans="2:120">
      <c r="B207" s="231"/>
      <c r="C207" s="231"/>
      <c r="D207" s="231"/>
      <c r="E207" s="231" cm="1">
        <f t="array" ref="E207">IF(H206&lt;&gt;"",E206,IF(E206="","",IFERROR(MATCH(TRUE(),INDEX(INDEX(K:K,E206+1):K203&lt;&gt;"",0),0)+E206,"")))</f>
        <v>299</v>
      </c>
      <c r="F207" s="232" cm="1">
        <f t="array" ref="F207">IF(E207="","",IF(H206&lt;&gt;"",H206,INDEX(D:D,E207)))</f>
        <v>0</v>
      </c>
      <c r="G207" s="232" t="str">
        <f t="shared" si="23"/>
        <v>0</v>
      </c>
      <c r="H207" s="233" t="str">
        <f t="shared" si="24"/>
        <v/>
      </c>
      <c r="I207" s="231" t="str">
        <f>IF(AND(F207&lt;&gt;"",N10&gt;0,M207&gt;N10),"Mot &gt; limite","")</f>
        <v/>
      </c>
      <c r="M207" s="126">
        <f>IF(OR(F207="",N10="",N10&lt;=0),"",IF(LEN(F207)&lt;=N10,LEN(F207),IFERROR(FIND("♦",SUBSTITUTE(LEFT(F207,N10)," ","♦",LEN(LEFT(F207,N10))-LEN(SUBSTITUTE(LEFT(F207,N10)," ","")))),FIND(" ",F207&amp;" ",N10+1)-1)))</f>
        <v>1</v>
      </c>
      <c r="N207" s="234">
        <f t="shared" si="26"/>
        <v>190</v>
      </c>
      <c r="O207" s="165" t="str">
        <f t="shared" si="27"/>
        <v>0</v>
      </c>
      <c r="P207" s="234">
        <f t="shared" si="28"/>
        <v>1</v>
      </c>
      <c r="Q207" s="234">
        <f t="shared" si="29"/>
        <v>1</v>
      </c>
      <c r="S207" s="214"/>
      <c r="T207" s="225" t="s">
        <v>1225</v>
      </c>
      <c r="U207" s="222" t="s">
        <v>1226</v>
      </c>
      <c r="V207" s="214"/>
      <c r="W207" s="214"/>
      <c r="X207" s="214"/>
      <c r="Y207" s="214"/>
      <c r="Z207" s="214"/>
      <c r="AA207" s="214"/>
      <c r="AB207" s="214"/>
      <c r="AC207" s="214"/>
      <c r="AD207" s="214"/>
      <c r="AE207" s="214"/>
      <c r="AF207" s="214"/>
      <c r="AG207" s="214"/>
      <c r="AH207" s="214"/>
      <c r="AI207" s="214"/>
      <c r="AJ207" s="214"/>
      <c r="AK207" s="214"/>
      <c r="DE207" s="152"/>
      <c r="DF207" s="160" t="s">
        <v>1227</v>
      </c>
      <c r="DG207" s="160" t="s">
        <v>584</v>
      </c>
      <c r="DH207" s="160" t="s">
        <v>1182</v>
      </c>
      <c r="DI207" s="160" t="s">
        <v>1228</v>
      </c>
      <c r="DJ207" s="160" t="s">
        <v>1228</v>
      </c>
      <c r="DK207" s="160" t="s">
        <v>588</v>
      </c>
      <c r="DL207" s="160" t="s">
        <v>1184</v>
      </c>
      <c r="DM207" s="160" t="s">
        <v>590</v>
      </c>
      <c r="DN207" s="161" t="s">
        <v>591</v>
      </c>
      <c r="DP207" s="130">
        <v>1</v>
      </c>
    </row>
    <row r="208" spans="2:120">
      <c r="B208" s="231"/>
      <c r="C208" s="231"/>
      <c r="D208" s="231"/>
      <c r="E208" s="231" cm="1">
        <f t="array" ref="E208">IF(H207&lt;&gt;"",E207,IF(E207="","",IFERROR(MATCH(TRUE(),INDEX(INDEX(K:K,E207+1):K203&lt;&gt;"",0),0)+E207,"")))</f>
        <v>300</v>
      </c>
      <c r="F208" s="232" cm="1">
        <f t="array" ref="F208">IF(E208="","",IF(H207&lt;&gt;"",H207,INDEX(D:D,E208)))</f>
        <v>0</v>
      </c>
      <c r="G208" s="232" t="str">
        <f t="shared" si="23"/>
        <v>0</v>
      </c>
      <c r="H208" s="233" t="str">
        <f t="shared" si="24"/>
        <v/>
      </c>
      <c r="I208" s="231" t="str">
        <f>IF(AND(F208&lt;&gt;"",N10&gt;0,M208&gt;N10),"Mot &gt; limite","")</f>
        <v/>
      </c>
      <c r="M208" s="126">
        <f>IF(OR(F208="",N10="",N10&lt;=0),"",IF(LEN(F208)&lt;=N10,LEN(F208),IFERROR(FIND("♦",SUBSTITUTE(LEFT(F208,N10)," ","♦",LEN(LEFT(F208,N10))-LEN(SUBSTITUTE(LEFT(F208,N10)," ","")))),FIND(" ",F208&amp;" ",N10+1)-1)))</f>
        <v>1</v>
      </c>
      <c r="N208" s="234">
        <f t="shared" si="26"/>
        <v>191</v>
      </c>
      <c r="O208" s="165" t="str">
        <f t="shared" si="27"/>
        <v>0</v>
      </c>
      <c r="P208" s="234">
        <f t="shared" si="28"/>
        <v>1</v>
      </c>
      <c r="Q208" s="234">
        <f t="shared" si="29"/>
        <v>1</v>
      </c>
      <c r="S208" s="214"/>
      <c r="T208" s="225"/>
      <c r="U208" s="222"/>
      <c r="V208" s="214"/>
      <c r="W208" s="214"/>
      <c r="X208" s="214"/>
      <c r="Y208" s="214"/>
      <c r="Z208" s="214"/>
      <c r="AA208" s="214"/>
      <c r="AB208" s="214"/>
      <c r="AC208" s="214"/>
      <c r="AD208" s="214"/>
      <c r="AE208" s="214"/>
      <c r="AF208" s="214"/>
      <c r="AG208" s="214"/>
      <c r="AH208" s="214"/>
      <c r="AI208" s="214"/>
      <c r="AJ208" s="214"/>
      <c r="AK208" s="214"/>
      <c r="DE208" s="152"/>
      <c r="DF208" s="160" t="s">
        <v>1229</v>
      </c>
      <c r="DG208" s="160" t="s">
        <v>584</v>
      </c>
      <c r="DH208" s="160" t="s">
        <v>1182</v>
      </c>
      <c r="DI208" s="160" t="s">
        <v>1230</v>
      </c>
      <c r="DJ208" s="160" t="s">
        <v>1230</v>
      </c>
      <c r="DK208" s="160" t="s">
        <v>588</v>
      </c>
      <c r="DL208" s="160" t="s">
        <v>1184</v>
      </c>
      <c r="DM208" s="160" t="s">
        <v>590</v>
      </c>
      <c r="DN208" s="161" t="s">
        <v>591</v>
      </c>
      <c r="DP208" s="130">
        <v>1</v>
      </c>
    </row>
    <row r="209" spans="2:120">
      <c r="B209" s="231"/>
      <c r="C209" s="231"/>
      <c r="D209" s="231"/>
      <c r="E209" s="231" cm="1">
        <f t="array" ref="E209">IF(H208&lt;&gt;"",E208,IF(E208="","",IFERROR(MATCH(TRUE(),INDEX(INDEX(K:K,E208+1):K203&lt;&gt;"",0),0)+E208,"")))</f>
        <v>301</v>
      </c>
      <c r="F209" s="232" cm="1">
        <f t="array" ref="F209">IF(E209="","",IF(H208&lt;&gt;"",H208,INDEX(D:D,E209)))</f>
        <v>0</v>
      </c>
      <c r="G209" s="232" t="str">
        <f t="shared" si="23"/>
        <v>0</v>
      </c>
      <c r="H209" s="233" t="str">
        <f t="shared" si="24"/>
        <v/>
      </c>
      <c r="I209" s="231" t="str">
        <f>IF(AND(F209&lt;&gt;"",N10&gt;0,M209&gt;N10),"Mot &gt; limite","")</f>
        <v/>
      </c>
      <c r="M209" s="126">
        <f>IF(OR(F209="",N10="",N10&lt;=0),"",IF(LEN(F209)&lt;=N10,LEN(F209),IFERROR(FIND("♦",SUBSTITUTE(LEFT(F209,N10)," ","♦",LEN(LEFT(F209,N10))-LEN(SUBSTITUTE(LEFT(F209,N10)," ","")))),FIND(" ",F209&amp;" ",N10+1)-1)))</f>
        <v>1</v>
      </c>
      <c r="N209" s="234">
        <f t="shared" si="26"/>
        <v>192</v>
      </c>
      <c r="O209" s="165" t="str">
        <f t="shared" si="27"/>
        <v>0</v>
      </c>
      <c r="P209" s="234">
        <f t="shared" si="28"/>
        <v>1</v>
      </c>
      <c r="Q209" s="234">
        <f t="shared" si="29"/>
        <v>1</v>
      </c>
      <c r="S209" s="214"/>
      <c r="T209" s="225" t="s">
        <v>1231</v>
      </c>
      <c r="U209" s="222" t="s">
        <v>1232</v>
      </c>
      <c r="V209" s="214"/>
      <c r="W209" s="214"/>
      <c r="X209" s="214"/>
      <c r="Y209" s="214"/>
      <c r="Z209" s="214"/>
      <c r="AA209" s="214"/>
      <c r="AB209" s="214"/>
      <c r="AC209" s="214"/>
      <c r="AD209" s="214"/>
      <c r="AE209" s="214"/>
      <c r="AF209" s="214"/>
      <c r="AG209" s="214"/>
      <c r="AH209" s="214"/>
      <c r="AI209" s="214"/>
      <c r="AJ209" s="214"/>
      <c r="AK209" s="214"/>
      <c r="DE209" s="152"/>
      <c r="DF209" s="160" t="s">
        <v>1233</v>
      </c>
      <c r="DG209" s="160" t="s">
        <v>584</v>
      </c>
      <c r="DH209" s="160" t="s">
        <v>1182</v>
      </c>
      <c r="DI209" s="160" t="s">
        <v>322</v>
      </c>
      <c r="DJ209" s="160" t="s">
        <v>322</v>
      </c>
      <c r="DK209" s="160" t="s">
        <v>588</v>
      </c>
      <c r="DL209" s="160" t="s">
        <v>1184</v>
      </c>
      <c r="DM209" s="160" t="s">
        <v>590</v>
      </c>
      <c r="DN209" s="161" t="s">
        <v>591</v>
      </c>
      <c r="DP209" s="130">
        <v>1</v>
      </c>
    </row>
    <row r="210" spans="2:120">
      <c r="B210" s="231"/>
      <c r="C210" s="231"/>
      <c r="D210" s="231"/>
      <c r="E210" s="231" cm="1">
        <f t="array" ref="E210">IF(H209&lt;&gt;"",E209,IF(E209="","",IFERROR(MATCH(TRUE(),INDEX(INDEX(K:K,E209+1):K203&lt;&gt;"",0),0)+E209,"")))</f>
        <v>302</v>
      </c>
      <c r="F210" s="232" cm="1">
        <f t="array" ref="F210">IF(E210="","",IF(H209&lt;&gt;"",H209,INDEX(D:D,E210)))</f>
        <v>0</v>
      </c>
      <c r="G210" s="232" t="str">
        <f t="shared" ref="G210:G273" si="30">IF(OR(F210="",M210=""),"",LEFT(F210,M210))</f>
        <v>0</v>
      </c>
      <c r="H210" s="233" t="str">
        <f t="shared" ref="H210:H273" si="31">IF(OR(F210="",M210=""),"",TRIM(MID(F210,M210+1,99999)))</f>
        <v/>
      </c>
      <c r="I210" s="231" t="str">
        <f>IF(AND(F210&lt;&gt;"",N10&gt;0,M210&gt;N10),"Mot &gt; limite","")</f>
        <v/>
      </c>
      <c r="M210" s="126">
        <f>IF(OR(F210="",N10="",N10&lt;=0),"",IF(LEN(F210)&lt;=N10,LEN(F210),IFERROR(FIND("♦",SUBSTITUTE(LEFT(F210,N10)," ","♦",LEN(LEFT(F210,N10))-LEN(SUBSTITUTE(LEFT(F210,N10)," ","")))),FIND(" ",F210&amp;" ",N10+1)-1)))</f>
        <v>1</v>
      </c>
      <c r="N210" s="234">
        <f t="shared" ref="N210:N273" si="32">IF(O210="","",ROW()-17)</f>
        <v>193</v>
      </c>
      <c r="O210" s="165" t="str">
        <f t="shared" ref="O210:O273" si="33">G210</f>
        <v>0</v>
      </c>
      <c r="P210" s="234">
        <f t="shared" ref="P210:P273" si="34">IF(O210="","",LEN(TRIM(O210))-LEN(SUBSTITUTE(TRIM(O210)," ",""))+1)</f>
        <v>1</v>
      </c>
      <c r="Q210" s="234">
        <f t="shared" ref="Q210:Q273" si="35">IF(O210="","",LEN(O210))</f>
        <v>1</v>
      </c>
      <c r="S210" s="214"/>
      <c r="T210" s="225" t="s">
        <v>1234</v>
      </c>
      <c r="U210" s="222" t="s">
        <v>1235</v>
      </c>
      <c r="V210" s="214"/>
      <c r="W210" s="214"/>
      <c r="X210" s="214"/>
      <c r="Y210" s="214"/>
      <c r="Z210" s="214"/>
      <c r="AA210" s="214"/>
      <c r="AB210" s="214"/>
      <c r="AC210" s="214"/>
      <c r="AD210" s="214"/>
      <c r="AE210" s="214"/>
      <c r="AF210" s="214"/>
      <c r="AG210" s="214"/>
      <c r="AH210" s="214"/>
      <c r="AI210" s="214"/>
      <c r="AJ210" s="214"/>
      <c r="AK210" s="214"/>
      <c r="DE210" s="152"/>
      <c r="DF210" s="160" t="s">
        <v>1236</v>
      </c>
      <c r="DG210" s="160" t="s">
        <v>584</v>
      </c>
      <c r="DH210" s="160" t="s">
        <v>1182</v>
      </c>
      <c r="DI210" s="160" t="s">
        <v>1237</v>
      </c>
      <c r="DJ210" s="160" t="s">
        <v>1237</v>
      </c>
      <c r="DK210" s="160" t="s">
        <v>588</v>
      </c>
      <c r="DL210" s="160" t="s">
        <v>1184</v>
      </c>
      <c r="DM210" s="160" t="s">
        <v>590</v>
      </c>
      <c r="DN210" s="161" t="s">
        <v>591</v>
      </c>
      <c r="DP210" s="130">
        <v>1</v>
      </c>
    </row>
    <row r="211" spans="2:120">
      <c r="B211" s="231"/>
      <c r="C211" s="231"/>
      <c r="D211" s="231"/>
      <c r="E211" s="231" cm="1">
        <f t="array" ref="E211">IF(H210&lt;&gt;"",E210,IF(E210="","",IFERROR(MATCH(TRUE(),INDEX(INDEX(K:K,E210+1):K203&lt;&gt;"",0),0)+E210,"")))</f>
        <v>303</v>
      </c>
      <c r="F211" s="232" cm="1">
        <f t="array" ref="F211">IF(E211="","",IF(H210&lt;&gt;"",H210,INDEX(D:D,E211)))</f>
        <v>0</v>
      </c>
      <c r="G211" s="232" t="str">
        <f t="shared" si="30"/>
        <v>0</v>
      </c>
      <c r="H211" s="233" t="str">
        <f t="shared" si="31"/>
        <v/>
      </c>
      <c r="I211" s="231" t="str">
        <f>IF(AND(F211&lt;&gt;"",N10&gt;0,M211&gt;N10),"Mot &gt; limite","")</f>
        <v/>
      </c>
      <c r="M211" s="126">
        <f>IF(OR(F211="",N10="",N10&lt;=0),"",IF(LEN(F211)&lt;=N10,LEN(F211),IFERROR(FIND("♦",SUBSTITUTE(LEFT(F211,N10)," ","♦",LEN(LEFT(F211,N10))-LEN(SUBSTITUTE(LEFT(F211,N10)," ","")))),FIND(" ",F211&amp;" ",N10+1)-1)))</f>
        <v>1</v>
      </c>
      <c r="N211" s="234">
        <f t="shared" si="32"/>
        <v>194</v>
      </c>
      <c r="O211" s="165" t="str">
        <f t="shared" si="33"/>
        <v>0</v>
      </c>
      <c r="P211" s="234">
        <f t="shared" si="34"/>
        <v>1</v>
      </c>
      <c r="Q211" s="234">
        <f t="shared" si="35"/>
        <v>1</v>
      </c>
      <c r="S211" s="214"/>
      <c r="T211" s="225"/>
      <c r="U211" s="222" t="s">
        <v>1238</v>
      </c>
      <c r="V211" s="214"/>
      <c r="W211" s="214"/>
      <c r="X211" s="214"/>
      <c r="Y211" s="214"/>
      <c r="Z211" s="214"/>
      <c r="AA211" s="214"/>
      <c r="AB211" s="214"/>
      <c r="AC211" s="214"/>
      <c r="AD211" s="214"/>
      <c r="AE211" s="214"/>
      <c r="AF211" s="214"/>
      <c r="AG211" s="214"/>
      <c r="AH211" s="214"/>
      <c r="AI211" s="214"/>
      <c r="AJ211" s="214"/>
      <c r="AK211" s="214"/>
      <c r="DE211" s="152"/>
      <c r="DF211" s="160" t="s">
        <v>1239</v>
      </c>
      <c r="DG211" s="160" t="s">
        <v>584</v>
      </c>
      <c r="DH211" s="160" t="s">
        <v>1182</v>
      </c>
      <c r="DI211" s="160" t="s">
        <v>1240</v>
      </c>
      <c r="DJ211" s="160" t="s">
        <v>1240</v>
      </c>
      <c r="DK211" s="160" t="s">
        <v>588</v>
      </c>
      <c r="DL211" s="160" t="s">
        <v>1184</v>
      </c>
      <c r="DM211" s="160" t="s">
        <v>590</v>
      </c>
      <c r="DN211" s="161" t="s">
        <v>591</v>
      </c>
      <c r="DP211" s="130">
        <v>1</v>
      </c>
    </row>
    <row r="212" spans="2:120">
      <c r="B212" s="231"/>
      <c r="C212" s="231"/>
      <c r="D212" s="231"/>
      <c r="E212" s="231" cm="1">
        <f t="array" ref="E212">IF(H211&lt;&gt;"",E211,IF(E211="","",IFERROR(MATCH(TRUE(),INDEX(INDEX(K:K,E211+1):K203&lt;&gt;"",0),0)+E211,"")))</f>
        <v>304</v>
      </c>
      <c r="F212" s="232" cm="1">
        <f t="array" ref="F212">IF(E212="","",IF(H211&lt;&gt;"",H211,INDEX(D:D,E212)))</f>
        <v>0</v>
      </c>
      <c r="G212" s="232" t="str">
        <f t="shared" si="30"/>
        <v>0</v>
      </c>
      <c r="H212" s="233" t="str">
        <f t="shared" si="31"/>
        <v/>
      </c>
      <c r="I212" s="231" t="str">
        <f>IF(AND(F212&lt;&gt;"",N10&gt;0,M212&gt;N10),"Mot &gt; limite","")</f>
        <v/>
      </c>
      <c r="M212" s="126">
        <f>IF(OR(F212="",N10="",N10&lt;=0),"",IF(LEN(F212)&lt;=N10,LEN(F212),IFERROR(FIND("♦",SUBSTITUTE(LEFT(F212,N10)," ","♦",LEN(LEFT(F212,N10))-LEN(SUBSTITUTE(LEFT(F212,N10)," ","")))),FIND(" ",F212&amp;" ",N10+1)-1)))</f>
        <v>1</v>
      </c>
      <c r="N212" s="234">
        <f t="shared" si="32"/>
        <v>195</v>
      </c>
      <c r="O212" s="165" t="str">
        <f t="shared" si="33"/>
        <v>0</v>
      </c>
      <c r="P212" s="234">
        <f t="shared" si="34"/>
        <v>1</v>
      </c>
      <c r="Q212" s="234">
        <f t="shared" si="35"/>
        <v>1</v>
      </c>
      <c r="S212" s="214"/>
      <c r="T212" s="225" t="s">
        <v>1241</v>
      </c>
      <c r="U212" s="222" t="s">
        <v>1242</v>
      </c>
      <c r="V212" s="214"/>
      <c r="W212" s="214"/>
      <c r="X212" s="214"/>
      <c r="Y212" s="214"/>
      <c r="Z212" s="214"/>
      <c r="AA212" s="214"/>
      <c r="AB212" s="214"/>
      <c r="AC212" s="214"/>
      <c r="AD212" s="214"/>
      <c r="AE212" s="214"/>
      <c r="AF212" s="214"/>
      <c r="AG212" s="214"/>
      <c r="AH212" s="214"/>
      <c r="AI212" s="214"/>
      <c r="AJ212" s="214"/>
      <c r="AK212" s="214"/>
      <c r="DE212" s="152"/>
      <c r="DF212" s="160" t="s">
        <v>1243</v>
      </c>
      <c r="DG212" s="160" t="s">
        <v>584</v>
      </c>
      <c r="DH212" s="160" t="s">
        <v>1182</v>
      </c>
      <c r="DI212" s="160" t="s">
        <v>1244</v>
      </c>
      <c r="DJ212" s="160" t="s">
        <v>1244</v>
      </c>
      <c r="DK212" s="160" t="s">
        <v>588</v>
      </c>
      <c r="DL212" s="160" t="s">
        <v>1184</v>
      </c>
      <c r="DM212" s="160" t="s">
        <v>590</v>
      </c>
      <c r="DN212" s="161" t="s">
        <v>591</v>
      </c>
      <c r="DP212" s="130">
        <v>1</v>
      </c>
    </row>
    <row r="213" spans="2:120">
      <c r="B213" s="231"/>
      <c r="C213" s="231"/>
      <c r="D213" s="231"/>
      <c r="E213" s="231" cm="1">
        <f t="array" ref="E213">IF(H212&lt;&gt;"",E212,IF(E212="","",IFERROR(MATCH(TRUE(),INDEX(INDEX(K:K,E212+1):K203&lt;&gt;"",0),0)+E212,"")))</f>
        <v>305</v>
      </c>
      <c r="F213" s="232" cm="1">
        <f t="array" ref="F213">IF(E213="","",IF(H212&lt;&gt;"",H212,INDEX(D:D,E213)))</f>
        <v>0</v>
      </c>
      <c r="G213" s="232" t="str">
        <f t="shared" si="30"/>
        <v>0</v>
      </c>
      <c r="H213" s="233" t="str">
        <f t="shared" si="31"/>
        <v/>
      </c>
      <c r="I213" s="231" t="str">
        <f>IF(AND(F213&lt;&gt;"",N10&gt;0,M213&gt;N10),"Mot &gt; limite","")</f>
        <v/>
      </c>
      <c r="M213" s="126">
        <f>IF(OR(F213="",N10="",N10&lt;=0),"",IF(LEN(F213)&lt;=N10,LEN(F213),IFERROR(FIND("♦",SUBSTITUTE(LEFT(F213,N10)," ","♦",LEN(LEFT(F213,N10))-LEN(SUBSTITUTE(LEFT(F213,N10)," ","")))),FIND(" ",F213&amp;" ",N10+1)-1)))</f>
        <v>1</v>
      </c>
      <c r="N213" s="234">
        <f t="shared" si="32"/>
        <v>196</v>
      </c>
      <c r="O213" s="165" t="str">
        <f t="shared" si="33"/>
        <v>0</v>
      </c>
      <c r="P213" s="234">
        <f t="shared" si="34"/>
        <v>1</v>
      </c>
      <c r="Q213" s="234">
        <f t="shared" si="35"/>
        <v>1</v>
      </c>
      <c r="S213" s="214"/>
      <c r="T213" s="225"/>
      <c r="U213" s="222" t="s">
        <v>1245</v>
      </c>
      <c r="V213" s="214"/>
      <c r="W213" s="214"/>
      <c r="X213" s="214"/>
      <c r="Y213" s="214"/>
      <c r="Z213" s="214"/>
      <c r="AA213" s="214"/>
      <c r="AB213" s="214"/>
      <c r="AC213" s="214"/>
      <c r="AD213" s="214"/>
      <c r="AE213" s="214"/>
      <c r="AF213" s="214"/>
      <c r="AG213" s="214"/>
      <c r="AH213" s="214"/>
      <c r="AI213" s="214"/>
      <c r="AJ213" s="214"/>
      <c r="AK213" s="214"/>
      <c r="DE213" s="152"/>
      <c r="DF213" s="160" t="s">
        <v>1246</v>
      </c>
      <c r="DG213" s="160" t="s">
        <v>584</v>
      </c>
      <c r="DH213" s="160" t="s">
        <v>1182</v>
      </c>
      <c r="DI213" s="160" t="s">
        <v>1247</v>
      </c>
      <c r="DJ213" s="160" t="s">
        <v>1247</v>
      </c>
      <c r="DK213" s="160" t="s">
        <v>588</v>
      </c>
      <c r="DL213" s="160" t="s">
        <v>1184</v>
      </c>
      <c r="DM213" s="160" t="s">
        <v>590</v>
      </c>
      <c r="DN213" s="161" t="s">
        <v>591</v>
      </c>
      <c r="DP213" s="130">
        <v>1</v>
      </c>
    </row>
    <row r="214" spans="2:120">
      <c r="B214" s="231"/>
      <c r="C214" s="231"/>
      <c r="D214" s="231"/>
      <c r="E214" s="231" cm="1">
        <f t="array" ref="E214">IF(H213&lt;&gt;"",E213,IF(E213="","",IFERROR(MATCH(TRUE(),INDEX(INDEX(K:K,E213+1):K203&lt;&gt;"",0),0)+E213,"")))</f>
        <v>306</v>
      </c>
      <c r="F214" s="232" cm="1">
        <f t="array" ref="F214">IF(E214="","",IF(H213&lt;&gt;"",H213,INDEX(D:D,E214)))</f>
        <v>0</v>
      </c>
      <c r="G214" s="232" t="str">
        <f t="shared" si="30"/>
        <v>0</v>
      </c>
      <c r="H214" s="233" t="str">
        <f t="shared" si="31"/>
        <v/>
      </c>
      <c r="I214" s="231" t="str">
        <f>IF(AND(F214&lt;&gt;"",N10&gt;0,M214&gt;N10),"Mot &gt; limite","")</f>
        <v/>
      </c>
      <c r="M214" s="126">
        <f>IF(OR(F214="",N10="",N10&lt;=0),"",IF(LEN(F214)&lt;=N10,LEN(F214),IFERROR(FIND("♦",SUBSTITUTE(LEFT(F214,N10)," ","♦",LEN(LEFT(F214,N10))-LEN(SUBSTITUTE(LEFT(F214,N10)," ","")))),FIND(" ",F214&amp;" ",N10+1)-1)))</f>
        <v>1</v>
      </c>
      <c r="N214" s="234">
        <f t="shared" si="32"/>
        <v>197</v>
      </c>
      <c r="O214" s="165" t="str">
        <f t="shared" si="33"/>
        <v>0</v>
      </c>
      <c r="P214" s="234">
        <f t="shared" si="34"/>
        <v>1</v>
      </c>
      <c r="Q214" s="234">
        <f t="shared" si="35"/>
        <v>1</v>
      </c>
      <c r="S214" s="214"/>
      <c r="T214" s="222"/>
      <c r="U214" s="222"/>
      <c r="V214" s="214"/>
      <c r="W214" s="214"/>
      <c r="X214" s="214"/>
      <c r="Y214" s="214"/>
      <c r="Z214" s="214"/>
      <c r="AA214" s="214"/>
      <c r="AB214" s="214"/>
      <c r="AC214" s="214"/>
      <c r="AD214" s="214"/>
      <c r="AE214" s="214"/>
      <c r="AF214" s="214"/>
      <c r="AG214" s="214"/>
      <c r="AH214" s="214"/>
      <c r="AI214" s="214"/>
      <c r="AJ214" s="214"/>
      <c r="AK214" s="214"/>
      <c r="DE214" s="152"/>
      <c r="DF214" s="160" t="s">
        <v>1248</v>
      </c>
      <c r="DG214" s="160" t="s">
        <v>584</v>
      </c>
      <c r="DH214" s="160" t="s">
        <v>1182</v>
      </c>
      <c r="DI214" s="160" t="s">
        <v>1249</v>
      </c>
      <c r="DJ214" s="160" t="s">
        <v>1249</v>
      </c>
      <c r="DK214" s="160" t="s">
        <v>588</v>
      </c>
      <c r="DL214" s="160" t="s">
        <v>1184</v>
      </c>
      <c r="DM214" s="160" t="s">
        <v>590</v>
      </c>
      <c r="DN214" s="161" t="s">
        <v>591</v>
      </c>
      <c r="DP214" s="130">
        <v>1</v>
      </c>
    </row>
    <row r="215" spans="2:120">
      <c r="B215" s="231"/>
      <c r="C215" s="231"/>
      <c r="D215" s="231"/>
      <c r="E215" s="231" cm="1">
        <f t="array" ref="E215">IF(H214&lt;&gt;"",E214,IF(E214="","",IFERROR(MATCH(TRUE(),INDEX(INDEX(K:K,E214+1):K203&lt;&gt;"",0),0)+E214,"")))</f>
        <v>307</v>
      </c>
      <c r="F215" s="232" cm="1">
        <f t="array" ref="F215">IF(E215="","",IF(H214&lt;&gt;"",H214,INDEX(D:D,E215)))</f>
        <v>0</v>
      </c>
      <c r="G215" s="232" t="str">
        <f t="shared" si="30"/>
        <v>0</v>
      </c>
      <c r="H215" s="233" t="str">
        <f t="shared" si="31"/>
        <v/>
      </c>
      <c r="I215" s="231" t="str">
        <f>IF(AND(F215&lt;&gt;"",N10&gt;0,M215&gt;N10),"Mot &gt; limite","")</f>
        <v/>
      </c>
      <c r="M215" s="126">
        <f>IF(OR(F215="",N10="",N10&lt;=0),"",IF(LEN(F215)&lt;=N10,LEN(F215),IFERROR(FIND("♦",SUBSTITUTE(LEFT(F215,N10)," ","♦",LEN(LEFT(F215,N10))-LEN(SUBSTITUTE(LEFT(F215,N10)," ","")))),FIND(" ",F215&amp;" ",N10+1)-1)))</f>
        <v>1</v>
      </c>
      <c r="N215" s="234">
        <f t="shared" si="32"/>
        <v>198</v>
      </c>
      <c r="O215" s="165" t="str">
        <f t="shared" si="33"/>
        <v>0</v>
      </c>
      <c r="P215" s="234">
        <f t="shared" si="34"/>
        <v>1</v>
      </c>
      <c r="Q215" s="234">
        <f t="shared" si="35"/>
        <v>1</v>
      </c>
      <c r="S215" s="214"/>
      <c r="T215" s="230" t="s">
        <v>1250</v>
      </c>
      <c r="U215" s="235"/>
      <c r="V215" s="214"/>
      <c r="W215" s="214"/>
      <c r="X215" s="214"/>
      <c r="Y215" s="214"/>
      <c r="Z215" s="214"/>
      <c r="AA215" s="214"/>
      <c r="AB215" s="214"/>
      <c r="AC215" s="214"/>
      <c r="AD215" s="214"/>
      <c r="AE215" s="214"/>
      <c r="AF215" s="214"/>
      <c r="AG215" s="214"/>
      <c r="AH215" s="214"/>
      <c r="AI215" s="214"/>
      <c r="AJ215" s="214"/>
      <c r="AK215" s="214"/>
      <c r="DE215" s="152"/>
      <c r="DF215" s="160" t="s">
        <v>1251</v>
      </c>
      <c r="DG215" s="160" t="s">
        <v>584</v>
      </c>
      <c r="DH215" s="160" t="s">
        <v>1182</v>
      </c>
      <c r="DI215" s="160" t="s">
        <v>300</v>
      </c>
      <c r="DJ215" s="160" t="s">
        <v>300</v>
      </c>
      <c r="DK215" s="160" t="s">
        <v>588</v>
      </c>
      <c r="DL215" s="160" t="s">
        <v>1184</v>
      </c>
      <c r="DM215" s="160" t="s">
        <v>590</v>
      </c>
      <c r="DN215" s="161" t="s">
        <v>591</v>
      </c>
      <c r="DP215" s="130">
        <v>1</v>
      </c>
    </row>
    <row r="216" spans="2:120">
      <c r="B216" s="231"/>
      <c r="C216" s="231"/>
      <c r="D216" s="231"/>
      <c r="E216" s="231" cm="1">
        <f t="array" ref="E216">IF(H215&lt;&gt;"",E215,IF(E215="","",IFERROR(MATCH(TRUE(),INDEX(INDEX(K:K,E215+1):K203&lt;&gt;"",0),0)+E215,"")))</f>
        <v>308</v>
      </c>
      <c r="F216" s="232" cm="1">
        <f t="array" ref="F216">IF(E216="","",IF(H215&lt;&gt;"",H215,INDEX(D:D,E216)))</f>
        <v>0</v>
      </c>
      <c r="G216" s="232" t="str">
        <f t="shared" si="30"/>
        <v>0</v>
      </c>
      <c r="H216" s="233" t="str">
        <f t="shared" si="31"/>
        <v/>
      </c>
      <c r="I216" s="231" t="str">
        <f>IF(AND(F216&lt;&gt;"",N10&gt;0,M216&gt;N10),"Mot &gt; limite","")</f>
        <v/>
      </c>
      <c r="M216" s="126">
        <f>IF(OR(F216="",N10="",N10&lt;=0),"",IF(LEN(F216)&lt;=N10,LEN(F216),IFERROR(FIND("♦",SUBSTITUTE(LEFT(F216,N10)," ","♦",LEN(LEFT(F216,N10))-LEN(SUBSTITUTE(LEFT(F216,N10)," ","")))),FIND(" ",F216&amp;" ",N10+1)-1)))</f>
        <v>1</v>
      </c>
      <c r="N216" s="234">
        <f t="shared" si="32"/>
        <v>199</v>
      </c>
      <c r="O216" s="165" t="str">
        <f t="shared" si="33"/>
        <v>0</v>
      </c>
      <c r="P216" s="234">
        <f t="shared" si="34"/>
        <v>1</v>
      </c>
      <c r="Q216" s="234">
        <f t="shared" si="35"/>
        <v>1</v>
      </c>
      <c r="S216" s="214"/>
      <c r="T216" s="225" t="s">
        <v>1252</v>
      </c>
      <c r="U216" s="222" t="s">
        <v>1253</v>
      </c>
      <c r="V216" s="214"/>
      <c r="W216" s="214"/>
      <c r="X216" s="214"/>
      <c r="Y216" s="214"/>
      <c r="Z216" s="214"/>
      <c r="AA216" s="214"/>
      <c r="AB216" s="214"/>
      <c r="AC216" s="214"/>
      <c r="AD216" s="214"/>
      <c r="AE216" s="214"/>
      <c r="AF216" s="214"/>
      <c r="AG216" s="214"/>
      <c r="AH216" s="214"/>
      <c r="AI216" s="214"/>
      <c r="AJ216" s="214"/>
      <c r="AK216" s="214"/>
      <c r="DE216" s="152"/>
      <c r="DF216" s="160" t="s">
        <v>1254</v>
      </c>
      <c r="DG216" s="160" t="s">
        <v>584</v>
      </c>
      <c r="DH216" s="160" t="s">
        <v>1182</v>
      </c>
      <c r="DI216" s="160" t="s">
        <v>1255</v>
      </c>
      <c r="DJ216" s="160" t="s">
        <v>1255</v>
      </c>
      <c r="DK216" s="160" t="s">
        <v>588</v>
      </c>
      <c r="DL216" s="160" t="s">
        <v>1184</v>
      </c>
      <c r="DM216" s="160" t="s">
        <v>590</v>
      </c>
      <c r="DN216" s="161" t="s">
        <v>591</v>
      </c>
      <c r="DP216" s="130">
        <v>1</v>
      </c>
    </row>
    <row r="217" spans="2:120">
      <c r="B217" s="231"/>
      <c r="C217" s="231"/>
      <c r="D217" s="231"/>
      <c r="E217" s="231" cm="1">
        <f t="array" ref="E217">IF(H216&lt;&gt;"",E216,IF(E216="","",IFERROR(MATCH(TRUE(),INDEX(INDEX(K:K,E216+1):K203&lt;&gt;"",0),0)+E216,"")))</f>
        <v>309</v>
      </c>
      <c r="F217" s="232" cm="1">
        <f t="array" ref="F217">IF(E217="","",IF(H216&lt;&gt;"",H216,INDEX(D:D,E217)))</f>
        <v>0</v>
      </c>
      <c r="G217" s="232" t="str">
        <f t="shared" si="30"/>
        <v>0</v>
      </c>
      <c r="H217" s="233" t="str">
        <f t="shared" si="31"/>
        <v/>
      </c>
      <c r="I217" s="231" t="str">
        <f>IF(AND(F217&lt;&gt;"",N10&gt;0,M217&gt;N10),"Mot &gt; limite","")</f>
        <v/>
      </c>
      <c r="M217" s="126">
        <f>IF(OR(F217="",N10="",N10&lt;=0),"",IF(LEN(F217)&lt;=N10,LEN(F217),IFERROR(FIND("♦",SUBSTITUTE(LEFT(F217,N10)," ","♦",LEN(LEFT(F217,N10))-LEN(SUBSTITUTE(LEFT(F217,N10)," ","")))),FIND(" ",F217&amp;" ",N10+1)-1)))</f>
        <v>1</v>
      </c>
      <c r="N217" s="234">
        <f t="shared" si="32"/>
        <v>200</v>
      </c>
      <c r="O217" s="165" t="str">
        <f t="shared" si="33"/>
        <v>0</v>
      </c>
      <c r="P217" s="234">
        <f t="shared" si="34"/>
        <v>1</v>
      </c>
      <c r="Q217" s="234">
        <f t="shared" si="35"/>
        <v>1</v>
      </c>
      <c r="S217" s="214"/>
      <c r="T217" s="225" t="s">
        <v>1256</v>
      </c>
      <c r="U217" s="222" t="s">
        <v>1257</v>
      </c>
      <c r="V217" s="214"/>
      <c r="W217" s="214"/>
      <c r="X217" s="214"/>
      <c r="Y217" s="214"/>
      <c r="Z217" s="214"/>
      <c r="AA217" s="214"/>
      <c r="AB217" s="214"/>
      <c r="AC217" s="214"/>
      <c r="AD217" s="214"/>
      <c r="AE217" s="214"/>
      <c r="AF217" s="214"/>
      <c r="AG217" s="214"/>
      <c r="AH217" s="214"/>
      <c r="AI217" s="214"/>
      <c r="AJ217" s="214"/>
      <c r="AK217" s="214"/>
      <c r="DE217" s="152"/>
      <c r="DF217" s="160" t="s">
        <v>1258</v>
      </c>
      <c r="DG217" s="160" t="s">
        <v>617</v>
      </c>
      <c r="DH217" s="160" t="s">
        <v>125</v>
      </c>
      <c r="DI217" s="160" t="s">
        <v>142</v>
      </c>
      <c r="DJ217" s="160" t="s">
        <v>142</v>
      </c>
      <c r="DK217" s="160" t="s">
        <v>1259</v>
      </c>
      <c r="DL217" s="160" t="s">
        <v>1260</v>
      </c>
      <c r="DM217" s="160" t="s">
        <v>1261</v>
      </c>
      <c r="DN217" s="161" t="s">
        <v>1262</v>
      </c>
      <c r="DP217" s="130">
        <v>1</v>
      </c>
    </row>
    <row r="218" spans="2:120">
      <c r="B218" s="231"/>
      <c r="C218" s="231"/>
      <c r="D218" s="231"/>
      <c r="E218" s="231" cm="1">
        <f t="array" ref="E218">IF(H217&lt;&gt;"",E217,IF(E217="","",IFERROR(MATCH(TRUE(),INDEX(INDEX(K:K,E217+1):K203&lt;&gt;"",0),0)+E217,"")))</f>
        <v>310</v>
      </c>
      <c r="F218" s="232" cm="1">
        <f t="array" ref="F218">IF(E218="","",IF(H217&lt;&gt;"",H217,INDEX(D:D,E218)))</f>
        <v>0</v>
      </c>
      <c r="G218" s="232" t="str">
        <f t="shared" si="30"/>
        <v>0</v>
      </c>
      <c r="H218" s="233" t="str">
        <f t="shared" si="31"/>
        <v/>
      </c>
      <c r="I218" s="231" t="str">
        <f>IF(AND(F218&lt;&gt;"",N10&gt;0,M218&gt;N10),"Mot &gt; limite","")</f>
        <v/>
      </c>
      <c r="M218" s="126">
        <f>IF(OR(F218="",N10="",N10&lt;=0),"",IF(LEN(F218)&lt;=N10,LEN(F218),IFERROR(FIND("♦",SUBSTITUTE(LEFT(F218,N10)," ","♦",LEN(LEFT(F218,N10))-LEN(SUBSTITUTE(LEFT(F218,N10)," ","")))),FIND(" ",F218&amp;" ",N10+1)-1)))</f>
        <v>1</v>
      </c>
      <c r="N218" s="234">
        <f t="shared" si="32"/>
        <v>201</v>
      </c>
      <c r="O218" s="165" t="str">
        <f t="shared" si="33"/>
        <v>0</v>
      </c>
      <c r="P218" s="234">
        <f t="shared" si="34"/>
        <v>1</v>
      </c>
      <c r="Q218" s="234">
        <f t="shared" si="35"/>
        <v>1</v>
      </c>
      <c r="S218" s="214"/>
      <c r="T218" s="225" t="s">
        <v>1263</v>
      </c>
      <c r="U218" s="222" t="s">
        <v>1264</v>
      </c>
      <c r="V218" s="214"/>
      <c r="W218" s="214"/>
      <c r="X218" s="214"/>
      <c r="Y218" s="214"/>
      <c r="Z218" s="214"/>
      <c r="AA218" s="214"/>
      <c r="AB218" s="214"/>
      <c r="AC218" s="214"/>
      <c r="AD218" s="214"/>
      <c r="AE218" s="214"/>
      <c r="AF218" s="214"/>
      <c r="AG218" s="214"/>
      <c r="AH218" s="214"/>
      <c r="AI218" s="214"/>
      <c r="AJ218" s="214"/>
      <c r="AK218" s="214"/>
      <c r="DE218" s="152"/>
      <c r="DF218" s="160" t="s">
        <v>1265</v>
      </c>
      <c r="DG218" s="160" t="s">
        <v>617</v>
      </c>
      <c r="DH218" s="160" t="s">
        <v>125</v>
      </c>
      <c r="DI218" s="160" t="s">
        <v>1266</v>
      </c>
      <c r="DJ218" s="160" t="s">
        <v>1267</v>
      </c>
      <c r="DK218" s="160" t="s">
        <v>1259</v>
      </c>
      <c r="DL218" s="160" t="s">
        <v>1268</v>
      </c>
      <c r="DM218" s="160" t="s">
        <v>590</v>
      </c>
      <c r="DN218" s="161" t="s">
        <v>591</v>
      </c>
      <c r="DP218" s="130">
        <v>1</v>
      </c>
    </row>
    <row r="219" spans="2:120">
      <c r="B219" s="231"/>
      <c r="C219" s="231"/>
      <c r="D219" s="231"/>
      <c r="E219" s="231" cm="1">
        <f t="array" ref="E219">IF(H218&lt;&gt;"",E218,IF(E218="","",IFERROR(MATCH(TRUE(),INDEX(INDEX(K:K,E218+1):K203&lt;&gt;"",0),0)+E218,"")))</f>
        <v>311</v>
      </c>
      <c r="F219" s="232" cm="1">
        <f t="array" ref="F219">IF(E219="","",IF(H218&lt;&gt;"",H218,INDEX(D:D,E219)))</f>
        <v>0</v>
      </c>
      <c r="G219" s="232" t="str">
        <f t="shared" si="30"/>
        <v>0</v>
      </c>
      <c r="H219" s="233" t="str">
        <f t="shared" si="31"/>
        <v/>
      </c>
      <c r="I219" s="231" t="str">
        <f>IF(AND(F219&lt;&gt;"",N10&gt;0,M219&gt;N10),"Mot &gt; limite","")</f>
        <v/>
      </c>
      <c r="M219" s="126">
        <f>IF(OR(F219="",N10="",N10&lt;=0),"",IF(LEN(F219)&lt;=N10,LEN(F219),IFERROR(FIND("♦",SUBSTITUTE(LEFT(F219,N10)," ","♦",LEN(LEFT(F219,N10))-LEN(SUBSTITUTE(LEFT(F219,N10)," ","")))),FIND(" ",F219&amp;" ",N10+1)-1)))</f>
        <v>1</v>
      </c>
      <c r="N219" s="234">
        <f t="shared" si="32"/>
        <v>202</v>
      </c>
      <c r="O219" s="165" t="str">
        <f t="shared" si="33"/>
        <v>0</v>
      </c>
      <c r="P219" s="234">
        <f t="shared" si="34"/>
        <v>1</v>
      </c>
      <c r="Q219" s="234">
        <f t="shared" si="35"/>
        <v>1</v>
      </c>
      <c r="S219" s="214"/>
      <c r="T219" s="225" t="s">
        <v>1269</v>
      </c>
      <c r="U219" s="222" t="s">
        <v>1270</v>
      </c>
      <c r="V219" s="214"/>
      <c r="W219" s="214"/>
      <c r="X219" s="214"/>
      <c r="Y219" s="214"/>
      <c r="Z219" s="214"/>
      <c r="AA219" s="214"/>
      <c r="AB219" s="214"/>
      <c r="AC219" s="214"/>
      <c r="AD219" s="214"/>
      <c r="AE219" s="214"/>
      <c r="AF219" s="214"/>
      <c r="AG219" s="214"/>
      <c r="AH219" s="214"/>
      <c r="AI219" s="214"/>
      <c r="AJ219" s="214"/>
      <c r="AK219" s="214"/>
      <c r="DE219" s="152"/>
      <c r="DF219" s="160" t="s">
        <v>1271</v>
      </c>
      <c r="DG219" s="160" t="s">
        <v>617</v>
      </c>
      <c r="DH219" s="160" t="s">
        <v>125</v>
      </c>
      <c r="DI219" s="160" t="s">
        <v>1272</v>
      </c>
      <c r="DJ219" s="160" t="s">
        <v>1273</v>
      </c>
      <c r="DK219" s="160" t="s">
        <v>1259</v>
      </c>
      <c r="DL219" s="160" t="s">
        <v>1268</v>
      </c>
      <c r="DM219" s="160" t="s">
        <v>590</v>
      </c>
      <c r="DN219" s="161" t="s">
        <v>591</v>
      </c>
      <c r="DP219" s="130">
        <v>1</v>
      </c>
    </row>
    <row r="220" spans="2:120">
      <c r="B220" s="231"/>
      <c r="C220" s="231"/>
      <c r="D220" s="231"/>
      <c r="E220" s="231" cm="1">
        <f t="array" ref="E220">IF(H219&lt;&gt;"",E219,IF(E219="","",IFERROR(MATCH(TRUE(),INDEX(INDEX(K:K,E219+1):K203&lt;&gt;"",0),0)+E219,"")))</f>
        <v>312</v>
      </c>
      <c r="F220" s="232" cm="1">
        <f t="array" ref="F220">IF(E220="","",IF(H219&lt;&gt;"",H219,INDEX(D:D,E220)))</f>
        <v>0</v>
      </c>
      <c r="G220" s="232" t="str">
        <f t="shared" si="30"/>
        <v>0</v>
      </c>
      <c r="H220" s="233" t="str">
        <f t="shared" si="31"/>
        <v/>
      </c>
      <c r="I220" s="231" t="str">
        <f>IF(AND(F220&lt;&gt;"",N10&gt;0,M220&gt;N10),"Mot &gt; limite","")</f>
        <v/>
      </c>
      <c r="M220" s="126">
        <f>IF(OR(F220="",N10="",N10&lt;=0),"",IF(LEN(F220)&lt;=N10,LEN(F220),IFERROR(FIND("♦",SUBSTITUTE(LEFT(F220,N10)," ","♦",LEN(LEFT(F220,N10))-LEN(SUBSTITUTE(LEFT(F220,N10)," ","")))),FIND(" ",F220&amp;" ",N10+1)-1)))</f>
        <v>1</v>
      </c>
      <c r="N220" s="234">
        <f t="shared" si="32"/>
        <v>203</v>
      </c>
      <c r="O220" s="165" t="str">
        <f t="shared" si="33"/>
        <v>0</v>
      </c>
      <c r="P220" s="234">
        <f t="shared" si="34"/>
        <v>1</v>
      </c>
      <c r="Q220" s="234">
        <f t="shared" si="35"/>
        <v>1</v>
      </c>
      <c r="S220" s="214"/>
      <c r="T220" s="225" t="s">
        <v>1274</v>
      </c>
      <c r="U220" s="222" t="s">
        <v>1275</v>
      </c>
      <c r="V220" s="214"/>
      <c r="W220" s="214"/>
      <c r="X220" s="214"/>
      <c r="Y220" s="214"/>
      <c r="Z220" s="214"/>
      <c r="AA220" s="214"/>
      <c r="AB220" s="214"/>
      <c r="AC220" s="214"/>
      <c r="AD220" s="214"/>
      <c r="AE220" s="214"/>
      <c r="AF220" s="214"/>
      <c r="AG220" s="214"/>
      <c r="AH220" s="214"/>
      <c r="AI220" s="214"/>
      <c r="AJ220" s="214"/>
      <c r="AK220" s="214"/>
      <c r="DE220" s="152"/>
      <c r="DF220" s="160" t="s">
        <v>1276</v>
      </c>
      <c r="DG220" s="160" t="s">
        <v>617</v>
      </c>
      <c r="DH220" s="160" t="s">
        <v>125</v>
      </c>
      <c r="DI220" s="160" t="s">
        <v>432</v>
      </c>
      <c r="DJ220" s="160" t="s">
        <v>432</v>
      </c>
      <c r="DK220" s="160" t="s">
        <v>1259</v>
      </c>
      <c r="DL220" s="160" t="s">
        <v>1268</v>
      </c>
      <c r="DM220" s="160" t="s">
        <v>590</v>
      </c>
      <c r="DN220" s="161" t="s">
        <v>591</v>
      </c>
      <c r="DP220" s="130">
        <v>1</v>
      </c>
    </row>
    <row r="221" spans="2:120">
      <c r="B221" s="231"/>
      <c r="C221" s="231"/>
      <c r="D221" s="231"/>
      <c r="E221" s="231" cm="1">
        <f t="array" ref="E221">IF(H220&lt;&gt;"",E220,IF(E220="","",IFERROR(MATCH(TRUE(),INDEX(INDEX(K:K,E220+1):K203&lt;&gt;"",0),0)+E220,"")))</f>
        <v>313</v>
      </c>
      <c r="F221" s="232" cm="1">
        <f t="array" ref="F221">IF(E221="","",IF(H220&lt;&gt;"",H220,INDEX(D:D,E221)))</f>
        <v>0</v>
      </c>
      <c r="G221" s="232" t="str">
        <f t="shared" si="30"/>
        <v>0</v>
      </c>
      <c r="H221" s="233" t="str">
        <f t="shared" si="31"/>
        <v/>
      </c>
      <c r="I221" s="231" t="str">
        <f>IF(AND(F221&lt;&gt;"",N10&gt;0,M221&gt;N10),"Mot &gt; limite","")</f>
        <v/>
      </c>
      <c r="M221" s="126">
        <f>IF(OR(F221="",N10="",N10&lt;=0),"",IF(LEN(F221)&lt;=N10,LEN(F221),IFERROR(FIND("♦",SUBSTITUTE(LEFT(F221,N10)," ","♦",LEN(LEFT(F221,N10))-LEN(SUBSTITUTE(LEFT(F221,N10)," ","")))),FIND(" ",F221&amp;" ",N10+1)-1)))</f>
        <v>1</v>
      </c>
      <c r="N221" s="234">
        <f t="shared" si="32"/>
        <v>204</v>
      </c>
      <c r="O221" s="165" t="str">
        <f t="shared" si="33"/>
        <v>0</v>
      </c>
      <c r="P221" s="234">
        <f t="shared" si="34"/>
        <v>1</v>
      </c>
      <c r="Q221" s="234">
        <f t="shared" si="35"/>
        <v>1</v>
      </c>
      <c r="S221" s="214"/>
      <c r="T221" s="225" t="s">
        <v>1277</v>
      </c>
      <c r="U221" s="222" t="s">
        <v>1278</v>
      </c>
      <c r="V221" s="214"/>
      <c r="W221" s="214"/>
      <c r="X221" s="214"/>
      <c r="Y221" s="214"/>
      <c r="Z221" s="214"/>
      <c r="AA221" s="214"/>
      <c r="AB221" s="214"/>
      <c r="AC221" s="214"/>
      <c r="AD221" s="214"/>
      <c r="AE221" s="214"/>
      <c r="AF221" s="214"/>
      <c r="AG221" s="214"/>
      <c r="AH221" s="214"/>
      <c r="AI221" s="214"/>
      <c r="AJ221" s="214"/>
      <c r="AK221" s="214"/>
      <c r="DE221" s="152"/>
      <c r="DF221" s="160" t="s">
        <v>1279</v>
      </c>
      <c r="DG221" s="160" t="s">
        <v>617</v>
      </c>
      <c r="DH221" s="160" t="s">
        <v>125</v>
      </c>
      <c r="DI221" s="160" t="s">
        <v>1280</v>
      </c>
      <c r="DJ221" s="160" t="s">
        <v>1280</v>
      </c>
      <c r="DK221" s="160" t="s">
        <v>1259</v>
      </c>
      <c r="DL221" s="160" t="s">
        <v>1260</v>
      </c>
      <c r="DM221" s="160" t="s">
        <v>1261</v>
      </c>
      <c r="DN221" s="161" t="s">
        <v>1262</v>
      </c>
      <c r="DP221" s="130">
        <v>1</v>
      </c>
    </row>
    <row r="222" spans="2:120">
      <c r="B222" s="231"/>
      <c r="C222" s="231"/>
      <c r="D222" s="231"/>
      <c r="E222" s="231" cm="1">
        <f t="array" ref="E222">IF(H221&lt;&gt;"",E221,IF(E221="","",IFERROR(MATCH(TRUE(),INDEX(INDEX(K:K,E221+1):K203&lt;&gt;"",0),0)+E221,"")))</f>
        <v>314</v>
      </c>
      <c r="F222" s="232" cm="1">
        <f t="array" ref="F222">IF(E222="","",IF(H221&lt;&gt;"",H221,INDEX(D:D,E222)))</f>
        <v>0</v>
      </c>
      <c r="G222" s="232" t="str">
        <f t="shared" si="30"/>
        <v>0</v>
      </c>
      <c r="H222" s="233" t="str">
        <f t="shared" si="31"/>
        <v/>
      </c>
      <c r="I222" s="231" t="str">
        <f>IF(AND(F222&lt;&gt;"",N10&gt;0,M222&gt;N10),"Mot &gt; limite","")</f>
        <v/>
      </c>
      <c r="M222" s="126">
        <f>IF(OR(F222="",N10="",N10&lt;=0),"",IF(LEN(F222)&lt;=N10,LEN(F222),IFERROR(FIND("♦",SUBSTITUTE(LEFT(F222,N10)," ","♦",LEN(LEFT(F222,N10))-LEN(SUBSTITUTE(LEFT(F222,N10)," ","")))),FIND(" ",F222&amp;" ",N10+1)-1)))</f>
        <v>1</v>
      </c>
      <c r="N222" s="234">
        <f t="shared" si="32"/>
        <v>205</v>
      </c>
      <c r="O222" s="165" t="str">
        <f t="shared" si="33"/>
        <v>0</v>
      </c>
      <c r="P222" s="234">
        <f t="shared" si="34"/>
        <v>1</v>
      </c>
      <c r="Q222" s="234">
        <f t="shared" si="35"/>
        <v>1</v>
      </c>
      <c r="S222" s="214"/>
      <c r="T222" s="225"/>
      <c r="U222" s="222" t="s">
        <v>1281</v>
      </c>
      <c r="V222" s="214"/>
      <c r="W222" s="214"/>
      <c r="X222" s="214"/>
      <c r="Y222" s="214"/>
      <c r="Z222" s="214"/>
      <c r="AA222" s="214"/>
      <c r="AB222" s="214"/>
      <c r="AC222" s="214"/>
      <c r="AD222" s="214"/>
      <c r="AE222" s="214"/>
      <c r="AF222" s="214"/>
      <c r="AG222" s="214"/>
      <c r="AH222" s="214"/>
      <c r="AI222" s="214"/>
      <c r="AJ222" s="214"/>
      <c r="AK222" s="214"/>
      <c r="DE222" s="152"/>
      <c r="DF222" s="160" t="s">
        <v>1282</v>
      </c>
      <c r="DG222" s="160" t="s">
        <v>617</v>
      </c>
      <c r="DH222" s="160" t="s">
        <v>125</v>
      </c>
      <c r="DI222" s="160" t="s">
        <v>1283</v>
      </c>
      <c r="DJ222" s="160" t="s">
        <v>1283</v>
      </c>
      <c r="DK222" s="160" t="s">
        <v>1259</v>
      </c>
      <c r="DL222" s="160" t="s">
        <v>1260</v>
      </c>
      <c r="DM222" s="160" t="s">
        <v>1261</v>
      </c>
      <c r="DN222" s="161" t="s">
        <v>1262</v>
      </c>
      <c r="DP222" s="130">
        <v>1</v>
      </c>
    </row>
    <row r="223" spans="2:120">
      <c r="B223" s="231"/>
      <c r="C223" s="231"/>
      <c r="D223" s="231"/>
      <c r="E223" s="231" cm="1">
        <f t="array" ref="E223">IF(H222&lt;&gt;"",E222,IF(E222="","",IFERROR(MATCH(TRUE(),INDEX(INDEX(K:K,E222+1):K203&lt;&gt;"",0),0)+E222,"")))</f>
        <v>315</v>
      </c>
      <c r="F223" s="232" cm="1">
        <f t="array" ref="F223">IF(E223="","",IF(H222&lt;&gt;"",H222,INDEX(D:D,E223)))</f>
        <v>0</v>
      </c>
      <c r="G223" s="232" t="str">
        <f t="shared" si="30"/>
        <v>0</v>
      </c>
      <c r="H223" s="233" t="str">
        <f t="shared" si="31"/>
        <v/>
      </c>
      <c r="I223" s="231" t="str">
        <f>IF(AND(F223&lt;&gt;"",N10&gt;0,M223&gt;N10),"Mot &gt; limite","")</f>
        <v/>
      </c>
      <c r="M223" s="126">
        <f>IF(OR(F223="",N10="",N10&lt;=0),"",IF(LEN(F223)&lt;=N10,LEN(F223),IFERROR(FIND("♦",SUBSTITUTE(LEFT(F223,N10)," ","♦",LEN(LEFT(F223,N10))-LEN(SUBSTITUTE(LEFT(F223,N10)," ","")))),FIND(" ",F223&amp;" ",N10+1)-1)))</f>
        <v>1</v>
      </c>
      <c r="N223" s="234">
        <f t="shared" si="32"/>
        <v>206</v>
      </c>
      <c r="O223" s="165" t="str">
        <f t="shared" si="33"/>
        <v>0</v>
      </c>
      <c r="P223" s="234">
        <f t="shared" si="34"/>
        <v>1</v>
      </c>
      <c r="Q223" s="234">
        <f t="shared" si="35"/>
        <v>1</v>
      </c>
      <c r="S223" s="214"/>
      <c r="T223" s="225" t="s">
        <v>1284</v>
      </c>
      <c r="U223" s="222" t="s">
        <v>1285</v>
      </c>
      <c r="V223" s="214"/>
      <c r="W223" s="214"/>
      <c r="X223" s="214"/>
      <c r="Y223" s="214"/>
      <c r="Z223" s="214"/>
      <c r="AA223" s="214"/>
      <c r="AB223" s="214"/>
      <c r="AC223" s="214"/>
      <c r="AD223" s="214"/>
      <c r="AE223" s="214"/>
      <c r="AF223" s="214"/>
      <c r="AG223" s="214"/>
      <c r="AH223" s="214"/>
      <c r="AI223" s="214"/>
      <c r="AJ223" s="214"/>
      <c r="AK223" s="214"/>
      <c r="DE223" s="152"/>
      <c r="DF223" s="160" t="s">
        <v>1286</v>
      </c>
      <c r="DG223" s="160" t="s">
        <v>617</v>
      </c>
      <c r="DH223" s="160" t="s">
        <v>125</v>
      </c>
      <c r="DI223" s="160" t="s">
        <v>1287</v>
      </c>
      <c r="DJ223" s="160" t="s">
        <v>1287</v>
      </c>
      <c r="DK223" s="160" t="s">
        <v>1259</v>
      </c>
      <c r="DL223" s="160" t="s">
        <v>1260</v>
      </c>
      <c r="DM223" s="160" t="s">
        <v>1261</v>
      </c>
      <c r="DN223" s="161" t="s">
        <v>1262</v>
      </c>
      <c r="DP223" s="130">
        <v>1</v>
      </c>
    </row>
    <row r="224" spans="2:120">
      <c r="B224" s="231"/>
      <c r="C224" s="231"/>
      <c r="D224" s="231"/>
      <c r="E224" s="231" cm="1">
        <f t="array" ref="E224">IF(H223&lt;&gt;"",E223,IF(E223="","",IFERROR(MATCH(TRUE(),INDEX(INDEX(K:K,E223+1):K203&lt;&gt;"",0),0)+E223,"")))</f>
        <v>316</v>
      </c>
      <c r="F224" s="232" cm="1">
        <f t="array" ref="F224">IF(E224="","",IF(H223&lt;&gt;"",H223,INDEX(D:D,E224)))</f>
        <v>0</v>
      </c>
      <c r="G224" s="232" t="str">
        <f t="shared" si="30"/>
        <v>0</v>
      </c>
      <c r="H224" s="233" t="str">
        <f t="shared" si="31"/>
        <v/>
      </c>
      <c r="I224" s="231" t="str">
        <f>IF(AND(F224&lt;&gt;"",N10&gt;0,M224&gt;N10),"Mot &gt; limite","")</f>
        <v/>
      </c>
      <c r="M224" s="126">
        <f>IF(OR(F224="",N10="",N10&lt;=0),"",IF(LEN(F224)&lt;=N10,LEN(F224),IFERROR(FIND("♦",SUBSTITUTE(LEFT(F224,N10)," ","♦",LEN(LEFT(F224,N10))-LEN(SUBSTITUTE(LEFT(F224,N10)," ","")))),FIND(" ",F224&amp;" ",N10+1)-1)))</f>
        <v>1</v>
      </c>
      <c r="N224" s="234">
        <f t="shared" si="32"/>
        <v>207</v>
      </c>
      <c r="O224" s="165" t="str">
        <f t="shared" si="33"/>
        <v>0</v>
      </c>
      <c r="P224" s="234">
        <f t="shared" si="34"/>
        <v>1</v>
      </c>
      <c r="Q224" s="234">
        <f t="shared" si="35"/>
        <v>1</v>
      </c>
      <c r="S224" s="214"/>
      <c r="T224" s="222"/>
      <c r="U224" s="222"/>
      <c r="V224" s="214"/>
      <c r="W224" s="214"/>
      <c r="X224" s="214"/>
      <c r="Y224" s="214"/>
      <c r="Z224" s="214"/>
      <c r="AA224" s="214"/>
      <c r="AB224" s="214"/>
      <c r="AC224" s="214"/>
      <c r="AD224" s="214"/>
      <c r="AE224" s="214"/>
      <c r="AF224" s="214"/>
      <c r="AG224" s="214"/>
      <c r="AH224" s="214"/>
      <c r="AI224" s="214"/>
      <c r="AJ224" s="214"/>
      <c r="AK224" s="214"/>
      <c r="DE224" s="152"/>
      <c r="DF224" s="160" t="s">
        <v>1288</v>
      </c>
      <c r="DG224" s="160" t="s">
        <v>617</v>
      </c>
      <c r="DH224" s="160" t="s">
        <v>125</v>
      </c>
      <c r="DI224" s="160" t="s">
        <v>1289</v>
      </c>
      <c r="DJ224" s="160" t="s">
        <v>1289</v>
      </c>
      <c r="DK224" s="160" t="s">
        <v>1259</v>
      </c>
      <c r="DL224" s="160" t="s">
        <v>1260</v>
      </c>
      <c r="DM224" s="160" t="s">
        <v>1261</v>
      </c>
      <c r="DN224" s="161" t="s">
        <v>1262</v>
      </c>
      <c r="DP224" s="130">
        <v>1</v>
      </c>
    </row>
    <row r="225" spans="2:120">
      <c r="B225" s="231"/>
      <c r="C225" s="231"/>
      <c r="D225" s="231"/>
      <c r="E225" s="231" cm="1">
        <f t="array" ref="E225">IF(H224&lt;&gt;"",E224,IF(E224="","",IFERROR(MATCH(TRUE(),INDEX(INDEX(K:K,E224+1):K203&lt;&gt;"",0),0)+E224,"")))</f>
        <v>317</v>
      </c>
      <c r="F225" s="232" cm="1">
        <f t="array" ref="F225">IF(E225="","",IF(H224&lt;&gt;"",H224,INDEX(D:D,E225)))</f>
        <v>0</v>
      </c>
      <c r="G225" s="232" t="str">
        <f t="shared" si="30"/>
        <v>0</v>
      </c>
      <c r="H225" s="233" t="str">
        <f t="shared" si="31"/>
        <v/>
      </c>
      <c r="I225" s="231" t="str">
        <f>IF(AND(F225&lt;&gt;"",N10&gt;0,M225&gt;N10),"Mot &gt; limite","")</f>
        <v/>
      </c>
      <c r="M225" s="126">
        <f>IF(OR(F225="",N10="",N10&lt;=0),"",IF(LEN(F225)&lt;=N10,LEN(F225),IFERROR(FIND("♦",SUBSTITUTE(LEFT(F225,N10)," ","♦",LEN(LEFT(F225,N10))-LEN(SUBSTITUTE(LEFT(F225,N10)," ","")))),FIND(" ",F225&amp;" ",N10+1)-1)))</f>
        <v>1</v>
      </c>
      <c r="N225" s="234">
        <f t="shared" si="32"/>
        <v>208</v>
      </c>
      <c r="O225" s="165" t="str">
        <f t="shared" si="33"/>
        <v>0</v>
      </c>
      <c r="P225" s="234">
        <f t="shared" si="34"/>
        <v>1</v>
      </c>
      <c r="Q225" s="234">
        <f t="shared" si="35"/>
        <v>1</v>
      </c>
      <c r="S225" s="214"/>
      <c r="T225" s="236" t="s">
        <v>1290</v>
      </c>
      <c r="U225" s="235"/>
      <c r="V225" s="214"/>
      <c r="W225" s="214"/>
      <c r="X225" s="214"/>
      <c r="Y225" s="214"/>
      <c r="Z225" s="214"/>
      <c r="AA225" s="214"/>
      <c r="AB225" s="214"/>
      <c r="AC225" s="214"/>
      <c r="AD225" s="214"/>
      <c r="AE225" s="214"/>
      <c r="AF225" s="214"/>
      <c r="AG225" s="214"/>
      <c r="AH225" s="214"/>
      <c r="AI225" s="214"/>
      <c r="AJ225" s="214"/>
      <c r="AK225" s="214"/>
      <c r="DE225" s="152"/>
      <c r="DF225" s="160" t="s">
        <v>1291</v>
      </c>
      <c r="DG225" s="160" t="s">
        <v>617</v>
      </c>
      <c r="DH225" s="160" t="s">
        <v>125</v>
      </c>
      <c r="DI225" s="160" t="s">
        <v>1292</v>
      </c>
      <c r="DJ225" s="160" t="s">
        <v>1292</v>
      </c>
      <c r="DK225" s="160" t="s">
        <v>1259</v>
      </c>
      <c r="DL225" s="160" t="s">
        <v>1260</v>
      </c>
      <c r="DM225" s="160" t="s">
        <v>1261</v>
      </c>
      <c r="DN225" s="161" t="s">
        <v>1262</v>
      </c>
      <c r="DP225" s="130">
        <v>1</v>
      </c>
    </row>
    <row r="226" spans="2:120">
      <c r="B226" s="231"/>
      <c r="C226" s="231"/>
      <c r="D226" s="231"/>
      <c r="E226" s="231" cm="1">
        <f t="array" ref="E226">IF(H225&lt;&gt;"",E225,IF(E225="","",IFERROR(MATCH(TRUE(),INDEX(INDEX(K:K,E225+1):K203&lt;&gt;"",0),0)+E225,"")))</f>
        <v>318</v>
      </c>
      <c r="F226" s="232" cm="1">
        <f t="array" ref="F226">IF(E226="","",IF(H225&lt;&gt;"",H225,INDEX(D:D,E226)))</f>
        <v>0</v>
      </c>
      <c r="G226" s="232" t="str">
        <f t="shared" si="30"/>
        <v>0</v>
      </c>
      <c r="H226" s="233" t="str">
        <f t="shared" si="31"/>
        <v/>
      </c>
      <c r="I226" s="231" t="str">
        <f>IF(AND(F226&lt;&gt;"",N10&gt;0,M226&gt;N10),"Mot &gt; limite","")</f>
        <v/>
      </c>
      <c r="M226" s="126">
        <f>IF(OR(F226="",N10="",N10&lt;=0),"",IF(LEN(F226)&lt;=N10,LEN(F226),IFERROR(FIND("♦",SUBSTITUTE(LEFT(F226,N10)," ","♦",LEN(LEFT(F226,N10))-LEN(SUBSTITUTE(LEFT(F226,N10)," ","")))),FIND(" ",F226&amp;" ",N10+1)-1)))</f>
        <v>1</v>
      </c>
      <c r="N226" s="234">
        <f t="shared" si="32"/>
        <v>209</v>
      </c>
      <c r="O226" s="165" t="str">
        <f t="shared" si="33"/>
        <v>0</v>
      </c>
      <c r="P226" s="234">
        <f t="shared" si="34"/>
        <v>1</v>
      </c>
      <c r="Q226" s="234">
        <f t="shared" si="35"/>
        <v>1</v>
      </c>
      <c r="S226" s="214"/>
      <c r="T226" s="225" t="s">
        <v>1293</v>
      </c>
      <c r="U226" s="222" t="s">
        <v>1294</v>
      </c>
      <c r="V226" s="214"/>
      <c r="W226" s="214"/>
      <c r="X226" s="214"/>
      <c r="Y226" s="214"/>
      <c r="Z226" s="214"/>
      <c r="AA226" s="214"/>
      <c r="AB226" s="214"/>
      <c r="AC226" s="214"/>
      <c r="AD226" s="214"/>
      <c r="AE226" s="214"/>
      <c r="AF226" s="214"/>
      <c r="AG226" s="214"/>
      <c r="AH226" s="214"/>
      <c r="AI226" s="214"/>
      <c r="AJ226" s="214"/>
      <c r="AK226" s="214"/>
      <c r="DE226" s="152"/>
      <c r="DF226" s="160" t="s">
        <v>1295</v>
      </c>
      <c r="DG226" s="160" t="s">
        <v>617</v>
      </c>
      <c r="DH226" s="160" t="s">
        <v>125</v>
      </c>
      <c r="DI226" s="160" t="s">
        <v>1296</v>
      </c>
      <c r="DJ226" s="160" t="s">
        <v>1296</v>
      </c>
      <c r="DK226" s="160" t="s">
        <v>1259</v>
      </c>
      <c r="DL226" s="160" t="s">
        <v>1268</v>
      </c>
      <c r="DM226" s="160" t="s">
        <v>590</v>
      </c>
      <c r="DN226" s="161" t="s">
        <v>591</v>
      </c>
      <c r="DP226" s="130">
        <v>1</v>
      </c>
    </row>
    <row r="227" spans="2:120">
      <c r="B227" s="231"/>
      <c r="C227" s="231"/>
      <c r="D227" s="231"/>
      <c r="E227" s="231" cm="1">
        <f t="array" ref="E227">IF(H226&lt;&gt;"",E226,IF(E226="","",IFERROR(MATCH(TRUE(),INDEX(INDEX(K:K,E226+1):K203&lt;&gt;"",0),0)+E226,"")))</f>
        <v>319</v>
      </c>
      <c r="F227" s="232" cm="1">
        <f t="array" ref="F227">IF(E227="","",IF(H226&lt;&gt;"",H226,INDEX(D:D,E227)))</f>
        <v>0</v>
      </c>
      <c r="G227" s="232" t="str">
        <f t="shared" si="30"/>
        <v>0</v>
      </c>
      <c r="H227" s="233" t="str">
        <f t="shared" si="31"/>
        <v/>
      </c>
      <c r="I227" s="231" t="str">
        <f>IF(AND(F227&lt;&gt;"",N10&gt;0,M227&gt;N10),"Mot &gt; limite","")</f>
        <v/>
      </c>
      <c r="M227" s="126">
        <f>IF(OR(F227="",N10="",N10&lt;=0),"",IF(LEN(F227)&lt;=N10,LEN(F227),IFERROR(FIND("♦",SUBSTITUTE(LEFT(F227,N10)," ","♦",LEN(LEFT(F227,N10))-LEN(SUBSTITUTE(LEFT(F227,N10)," ","")))),FIND(" ",F227&amp;" ",N10+1)-1)))</f>
        <v>1</v>
      </c>
      <c r="N227" s="234">
        <f t="shared" si="32"/>
        <v>210</v>
      </c>
      <c r="O227" s="165" t="str">
        <f t="shared" si="33"/>
        <v>0</v>
      </c>
      <c r="P227" s="234">
        <f t="shared" si="34"/>
        <v>1</v>
      </c>
      <c r="Q227" s="234">
        <f t="shared" si="35"/>
        <v>1</v>
      </c>
      <c r="S227" s="214"/>
      <c r="T227" s="225" t="s">
        <v>1297</v>
      </c>
      <c r="U227" s="222" t="s">
        <v>1298</v>
      </c>
      <c r="V227" s="214"/>
      <c r="W227" s="214"/>
      <c r="X227" s="214"/>
      <c r="Y227" s="214"/>
      <c r="Z227" s="214"/>
      <c r="AA227" s="214"/>
      <c r="AB227" s="214"/>
      <c r="AC227" s="214"/>
      <c r="AD227" s="214"/>
      <c r="AE227" s="214"/>
      <c r="AF227" s="214"/>
      <c r="AG227" s="214"/>
      <c r="AH227" s="214"/>
      <c r="AI227" s="214"/>
      <c r="AJ227" s="214"/>
      <c r="AK227" s="214"/>
      <c r="DE227" s="152"/>
      <c r="DF227" s="160" t="s">
        <v>1299</v>
      </c>
      <c r="DG227" s="160" t="s">
        <v>617</v>
      </c>
      <c r="DH227" s="160" t="s">
        <v>125</v>
      </c>
      <c r="DI227" s="160" t="s">
        <v>1300</v>
      </c>
      <c r="DJ227" s="160" t="s">
        <v>1300</v>
      </c>
      <c r="DK227" s="160" t="s">
        <v>1259</v>
      </c>
      <c r="DL227" s="160" t="s">
        <v>1260</v>
      </c>
      <c r="DM227" s="160" t="s">
        <v>1261</v>
      </c>
      <c r="DN227" s="161" t="s">
        <v>1262</v>
      </c>
      <c r="DP227" s="130">
        <v>1</v>
      </c>
    </row>
    <row r="228" spans="2:120">
      <c r="B228" s="231"/>
      <c r="C228" s="231"/>
      <c r="D228" s="231"/>
      <c r="E228" s="231" cm="1">
        <f t="array" ref="E228">IF(H227&lt;&gt;"",E227,IF(E227="","",IFERROR(MATCH(TRUE(),INDEX(INDEX(K:K,E227+1):K203&lt;&gt;"",0),0)+E227,"")))</f>
        <v>320</v>
      </c>
      <c r="F228" s="232" cm="1">
        <f t="array" ref="F228">IF(E228="","",IF(H227&lt;&gt;"",H227,INDEX(D:D,E228)))</f>
        <v>0</v>
      </c>
      <c r="G228" s="232" t="str">
        <f t="shared" si="30"/>
        <v>0</v>
      </c>
      <c r="H228" s="233" t="str">
        <f t="shared" si="31"/>
        <v/>
      </c>
      <c r="I228" s="231" t="str">
        <f>IF(AND(F228&lt;&gt;"",N10&gt;0,M228&gt;N10),"Mot &gt; limite","")</f>
        <v/>
      </c>
      <c r="M228" s="126">
        <f>IF(OR(F228="",N10="",N10&lt;=0),"",IF(LEN(F228)&lt;=N10,LEN(F228),IFERROR(FIND("♦",SUBSTITUTE(LEFT(F228,N10)," ","♦",LEN(LEFT(F228,N10))-LEN(SUBSTITUTE(LEFT(F228,N10)," ","")))),FIND(" ",F228&amp;" ",N10+1)-1)))</f>
        <v>1</v>
      </c>
      <c r="N228" s="234">
        <f t="shared" si="32"/>
        <v>211</v>
      </c>
      <c r="O228" s="165" t="str">
        <f t="shared" si="33"/>
        <v>0</v>
      </c>
      <c r="P228" s="234">
        <f t="shared" si="34"/>
        <v>1</v>
      </c>
      <c r="Q228" s="234">
        <f t="shared" si="35"/>
        <v>1</v>
      </c>
      <c r="S228" s="214"/>
      <c r="T228" s="225" t="s">
        <v>1301</v>
      </c>
      <c r="U228" s="222" t="s">
        <v>1302</v>
      </c>
      <c r="V228" s="214"/>
      <c r="W228" s="214"/>
      <c r="X228" s="214"/>
      <c r="Y228" s="214"/>
      <c r="Z228" s="214"/>
      <c r="AA228" s="214"/>
      <c r="AB228" s="214"/>
      <c r="AC228" s="214"/>
      <c r="AD228" s="214"/>
      <c r="AE228" s="214"/>
      <c r="AF228" s="214"/>
      <c r="AG228" s="214"/>
      <c r="AH228" s="214"/>
      <c r="AI228" s="214"/>
      <c r="AJ228" s="214"/>
      <c r="AK228" s="214"/>
      <c r="DE228" s="152"/>
      <c r="DF228" s="160" t="s">
        <v>1303</v>
      </c>
      <c r="DG228" s="160" t="s">
        <v>617</v>
      </c>
      <c r="DH228" s="160" t="s">
        <v>125</v>
      </c>
      <c r="DI228" s="160" t="s">
        <v>1304</v>
      </c>
      <c r="DJ228" s="160" t="s">
        <v>1304</v>
      </c>
      <c r="DK228" s="160" t="s">
        <v>1259</v>
      </c>
      <c r="DL228" s="160" t="s">
        <v>1260</v>
      </c>
      <c r="DM228" s="160" t="s">
        <v>1261</v>
      </c>
      <c r="DN228" s="161" t="s">
        <v>1262</v>
      </c>
      <c r="DP228" s="130">
        <v>1</v>
      </c>
    </row>
    <row r="229" spans="2:120">
      <c r="B229" s="231"/>
      <c r="C229" s="231"/>
      <c r="D229" s="231"/>
      <c r="E229" s="231" cm="1">
        <f t="array" ref="E229">IF(H228&lt;&gt;"",E228,IF(E228="","",IFERROR(MATCH(TRUE(),INDEX(INDEX(K:K,E228+1):K203&lt;&gt;"",0),0)+E228,"")))</f>
        <v>321</v>
      </c>
      <c r="F229" s="232" cm="1">
        <f t="array" ref="F229">IF(E229="","",IF(H228&lt;&gt;"",H228,INDEX(D:D,E229)))</f>
        <v>0</v>
      </c>
      <c r="G229" s="232" t="str">
        <f t="shared" si="30"/>
        <v>0</v>
      </c>
      <c r="H229" s="233" t="str">
        <f t="shared" si="31"/>
        <v/>
      </c>
      <c r="I229" s="231" t="str">
        <f>IF(AND(F229&lt;&gt;"",N10&gt;0,M229&gt;N10),"Mot &gt; limite","")</f>
        <v/>
      </c>
      <c r="M229" s="126">
        <f>IF(OR(F229="",N10="",N10&lt;=0),"",IF(LEN(F229)&lt;=N10,LEN(F229),IFERROR(FIND("♦",SUBSTITUTE(LEFT(F229,N10)," ","♦",LEN(LEFT(F229,N10))-LEN(SUBSTITUTE(LEFT(F229,N10)," ","")))),FIND(" ",F229&amp;" ",N10+1)-1)))</f>
        <v>1</v>
      </c>
      <c r="N229" s="234">
        <f t="shared" si="32"/>
        <v>212</v>
      </c>
      <c r="O229" s="165" t="str">
        <f t="shared" si="33"/>
        <v>0</v>
      </c>
      <c r="P229" s="234">
        <f t="shared" si="34"/>
        <v>1</v>
      </c>
      <c r="Q229" s="234">
        <f t="shared" si="35"/>
        <v>1</v>
      </c>
      <c r="S229" s="214"/>
      <c r="T229" s="229" t="s">
        <v>1305</v>
      </c>
      <c r="U229" s="222" t="s">
        <v>1306</v>
      </c>
      <c r="V229" s="214"/>
      <c r="W229" s="214"/>
      <c r="X229" s="214"/>
      <c r="Y229" s="214"/>
      <c r="Z229" s="214"/>
      <c r="AA229" s="214"/>
      <c r="AB229" s="214"/>
      <c r="AC229" s="214"/>
      <c r="AD229" s="214"/>
      <c r="AE229" s="214"/>
      <c r="AF229" s="214"/>
      <c r="AG229" s="214"/>
      <c r="AH229" s="214"/>
      <c r="AI229" s="214"/>
      <c r="AJ229" s="214"/>
      <c r="AK229" s="214"/>
      <c r="DE229" s="152"/>
      <c r="DF229" s="160" t="s">
        <v>1307</v>
      </c>
      <c r="DG229" s="160" t="s">
        <v>617</v>
      </c>
      <c r="DH229" s="160" t="s">
        <v>125</v>
      </c>
      <c r="DI229" s="160" t="s">
        <v>1308</v>
      </c>
      <c r="DJ229" s="160" t="s">
        <v>1308</v>
      </c>
      <c r="DK229" s="160" t="s">
        <v>1259</v>
      </c>
      <c r="DL229" s="160" t="s">
        <v>1260</v>
      </c>
      <c r="DM229" s="160" t="s">
        <v>1261</v>
      </c>
      <c r="DN229" s="161" t="s">
        <v>1262</v>
      </c>
      <c r="DP229" s="130">
        <v>1</v>
      </c>
    </row>
    <row r="230" spans="2:120">
      <c r="B230" s="231"/>
      <c r="C230" s="231"/>
      <c r="D230" s="231"/>
      <c r="E230" s="231" cm="1">
        <f t="array" ref="E230">IF(H229&lt;&gt;"",E229,IF(E229="","",IFERROR(MATCH(TRUE(),INDEX(INDEX(K:K,E229+1):K203&lt;&gt;"",0),0)+E229,"")))</f>
        <v>322</v>
      </c>
      <c r="F230" s="232" cm="1">
        <f t="array" ref="F230">IF(E230="","",IF(H229&lt;&gt;"",H229,INDEX(D:D,E230)))</f>
        <v>0</v>
      </c>
      <c r="G230" s="232" t="str">
        <f t="shared" si="30"/>
        <v>0</v>
      </c>
      <c r="H230" s="233" t="str">
        <f t="shared" si="31"/>
        <v/>
      </c>
      <c r="I230" s="231" t="str">
        <f>IF(AND(F230&lt;&gt;"",N10&gt;0,M230&gt;N10),"Mot &gt; limite","")</f>
        <v/>
      </c>
      <c r="M230" s="126">
        <f>IF(OR(F230="",N10="",N10&lt;=0),"",IF(LEN(F230)&lt;=N10,LEN(F230),IFERROR(FIND("♦",SUBSTITUTE(LEFT(F230,N10)," ","♦",LEN(LEFT(F230,N10))-LEN(SUBSTITUTE(LEFT(F230,N10)," ","")))),FIND(" ",F230&amp;" ",N10+1)-1)))</f>
        <v>1</v>
      </c>
      <c r="N230" s="234">
        <f t="shared" si="32"/>
        <v>213</v>
      </c>
      <c r="O230" s="165" t="str">
        <f t="shared" si="33"/>
        <v>0</v>
      </c>
      <c r="P230" s="234">
        <f t="shared" si="34"/>
        <v>1</v>
      </c>
      <c r="Q230" s="234">
        <f t="shared" si="35"/>
        <v>1</v>
      </c>
      <c r="S230" s="214"/>
      <c r="T230" s="225" t="s">
        <v>1309</v>
      </c>
      <c r="U230" s="222" t="s">
        <v>1310</v>
      </c>
      <c r="V230" s="214"/>
      <c r="W230" s="214"/>
      <c r="X230" s="214"/>
      <c r="Y230" s="214"/>
      <c r="Z230" s="214"/>
      <c r="AA230" s="214"/>
      <c r="AB230" s="214"/>
      <c r="AC230" s="214"/>
      <c r="AD230" s="214"/>
      <c r="AE230" s="214"/>
      <c r="AF230" s="214"/>
      <c r="AG230" s="214"/>
      <c r="AH230" s="214"/>
      <c r="AI230" s="214"/>
      <c r="AJ230" s="214"/>
      <c r="AK230" s="214"/>
      <c r="DE230" s="152"/>
      <c r="DF230" s="160" t="s">
        <v>1311</v>
      </c>
      <c r="DG230" s="160" t="s">
        <v>617</v>
      </c>
      <c r="DH230" s="160" t="s">
        <v>125</v>
      </c>
      <c r="DI230" s="160" t="s">
        <v>1312</v>
      </c>
      <c r="DJ230" s="160" t="s">
        <v>1312</v>
      </c>
      <c r="DK230" s="160" t="s">
        <v>1259</v>
      </c>
      <c r="DL230" s="160" t="s">
        <v>1260</v>
      </c>
      <c r="DM230" s="160" t="s">
        <v>1261</v>
      </c>
      <c r="DN230" s="161" t="s">
        <v>1262</v>
      </c>
      <c r="DP230" s="130">
        <v>1</v>
      </c>
    </row>
    <row r="231" spans="2:120">
      <c r="B231" s="231"/>
      <c r="C231" s="231"/>
      <c r="D231" s="231"/>
      <c r="E231" s="231" cm="1">
        <f t="array" ref="E231">IF(H230&lt;&gt;"",E230,IF(E230="","",IFERROR(MATCH(TRUE(),INDEX(INDEX(K:K,E230+1):K203&lt;&gt;"",0),0)+E230,"")))</f>
        <v>323</v>
      </c>
      <c r="F231" s="232" cm="1">
        <f t="array" ref="F231">IF(E231="","",IF(H230&lt;&gt;"",H230,INDEX(D:D,E231)))</f>
        <v>0</v>
      </c>
      <c r="G231" s="232" t="str">
        <f t="shared" si="30"/>
        <v>0</v>
      </c>
      <c r="H231" s="233" t="str">
        <f t="shared" si="31"/>
        <v/>
      </c>
      <c r="I231" s="231" t="str">
        <f>IF(AND(F231&lt;&gt;"",N10&gt;0,M231&gt;N10),"Mot &gt; limite","")</f>
        <v/>
      </c>
      <c r="M231" s="126">
        <f>IF(OR(F231="",N10="",N10&lt;=0),"",IF(LEN(F231)&lt;=N10,LEN(F231),IFERROR(FIND("♦",SUBSTITUTE(LEFT(F231,N10)," ","♦",LEN(LEFT(F231,N10))-LEN(SUBSTITUTE(LEFT(F231,N10)," ","")))),FIND(" ",F231&amp;" ",N10+1)-1)))</f>
        <v>1</v>
      </c>
      <c r="N231" s="234">
        <f t="shared" si="32"/>
        <v>214</v>
      </c>
      <c r="O231" s="165" t="str">
        <f t="shared" si="33"/>
        <v>0</v>
      </c>
      <c r="P231" s="234">
        <f t="shared" si="34"/>
        <v>1</v>
      </c>
      <c r="Q231" s="234">
        <f t="shared" si="35"/>
        <v>1</v>
      </c>
      <c r="S231" s="214"/>
      <c r="T231" s="225" t="s">
        <v>1313</v>
      </c>
      <c r="U231" s="222" t="s">
        <v>1314</v>
      </c>
      <c r="V231" s="214"/>
      <c r="W231" s="214"/>
      <c r="X231" s="214"/>
      <c r="Y231" s="214"/>
      <c r="Z231" s="214"/>
      <c r="AA231" s="214"/>
      <c r="AB231" s="214"/>
      <c r="AC231" s="214"/>
      <c r="AD231" s="214"/>
      <c r="AE231" s="214"/>
      <c r="AF231" s="214"/>
      <c r="AG231" s="214"/>
      <c r="AH231" s="214"/>
      <c r="AI231" s="214"/>
      <c r="AJ231" s="214"/>
      <c r="AK231" s="214"/>
      <c r="DE231" s="152"/>
      <c r="DF231" s="160" t="s">
        <v>1315</v>
      </c>
      <c r="DG231" s="160" t="s">
        <v>617</v>
      </c>
      <c r="DH231" s="160" t="s">
        <v>125</v>
      </c>
      <c r="DI231" s="160" t="s">
        <v>1316</v>
      </c>
      <c r="DJ231" s="160" t="s">
        <v>1316</v>
      </c>
      <c r="DK231" s="160" t="s">
        <v>1259</v>
      </c>
      <c r="DL231" s="160" t="s">
        <v>1268</v>
      </c>
      <c r="DM231" s="160" t="s">
        <v>590</v>
      </c>
      <c r="DN231" s="161" t="s">
        <v>591</v>
      </c>
      <c r="DP231" s="130">
        <v>1</v>
      </c>
    </row>
    <row r="232" spans="2:120">
      <c r="B232" s="231"/>
      <c r="C232" s="231"/>
      <c r="D232" s="231"/>
      <c r="E232" s="231" cm="1">
        <f t="array" ref="E232">IF(H231&lt;&gt;"",E231,IF(E231="","",IFERROR(MATCH(TRUE(),INDEX(INDEX(K:K,E231+1):K203&lt;&gt;"",0),0)+E231,"")))</f>
        <v>324</v>
      </c>
      <c r="F232" s="232" cm="1">
        <f t="array" ref="F232">IF(E232="","",IF(H231&lt;&gt;"",H231,INDEX(D:D,E232)))</f>
        <v>0</v>
      </c>
      <c r="G232" s="232" t="str">
        <f t="shared" si="30"/>
        <v>0</v>
      </c>
      <c r="H232" s="233" t="str">
        <f t="shared" si="31"/>
        <v/>
      </c>
      <c r="I232" s="231" t="str">
        <f>IF(AND(F232&lt;&gt;"",N10&gt;0,M232&gt;N10),"Mot &gt; limite","")</f>
        <v/>
      </c>
      <c r="M232" s="126">
        <f>IF(OR(F232="",N10="",N10&lt;=0),"",IF(LEN(F232)&lt;=N10,LEN(F232),IFERROR(FIND("♦",SUBSTITUTE(LEFT(F232,N10)," ","♦",LEN(LEFT(F232,N10))-LEN(SUBSTITUTE(LEFT(F232,N10)," ","")))),FIND(" ",F232&amp;" ",N10+1)-1)))</f>
        <v>1</v>
      </c>
      <c r="N232" s="234">
        <f t="shared" si="32"/>
        <v>215</v>
      </c>
      <c r="O232" s="165" t="str">
        <f t="shared" si="33"/>
        <v>0</v>
      </c>
      <c r="P232" s="234">
        <f t="shared" si="34"/>
        <v>1</v>
      </c>
      <c r="Q232" s="234">
        <f t="shared" si="35"/>
        <v>1</v>
      </c>
      <c r="S232" s="214"/>
      <c r="T232" s="237"/>
      <c r="U232" s="222"/>
      <c r="V232" s="214"/>
      <c r="W232" s="214"/>
      <c r="X232" s="214"/>
      <c r="Y232" s="214"/>
      <c r="Z232" s="214"/>
      <c r="AA232" s="214"/>
      <c r="AB232" s="214"/>
      <c r="AC232" s="214"/>
      <c r="AD232" s="214"/>
      <c r="AE232" s="214"/>
      <c r="AF232" s="214"/>
      <c r="AG232" s="214"/>
      <c r="AH232" s="214"/>
      <c r="AI232" s="214"/>
      <c r="AJ232" s="214"/>
      <c r="AK232" s="214"/>
      <c r="DE232" s="152"/>
      <c r="DF232" s="160" t="s">
        <v>1317</v>
      </c>
      <c r="DG232" s="160" t="s">
        <v>617</v>
      </c>
      <c r="DH232" s="160" t="s">
        <v>125</v>
      </c>
      <c r="DI232" s="160" t="s">
        <v>433</v>
      </c>
      <c r="DJ232" s="160" t="s">
        <v>433</v>
      </c>
      <c r="DK232" s="160" t="s">
        <v>666</v>
      </c>
      <c r="DL232" s="160" t="s">
        <v>667</v>
      </c>
      <c r="DM232" s="160" t="s">
        <v>590</v>
      </c>
      <c r="DN232" s="161" t="s">
        <v>668</v>
      </c>
      <c r="DP232" s="130">
        <v>1</v>
      </c>
    </row>
    <row r="233" spans="2:120">
      <c r="B233" s="231"/>
      <c r="C233" s="231"/>
      <c r="D233" s="231"/>
      <c r="E233" s="231" cm="1">
        <f t="array" ref="E233">IF(H232&lt;&gt;"",E232,IF(E232="","",IFERROR(MATCH(TRUE(),INDEX(INDEX(K:K,E232+1):K203&lt;&gt;"",0),0)+E232,"")))</f>
        <v>325</v>
      </c>
      <c r="F233" s="232" cm="1">
        <f t="array" ref="F233">IF(E233="","",IF(H232&lt;&gt;"",H232,INDEX(D:D,E233)))</f>
        <v>0</v>
      </c>
      <c r="G233" s="232" t="str">
        <f t="shared" si="30"/>
        <v>0</v>
      </c>
      <c r="H233" s="233" t="str">
        <f t="shared" si="31"/>
        <v/>
      </c>
      <c r="I233" s="231" t="str">
        <f>IF(AND(F233&lt;&gt;"",N10&gt;0,M233&gt;N10),"Mot &gt; limite","")</f>
        <v/>
      </c>
      <c r="M233" s="126">
        <f>IF(OR(F233="",N10="",N10&lt;=0),"",IF(LEN(F233)&lt;=N10,LEN(F233),IFERROR(FIND("♦",SUBSTITUTE(LEFT(F233,N10)," ","♦",LEN(LEFT(F233,N10))-LEN(SUBSTITUTE(LEFT(F233,N10)," ","")))),FIND(" ",F233&amp;" ",N10+1)-1)))</f>
        <v>1</v>
      </c>
      <c r="N233" s="234">
        <f t="shared" si="32"/>
        <v>216</v>
      </c>
      <c r="O233" s="165" t="str">
        <f t="shared" si="33"/>
        <v>0</v>
      </c>
      <c r="P233" s="234">
        <f t="shared" si="34"/>
        <v>1</v>
      </c>
      <c r="Q233" s="234">
        <f t="shared" si="35"/>
        <v>1</v>
      </c>
      <c r="S233" s="214"/>
      <c r="T233" s="236" t="s">
        <v>1318</v>
      </c>
      <c r="U233" s="235"/>
      <c r="V233" s="214"/>
      <c r="W233" s="214"/>
      <c r="X233" s="214"/>
      <c r="Y233" s="214"/>
      <c r="Z233" s="214"/>
      <c r="AA233" s="214"/>
      <c r="AB233" s="214"/>
      <c r="AC233" s="214"/>
      <c r="AD233" s="214"/>
      <c r="AE233" s="214"/>
      <c r="AF233" s="214"/>
      <c r="AG233" s="214"/>
      <c r="AH233" s="214"/>
      <c r="AI233" s="214"/>
      <c r="AJ233" s="214"/>
      <c r="AK233" s="214"/>
      <c r="DE233" s="152"/>
      <c r="DF233" s="160" t="s">
        <v>1319</v>
      </c>
      <c r="DG233" s="160" t="s">
        <v>617</v>
      </c>
      <c r="DH233" s="160" t="s">
        <v>125</v>
      </c>
      <c r="DI233" s="160" t="s">
        <v>143</v>
      </c>
      <c r="DJ233" s="160" t="s">
        <v>143</v>
      </c>
      <c r="DK233" s="160" t="s">
        <v>1259</v>
      </c>
      <c r="DL233" s="160" t="s">
        <v>1260</v>
      </c>
      <c r="DM233" s="160" t="s">
        <v>1261</v>
      </c>
      <c r="DN233" s="161" t="s">
        <v>1262</v>
      </c>
      <c r="DP233" s="130">
        <v>1</v>
      </c>
    </row>
    <row r="234" spans="2:120">
      <c r="B234" s="231"/>
      <c r="C234" s="231"/>
      <c r="D234" s="231"/>
      <c r="E234" s="231" cm="1">
        <f t="array" ref="E234">IF(H233&lt;&gt;"",E233,IF(E233="","",IFERROR(MATCH(TRUE(),INDEX(INDEX(K:K,E233+1):K203&lt;&gt;"",0),0)+E233,"")))</f>
        <v>326</v>
      </c>
      <c r="F234" s="232" cm="1">
        <f t="array" ref="F234">IF(E234="","",IF(H233&lt;&gt;"",H233,INDEX(D:D,E234)))</f>
        <v>0</v>
      </c>
      <c r="G234" s="232" t="str">
        <f t="shared" si="30"/>
        <v>0</v>
      </c>
      <c r="H234" s="233" t="str">
        <f t="shared" si="31"/>
        <v/>
      </c>
      <c r="I234" s="231" t="str">
        <f>IF(AND(F234&lt;&gt;"",N10&gt;0,M234&gt;N10),"Mot &gt; limite","")</f>
        <v/>
      </c>
      <c r="M234" s="126">
        <f>IF(OR(F234="",N10="",N10&lt;=0),"",IF(LEN(F234)&lt;=N10,LEN(F234),IFERROR(FIND("♦",SUBSTITUTE(LEFT(F234,N10)," ","♦",LEN(LEFT(F234,N10))-LEN(SUBSTITUTE(LEFT(F234,N10)," ","")))),FIND(" ",F234&amp;" ",N10+1)-1)))</f>
        <v>1</v>
      </c>
      <c r="N234" s="234">
        <f t="shared" si="32"/>
        <v>217</v>
      </c>
      <c r="O234" s="165" t="str">
        <f t="shared" si="33"/>
        <v>0</v>
      </c>
      <c r="P234" s="234">
        <f t="shared" si="34"/>
        <v>1</v>
      </c>
      <c r="Q234" s="234">
        <f t="shared" si="35"/>
        <v>1</v>
      </c>
      <c r="S234" s="214"/>
      <c r="T234" s="225" t="s">
        <v>1320</v>
      </c>
      <c r="U234" s="222" t="s">
        <v>1321</v>
      </c>
      <c r="V234" s="214"/>
      <c r="W234" s="214"/>
      <c r="X234" s="214"/>
      <c r="Y234" s="214"/>
      <c r="Z234" s="214"/>
      <c r="AA234" s="214"/>
      <c r="AB234" s="214"/>
      <c r="AC234" s="214"/>
      <c r="AD234" s="214"/>
      <c r="AE234" s="214"/>
      <c r="AF234" s="214"/>
      <c r="AG234" s="214"/>
      <c r="AH234" s="214"/>
      <c r="AI234" s="214"/>
      <c r="AJ234" s="214"/>
      <c r="AK234" s="214"/>
      <c r="DE234" s="152"/>
      <c r="DF234" s="160" t="s">
        <v>1322</v>
      </c>
      <c r="DG234" s="160" t="s">
        <v>617</v>
      </c>
      <c r="DH234" s="160" t="s">
        <v>125</v>
      </c>
      <c r="DI234" s="160" t="s">
        <v>1323</v>
      </c>
      <c r="DJ234" s="160" t="s">
        <v>1323</v>
      </c>
      <c r="DK234" s="160" t="s">
        <v>1259</v>
      </c>
      <c r="DL234" s="160" t="s">
        <v>1260</v>
      </c>
      <c r="DM234" s="160" t="s">
        <v>1261</v>
      </c>
      <c r="DN234" s="161" t="s">
        <v>1262</v>
      </c>
      <c r="DP234" s="130">
        <v>1</v>
      </c>
    </row>
    <row r="235" spans="2:120">
      <c r="B235" s="231"/>
      <c r="C235" s="231"/>
      <c r="D235" s="231"/>
      <c r="E235" s="231" cm="1">
        <f t="array" ref="E235">IF(H234&lt;&gt;"",E234,IF(E234="","",IFERROR(MATCH(TRUE(),INDEX(INDEX(K:K,E234+1):K203&lt;&gt;"",0),0)+E234,"")))</f>
        <v>327</v>
      </c>
      <c r="F235" s="232" cm="1">
        <f t="array" ref="F235">IF(E235="","",IF(H234&lt;&gt;"",H234,INDEX(D:D,E235)))</f>
        <v>0</v>
      </c>
      <c r="G235" s="232" t="str">
        <f t="shared" si="30"/>
        <v>0</v>
      </c>
      <c r="H235" s="233" t="str">
        <f t="shared" si="31"/>
        <v/>
      </c>
      <c r="I235" s="231" t="str">
        <f>IF(AND(F235&lt;&gt;"",N10&gt;0,M235&gt;N10),"Mot &gt; limite","")</f>
        <v/>
      </c>
      <c r="M235" s="126">
        <f>IF(OR(F235="",N10="",N10&lt;=0),"",IF(LEN(F235)&lt;=N10,LEN(F235),IFERROR(FIND("♦",SUBSTITUTE(LEFT(F235,N10)," ","♦",LEN(LEFT(F235,N10))-LEN(SUBSTITUTE(LEFT(F235,N10)," ","")))),FIND(" ",F235&amp;" ",N10+1)-1)))</f>
        <v>1</v>
      </c>
      <c r="N235" s="234">
        <f t="shared" si="32"/>
        <v>218</v>
      </c>
      <c r="O235" s="165" t="str">
        <f t="shared" si="33"/>
        <v>0</v>
      </c>
      <c r="P235" s="234">
        <f t="shared" si="34"/>
        <v>1</v>
      </c>
      <c r="Q235" s="234">
        <f t="shared" si="35"/>
        <v>1</v>
      </c>
      <c r="S235" s="214"/>
      <c r="T235" s="225" t="s">
        <v>1324</v>
      </c>
      <c r="U235" s="222" t="s">
        <v>1325</v>
      </c>
      <c r="V235" s="214"/>
      <c r="W235" s="214"/>
      <c r="X235" s="214"/>
      <c r="Y235" s="214"/>
      <c r="Z235" s="214"/>
      <c r="AA235" s="214"/>
      <c r="AB235" s="214"/>
      <c r="AC235" s="214"/>
      <c r="AD235" s="214"/>
      <c r="AE235" s="214"/>
      <c r="AF235" s="214"/>
      <c r="AG235" s="214"/>
      <c r="AH235" s="214"/>
      <c r="AI235" s="214"/>
      <c r="AJ235" s="214"/>
      <c r="AK235" s="214"/>
      <c r="DE235" s="152"/>
      <c r="DF235" s="160" t="s">
        <v>1326</v>
      </c>
      <c r="DG235" s="160" t="s">
        <v>617</v>
      </c>
      <c r="DH235" s="160" t="s">
        <v>125</v>
      </c>
      <c r="DI235" s="160" t="s">
        <v>1327</v>
      </c>
      <c r="DJ235" s="160" t="s">
        <v>1327</v>
      </c>
      <c r="DK235" s="160" t="s">
        <v>1259</v>
      </c>
      <c r="DL235" s="160" t="s">
        <v>1260</v>
      </c>
      <c r="DM235" s="160" t="s">
        <v>1261</v>
      </c>
      <c r="DN235" s="161" t="s">
        <v>1262</v>
      </c>
      <c r="DP235" s="130">
        <v>1</v>
      </c>
    </row>
    <row r="236" spans="2:120">
      <c r="B236" s="231"/>
      <c r="C236" s="231"/>
      <c r="D236" s="231"/>
      <c r="E236" s="231" cm="1">
        <f t="array" ref="E236">IF(H235&lt;&gt;"",E235,IF(E235="","",IFERROR(MATCH(TRUE(),INDEX(INDEX(K:K,E235+1):K203&lt;&gt;"",0),0)+E235,"")))</f>
        <v>328</v>
      </c>
      <c r="F236" s="232" cm="1">
        <f t="array" ref="F236">IF(E236="","",IF(H235&lt;&gt;"",H235,INDEX(D:D,E236)))</f>
        <v>0</v>
      </c>
      <c r="G236" s="232" t="str">
        <f t="shared" si="30"/>
        <v>0</v>
      </c>
      <c r="H236" s="233" t="str">
        <f t="shared" si="31"/>
        <v/>
      </c>
      <c r="I236" s="231" t="str">
        <f>IF(AND(F236&lt;&gt;"",N10&gt;0,M236&gt;N10),"Mot &gt; limite","")</f>
        <v/>
      </c>
      <c r="M236" s="126">
        <f>IF(OR(F236="",N10="",N10&lt;=0),"",IF(LEN(F236)&lt;=N10,LEN(F236),IFERROR(FIND("♦",SUBSTITUTE(LEFT(F236,N10)," ","♦",LEN(LEFT(F236,N10))-LEN(SUBSTITUTE(LEFT(F236,N10)," ","")))),FIND(" ",F236&amp;" ",N10+1)-1)))</f>
        <v>1</v>
      </c>
      <c r="N236" s="234">
        <f t="shared" si="32"/>
        <v>219</v>
      </c>
      <c r="O236" s="165" t="str">
        <f t="shared" si="33"/>
        <v>0</v>
      </c>
      <c r="P236" s="234">
        <f t="shared" si="34"/>
        <v>1</v>
      </c>
      <c r="Q236" s="234">
        <f t="shared" si="35"/>
        <v>1</v>
      </c>
      <c r="S236" s="214"/>
      <c r="T236" s="225"/>
      <c r="U236" s="222" t="s">
        <v>1328</v>
      </c>
      <c r="V236" s="214"/>
      <c r="W236" s="214"/>
      <c r="X236" s="214"/>
      <c r="Y236" s="214"/>
      <c r="Z236" s="214"/>
      <c r="AA236" s="214"/>
      <c r="AB236" s="214"/>
      <c r="AC236" s="214"/>
      <c r="AD236" s="214"/>
      <c r="AE236" s="214"/>
      <c r="AF236" s="214"/>
      <c r="AG236" s="214"/>
      <c r="AH236" s="214"/>
      <c r="AI236" s="214"/>
      <c r="AJ236" s="214"/>
      <c r="AK236" s="214"/>
      <c r="DE236" s="152"/>
      <c r="DF236" s="160" t="s">
        <v>1329</v>
      </c>
      <c r="DG236" s="160" t="s">
        <v>617</v>
      </c>
      <c r="DH236" s="160" t="s">
        <v>125</v>
      </c>
      <c r="DI236" s="160" t="s">
        <v>1330</v>
      </c>
      <c r="DJ236" s="160" t="s">
        <v>1330</v>
      </c>
      <c r="DK236" s="160" t="s">
        <v>1259</v>
      </c>
      <c r="DL236" s="160" t="s">
        <v>1260</v>
      </c>
      <c r="DM236" s="160" t="s">
        <v>1261</v>
      </c>
      <c r="DN236" s="161" t="s">
        <v>1262</v>
      </c>
      <c r="DP236" s="130">
        <v>1</v>
      </c>
    </row>
    <row r="237" spans="2:120">
      <c r="B237" s="231"/>
      <c r="C237" s="231"/>
      <c r="D237" s="231"/>
      <c r="E237" s="231" cm="1">
        <f t="array" ref="E237">IF(H236&lt;&gt;"",E236,IF(E236="","",IFERROR(MATCH(TRUE(),INDEX(INDEX(K:K,E236+1):K203&lt;&gt;"",0),0)+E236,"")))</f>
        <v>329</v>
      </c>
      <c r="F237" s="232" cm="1">
        <f t="array" ref="F237">IF(E237="","",IF(H236&lt;&gt;"",H236,INDEX(D:D,E237)))</f>
        <v>0</v>
      </c>
      <c r="G237" s="232" t="str">
        <f t="shared" si="30"/>
        <v>0</v>
      </c>
      <c r="H237" s="233" t="str">
        <f t="shared" si="31"/>
        <v/>
      </c>
      <c r="I237" s="231" t="str">
        <f>IF(AND(F237&lt;&gt;"",N10&gt;0,M237&gt;N10),"Mot &gt; limite","")</f>
        <v/>
      </c>
      <c r="M237" s="126">
        <f>IF(OR(F237="",N10="",N10&lt;=0),"",IF(LEN(F237)&lt;=N10,LEN(F237),IFERROR(FIND("♦",SUBSTITUTE(LEFT(F237,N10)," ","♦",LEN(LEFT(F237,N10))-LEN(SUBSTITUTE(LEFT(F237,N10)," ","")))),FIND(" ",F237&amp;" ",N10+1)-1)))</f>
        <v>1</v>
      </c>
      <c r="N237" s="234">
        <f t="shared" si="32"/>
        <v>220</v>
      </c>
      <c r="O237" s="165" t="str">
        <f t="shared" si="33"/>
        <v>0</v>
      </c>
      <c r="P237" s="234">
        <f t="shared" si="34"/>
        <v>1</v>
      </c>
      <c r="Q237" s="234">
        <f t="shared" si="35"/>
        <v>1</v>
      </c>
      <c r="S237" s="214"/>
      <c r="T237" s="225" t="s">
        <v>1331</v>
      </c>
      <c r="U237" s="222" t="s">
        <v>1332</v>
      </c>
      <c r="V237" s="214"/>
      <c r="W237" s="214"/>
      <c r="X237" s="214"/>
      <c r="Y237" s="214"/>
      <c r="Z237" s="214"/>
      <c r="AA237" s="214"/>
      <c r="AB237" s="214"/>
      <c r="AC237" s="214"/>
      <c r="AD237" s="214"/>
      <c r="AE237" s="214"/>
      <c r="AF237" s="214"/>
      <c r="AG237" s="214"/>
      <c r="AH237" s="214"/>
      <c r="AI237" s="214"/>
      <c r="AJ237" s="214"/>
      <c r="AK237" s="214"/>
      <c r="DE237" s="152"/>
      <c r="DF237" s="160" t="s">
        <v>1333</v>
      </c>
      <c r="DG237" s="160" t="s">
        <v>617</v>
      </c>
      <c r="DH237" s="160" t="s">
        <v>125</v>
      </c>
      <c r="DI237" s="160" t="s">
        <v>1334</v>
      </c>
      <c r="DJ237" s="160" t="s">
        <v>1334</v>
      </c>
      <c r="DK237" s="160" t="s">
        <v>1259</v>
      </c>
      <c r="DL237" s="160" t="s">
        <v>1260</v>
      </c>
      <c r="DM237" s="160" t="s">
        <v>1261</v>
      </c>
      <c r="DN237" s="161" t="s">
        <v>1262</v>
      </c>
      <c r="DP237" s="130">
        <v>1</v>
      </c>
    </row>
    <row r="238" spans="2:120">
      <c r="B238" s="231"/>
      <c r="C238" s="231"/>
      <c r="D238" s="231"/>
      <c r="E238" s="231" cm="1">
        <f t="array" ref="E238">IF(H237&lt;&gt;"",E237,IF(E237="","",IFERROR(MATCH(TRUE(),INDEX(INDEX(K:K,E237+1):K203&lt;&gt;"",0),0)+E237,"")))</f>
        <v>330</v>
      </c>
      <c r="F238" s="232" cm="1">
        <f t="array" ref="F238">IF(E238="","",IF(H237&lt;&gt;"",H237,INDEX(D:D,E238)))</f>
        <v>0</v>
      </c>
      <c r="G238" s="232" t="str">
        <f t="shared" si="30"/>
        <v>0</v>
      </c>
      <c r="H238" s="233" t="str">
        <f t="shared" si="31"/>
        <v/>
      </c>
      <c r="I238" s="231" t="str">
        <f>IF(AND(F238&lt;&gt;"",N10&gt;0,M238&gt;N10),"Mot &gt; limite","")</f>
        <v/>
      </c>
      <c r="M238" s="126">
        <f>IF(OR(F238="",N10="",N10&lt;=0),"",IF(LEN(F238)&lt;=N10,LEN(F238),IFERROR(FIND("♦",SUBSTITUTE(LEFT(F238,N10)," ","♦",LEN(LEFT(F238,N10))-LEN(SUBSTITUTE(LEFT(F238,N10)," ","")))),FIND(" ",F238&amp;" ",N10+1)-1)))</f>
        <v>1</v>
      </c>
      <c r="N238" s="234">
        <f t="shared" si="32"/>
        <v>221</v>
      </c>
      <c r="O238" s="165" t="str">
        <f t="shared" si="33"/>
        <v>0</v>
      </c>
      <c r="P238" s="234">
        <f t="shared" si="34"/>
        <v>1</v>
      </c>
      <c r="Q238" s="234">
        <f t="shared" si="35"/>
        <v>1</v>
      </c>
      <c r="S238" s="214"/>
      <c r="T238" s="225" t="s">
        <v>1335</v>
      </c>
      <c r="U238" s="222" t="s">
        <v>1336</v>
      </c>
      <c r="V238" s="214"/>
      <c r="W238" s="214"/>
      <c r="X238" s="214"/>
      <c r="Y238" s="214"/>
      <c r="Z238" s="214"/>
      <c r="AA238" s="214"/>
      <c r="AB238" s="214"/>
      <c r="AC238" s="214"/>
      <c r="AD238" s="214"/>
      <c r="AE238" s="214"/>
      <c r="AF238" s="214"/>
      <c r="AG238" s="214"/>
      <c r="AH238" s="214"/>
      <c r="AI238" s="214"/>
      <c r="AJ238" s="214"/>
      <c r="AK238" s="214"/>
      <c r="DE238" s="152"/>
      <c r="DF238" s="160" t="s">
        <v>1337</v>
      </c>
      <c r="DG238" s="160" t="s">
        <v>617</v>
      </c>
      <c r="DH238" s="160" t="s">
        <v>125</v>
      </c>
      <c r="DI238" s="160" t="s">
        <v>1338</v>
      </c>
      <c r="DJ238" s="160" t="s">
        <v>1338</v>
      </c>
      <c r="DK238" s="160" t="s">
        <v>1259</v>
      </c>
      <c r="DL238" s="160" t="s">
        <v>1260</v>
      </c>
      <c r="DM238" s="160" t="s">
        <v>1261</v>
      </c>
      <c r="DN238" s="161" t="s">
        <v>1262</v>
      </c>
      <c r="DP238" s="130">
        <v>1</v>
      </c>
    </row>
    <row r="239" spans="2:120">
      <c r="B239" s="231"/>
      <c r="C239" s="231"/>
      <c r="D239" s="231"/>
      <c r="E239" s="231" cm="1">
        <f t="array" ref="E239">IF(H238&lt;&gt;"",E238,IF(E238="","",IFERROR(MATCH(TRUE(),INDEX(INDEX(K:K,E238+1):K203&lt;&gt;"",0),0)+E238,"")))</f>
        <v>331</v>
      </c>
      <c r="F239" s="232" cm="1">
        <f t="array" ref="F239">IF(E239="","",IF(H238&lt;&gt;"",H238,INDEX(D:D,E239)))</f>
        <v>0</v>
      </c>
      <c r="G239" s="232" t="str">
        <f t="shared" si="30"/>
        <v>0</v>
      </c>
      <c r="H239" s="233" t="str">
        <f t="shared" si="31"/>
        <v/>
      </c>
      <c r="I239" s="231" t="str">
        <f>IF(AND(F239&lt;&gt;"",N10&gt;0,M239&gt;N10),"Mot &gt; limite","")</f>
        <v/>
      </c>
      <c r="M239" s="126">
        <f>IF(OR(F239="",N10="",N10&lt;=0),"",IF(LEN(F239)&lt;=N10,LEN(F239),IFERROR(FIND("♦",SUBSTITUTE(LEFT(F239,N10)," ","♦",LEN(LEFT(F239,N10))-LEN(SUBSTITUTE(LEFT(F239,N10)," ","")))),FIND(" ",F239&amp;" ",N10+1)-1)))</f>
        <v>1</v>
      </c>
      <c r="N239" s="234">
        <f t="shared" si="32"/>
        <v>222</v>
      </c>
      <c r="O239" s="165" t="str">
        <f t="shared" si="33"/>
        <v>0</v>
      </c>
      <c r="P239" s="234">
        <f t="shared" si="34"/>
        <v>1</v>
      </c>
      <c r="Q239" s="234">
        <f t="shared" si="35"/>
        <v>1</v>
      </c>
      <c r="S239" s="214"/>
      <c r="T239" s="222"/>
      <c r="U239" s="222"/>
      <c r="V239" s="214"/>
      <c r="W239" s="214"/>
      <c r="X239" s="214"/>
      <c r="Y239" s="214"/>
      <c r="Z239" s="214"/>
      <c r="AA239" s="214"/>
      <c r="AB239" s="214"/>
      <c r="AC239" s="214"/>
      <c r="AD239" s="214"/>
      <c r="AE239" s="214"/>
      <c r="AF239" s="214"/>
      <c r="AG239" s="214"/>
      <c r="AH239" s="214"/>
      <c r="AI239" s="214"/>
      <c r="AJ239" s="214"/>
      <c r="AK239" s="214"/>
      <c r="DE239" s="152"/>
      <c r="DF239" s="160" t="s">
        <v>1339</v>
      </c>
      <c r="DG239" s="160" t="s">
        <v>617</v>
      </c>
      <c r="DH239" s="160" t="s">
        <v>125</v>
      </c>
      <c r="DI239" s="160" t="s">
        <v>1340</v>
      </c>
      <c r="DJ239" s="160" t="s">
        <v>1340</v>
      </c>
      <c r="DK239" s="160" t="s">
        <v>1259</v>
      </c>
      <c r="DL239" s="160" t="s">
        <v>1260</v>
      </c>
      <c r="DM239" s="160" t="s">
        <v>1261</v>
      </c>
      <c r="DN239" s="161" t="s">
        <v>1262</v>
      </c>
      <c r="DP239" s="130">
        <v>1</v>
      </c>
    </row>
    <row r="240" spans="2:120">
      <c r="B240" s="231"/>
      <c r="C240" s="231"/>
      <c r="D240" s="231"/>
      <c r="E240" s="231" cm="1">
        <f t="array" ref="E240">IF(H239&lt;&gt;"",E239,IF(E239="","",IFERROR(MATCH(TRUE(),INDEX(INDEX(K:K,E239+1):K203&lt;&gt;"",0),0)+E239,"")))</f>
        <v>332</v>
      </c>
      <c r="F240" s="232" cm="1">
        <f t="array" ref="F240">IF(E240="","",IF(H239&lt;&gt;"",H239,INDEX(D:D,E240)))</f>
        <v>0</v>
      </c>
      <c r="G240" s="232" t="str">
        <f t="shared" si="30"/>
        <v>0</v>
      </c>
      <c r="H240" s="233" t="str">
        <f t="shared" si="31"/>
        <v/>
      </c>
      <c r="I240" s="231" t="str">
        <f>IF(AND(F240&lt;&gt;"",N10&gt;0,M240&gt;N10),"Mot &gt; limite","")</f>
        <v/>
      </c>
      <c r="M240" s="126">
        <f>IF(OR(F240="",N10="",N10&lt;=0),"",IF(LEN(F240)&lt;=N10,LEN(F240),IFERROR(FIND("♦",SUBSTITUTE(LEFT(F240,N10)," ","♦",LEN(LEFT(F240,N10))-LEN(SUBSTITUTE(LEFT(F240,N10)," ","")))),FIND(" ",F240&amp;" ",N10+1)-1)))</f>
        <v>1</v>
      </c>
      <c r="N240" s="234">
        <f t="shared" si="32"/>
        <v>223</v>
      </c>
      <c r="O240" s="165" t="str">
        <f t="shared" si="33"/>
        <v>0</v>
      </c>
      <c r="P240" s="234">
        <f t="shared" si="34"/>
        <v>1</v>
      </c>
      <c r="Q240" s="234">
        <f t="shared" si="35"/>
        <v>1</v>
      </c>
      <c r="S240" s="214"/>
      <c r="T240" s="230" t="s">
        <v>1341</v>
      </c>
      <c r="U240" s="228"/>
      <c r="V240" s="214"/>
      <c r="W240" s="214"/>
      <c r="X240" s="214"/>
      <c r="Y240" s="214"/>
      <c r="Z240" s="214"/>
      <c r="AA240" s="214"/>
      <c r="AB240" s="214"/>
      <c r="AC240" s="214"/>
      <c r="AD240" s="214"/>
      <c r="AE240" s="214"/>
      <c r="AF240" s="214"/>
      <c r="AG240" s="214"/>
      <c r="AH240" s="214"/>
      <c r="AI240" s="214"/>
      <c r="AJ240" s="214"/>
      <c r="AK240" s="214"/>
      <c r="DE240" s="152"/>
      <c r="DF240" s="160" t="s">
        <v>1342</v>
      </c>
      <c r="DG240" s="160" t="s">
        <v>617</v>
      </c>
      <c r="DH240" s="160" t="s">
        <v>125</v>
      </c>
      <c r="DI240" s="160" t="s">
        <v>1343</v>
      </c>
      <c r="DJ240" s="160" t="s">
        <v>1343</v>
      </c>
      <c r="DK240" s="160" t="s">
        <v>1259</v>
      </c>
      <c r="DL240" s="160" t="s">
        <v>1260</v>
      </c>
      <c r="DM240" s="160" t="s">
        <v>1261</v>
      </c>
      <c r="DN240" s="161" t="s">
        <v>1262</v>
      </c>
      <c r="DP240" s="130">
        <v>1</v>
      </c>
    </row>
    <row r="241" spans="2:120">
      <c r="B241" s="231"/>
      <c r="C241" s="231"/>
      <c r="D241" s="231"/>
      <c r="E241" s="231" cm="1">
        <f t="array" ref="E241">IF(H240&lt;&gt;"",E240,IF(E240="","",IFERROR(MATCH(TRUE(),INDEX(INDEX(K:K,E240+1):K203&lt;&gt;"",0),0)+E240,"")))</f>
        <v>333</v>
      </c>
      <c r="F241" s="232" cm="1">
        <f t="array" ref="F241">IF(E241="","",IF(H240&lt;&gt;"",H240,INDEX(D:D,E241)))</f>
        <v>0</v>
      </c>
      <c r="G241" s="232" t="str">
        <f t="shared" si="30"/>
        <v>0</v>
      </c>
      <c r="H241" s="233" t="str">
        <f t="shared" si="31"/>
        <v/>
      </c>
      <c r="I241" s="231" t="str">
        <f>IF(AND(F241&lt;&gt;"",N10&gt;0,M241&gt;N10),"Mot &gt; limite","")</f>
        <v/>
      </c>
      <c r="M241" s="126">
        <f>IF(OR(F241="",N10="",N10&lt;=0),"",IF(LEN(F241)&lt;=N10,LEN(F241),IFERROR(FIND("♦",SUBSTITUTE(LEFT(F241,N10)," ","♦",LEN(LEFT(F241,N10))-LEN(SUBSTITUTE(LEFT(F241,N10)," ","")))),FIND(" ",F241&amp;" ",N10+1)-1)))</f>
        <v>1</v>
      </c>
      <c r="N241" s="234">
        <f t="shared" si="32"/>
        <v>224</v>
      </c>
      <c r="O241" s="165" t="str">
        <f t="shared" si="33"/>
        <v>0</v>
      </c>
      <c r="P241" s="234">
        <f t="shared" si="34"/>
        <v>1</v>
      </c>
      <c r="Q241" s="234">
        <f t="shared" si="35"/>
        <v>1</v>
      </c>
      <c r="S241" s="214"/>
      <c r="T241" s="225" t="s">
        <v>1344</v>
      </c>
      <c r="U241" s="222" t="s">
        <v>1345</v>
      </c>
      <c r="V241" s="214"/>
      <c r="W241" s="214"/>
      <c r="X241" s="214"/>
      <c r="Y241" s="214"/>
      <c r="Z241" s="214"/>
      <c r="AA241" s="214"/>
      <c r="AB241" s="214"/>
      <c r="AC241" s="214"/>
      <c r="AD241" s="214"/>
      <c r="AE241" s="214"/>
      <c r="AF241" s="214"/>
      <c r="AG241" s="214"/>
      <c r="AH241" s="214"/>
      <c r="AI241" s="214"/>
      <c r="AJ241" s="214"/>
      <c r="AK241" s="214"/>
      <c r="DE241" s="152"/>
      <c r="DF241" s="160" t="s">
        <v>1346</v>
      </c>
      <c r="DG241" s="160" t="s">
        <v>617</v>
      </c>
      <c r="DH241" s="160" t="s">
        <v>125</v>
      </c>
      <c r="DI241" s="160" t="s">
        <v>1347</v>
      </c>
      <c r="DJ241" s="160" t="s">
        <v>1347</v>
      </c>
      <c r="DK241" s="160" t="s">
        <v>1259</v>
      </c>
      <c r="DL241" s="160" t="s">
        <v>1260</v>
      </c>
      <c r="DM241" s="160" t="s">
        <v>1261</v>
      </c>
      <c r="DN241" s="161" t="s">
        <v>1262</v>
      </c>
      <c r="DP241" s="130">
        <v>1</v>
      </c>
    </row>
    <row r="242" spans="2:120">
      <c r="B242" s="231"/>
      <c r="C242" s="231"/>
      <c r="D242" s="231"/>
      <c r="E242" s="231" cm="1">
        <f t="array" ref="E242">IF(H241&lt;&gt;"",E241,IF(E241="","",IFERROR(MATCH(TRUE(),INDEX(INDEX(K:K,E241+1):K203&lt;&gt;"",0),0)+E241,"")))</f>
        <v>334</v>
      </c>
      <c r="F242" s="232" cm="1">
        <f t="array" ref="F242">IF(E242="","",IF(H241&lt;&gt;"",H241,INDEX(D:D,E242)))</f>
        <v>0</v>
      </c>
      <c r="G242" s="232" t="str">
        <f t="shared" si="30"/>
        <v>0</v>
      </c>
      <c r="H242" s="233" t="str">
        <f t="shared" si="31"/>
        <v/>
      </c>
      <c r="I242" s="231" t="str">
        <f>IF(AND(F242&lt;&gt;"",N10&gt;0,M242&gt;N10),"Mot &gt; limite","")</f>
        <v/>
      </c>
      <c r="M242" s="126">
        <f>IF(OR(F242="",N10="",N10&lt;=0),"",IF(LEN(F242)&lt;=N10,LEN(F242),IFERROR(FIND("♦",SUBSTITUTE(LEFT(F242,N10)," ","♦",LEN(LEFT(F242,N10))-LEN(SUBSTITUTE(LEFT(F242,N10)," ","")))),FIND(" ",F242&amp;" ",N10+1)-1)))</f>
        <v>1</v>
      </c>
      <c r="N242" s="234">
        <f t="shared" si="32"/>
        <v>225</v>
      </c>
      <c r="O242" s="165" t="str">
        <f t="shared" si="33"/>
        <v>0</v>
      </c>
      <c r="P242" s="234">
        <f t="shared" si="34"/>
        <v>1</v>
      </c>
      <c r="Q242" s="234">
        <f t="shared" si="35"/>
        <v>1</v>
      </c>
      <c r="S242" s="214"/>
      <c r="T242" s="225" t="s">
        <v>1348</v>
      </c>
      <c r="U242" s="222" t="s">
        <v>1349</v>
      </c>
      <c r="V242" s="214"/>
      <c r="W242" s="214"/>
      <c r="X242" s="214"/>
      <c r="Y242" s="214"/>
      <c r="Z242" s="214"/>
      <c r="AA242" s="214"/>
      <c r="AB242" s="214"/>
      <c r="AC242" s="214"/>
      <c r="AD242" s="214"/>
      <c r="AE242" s="214"/>
      <c r="AF242" s="214"/>
      <c r="AG242" s="214"/>
      <c r="AH242" s="214"/>
      <c r="AI242" s="214"/>
      <c r="AJ242" s="214"/>
      <c r="AK242" s="214"/>
      <c r="DE242" s="152"/>
      <c r="DF242" s="160" t="s">
        <v>1350</v>
      </c>
      <c r="DG242" s="160" t="s">
        <v>617</v>
      </c>
      <c r="DH242" s="160" t="s">
        <v>125</v>
      </c>
      <c r="DI242" s="160" t="s">
        <v>1351</v>
      </c>
      <c r="DJ242" s="160" t="s">
        <v>1351</v>
      </c>
      <c r="DK242" s="160" t="s">
        <v>1259</v>
      </c>
      <c r="DL242" s="160" t="s">
        <v>1260</v>
      </c>
      <c r="DM242" s="160" t="s">
        <v>1261</v>
      </c>
      <c r="DN242" s="161" t="s">
        <v>1262</v>
      </c>
      <c r="DP242" s="130">
        <v>1</v>
      </c>
    </row>
    <row r="243" spans="2:120">
      <c r="B243" s="231"/>
      <c r="C243" s="231"/>
      <c r="D243" s="231"/>
      <c r="E243" s="231" cm="1">
        <f t="array" ref="E243">IF(H242&lt;&gt;"",E242,IF(E242="","",IFERROR(MATCH(TRUE(),INDEX(INDEX(K:K,E242+1):K203&lt;&gt;"",0),0)+E242,"")))</f>
        <v>335</v>
      </c>
      <c r="F243" s="232" cm="1">
        <f t="array" ref="F243">IF(E243="","",IF(H242&lt;&gt;"",H242,INDEX(D:D,E243)))</f>
        <v>0</v>
      </c>
      <c r="G243" s="232" t="str">
        <f t="shared" si="30"/>
        <v>0</v>
      </c>
      <c r="H243" s="233" t="str">
        <f t="shared" si="31"/>
        <v/>
      </c>
      <c r="I243" s="231" t="str">
        <f>IF(AND(F243&lt;&gt;"",N10&gt;0,M243&gt;N10),"Mot &gt; limite","")</f>
        <v/>
      </c>
      <c r="M243" s="126">
        <f>IF(OR(F243="",N10="",N10&lt;=0),"",IF(LEN(F243)&lt;=N10,LEN(F243),IFERROR(FIND("♦",SUBSTITUTE(LEFT(F243,N10)," ","♦",LEN(LEFT(F243,N10))-LEN(SUBSTITUTE(LEFT(F243,N10)," ","")))),FIND(" ",F243&amp;" ",N10+1)-1)))</f>
        <v>1</v>
      </c>
      <c r="N243" s="234">
        <f t="shared" si="32"/>
        <v>226</v>
      </c>
      <c r="O243" s="165" t="str">
        <f t="shared" si="33"/>
        <v>0</v>
      </c>
      <c r="P243" s="234">
        <f t="shared" si="34"/>
        <v>1</v>
      </c>
      <c r="Q243" s="234">
        <f t="shared" si="35"/>
        <v>1</v>
      </c>
      <c r="S243" s="214"/>
      <c r="T243" s="225" t="s">
        <v>1352</v>
      </c>
      <c r="U243" s="222" t="s">
        <v>1353</v>
      </c>
      <c r="V243" s="214"/>
      <c r="W243" s="214"/>
      <c r="X243" s="214"/>
      <c r="Y243" s="214"/>
      <c r="Z243" s="214"/>
      <c r="AA243" s="214"/>
      <c r="AB243" s="214"/>
      <c r="AC243" s="214"/>
      <c r="AD243" s="214"/>
      <c r="AE243" s="214"/>
      <c r="AF243" s="214"/>
      <c r="AG243" s="214"/>
      <c r="AH243" s="214"/>
      <c r="AI243" s="214"/>
      <c r="AJ243" s="214"/>
      <c r="AK243" s="214"/>
      <c r="DE243" s="152"/>
      <c r="DF243" s="160" t="s">
        <v>1354</v>
      </c>
      <c r="DG243" s="160" t="s">
        <v>617</v>
      </c>
      <c r="DH243" s="160" t="s">
        <v>125</v>
      </c>
      <c r="DI243" s="160" t="s">
        <v>1355</v>
      </c>
      <c r="DJ243" s="160" t="s">
        <v>1355</v>
      </c>
      <c r="DK243" s="160" t="s">
        <v>1259</v>
      </c>
      <c r="DL243" s="160" t="s">
        <v>1260</v>
      </c>
      <c r="DM243" s="160" t="s">
        <v>1261</v>
      </c>
      <c r="DN243" s="161" t="s">
        <v>1262</v>
      </c>
      <c r="DP243" s="130">
        <v>1</v>
      </c>
    </row>
    <row r="244" spans="2:120">
      <c r="B244" s="231"/>
      <c r="C244" s="231"/>
      <c r="D244" s="231"/>
      <c r="E244" s="231" cm="1">
        <f t="array" ref="E244">IF(H243&lt;&gt;"",E243,IF(E243="","",IFERROR(MATCH(TRUE(),INDEX(INDEX(K:K,E243+1):K203&lt;&gt;"",0),0)+E243,"")))</f>
        <v>336</v>
      </c>
      <c r="F244" s="232" cm="1">
        <f t="array" ref="F244">IF(E244="","",IF(H243&lt;&gt;"",H243,INDEX(D:D,E244)))</f>
        <v>0</v>
      </c>
      <c r="G244" s="232" t="str">
        <f t="shared" si="30"/>
        <v>0</v>
      </c>
      <c r="H244" s="233" t="str">
        <f t="shared" si="31"/>
        <v/>
      </c>
      <c r="I244" s="231" t="str">
        <f>IF(AND(F244&lt;&gt;"",N10&gt;0,M244&gt;N10),"Mot &gt; limite","")</f>
        <v/>
      </c>
      <c r="M244" s="126">
        <f>IF(OR(F244="",N10="",N10&lt;=0),"",IF(LEN(F244)&lt;=N10,LEN(F244),IFERROR(FIND("♦",SUBSTITUTE(LEFT(F244,N10)," ","♦",LEN(LEFT(F244,N10))-LEN(SUBSTITUTE(LEFT(F244,N10)," ","")))),FIND(" ",F244&amp;" ",N10+1)-1)))</f>
        <v>1</v>
      </c>
      <c r="N244" s="234">
        <f t="shared" si="32"/>
        <v>227</v>
      </c>
      <c r="O244" s="165" t="str">
        <f t="shared" si="33"/>
        <v>0</v>
      </c>
      <c r="P244" s="234">
        <f t="shared" si="34"/>
        <v>1</v>
      </c>
      <c r="Q244" s="234">
        <f t="shared" si="35"/>
        <v>1</v>
      </c>
      <c r="S244" s="214"/>
      <c r="T244" s="225" t="s">
        <v>1356</v>
      </c>
      <c r="U244" s="222" t="s">
        <v>1357</v>
      </c>
      <c r="V244" s="214"/>
      <c r="W244" s="214"/>
      <c r="X244" s="214"/>
      <c r="Y244" s="214"/>
      <c r="Z244" s="214"/>
      <c r="AA244" s="214"/>
      <c r="AB244" s="214"/>
      <c r="AC244" s="214"/>
      <c r="AD244" s="214"/>
      <c r="AE244" s="214"/>
      <c r="AF244" s="214"/>
      <c r="AG244" s="214"/>
      <c r="AH244" s="214"/>
      <c r="AI244" s="214"/>
      <c r="AJ244" s="214"/>
      <c r="AK244" s="214"/>
      <c r="DE244" s="152"/>
      <c r="DF244" s="160" t="s">
        <v>1358</v>
      </c>
      <c r="DG244" s="160" t="s">
        <v>617</v>
      </c>
      <c r="DH244" s="160" t="s">
        <v>125</v>
      </c>
      <c r="DI244" s="160" t="s">
        <v>1359</v>
      </c>
      <c r="DJ244" s="160" t="s">
        <v>1359</v>
      </c>
      <c r="DK244" s="160" t="s">
        <v>1259</v>
      </c>
      <c r="DL244" s="160" t="s">
        <v>1260</v>
      </c>
      <c r="DM244" s="160" t="s">
        <v>1261</v>
      </c>
      <c r="DN244" s="161" t="s">
        <v>1262</v>
      </c>
      <c r="DP244" s="130">
        <v>1</v>
      </c>
    </row>
    <row r="245" spans="2:120">
      <c r="B245" s="231"/>
      <c r="C245" s="231"/>
      <c r="D245" s="231"/>
      <c r="E245" s="231" cm="1">
        <f t="array" ref="E245">IF(H244&lt;&gt;"",E244,IF(E244="","",IFERROR(MATCH(TRUE(),INDEX(INDEX(K:K,E244+1):K203&lt;&gt;"",0),0)+E244,"")))</f>
        <v>337</v>
      </c>
      <c r="F245" s="232" cm="1">
        <f t="array" ref="F245">IF(E245="","",IF(H244&lt;&gt;"",H244,INDEX(D:D,E245)))</f>
        <v>0</v>
      </c>
      <c r="G245" s="232" t="str">
        <f t="shared" si="30"/>
        <v>0</v>
      </c>
      <c r="H245" s="233" t="str">
        <f t="shared" si="31"/>
        <v/>
      </c>
      <c r="I245" s="231" t="str">
        <f>IF(AND(F245&lt;&gt;"",N10&gt;0,M245&gt;N10),"Mot &gt; limite","")</f>
        <v/>
      </c>
      <c r="M245" s="126">
        <f>IF(OR(F245="",N10="",N10&lt;=0),"",IF(LEN(F245)&lt;=N10,LEN(F245),IFERROR(FIND("♦",SUBSTITUTE(LEFT(F245,N10)," ","♦",LEN(LEFT(F245,N10))-LEN(SUBSTITUTE(LEFT(F245,N10)," ","")))),FIND(" ",F245&amp;" ",N10+1)-1)))</f>
        <v>1</v>
      </c>
      <c r="N245" s="234">
        <f t="shared" si="32"/>
        <v>228</v>
      </c>
      <c r="O245" s="165" t="str">
        <f t="shared" si="33"/>
        <v>0</v>
      </c>
      <c r="P245" s="234">
        <f t="shared" si="34"/>
        <v>1</v>
      </c>
      <c r="Q245" s="234">
        <f t="shared" si="35"/>
        <v>1</v>
      </c>
      <c r="S245" s="214"/>
      <c r="T245" s="230"/>
      <c r="U245" s="222" t="s">
        <v>1360</v>
      </c>
      <c r="V245" s="214"/>
      <c r="W245" s="214"/>
      <c r="X245" s="214"/>
      <c r="Y245" s="214"/>
      <c r="Z245" s="214"/>
      <c r="AA245" s="214"/>
      <c r="AB245" s="214"/>
      <c r="AC245" s="214"/>
      <c r="AD245" s="214"/>
      <c r="AE245" s="214"/>
      <c r="AF245" s="214"/>
      <c r="AG245" s="214"/>
      <c r="AH245" s="214"/>
      <c r="AI245" s="214"/>
      <c r="AJ245" s="214"/>
      <c r="AK245" s="214"/>
      <c r="DE245" s="152"/>
      <c r="DF245" s="160" t="s">
        <v>1361</v>
      </c>
      <c r="DG245" s="160" t="s">
        <v>617</v>
      </c>
      <c r="DH245" s="160" t="s">
        <v>125</v>
      </c>
      <c r="DI245" s="160" t="s">
        <v>1362</v>
      </c>
      <c r="DJ245" s="160" t="s">
        <v>1362</v>
      </c>
      <c r="DK245" s="160" t="s">
        <v>1259</v>
      </c>
      <c r="DL245" s="160" t="s">
        <v>1260</v>
      </c>
      <c r="DM245" s="160" t="s">
        <v>1261</v>
      </c>
      <c r="DN245" s="161" t="s">
        <v>1262</v>
      </c>
      <c r="DP245" s="130">
        <v>1</v>
      </c>
    </row>
    <row r="246" spans="2:120">
      <c r="B246" s="231"/>
      <c r="C246" s="231"/>
      <c r="D246" s="231"/>
      <c r="E246" s="231" cm="1">
        <f t="array" ref="E246">IF(H245&lt;&gt;"",E245,IF(E245="","",IFERROR(MATCH(TRUE(),INDEX(INDEX(K:K,E245+1):K203&lt;&gt;"",0),0)+E245,"")))</f>
        <v>338</v>
      </c>
      <c r="F246" s="232" cm="1">
        <f t="array" ref="F246">IF(E246="","",IF(H245&lt;&gt;"",H245,INDEX(D:D,E246)))</f>
        <v>0</v>
      </c>
      <c r="G246" s="232" t="str">
        <f t="shared" si="30"/>
        <v>0</v>
      </c>
      <c r="H246" s="233" t="str">
        <f t="shared" si="31"/>
        <v/>
      </c>
      <c r="I246" s="231" t="str">
        <f>IF(AND(F246&lt;&gt;"",N10&gt;0,M246&gt;N10),"Mot &gt; limite","")</f>
        <v/>
      </c>
      <c r="M246" s="126">
        <f>IF(OR(F246="",N10="",N10&lt;=0),"",IF(LEN(F246)&lt;=N10,LEN(F246),IFERROR(FIND("♦",SUBSTITUTE(LEFT(F246,N10)," ","♦",LEN(LEFT(F246,N10))-LEN(SUBSTITUTE(LEFT(F246,N10)," ","")))),FIND(" ",F246&amp;" ",N10+1)-1)))</f>
        <v>1</v>
      </c>
      <c r="N246" s="234">
        <f t="shared" si="32"/>
        <v>229</v>
      </c>
      <c r="O246" s="165" t="str">
        <f t="shared" si="33"/>
        <v>0</v>
      </c>
      <c r="P246" s="234">
        <f t="shared" si="34"/>
        <v>1</v>
      </c>
      <c r="Q246" s="234">
        <f t="shared" si="35"/>
        <v>1</v>
      </c>
      <c r="S246" s="214"/>
      <c r="T246" s="237"/>
      <c r="U246" s="222"/>
      <c r="V246" s="214"/>
      <c r="W246" s="214"/>
      <c r="X246" s="214"/>
      <c r="Y246" s="214"/>
      <c r="Z246" s="214"/>
      <c r="AA246" s="214"/>
      <c r="AB246" s="214"/>
      <c r="AC246" s="214"/>
      <c r="AD246" s="214"/>
      <c r="AE246" s="214"/>
      <c r="AF246" s="214"/>
      <c r="AG246" s="214"/>
      <c r="AH246" s="214"/>
      <c r="AI246" s="214"/>
      <c r="AJ246" s="214"/>
      <c r="AK246" s="214"/>
      <c r="DE246" s="152"/>
      <c r="DF246" s="160" t="s">
        <v>1363</v>
      </c>
      <c r="DG246" s="160" t="s">
        <v>617</v>
      </c>
      <c r="DH246" s="160" t="s">
        <v>125</v>
      </c>
      <c r="DI246" s="160" t="s">
        <v>1364</v>
      </c>
      <c r="DJ246" s="160" t="s">
        <v>1364</v>
      </c>
      <c r="DK246" s="160" t="s">
        <v>1259</v>
      </c>
      <c r="DL246" s="160" t="s">
        <v>1268</v>
      </c>
      <c r="DM246" s="160" t="s">
        <v>590</v>
      </c>
      <c r="DN246" s="161" t="s">
        <v>591</v>
      </c>
      <c r="DP246" s="130">
        <v>1</v>
      </c>
    </row>
    <row r="247" spans="2:120">
      <c r="B247" s="231"/>
      <c r="C247" s="231"/>
      <c r="D247" s="231"/>
      <c r="E247" s="231" cm="1">
        <f t="array" ref="E247">IF(H246&lt;&gt;"",E246,IF(E246="","",IFERROR(MATCH(TRUE(),INDEX(INDEX(K:K,E246+1):K203&lt;&gt;"",0),0)+E246,"")))</f>
        <v>339</v>
      </c>
      <c r="F247" s="232" cm="1">
        <f t="array" ref="F247">IF(E247="","",IF(H246&lt;&gt;"",H246,INDEX(D:D,E247)))</f>
        <v>0</v>
      </c>
      <c r="G247" s="232" t="str">
        <f t="shared" si="30"/>
        <v>0</v>
      </c>
      <c r="H247" s="233" t="str">
        <f t="shared" si="31"/>
        <v/>
      </c>
      <c r="I247" s="231" t="str">
        <f>IF(AND(F247&lt;&gt;"",N10&gt;0,M247&gt;N10),"Mot &gt; limite","")</f>
        <v/>
      </c>
      <c r="M247" s="126">
        <f>IF(OR(F247="",N10="",N10&lt;=0),"",IF(LEN(F247)&lt;=N10,LEN(F247),IFERROR(FIND("♦",SUBSTITUTE(LEFT(F247,N10)," ","♦",LEN(LEFT(F247,N10))-LEN(SUBSTITUTE(LEFT(F247,N10)," ","")))),FIND(" ",F247&amp;" ",N10+1)-1)))</f>
        <v>1</v>
      </c>
      <c r="N247" s="234">
        <f t="shared" si="32"/>
        <v>230</v>
      </c>
      <c r="O247" s="165" t="str">
        <f t="shared" si="33"/>
        <v>0</v>
      </c>
      <c r="P247" s="234">
        <f t="shared" si="34"/>
        <v>1</v>
      </c>
      <c r="Q247" s="234">
        <f t="shared" si="35"/>
        <v>1</v>
      </c>
      <c r="S247" s="214"/>
      <c r="T247" s="236" t="s">
        <v>1365</v>
      </c>
      <c r="U247" s="235"/>
      <c r="V247" s="214"/>
      <c r="W247" s="214"/>
      <c r="X247" s="214"/>
      <c r="Y247" s="214"/>
      <c r="Z247" s="214"/>
      <c r="AA247" s="214"/>
      <c r="AB247" s="214"/>
      <c r="AC247" s="214"/>
      <c r="AD247" s="214"/>
      <c r="AE247" s="214"/>
      <c r="AF247" s="214"/>
      <c r="AG247" s="214"/>
      <c r="AH247" s="214"/>
      <c r="AI247" s="214"/>
      <c r="AJ247" s="214"/>
      <c r="AK247" s="214"/>
      <c r="DE247" s="152"/>
      <c r="DF247" s="160" t="s">
        <v>1366</v>
      </c>
      <c r="DG247" s="160" t="s">
        <v>617</v>
      </c>
      <c r="DH247" s="160" t="s">
        <v>125</v>
      </c>
      <c r="DI247" s="160" t="s">
        <v>1367</v>
      </c>
      <c r="DJ247" s="160" t="s">
        <v>1367</v>
      </c>
      <c r="DK247" s="160" t="s">
        <v>666</v>
      </c>
      <c r="DL247" s="160" t="s">
        <v>667</v>
      </c>
      <c r="DM247" s="160" t="s">
        <v>590</v>
      </c>
      <c r="DN247" s="161" t="s">
        <v>668</v>
      </c>
      <c r="DP247" s="130">
        <v>1</v>
      </c>
    </row>
    <row r="248" spans="2:120">
      <c r="B248" s="231"/>
      <c r="C248" s="231"/>
      <c r="D248" s="231"/>
      <c r="E248" s="231" cm="1">
        <f t="array" ref="E248">IF(H247&lt;&gt;"",E247,IF(E247="","",IFERROR(MATCH(TRUE(),INDEX(INDEX(K:K,E247+1):K203&lt;&gt;"",0),0)+E247,"")))</f>
        <v>340</v>
      </c>
      <c r="F248" s="232" cm="1">
        <f t="array" ref="F248">IF(E248="","",IF(H247&lt;&gt;"",H247,INDEX(D:D,E248)))</f>
        <v>0</v>
      </c>
      <c r="G248" s="232" t="str">
        <f t="shared" si="30"/>
        <v>0</v>
      </c>
      <c r="H248" s="233" t="str">
        <f t="shared" si="31"/>
        <v/>
      </c>
      <c r="I248" s="231" t="str">
        <f>IF(AND(F248&lt;&gt;"",N10&gt;0,M248&gt;N10),"Mot &gt; limite","")</f>
        <v/>
      </c>
      <c r="M248" s="126">
        <f>IF(OR(F248="",N10="",N10&lt;=0),"",IF(LEN(F248)&lt;=N10,LEN(F248),IFERROR(FIND("♦",SUBSTITUTE(LEFT(F248,N10)," ","♦",LEN(LEFT(F248,N10))-LEN(SUBSTITUTE(LEFT(F248,N10)," ","")))),FIND(" ",F248&amp;" ",N10+1)-1)))</f>
        <v>1</v>
      </c>
      <c r="N248" s="234">
        <f t="shared" si="32"/>
        <v>231</v>
      </c>
      <c r="O248" s="165" t="str">
        <f t="shared" si="33"/>
        <v>0</v>
      </c>
      <c r="P248" s="234">
        <f t="shared" si="34"/>
        <v>1</v>
      </c>
      <c r="Q248" s="234">
        <f t="shared" si="35"/>
        <v>1</v>
      </c>
      <c r="S248" s="214"/>
      <c r="T248" s="225" t="s">
        <v>1368</v>
      </c>
      <c r="U248" s="222" t="s">
        <v>1369</v>
      </c>
      <c r="V248" s="214"/>
      <c r="W248" s="214"/>
      <c r="X248" s="214"/>
      <c r="Y248" s="214"/>
      <c r="Z248" s="214"/>
      <c r="AA248" s="214"/>
      <c r="AB248" s="214"/>
      <c r="AC248" s="214"/>
      <c r="AD248" s="214"/>
      <c r="AE248" s="214"/>
      <c r="AF248" s="214"/>
      <c r="AG248" s="214"/>
      <c r="AH248" s="214"/>
      <c r="AI248" s="214"/>
      <c r="AJ248" s="214"/>
      <c r="AK248" s="214"/>
      <c r="DE248" s="152"/>
      <c r="DF248" s="160" t="s">
        <v>1370</v>
      </c>
      <c r="DG248" s="160" t="s">
        <v>617</v>
      </c>
      <c r="DH248" s="160" t="s">
        <v>125</v>
      </c>
      <c r="DI248" s="160" t="s">
        <v>1371</v>
      </c>
      <c r="DJ248" s="160" t="s">
        <v>1371</v>
      </c>
      <c r="DK248" s="160" t="s">
        <v>666</v>
      </c>
      <c r="DL248" s="160" t="s">
        <v>667</v>
      </c>
      <c r="DM248" s="160" t="s">
        <v>590</v>
      </c>
      <c r="DN248" s="161" t="s">
        <v>668</v>
      </c>
      <c r="DP248" s="130">
        <v>1</v>
      </c>
    </row>
    <row r="249" spans="2:120">
      <c r="B249" s="231"/>
      <c r="C249" s="231"/>
      <c r="D249" s="231"/>
      <c r="E249" s="231" cm="1">
        <f t="array" ref="E249">IF(H248&lt;&gt;"",E248,IF(E248="","",IFERROR(MATCH(TRUE(),INDEX(INDEX(K:K,E248+1):K203&lt;&gt;"",0),0)+E248,"")))</f>
        <v>341</v>
      </c>
      <c r="F249" s="232" cm="1">
        <f t="array" ref="F249">IF(E249="","",IF(H248&lt;&gt;"",H248,INDEX(D:D,E249)))</f>
        <v>0</v>
      </c>
      <c r="G249" s="232" t="str">
        <f t="shared" si="30"/>
        <v>0</v>
      </c>
      <c r="H249" s="233" t="str">
        <f t="shared" si="31"/>
        <v/>
      </c>
      <c r="I249" s="231" t="str">
        <f>IF(AND(F249&lt;&gt;"",N10&gt;0,M249&gt;N10),"Mot &gt; limite","")</f>
        <v/>
      </c>
      <c r="M249" s="126">
        <f>IF(OR(F249="",N10="",N10&lt;=0),"",IF(LEN(F249)&lt;=N10,LEN(F249),IFERROR(FIND("♦",SUBSTITUTE(LEFT(F249,N10)," ","♦",LEN(LEFT(F249,N10))-LEN(SUBSTITUTE(LEFT(F249,N10)," ","")))),FIND(" ",F249&amp;" ",N10+1)-1)))</f>
        <v>1</v>
      </c>
      <c r="N249" s="234">
        <f t="shared" si="32"/>
        <v>232</v>
      </c>
      <c r="O249" s="165" t="str">
        <f t="shared" si="33"/>
        <v>0</v>
      </c>
      <c r="P249" s="234">
        <f t="shared" si="34"/>
        <v>1</v>
      </c>
      <c r="Q249" s="234">
        <f t="shared" si="35"/>
        <v>1</v>
      </c>
      <c r="S249" s="214"/>
      <c r="T249" s="225" t="s">
        <v>1372</v>
      </c>
      <c r="U249" s="222" t="s">
        <v>1373</v>
      </c>
      <c r="V249" s="214"/>
      <c r="W249" s="214"/>
      <c r="X249" s="214"/>
      <c r="Y249" s="214"/>
      <c r="Z249" s="214"/>
      <c r="AA249" s="214"/>
      <c r="AB249" s="214"/>
      <c r="AC249" s="214"/>
      <c r="AD249" s="214"/>
      <c r="AE249" s="214"/>
      <c r="AF249" s="214"/>
      <c r="AG249" s="214"/>
      <c r="AH249" s="214"/>
      <c r="AI249" s="214"/>
      <c r="AJ249" s="214"/>
      <c r="AK249" s="214"/>
      <c r="DE249" s="152"/>
      <c r="DF249" s="160" t="s">
        <v>1374</v>
      </c>
      <c r="DG249" s="160" t="s">
        <v>617</v>
      </c>
      <c r="DH249" s="160" t="s">
        <v>125</v>
      </c>
      <c r="DI249" s="160" t="s">
        <v>144</v>
      </c>
      <c r="DJ249" s="160" t="s">
        <v>144</v>
      </c>
      <c r="DK249" s="160" t="s">
        <v>1259</v>
      </c>
      <c r="DL249" s="160" t="s">
        <v>1260</v>
      </c>
      <c r="DM249" s="160" t="s">
        <v>1261</v>
      </c>
      <c r="DN249" s="161" t="s">
        <v>1262</v>
      </c>
      <c r="DP249" s="130">
        <v>1</v>
      </c>
    </row>
    <row r="250" spans="2:120">
      <c r="B250" s="231"/>
      <c r="C250" s="231"/>
      <c r="D250" s="231"/>
      <c r="E250" s="231" cm="1">
        <f t="array" ref="E250">IF(H249&lt;&gt;"",E249,IF(E249="","",IFERROR(MATCH(TRUE(),INDEX(INDEX(K:K,E249+1):K203&lt;&gt;"",0),0)+E249,"")))</f>
        <v>342</v>
      </c>
      <c r="F250" s="232" cm="1">
        <f t="array" ref="F250">IF(E250="","",IF(H249&lt;&gt;"",H249,INDEX(D:D,E250)))</f>
        <v>0</v>
      </c>
      <c r="G250" s="232" t="str">
        <f t="shared" si="30"/>
        <v>0</v>
      </c>
      <c r="H250" s="233" t="str">
        <f t="shared" si="31"/>
        <v/>
      </c>
      <c r="I250" s="231" t="str">
        <f>IF(AND(F250&lt;&gt;"",N10&gt;0,M250&gt;N10),"Mot &gt; limite","")</f>
        <v/>
      </c>
      <c r="M250" s="126">
        <f>IF(OR(F250="",N10="",N10&lt;=0),"",IF(LEN(F250)&lt;=N10,LEN(F250),IFERROR(FIND("♦",SUBSTITUTE(LEFT(F250,N10)," ","♦",LEN(LEFT(F250,N10))-LEN(SUBSTITUTE(LEFT(F250,N10)," ","")))),FIND(" ",F250&amp;" ",N10+1)-1)))</f>
        <v>1</v>
      </c>
      <c r="N250" s="234">
        <f t="shared" si="32"/>
        <v>233</v>
      </c>
      <c r="O250" s="165" t="str">
        <f t="shared" si="33"/>
        <v>0</v>
      </c>
      <c r="P250" s="234">
        <f t="shared" si="34"/>
        <v>1</v>
      </c>
      <c r="Q250" s="234">
        <f t="shared" si="35"/>
        <v>1</v>
      </c>
      <c r="S250" s="213"/>
      <c r="T250" s="238" t="s">
        <v>1375</v>
      </c>
      <c r="U250" s="222" t="s">
        <v>1376</v>
      </c>
      <c r="V250" s="213"/>
      <c r="W250" s="213"/>
      <c r="X250" s="213"/>
      <c r="Y250" s="213"/>
      <c r="Z250" s="213"/>
      <c r="AA250" s="213"/>
      <c r="AB250" s="213"/>
      <c r="AC250" s="213"/>
      <c r="AD250" s="213"/>
      <c r="AE250" s="213"/>
      <c r="AF250" s="213"/>
      <c r="AG250" s="213"/>
      <c r="AH250" s="213"/>
      <c r="AI250" s="213"/>
      <c r="AJ250" s="213"/>
      <c r="AK250" s="213"/>
      <c r="DE250" s="152"/>
      <c r="DF250" s="160" t="s">
        <v>1377</v>
      </c>
      <c r="DG250" s="160" t="s">
        <v>617</v>
      </c>
      <c r="DH250" s="160" t="s">
        <v>125</v>
      </c>
      <c r="DI250" s="160" t="s">
        <v>1378</v>
      </c>
      <c r="DJ250" s="160" t="s">
        <v>1378</v>
      </c>
      <c r="DK250" s="160" t="s">
        <v>1259</v>
      </c>
      <c r="DL250" s="160" t="s">
        <v>1260</v>
      </c>
      <c r="DM250" s="160" t="s">
        <v>1261</v>
      </c>
      <c r="DN250" s="161" t="s">
        <v>1262</v>
      </c>
      <c r="DP250" s="130">
        <v>1</v>
      </c>
    </row>
    <row r="251" spans="2:120">
      <c r="B251" s="231"/>
      <c r="C251" s="231"/>
      <c r="D251" s="231"/>
      <c r="E251" s="231" cm="1">
        <f t="array" ref="E251">IF(H250&lt;&gt;"",E250,IF(E250="","",IFERROR(MATCH(TRUE(),INDEX(INDEX(K:K,E250+1):K203&lt;&gt;"",0),0)+E250,"")))</f>
        <v>343</v>
      </c>
      <c r="F251" s="232" cm="1">
        <f t="array" ref="F251">IF(E251="","",IF(H250&lt;&gt;"",H250,INDEX(D:D,E251)))</f>
        <v>0</v>
      </c>
      <c r="G251" s="232" t="str">
        <f t="shared" si="30"/>
        <v>0</v>
      </c>
      <c r="H251" s="233" t="str">
        <f t="shared" si="31"/>
        <v/>
      </c>
      <c r="I251" s="231" t="str">
        <f>IF(AND(F251&lt;&gt;"",N10&gt;0,M251&gt;N10),"Mot &gt; limite","")</f>
        <v/>
      </c>
      <c r="M251" s="126">
        <f>IF(OR(F251="",N10="",N10&lt;=0),"",IF(LEN(F251)&lt;=N10,LEN(F251),IFERROR(FIND("♦",SUBSTITUTE(LEFT(F251,N10)," ","♦",LEN(LEFT(F251,N10))-LEN(SUBSTITUTE(LEFT(F251,N10)," ","")))),FIND(" ",F251&amp;" ",N10+1)-1)))</f>
        <v>1</v>
      </c>
      <c r="N251" s="234">
        <f t="shared" si="32"/>
        <v>234</v>
      </c>
      <c r="O251" s="165" t="str">
        <f t="shared" si="33"/>
        <v>0</v>
      </c>
      <c r="P251" s="234">
        <f t="shared" si="34"/>
        <v>1</v>
      </c>
      <c r="Q251" s="234">
        <f t="shared" si="35"/>
        <v>1</v>
      </c>
      <c r="S251" s="213"/>
      <c r="T251" s="238" t="s">
        <v>1379</v>
      </c>
      <c r="U251" s="222" t="s">
        <v>1380</v>
      </c>
      <c r="V251" s="213"/>
      <c r="W251" s="213"/>
      <c r="X251" s="213"/>
      <c r="Y251" s="213"/>
      <c r="Z251" s="213"/>
      <c r="AA251" s="213"/>
      <c r="AB251" s="213"/>
      <c r="AC251" s="213"/>
      <c r="AD251" s="213"/>
      <c r="AE251" s="213"/>
      <c r="AF251" s="213"/>
      <c r="AG251" s="213"/>
      <c r="AH251" s="213"/>
      <c r="AI251" s="213"/>
      <c r="AJ251" s="213"/>
      <c r="AK251" s="213"/>
      <c r="DE251" s="152"/>
      <c r="DF251" s="160" t="s">
        <v>1381</v>
      </c>
      <c r="DG251" s="160" t="s">
        <v>617</v>
      </c>
      <c r="DH251" s="160" t="s">
        <v>125</v>
      </c>
      <c r="DI251" s="160" t="s">
        <v>1382</v>
      </c>
      <c r="DJ251" s="160" t="s">
        <v>1382</v>
      </c>
      <c r="DK251" s="160" t="s">
        <v>1259</v>
      </c>
      <c r="DL251" s="160" t="s">
        <v>1260</v>
      </c>
      <c r="DM251" s="160" t="s">
        <v>1261</v>
      </c>
      <c r="DN251" s="161" t="s">
        <v>1262</v>
      </c>
      <c r="DP251" s="130">
        <v>1</v>
      </c>
    </row>
    <row r="252" spans="2:120">
      <c r="B252" s="231"/>
      <c r="C252" s="231"/>
      <c r="D252" s="231"/>
      <c r="E252" s="231" cm="1">
        <f t="array" ref="E252">IF(H251&lt;&gt;"",E251,IF(E251="","",IFERROR(MATCH(TRUE(),INDEX(INDEX(K:K,E251+1):K203&lt;&gt;"",0),0)+E251,"")))</f>
        <v>344</v>
      </c>
      <c r="F252" s="232" cm="1">
        <f t="array" ref="F252">IF(E252="","",IF(H251&lt;&gt;"",H251,INDEX(D:D,E252)))</f>
        <v>0</v>
      </c>
      <c r="G252" s="232" t="str">
        <f t="shared" si="30"/>
        <v>0</v>
      </c>
      <c r="H252" s="233" t="str">
        <f t="shared" si="31"/>
        <v/>
      </c>
      <c r="I252" s="231" t="str">
        <f>IF(AND(F252&lt;&gt;"",N10&gt;0,M252&gt;N10),"Mot &gt; limite","")</f>
        <v/>
      </c>
      <c r="M252" s="126">
        <f>IF(OR(F252="",N10="",N10&lt;=0),"",IF(LEN(F252)&lt;=N10,LEN(F252),IFERROR(FIND("♦",SUBSTITUTE(LEFT(F252,N10)," ","♦",LEN(LEFT(F252,N10))-LEN(SUBSTITUTE(LEFT(F252,N10)," ","")))),FIND(" ",F252&amp;" ",N10+1)-1)))</f>
        <v>1</v>
      </c>
      <c r="N252" s="234">
        <f t="shared" si="32"/>
        <v>235</v>
      </c>
      <c r="O252" s="165" t="str">
        <f t="shared" si="33"/>
        <v>0</v>
      </c>
      <c r="P252" s="234">
        <f t="shared" si="34"/>
        <v>1</v>
      </c>
      <c r="Q252" s="234">
        <f t="shared" si="35"/>
        <v>1</v>
      </c>
      <c r="S252" s="213"/>
      <c r="T252" s="225" t="s">
        <v>1383</v>
      </c>
      <c r="U252" s="222" t="s">
        <v>1384</v>
      </c>
      <c r="V252" s="213"/>
      <c r="W252" s="213"/>
      <c r="X252" s="213"/>
      <c r="Y252" s="213"/>
      <c r="Z252" s="213"/>
      <c r="AA252" s="213"/>
      <c r="AB252" s="213"/>
      <c r="AC252" s="213"/>
      <c r="AD252" s="213"/>
      <c r="AE252" s="213"/>
      <c r="AF252" s="213"/>
      <c r="AG252" s="213"/>
      <c r="AH252" s="213"/>
      <c r="AI252" s="213"/>
      <c r="AJ252" s="213"/>
      <c r="AK252" s="213"/>
      <c r="DE252" s="152"/>
      <c r="DF252" s="160" t="s">
        <v>1385</v>
      </c>
      <c r="DG252" s="160" t="s">
        <v>617</v>
      </c>
      <c r="DH252" s="160" t="s">
        <v>125</v>
      </c>
      <c r="DI252" s="160" t="s">
        <v>1386</v>
      </c>
      <c r="DJ252" s="160" t="s">
        <v>1386</v>
      </c>
      <c r="DK252" s="160" t="s">
        <v>1259</v>
      </c>
      <c r="DL252" s="160" t="s">
        <v>1260</v>
      </c>
      <c r="DM252" s="160" t="s">
        <v>1261</v>
      </c>
      <c r="DN252" s="161" t="s">
        <v>1262</v>
      </c>
      <c r="DP252" s="130">
        <v>1</v>
      </c>
    </row>
    <row r="253" spans="2:120">
      <c r="B253" s="231"/>
      <c r="C253" s="231"/>
      <c r="D253" s="231"/>
      <c r="E253" s="231" cm="1">
        <f t="array" ref="E253">IF(H252&lt;&gt;"",E252,IF(E252="","",IFERROR(MATCH(TRUE(),INDEX(INDEX(K:K,E252+1):K203&lt;&gt;"",0),0)+E252,"")))</f>
        <v>345</v>
      </c>
      <c r="F253" s="232" cm="1">
        <f t="array" ref="F253">IF(E253="","",IF(H252&lt;&gt;"",H252,INDEX(D:D,E253)))</f>
        <v>0</v>
      </c>
      <c r="G253" s="232" t="str">
        <f t="shared" si="30"/>
        <v>0</v>
      </c>
      <c r="H253" s="233" t="str">
        <f t="shared" si="31"/>
        <v/>
      </c>
      <c r="I253" s="231" t="str">
        <f>IF(AND(F253&lt;&gt;"",N10&gt;0,M253&gt;N10),"Mot &gt; limite","")</f>
        <v/>
      </c>
      <c r="M253" s="126">
        <f>IF(OR(F253="",N10="",N10&lt;=0),"",IF(LEN(F253)&lt;=N10,LEN(F253),IFERROR(FIND("♦",SUBSTITUTE(LEFT(F253,N10)," ","♦",LEN(LEFT(F253,N10))-LEN(SUBSTITUTE(LEFT(F253,N10)," ","")))),FIND(" ",F253&amp;" ",N10+1)-1)))</f>
        <v>1</v>
      </c>
      <c r="N253" s="234">
        <f t="shared" si="32"/>
        <v>236</v>
      </c>
      <c r="O253" s="165" t="str">
        <f t="shared" si="33"/>
        <v>0</v>
      </c>
      <c r="P253" s="234">
        <f t="shared" si="34"/>
        <v>1</v>
      </c>
      <c r="Q253" s="234">
        <f t="shared" si="35"/>
        <v>1</v>
      </c>
      <c r="S253" s="213"/>
      <c r="T253" s="238" t="s">
        <v>1387</v>
      </c>
      <c r="U253" s="222" t="s">
        <v>1388</v>
      </c>
      <c r="V253" s="213"/>
      <c r="W253" s="213"/>
      <c r="X253" s="213"/>
      <c r="Y253" s="213"/>
      <c r="Z253" s="213"/>
      <c r="AA253" s="213"/>
      <c r="AB253" s="213"/>
      <c r="AC253" s="213"/>
      <c r="AD253" s="213"/>
      <c r="AE253" s="213"/>
      <c r="AF253" s="213"/>
      <c r="AG253" s="213"/>
      <c r="AH253" s="213"/>
      <c r="AI253" s="213"/>
      <c r="AJ253" s="213"/>
      <c r="AK253" s="213"/>
      <c r="DE253" s="152"/>
      <c r="DF253" s="160" t="s">
        <v>1389</v>
      </c>
      <c r="DG253" s="160" t="s">
        <v>617</v>
      </c>
      <c r="DH253" s="160" t="s">
        <v>125</v>
      </c>
      <c r="DI253" s="160" t="s">
        <v>1390</v>
      </c>
      <c r="DJ253" s="160" t="s">
        <v>1390</v>
      </c>
      <c r="DK253" s="160" t="s">
        <v>1259</v>
      </c>
      <c r="DL253" s="160" t="s">
        <v>1260</v>
      </c>
      <c r="DM253" s="160" t="s">
        <v>1261</v>
      </c>
      <c r="DN253" s="161" t="s">
        <v>1262</v>
      </c>
      <c r="DP253" s="130">
        <v>1</v>
      </c>
    </row>
    <row r="254" spans="2:120">
      <c r="B254" s="231"/>
      <c r="C254" s="231"/>
      <c r="D254" s="231"/>
      <c r="E254" s="231" cm="1">
        <f t="array" ref="E254">IF(H253&lt;&gt;"",E253,IF(E253="","",IFERROR(MATCH(TRUE(),INDEX(INDEX(K:K,E253+1):K203&lt;&gt;"",0),0)+E253,"")))</f>
        <v>346</v>
      </c>
      <c r="F254" s="232" cm="1">
        <f t="array" ref="F254">IF(E254="","",IF(H253&lt;&gt;"",H253,INDEX(D:D,E254)))</f>
        <v>0</v>
      </c>
      <c r="G254" s="232" t="str">
        <f t="shared" si="30"/>
        <v>0</v>
      </c>
      <c r="H254" s="233" t="str">
        <f t="shared" si="31"/>
        <v/>
      </c>
      <c r="I254" s="231" t="str">
        <f>IF(AND(F254&lt;&gt;"",N10&gt;0,M254&gt;N10),"Mot &gt; limite","")</f>
        <v/>
      </c>
      <c r="M254" s="126">
        <f>IF(OR(F254="",N10="",N10&lt;=0),"",IF(LEN(F254)&lt;=N10,LEN(F254),IFERROR(FIND("♦",SUBSTITUTE(LEFT(F254,N10)," ","♦",LEN(LEFT(F254,N10))-LEN(SUBSTITUTE(LEFT(F254,N10)," ","")))),FIND(" ",F254&amp;" ",N10+1)-1)))</f>
        <v>1</v>
      </c>
      <c r="N254" s="234">
        <f t="shared" si="32"/>
        <v>237</v>
      </c>
      <c r="O254" s="165" t="str">
        <f t="shared" si="33"/>
        <v>0</v>
      </c>
      <c r="P254" s="234">
        <f t="shared" si="34"/>
        <v>1</v>
      </c>
      <c r="Q254" s="234">
        <f t="shared" si="35"/>
        <v>1</v>
      </c>
      <c r="S254" s="213"/>
      <c r="T254" s="238"/>
      <c r="U254" s="222"/>
      <c r="V254" s="213"/>
      <c r="W254" s="213"/>
      <c r="X254" s="213"/>
      <c r="Y254" s="213"/>
      <c r="Z254" s="213"/>
      <c r="AA254" s="213"/>
      <c r="AB254" s="213"/>
      <c r="AC254" s="213"/>
      <c r="AD254" s="213"/>
      <c r="AE254" s="213"/>
      <c r="AF254" s="213"/>
      <c r="AG254" s="213"/>
      <c r="AH254" s="213"/>
      <c r="AI254" s="213"/>
      <c r="AJ254" s="213"/>
      <c r="AK254" s="213"/>
      <c r="DE254" s="152"/>
      <c r="DF254" s="160" t="s">
        <v>1391</v>
      </c>
      <c r="DG254" s="160" t="s">
        <v>617</v>
      </c>
      <c r="DH254" s="160" t="s">
        <v>125</v>
      </c>
      <c r="DI254" s="160" t="s">
        <v>1392</v>
      </c>
      <c r="DJ254" s="160" t="s">
        <v>1392</v>
      </c>
      <c r="DK254" s="160" t="s">
        <v>1259</v>
      </c>
      <c r="DL254" s="160" t="s">
        <v>1260</v>
      </c>
      <c r="DM254" s="160" t="s">
        <v>1261</v>
      </c>
      <c r="DN254" s="161" t="s">
        <v>1262</v>
      </c>
      <c r="DP254" s="130">
        <v>1</v>
      </c>
    </row>
    <row r="255" spans="2:120">
      <c r="B255" s="231"/>
      <c r="C255" s="231"/>
      <c r="D255" s="231"/>
      <c r="E255" s="231" cm="1">
        <f t="array" ref="E255">IF(H254&lt;&gt;"",E254,IF(E254="","",IFERROR(MATCH(TRUE(),INDEX(INDEX(K:K,E254+1):K203&lt;&gt;"",0),0)+E254,"")))</f>
        <v>347</v>
      </c>
      <c r="F255" s="232" cm="1">
        <f t="array" ref="F255">IF(E255="","",IF(H254&lt;&gt;"",H254,INDEX(D:D,E255)))</f>
        <v>0</v>
      </c>
      <c r="G255" s="232" t="str">
        <f t="shared" si="30"/>
        <v>0</v>
      </c>
      <c r="H255" s="233" t="str">
        <f t="shared" si="31"/>
        <v/>
      </c>
      <c r="I255" s="231" t="str">
        <f>IF(AND(F255&lt;&gt;"",N10&gt;0,M255&gt;N10),"Mot &gt; limite","")</f>
        <v/>
      </c>
      <c r="M255" s="126">
        <f>IF(OR(F255="",N10="",N10&lt;=0),"",IF(LEN(F255)&lt;=N10,LEN(F255),IFERROR(FIND("♦",SUBSTITUTE(LEFT(F255,N10)," ","♦",LEN(LEFT(F255,N10))-LEN(SUBSTITUTE(LEFT(F255,N10)," ","")))),FIND(" ",F255&amp;" ",N10+1)-1)))</f>
        <v>1</v>
      </c>
      <c r="N255" s="234">
        <f t="shared" si="32"/>
        <v>238</v>
      </c>
      <c r="O255" s="165" t="str">
        <f t="shared" si="33"/>
        <v>0</v>
      </c>
      <c r="P255" s="234">
        <f t="shared" si="34"/>
        <v>1</v>
      </c>
      <c r="Q255" s="234">
        <f t="shared" si="35"/>
        <v>1</v>
      </c>
      <c r="S255" s="213"/>
      <c r="T255" s="236" t="s">
        <v>1393</v>
      </c>
      <c r="U255" s="235"/>
      <c r="V255" s="213"/>
      <c r="W255" s="213"/>
      <c r="X255" s="213"/>
      <c r="Y255" s="213"/>
      <c r="Z255" s="213"/>
      <c r="AA255" s="213"/>
      <c r="AB255" s="213"/>
      <c r="AC255" s="213"/>
      <c r="AD255" s="213"/>
      <c r="AE255" s="213"/>
      <c r="AF255" s="213"/>
      <c r="AG255" s="213"/>
      <c r="AH255" s="213"/>
      <c r="AI255" s="213"/>
      <c r="AJ255" s="213"/>
      <c r="AK255" s="213"/>
      <c r="DE255" s="152"/>
      <c r="DF255" s="160" t="s">
        <v>1394</v>
      </c>
      <c r="DG255" s="160" t="s">
        <v>617</v>
      </c>
      <c r="DH255" s="160" t="s">
        <v>125</v>
      </c>
      <c r="DI255" s="160" t="s">
        <v>1395</v>
      </c>
      <c r="DJ255" s="160" t="s">
        <v>1395</v>
      </c>
      <c r="DK255" s="160" t="s">
        <v>1259</v>
      </c>
      <c r="DL255" s="160" t="s">
        <v>1260</v>
      </c>
      <c r="DM255" s="160" t="s">
        <v>1261</v>
      </c>
      <c r="DN255" s="161" t="s">
        <v>1262</v>
      </c>
      <c r="DP255" s="130">
        <v>1</v>
      </c>
    </row>
    <row r="256" spans="2:120">
      <c r="B256" s="231"/>
      <c r="C256" s="231"/>
      <c r="D256" s="231"/>
      <c r="E256" s="231" cm="1">
        <f t="array" ref="E256">IF(H255&lt;&gt;"",E255,IF(E255="","",IFERROR(MATCH(TRUE(),INDEX(INDEX(K:K,E255+1):K203&lt;&gt;"",0),0)+E255,"")))</f>
        <v>348</v>
      </c>
      <c r="F256" s="232" cm="1">
        <f t="array" ref="F256">IF(E256="","",IF(H255&lt;&gt;"",H255,INDEX(D:D,E256)))</f>
        <v>0</v>
      </c>
      <c r="G256" s="232" t="str">
        <f t="shared" si="30"/>
        <v>0</v>
      </c>
      <c r="H256" s="233" t="str">
        <f t="shared" si="31"/>
        <v/>
      </c>
      <c r="I256" s="231" t="str">
        <f>IF(AND(F256&lt;&gt;"",N10&gt;0,M256&gt;N10),"Mot &gt; limite","")</f>
        <v/>
      </c>
      <c r="M256" s="126">
        <f>IF(OR(F256="",N10="",N10&lt;=0),"",IF(LEN(F256)&lt;=N10,LEN(F256),IFERROR(FIND("♦",SUBSTITUTE(LEFT(F256,N10)," ","♦",LEN(LEFT(F256,N10))-LEN(SUBSTITUTE(LEFT(F256,N10)," ","")))),FIND(" ",F256&amp;" ",N10+1)-1)))</f>
        <v>1</v>
      </c>
      <c r="N256" s="234">
        <f t="shared" si="32"/>
        <v>239</v>
      </c>
      <c r="O256" s="165" t="str">
        <f t="shared" si="33"/>
        <v>0</v>
      </c>
      <c r="P256" s="234">
        <f t="shared" si="34"/>
        <v>1</v>
      </c>
      <c r="Q256" s="234">
        <f t="shared" si="35"/>
        <v>1</v>
      </c>
      <c r="S256" s="213"/>
      <c r="T256" s="225" t="s">
        <v>1396</v>
      </c>
      <c r="U256" s="222" t="s">
        <v>1397</v>
      </c>
      <c r="V256" s="213"/>
      <c r="W256" s="213"/>
      <c r="X256" s="213"/>
      <c r="Y256" s="213"/>
      <c r="Z256" s="213"/>
      <c r="AA256" s="213"/>
      <c r="AB256" s="213"/>
      <c r="AC256" s="213"/>
      <c r="AD256" s="213"/>
      <c r="AE256" s="213"/>
      <c r="AF256" s="213"/>
      <c r="AG256" s="213"/>
      <c r="AH256" s="213"/>
      <c r="AI256" s="213"/>
      <c r="AJ256" s="213"/>
      <c r="AK256" s="213"/>
      <c r="DE256" s="152"/>
      <c r="DF256" s="160" t="s">
        <v>1398</v>
      </c>
      <c r="DG256" s="160" t="s">
        <v>617</v>
      </c>
      <c r="DH256" s="160" t="s">
        <v>125</v>
      </c>
      <c r="DI256" s="160" t="s">
        <v>1399</v>
      </c>
      <c r="DJ256" s="160" t="s">
        <v>1399</v>
      </c>
      <c r="DK256" s="160" t="s">
        <v>1259</v>
      </c>
      <c r="DL256" s="160" t="s">
        <v>1260</v>
      </c>
      <c r="DM256" s="160" t="s">
        <v>1261</v>
      </c>
      <c r="DN256" s="161" t="s">
        <v>1262</v>
      </c>
      <c r="DP256" s="130">
        <v>1</v>
      </c>
    </row>
    <row r="257" spans="2:120">
      <c r="B257" s="231"/>
      <c r="C257" s="231"/>
      <c r="D257" s="231"/>
      <c r="E257" s="231" cm="1">
        <f t="array" ref="E257">IF(H256&lt;&gt;"",E256,IF(E256="","",IFERROR(MATCH(TRUE(),INDEX(INDEX(K:K,E256+1):K203&lt;&gt;"",0),0)+E256,"")))</f>
        <v>349</v>
      </c>
      <c r="F257" s="232" cm="1">
        <f t="array" ref="F257">IF(E257="","",IF(H256&lt;&gt;"",H256,INDEX(D:D,E257)))</f>
        <v>0</v>
      </c>
      <c r="G257" s="232" t="str">
        <f t="shared" si="30"/>
        <v>0</v>
      </c>
      <c r="H257" s="233" t="str">
        <f t="shared" si="31"/>
        <v/>
      </c>
      <c r="I257" s="231" t="str">
        <f>IF(AND(F257&lt;&gt;"",N10&gt;0,M257&gt;N10),"Mot &gt; limite","")</f>
        <v/>
      </c>
      <c r="M257" s="126">
        <f>IF(OR(F257="",N10="",N10&lt;=0),"",IF(LEN(F257)&lt;=N10,LEN(F257),IFERROR(FIND("♦",SUBSTITUTE(LEFT(F257,N10)," ","♦",LEN(LEFT(F257,N10))-LEN(SUBSTITUTE(LEFT(F257,N10)," ","")))),FIND(" ",F257&amp;" ",N10+1)-1)))</f>
        <v>1</v>
      </c>
      <c r="N257" s="234">
        <f t="shared" si="32"/>
        <v>240</v>
      </c>
      <c r="O257" s="165" t="str">
        <f t="shared" si="33"/>
        <v>0</v>
      </c>
      <c r="P257" s="234">
        <f t="shared" si="34"/>
        <v>1</v>
      </c>
      <c r="Q257" s="234">
        <f t="shared" si="35"/>
        <v>1</v>
      </c>
      <c r="S257" s="213"/>
      <c r="T257" s="238" t="s">
        <v>1400</v>
      </c>
      <c r="U257" s="239" t="s">
        <v>1401</v>
      </c>
      <c r="V257" s="213"/>
      <c r="W257" s="213"/>
      <c r="X257" s="213"/>
      <c r="Y257" s="213"/>
      <c r="Z257" s="213"/>
      <c r="AA257" s="213"/>
      <c r="AB257" s="213"/>
      <c r="AC257" s="213"/>
      <c r="AD257" s="213"/>
      <c r="AE257" s="213"/>
      <c r="AF257" s="213"/>
      <c r="AG257" s="213"/>
      <c r="AH257" s="213"/>
      <c r="AI257" s="213"/>
      <c r="AJ257" s="213"/>
      <c r="AK257" s="213"/>
      <c r="DE257" s="152"/>
      <c r="DF257" s="160" t="s">
        <v>1402</v>
      </c>
      <c r="DG257" s="160" t="s">
        <v>617</v>
      </c>
      <c r="DH257" s="160" t="s">
        <v>125</v>
      </c>
      <c r="DI257" s="160" t="s">
        <v>1403</v>
      </c>
      <c r="DJ257" s="160" t="s">
        <v>1403</v>
      </c>
      <c r="DK257" s="160" t="s">
        <v>1259</v>
      </c>
      <c r="DL257" s="160" t="s">
        <v>1260</v>
      </c>
      <c r="DM257" s="160" t="s">
        <v>1261</v>
      </c>
      <c r="DN257" s="161" t="s">
        <v>1262</v>
      </c>
      <c r="DP257" s="130">
        <v>1</v>
      </c>
    </row>
    <row r="258" spans="2:120">
      <c r="B258" s="231"/>
      <c r="C258" s="231"/>
      <c r="D258" s="231"/>
      <c r="E258" s="231" cm="1">
        <f t="array" ref="E258">IF(H257&lt;&gt;"",E257,IF(E257="","",IFERROR(MATCH(TRUE(),INDEX(INDEX(K:K,E257+1):K203&lt;&gt;"",0),0)+E257,"")))</f>
        <v>350</v>
      </c>
      <c r="F258" s="232" cm="1">
        <f t="array" ref="F258">IF(E258="","",IF(H257&lt;&gt;"",H257,INDEX(D:D,E258)))</f>
        <v>0</v>
      </c>
      <c r="G258" s="232" t="str">
        <f t="shared" si="30"/>
        <v>0</v>
      </c>
      <c r="H258" s="233" t="str">
        <f t="shared" si="31"/>
        <v/>
      </c>
      <c r="I258" s="231" t="str">
        <f>IF(AND(F258&lt;&gt;"",N10&gt;0,M258&gt;N10),"Mot &gt; limite","")</f>
        <v/>
      </c>
      <c r="M258" s="126">
        <f>IF(OR(F258="",N10="",N10&lt;=0),"",IF(LEN(F258)&lt;=N10,LEN(F258),IFERROR(FIND("♦",SUBSTITUTE(LEFT(F258,N10)," ","♦",LEN(LEFT(F258,N10))-LEN(SUBSTITUTE(LEFT(F258,N10)," ","")))),FIND(" ",F258&amp;" ",N10+1)-1)))</f>
        <v>1</v>
      </c>
      <c r="N258" s="234">
        <f t="shared" si="32"/>
        <v>241</v>
      </c>
      <c r="O258" s="165" t="str">
        <f t="shared" si="33"/>
        <v>0</v>
      </c>
      <c r="P258" s="234">
        <f t="shared" si="34"/>
        <v>1</v>
      </c>
      <c r="Q258" s="234">
        <f t="shared" si="35"/>
        <v>1</v>
      </c>
      <c r="S258" s="213"/>
      <c r="T258" s="238" t="s">
        <v>1404</v>
      </c>
      <c r="U258" s="239" t="s">
        <v>1405</v>
      </c>
      <c r="V258" s="213"/>
      <c r="W258" s="213"/>
      <c r="X258" s="213"/>
      <c r="Y258" s="213"/>
      <c r="Z258" s="213"/>
      <c r="AA258" s="213"/>
      <c r="AB258" s="213"/>
      <c r="AC258" s="213"/>
      <c r="AD258" s="213"/>
      <c r="AE258" s="213"/>
      <c r="AF258" s="213"/>
      <c r="AG258" s="213"/>
      <c r="AH258" s="213"/>
      <c r="AI258" s="213"/>
      <c r="AJ258" s="213"/>
      <c r="AK258" s="213"/>
      <c r="DE258" s="152"/>
      <c r="DF258" s="160" t="s">
        <v>1406</v>
      </c>
      <c r="DG258" s="160" t="s">
        <v>617</v>
      </c>
      <c r="DH258" s="160" t="s">
        <v>125</v>
      </c>
      <c r="DI258" s="160" t="s">
        <v>1407</v>
      </c>
      <c r="DJ258" s="160" t="s">
        <v>1407</v>
      </c>
      <c r="DK258" s="160" t="s">
        <v>1259</v>
      </c>
      <c r="DL258" s="160" t="s">
        <v>1260</v>
      </c>
      <c r="DM258" s="160" t="s">
        <v>1261</v>
      </c>
      <c r="DN258" s="161" t="s">
        <v>1262</v>
      </c>
      <c r="DP258" s="130">
        <v>1</v>
      </c>
    </row>
    <row r="259" spans="2:120">
      <c r="B259" s="231"/>
      <c r="C259" s="231"/>
      <c r="D259" s="231"/>
      <c r="E259" s="231" cm="1">
        <f t="array" ref="E259">IF(H258&lt;&gt;"",E258,IF(E258="","",IFERROR(MATCH(TRUE(),INDEX(INDEX(K:K,E258+1):K203&lt;&gt;"",0),0)+E258,"")))</f>
        <v>351</v>
      </c>
      <c r="F259" s="232" cm="1">
        <f t="array" ref="F259">IF(E259="","",IF(H258&lt;&gt;"",H258,INDEX(D:D,E259)))</f>
        <v>0</v>
      </c>
      <c r="G259" s="232" t="str">
        <f t="shared" si="30"/>
        <v>0</v>
      </c>
      <c r="H259" s="233" t="str">
        <f t="shared" si="31"/>
        <v/>
      </c>
      <c r="I259" s="231" t="str">
        <f>IF(AND(F259&lt;&gt;"",N10&gt;0,M259&gt;N10),"Mot &gt; limite","")</f>
        <v/>
      </c>
      <c r="M259" s="126">
        <f>IF(OR(F259="",N10="",N10&lt;=0),"",IF(LEN(F259)&lt;=N10,LEN(F259),IFERROR(FIND("♦",SUBSTITUTE(LEFT(F259,N10)," ","♦",LEN(LEFT(F259,N10))-LEN(SUBSTITUTE(LEFT(F259,N10)," ","")))),FIND(" ",F259&amp;" ",N10+1)-1)))</f>
        <v>1</v>
      </c>
      <c r="N259" s="234">
        <f t="shared" si="32"/>
        <v>242</v>
      </c>
      <c r="O259" s="165" t="str">
        <f t="shared" si="33"/>
        <v>0</v>
      </c>
      <c r="P259" s="234">
        <f t="shared" si="34"/>
        <v>1</v>
      </c>
      <c r="Q259" s="234">
        <f t="shared" si="35"/>
        <v>1</v>
      </c>
      <c r="S259" s="213"/>
      <c r="T259" s="238" t="s">
        <v>1408</v>
      </c>
      <c r="U259" s="222" t="s">
        <v>1409</v>
      </c>
      <c r="V259" s="213"/>
      <c r="W259" s="213"/>
      <c r="X259" s="213"/>
      <c r="Y259" s="213"/>
      <c r="Z259" s="213"/>
      <c r="AA259" s="213"/>
      <c r="AB259" s="213"/>
      <c r="AC259" s="213"/>
      <c r="AD259" s="213"/>
      <c r="AE259" s="213"/>
      <c r="AF259" s="213"/>
      <c r="AG259" s="213"/>
      <c r="AH259" s="213"/>
      <c r="AI259" s="213"/>
      <c r="AJ259" s="213"/>
      <c r="AK259" s="213"/>
      <c r="DE259" s="152"/>
      <c r="DF259" s="160" t="s">
        <v>1410</v>
      </c>
      <c r="DG259" s="160" t="s">
        <v>617</v>
      </c>
      <c r="DH259" s="160" t="s">
        <v>125</v>
      </c>
      <c r="DI259" s="160" t="s">
        <v>1411</v>
      </c>
      <c r="DJ259" s="160" t="s">
        <v>1411</v>
      </c>
      <c r="DK259" s="160" t="s">
        <v>1259</v>
      </c>
      <c r="DL259" s="160" t="s">
        <v>1260</v>
      </c>
      <c r="DM259" s="160" t="s">
        <v>1261</v>
      </c>
      <c r="DN259" s="161" t="s">
        <v>1262</v>
      </c>
      <c r="DP259" s="130">
        <v>1</v>
      </c>
    </row>
    <row r="260" spans="2:120">
      <c r="B260" s="231"/>
      <c r="C260" s="231"/>
      <c r="D260" s="231"/>
      <c r="E260" s="231" cm="1">
        <f t="array" ref="E260">IF(H259&lt;&gt;"",E259,IF(E259="","",IFERROR(MATCH(TRUE(),INDEX(INDEX(K:K,E259+1):K203&lt;&gt;"",0),0)+E259,"")))</f>
        <v>352</v>
      </c>
      <c r="F260" s="232" cm="1">
        <f t="array" ref="F260">IF(E260="","",IF(H259&lt;&gt;"",H259,INDEX(D:D,E260)))</f>
        <v>0</v>
      </c>
      <c r="G260" s="232" t="str">
        <f t="shared" si="30"/>
        <v>0</v>
      </c>
      <c r="H260" s="233" t="str">
        <f t="shared" si="31"/>
        <v/>
      </c>
      <c r="I260" s="231" t="str">
        <f>IF(AND(F260&lt;&gt;"",N10&gt;0,M260&gt;N10),"Mot &gt; limite","")</f>
        <v/>
      </c>
      <c r="M260" s="126">
        <f>IF(OR(F260="",N10="",N10&lt;=0),"",IF(LEN(F260)&lt;=N10,LEN(F260),IFERROR(FIND("♦",SUBSTITUTE(LEFT(F260,N10)," ","♦",LEN(LEFT(F260,N10))-LEN(SUBSTITUTE(LEFT(F260,N10)," ","")))),FIND(" ",F260&amp;" ",N10+1)-1)))</f>
        <v>1</v>
      </c>
      <c r="N260" s="234">
        <f t="shared" si="32"/>
        <v>243</v>
      </c>
      <c r="O260" s="165" t="str">
        <f t="shared" si="33"/>
        <v>0</v>
      </c>
      <c r="P260" s="234">
        <f t="shared" si="34"/>
        <v>1</v>
      </c>
      <c r="Q260" s="234">
        <f t="shared" si="35"/>
        <v>1</v>
      </c>
      <c r="S260" s="213"/>
      <c r="T260" s="238" t="s">
        <v>1412</v>
      </c>
      <c r="U260" s="222" t="s">
        <v>1413</v>
      </c>
      <c r="V260" s="213"/>
      <c r="W260" s="213"/>
      <c r="X260" s="213"/>
      <c r="Y260" s="213"/>
      <c r="Z260" s="213"/>
      <c r="AA260" s="213"/>
      <c r="AB260" s="213"/>
      <c r="AC260" s="213"/>
      <c r="AD260" s="213"/>
      <c r="AE260" s="213"/>
      <c r="AF260" s="213"/>
      <c r="AG260" s="213"/>
      <c r="AH260" s="213"/>
      <c r="AI260" s="213"/>
      <c r="AJ260" s="213"/>
      <c r="AK260" s="213"/>
      <c r="DE260" s="152"/>
      <c r="DF260" s="160" t="s">
        <v>1414</v>
      </c>
      <c r="DG260" s="160" t="s">
        <v>617</v>
      </c>
      <c r="DH260" s="160" t="s">
        <v>125</v>
      </c>
      <c r="DI260" s="160" t="s">
        <v>1415</v>
      </c>
      <c r="DJ260" s="160" t="s">
        <v>1415</v>
      </c>
      <c r="DK260" s="160" t="s">
        <v>1259</v>
      </c>
      <c r="DL260" s="160" t="s">
        <v>1260</v>
      </c>
      <c r="DM260" s="160" t="s">
        <v>1261</v>
      </c>
      <c r="DN260" s="161" t="s">
        <v>1262</v>
      </c>
      <c r="DP260" s="130">
        <v>1</v>
      </c>
    </row>
    <row r="261" spans="2:120">
      <c r="B261" s="231"/>
      <c r="C261" s="231"/>
      <c r="D261" s="231"/>
      <c r="E261" s="231" cm="1">
        <f t="array" ref="E261">IF(H260&lt;&gt;"",E260,IF(E260="","",IFERROR(MATCH(TRUE(),INDEX(INDEX(K:K,E260+1):K203&lt;&gt;"",0),0)+E260,"")))</f>
        <v>353</v>
      </c>
      <c r="F261" s="232" cm="1">
        <f t="array" ref="F261">IF(E261="","",IF(H260&lt;&gt;"",H260,INDEX(D:D,E261)))</f>
        <v>0</v>
      </c>
      <c r="G261" s="232" t="str">
        <f t="shared" si="30"/>
        <v>0</v>
      </c>
      <c r="H261" s="233" t="str">
        <f t="shared" si="31"/>
        <v/>
      </c>
      <c r="I261" s="231" t="str">
        <f>IF(AND(F261&lt;&gt;"",N10&gt;0,M261&gt;N10),"Mot &gt; limite","")</f>
        <v/>
      </c>
      <c r="M261" s="126">
        <f>IF(OR(F261="",N10="",N10&lt;=0),"",IF(LEN(F261)&lt;=N10,LEN(F261),IFERROR(FIND("♦",SUBSTITUTE(LEFT(F261,N10)," ","♦",LEN(LEFT(F261,N10))-LEN(SUBSTITUTE(LEFT(F261,N10)," ","")))),FIND(" ",F261&amp;" ",N10+1)-1)))</f>
        <v>1</v>
      </c>
      <c r="N261" s="234">
        <f t="shared" si="32"/>
        <v>244</v>
      </c>
      <c r="O261" s="165" t="str">
        <f t="shared" si="33"/>
        <v>0</v>
      </c>
      <c r="P261" s="234">
        <f t="shared" si="34"/>
        <v>1</v>
      </c>
      <c r="Q261" s="234">
        <f t="shared" si="35"/>
        <v>1</v>
      </c>
      <c r="S261" s="213"/>
      <c r="T261" s="238"/>
      <c r="U261" s="222"/>
      <c r="V261" s="213"/>
      <c r="W261" s="213"/>
      <c r="X261" s="213"/>
      <c r="Y261" s="213"/>
      <c r="Z261" s="213"/>
      <c r="AA261" s="213"/>
      <c r="AB261" s="213"/>
      <c r="AC261" s="213"/>
      <c r="AD261" s="213"/>
      <c r="AE261" s="213"/>
      <c r="AF261" s="213"/>
      <c r="AG261" s="213"/>
      <c r="AH261" s="213"/>
      <c r="AI261" s="213"/>
      <c r="AJ261" s="213"/>
      <c r="AK261" s="213"/>
      <c r="DE261" s="152"/>
      <c r="DF261" s="160" t="s">
        <v>1416</v>
      </c>
      <c r="DG261" s="160" t="s">
        <v>617</v>
      </c>
      <c r="DH261" s="160" t="s">
        <v>125</v>
      </c>
      <c r="DI261" s="160" t="s">
        <v>1417</v>
      </c>
      <c r="DJ261" s="160" t="s">
        <v>1417</v>
      </c>
      <c r="DK261" s="160" t="s">
        <v>1259</v>
      </c>
      <c r="DL261" s="160" t="s">
        <v>1260</v>
      </c>
      <c r="DM261" s="160" t="s">
        <v>1261</v>
      </c>
      <c r="DN261" s="161" t="s">
        <v>1262</v>
      </c>
      <c r="DP261" s="130">
        <v>1</v>
      </c>
    </row>
    <row r="262" spans="2:120">
      <c r="B262" s="231"/>
      <c r="C262" s="231"/>
      <c r="D262" s="231"/>
      <c r="E262" s="231" cm="1">
        <f t="array" ref="E262">IF(H261&lt;&gt;"",E261,IF(E261="","",IFERROR(MATCH(TRUE(),INDEX(INDEX(K:K,E261+1):K203&lt;&gt;"",0),0)+E261,"")))</f>
        <v>354</v>
      </c>
      <c r="F262" s="232" cm="1">
        <f t="array" ref="F262">IF(E262="","",IF(H261&lt;&gt;"",H261,INDEX(D:D,E262)))</f>
        <v>0</v>
      </c>
      <c r="G262" s="232" t="str">
        <f t="shared" si="30"/>
        <v>0</v>
      </c>
      <c r="H262" s="233" t="str">
        <f t="shared" si="31"/>
        <v/>
      </c>
      <c r="I262" s="231" t="str">
        <f>IF(AND(F262&lt;&gt;"",N10&gt;0,M262&gt;N10),"Mot &gt; limite","")</f>
        <v/>
      </c>
      <c r="M262" s="126">
        <f>IF(OR(F262="",N10="",N10&lt;=0),"",IF(LEN(F262)&lt;=N10,LEN(F262),IFERROR(FIND("♦",SUBSTITUTE(LEFT(F262,N10)," ","♦",LEN(LEFT(F262,N10))-LEN(SUBSTITUTE(LEFT(F262,N10)," ","")))),FIND(" ",F262&amp;" ",N10+1)-1)))</f>
        <v>1</v>
      </c>
      <c r="N262" s="234">
        <f t="shared" si="32"/>
        <v>245</v>
      </c>
      <c r="O262" s="165" t="str">
        <f t="shared" si="33"/>
        <v>0</v>
      </c>
      <c r="P262" s="234">
        <f t="shared" si="34"/>
        <v>1</v>
      </c>
      <c r="Q262" s="234">
        <f t="shared" si="35"/>
        <v>1</v>
      </c>
      <c r="S262" s="213"/>
      <c r="T262" s="230" t="s">
        <v>1418</v>
      </c>
      <c r="U262" s="228"/>
      <c r="V262" s="213"/>
      <c r="W262" s="213"/>
      <c r="X262" s="213"/>
      <c r="Y262" s="213"/>
      <c r="Z262" s="213"/>
      <c r="AA262" s="213"/>
      <c r="AB262" s="213"/>
      <c r="AC262" s="213"/>
      <c r="AD262" s="213"/>
      <c r="AE262" s="213"/>
      <c r="AF262" s="213"/>
      <c r="AG262" s="213"/>
      <c r="AH262" s="213"/>
      <c r="AI262" s="213"/>
      <c r="AJ262" s="213"/>
      <c r="AK262" s="213"/>
      <c r="DE262" s="152"/>
      <c r="DF262" s="160" t="s">
        <v>1419</v>
      </c>
      <c r="DG262" s="160" t="s">
        <v>617</v>
      </c>
      <c r="DH262" s="160" t="s">
        <v>125</v>
      </c>
      <c r="DI262" s="160" t="s">
        <v>1420</v>
      </c>
      <c r="DJ262" s="160" t="s">
        <v>1420</v>
      </c>
      <c r="DK262" s="160" t="s">
        <v>1259</v>
      </c>
      <c r="DL262" s="160" t="s">
        <v>1260</v>
      </c>
      <c r="DM262" s="160" t="s">
        <v>1261</v>
      </c>
      <c r="DN262" s="161" t="s">
        <v>1262</v>
      </c>
      <c r="DP262" s="130">
        <v>1</v>
      </c>
    </row>
    <row r="263" spans="2:120">
      <c r="B263" s="231"/>
      <c r="C263" s="231"/>
      <c r="D263" s="231"/>
      <c r="E263" s="231" cm="1">
        <f t="array" ref="E263">IF(H262&lt;&gt;"",E262,IF(E262="","",IFERROR(MATCH(TRUE(),INDEX(INDEX(K:K,E262+1):K203&lt;&gt;"",0),0)+E262,"")))</f>
        <v>355</v>
      </c>
      <c r="F263" s="232" cm="1">
        <f t="array" ref="F263">IF(E263="","",IF(H262&lt;&gt;"",H262,INDEX(D:D,E263)))</f>
        <v>0</v>
      </c>
      <c r="G263" s="232" t="str">
        <f t="shared" si="30"/>
        <v>0</v>
      </c>
      <c r="H263" s="233" t="str">
        <f t="shared" si="31"/>
        <v/>
      </c>
      <c r="I263" s="231" t="str">
        <f>IF(AND(F263&lt;&gt;"",N10&gt;0,M263&gt;N10),"Mot &gt; limite","")</f>
        <v/>
      </c>
      <c r="M263" s="126">
        <f>IF(OR(F263="",N10="",N10&lt;=0),"",IF(LEN(F263)&lt;=N10,LEN(F263),IFERROR(FIND("♦",SUBSTITUTE(LEFT(F263,N10)," ","♦",LEN(LEFT(F263,N10))-LEN(SUBSTITUTE(LEFT(F263,N10)," ","")))),FIND(" ",F263&amp;" ",N10+1)-1)))</f>
        <v>1</v>
      </c>
      <c r="N263" s="234">
        <f t="shared" si="32"/>
        <v>246</v>
      </c>
      <c r="O263" s="165" t="str">
        <f t="shared" si="33"/>
        <v>0</v>
      </c>
      <c r="P263" s="234">
        <f t="shared" si="34"/>
        <v>1</v>
      </c>
      <c r="Q263" s="234">
        <f t="shared" si="35"/>
        <v>1</v>
      </c>
      <c r="S263" s="213"/>
      <c r="T263" s="238"/>
      <c r="U263" s="237" t="s">
        <v>1421</v>
      </c>
      <c r="V263" s="213"/>
      <c r="W263" s="213"/>
      <c r="X263" s="213"/>
      <c r="Y263" s="213"/>
      <c r="Z263" s="213"/>
      <c r="AA263" s="213"/>
      <c r="AB263" s="213"/>
      <c r="AC263" s="213"/>
      <c r="AD263" s="213"/>
      <c r="AE263" s="213"/>
      <c r="AF263" s="213"/>
      <c r="AG263" s="213"/>
      <c r="AH263" s="213"/>
      <c r="AI263" s="213"/>
      <c r="AJ263" s="213"/>
      <c r="AK263" s="213"/>
      <c r="DE263" s="152"/>
      <c r="DF263" s="160" t="s">
        <v>1422</v>
      </c>
      <c r="DG263" s="160" t="s">
        <v>617</v>
      </c>
      <c r="DH263" s="160" t="s">
        <v>125</v>
      </c>
      <c r="DI263" s="160" t="s">
        <v>1423</v>
      </c>
      <c r="DJ263" s="160" t="s">
        <v>1423</v>
      </c>
      <c r="DK263" s="160" t="s">
        <v>1259</v>
      </c>
      <c r="DL263" s="160" t="s">
        <v>1260</v>
      </c>
      <c r="DM263" s="160" t="s">
        <v>1261</v>
      </c>
      <c r="DN263" s="161" t="s">
        <v>1262</v>
      </c>
      <c r="DP263" s="130">
        <v>1</v>
      </c>
    </row>
    <row r="264" spans="2:120">
      <c r="B264" s="231"/>
      <c r="C264" s="231"/>
      <c r="D264" s="231"/>
      <c r="E264" s="231" cm="1">
        <f t="array" ref="E264">IF(H263&lt;&gt;"",E263,IF(E263="","",IFERROR(MATCH(TRUE(),INDEX(INDEX(K:K,E263+1):K203&lt;&gt;"",0),0)+E263,"")))</f>
        <v>356</v>
      </c>
      <c r="F264" s="232" cm="1">
        <f t="array" ref="F264">IF(E264="","",IF(H263&lt;&gt;"",H263,INDEX(D:D,E264)))</f>
        <v>0</v>
      </c>
      <c r="G264" s="232" t="str">
        <f t="shared" si="30"/>
        <v>0</v>
      </c>
      <c r="H264" s="233" t="str">
        <f t="shared" si="31"/>
        <v/>
      </c>
      <c r="I264" s="231" t="str">
        <f>IF(AND(F264&lt;&gt;"",N10&gt;0,M264&gt;N10),"Mot &gt; limite","")</f>
        <v/>
      </c>
      <c r="M264" s="126">
        <f>IF(OR(F264="",N10="",N10&lt;=0),"",IF(LEN(F264)&lt;=N10,LEN(F264),IFERROR(FIND("♦",SUBSTITUTE(LEFT(F264,N10)," ","♦",LEN(LEFT(F264,N10))-LEN(SUBSTITUTE(LEFT(F264,N10)," ","")))),FIND(" ",F264&amp;" ",N10+1)-1)))</f>
        <v>1</v>
      </c>
      <c r="N264" s="234">
        <f t="shared" si="32"/>
        <v>247</v>
      </c>
      <c r="O264" s="165" t="str">
        <f t="shared" si="33"/>
        <v>0</v>
      </c>
      <c r="P264" s="234">
        <f t="shared" si="34"/>
        <v>1</v>
      </c>
      <c r="Q264" s="234">
        <f t="shared" si="35"/>
        <v>1</v>
      </c>
      <c r="S264" s="213"/>
      <c r="T264" s="238" t="s">
        <v>1424</v>
      </c>
      <c r="U264" s="237" t="s">
        <v>1425</v>
      </c>
      <c r="V264" s="213"/>
      <c r="W264" s="213"/>
      <c r="X264" s="213"/>
      <c r="Y264" s="213"/>
      <c r="Z264" s="213"/>
      <c r="AA264" s="213"/>
      <c r="AB264" s="213"/>
      <c r="AC264" s="213"/>
      <c r="AD264" s="213"/>
      <c r="AE264" s="213"/>
      <c r="AF264" s="213"/>
      <c r="AG264" s="213"/>
      <c r="AH264" s="213"/>
      <c r="AI264" s="213"/>
      <c r="AJ264" s="213"/>
      <c r="AK264" s="213"/>
      <c r="DE264" s="152"/>
      <c r="DF264" s="160" t="s">
        <v>1426</v>
      </c>
      <c r="DG264" s="160" t="s">
        <v>617</v>
      </c>
      <c r="DH264" s="160" t="s">
        <v>125</v>
      </c>
      <c r="DI264" s="160" t="s">
        <v>1427</v>
      </c>
      <c r="DJ264" s="160" t="s">
        <v>1427</v>
      </c>
      <c r="DK264" s="160" t="s">
        <v>1259</v>
      </c>
      <c r="DL264" s="160" t="s">
        <v>1260</v>
      </c>
      <c r="DM264" s="160" t="s">
        <v>1261</v>
      </c>
      <c r="DN264" s="161" t="s">
        <v>1262</v>
      </c>
      <c r="DP264" s="130">
        <v>1</v>
      </c>
    </row>
    <row r="265" spans="2:120">
      <c r="B265" s="231"/>
      <c r="C265" s="231"/>
      <c r="D265" s="231"/>
      <c r="E265" s="231" cm="1">
        <f t="array" ref="E265">IF(H264&lt;&gt;"",E264,IF(E264="","",IFERROR(MATCH(TRUE(),INDEX(INDEX(K:K,E264+1):K203&lt;&gt;"",0),0)+E264,"")))</f>
        <v>357</v>
      </c>
      <c r="F265" s="232" cm="1">
        <f t="array" ref="F265">IF(E265="","",IF(H264&lt;&gt;"",H264,INDEX(D:D,E265)))</f>
        <v>0</v>
      </c>
      <c r="G265" s="232" t="str">
        <f t="shared" si="30"/>
        <v>0</v>
      </c>
      <c r="H265" s="233" t="str">
        <f t="shared" si="31"/>
        <v/>
      </c>
      <c r="I265" s="231" t="str">
        <f>IF(AND(F265&lt;&gt;"",N10&gt;0,M265&gt;N10),"Mot &gt; limite","")</f>
        <v/>
      </c>
      <c r="M265" s="126">
        <f>IF(OR(F265="",N10="",N10&lt;=0),"",IF(LEN(F265)&lt;=N10,LEN(F265),IFERROR(FIND("♦",SUBSTITUTE(LEFT(F265,N10)," ","♦",LEN(LEFT(F265,N10))-LEN(SUBSTITUTE(LEFT(F265,N10)," ","")))),FIND(" ",F265&amp;" ",N10+1)-1)))</f>
        <v>1</v>
      </c>
      <c r="N265" s="234">
        <f t="shared" si="32"/>
        <v>248</v>
      </c>
      <c r="O265" s="165" t="str">
        <f t="shared" si="33"/>
        <v>0</v>
      </c>
      <c r="P265" s="234">
        <f t="shared" si="34"/>
        <v>1</v>
      </c>
      <c r="Q265" s="234">
        <f t="shared" si="35"/>
        <v>1</v>
      </c>
      <c r="S265" s="213"/>
      <c r="T265" s="238" t="s">
        <v>1428</v>
      </c>
      <c r="U265" s="237" t="s">
        <v>1429</v>
      </c>
      <c r="V265" s="213"/>
      <c r="W265" s="213"/>
      <c r="X265" s="213"/>
      <c r="Y265" s="213"/>
      <c r="Z265" s="213"/>
      <c r="AA265" s="213"/>
      <c r="AB265" s="213"/>
      <c r="AC265" s="213"/>
      <c r="AD265" s="213"/>
      <c r="AE265" s="213"/>
      <c r="AF265" s="213"/>
      <c r="AG265" s="213"/>
      <c r="AH265" s="213"/>
      <c r="AI265" s="213"/>
      <c r="AJ265" s="213"/>
      <c r="AK265" s="213"/>
      <c r="DE265" s="152"/>
      <c r="DF265" s="160" t="s">
        <v>1430</v>
      </c>
      <c r="DG265" s="160" t="s">
        <v>617</v>
      </c>
      <c r="DH265" s="160" t="s">
        <v>125</v>
      </c>
      <c r="DI265" s="160" t="s">
        <v>1431</v>
      </c>
      <c r="DJ265" s="160" t="s">
        <v>1431</v>
      </c>
      <c r="DK265" s="160" t="s">
        <v>1259</v>
      </c>
      <c r="DL265" s="160" t="s">
        <v>1260</v>
      </c>
      <c r="DM265" s="160" t="s">
        <v>1261</v>
      </c>
      <c r="DN265" s="161" t="s">
        <v>1262</v>
      </c>
      <c r="DP265" s="130">
        <v>1</v>
      </c>
    </row>
    <row r="266" spans="2:120">
      <c r="B266" s="231"/>
      <c r="C266" s="231"/>
      <c r="D266" s="231"/>
      <c r="E266" s="231" cm="1">
        <f t="array" ref="E266">IF(H265&lt;&gt;"",E265,IF(E265="","",IFERROR(MATCH(TRUE(),INDEX(INDEX(K:K,E265+1):K203&lt;&gt;"",0),0)+E265,"")))</f>
        <v>358</v>
      </c>
      <c r="F266" s="232" cm="1">
        <f t="array" ref="F266">IF(E266="","",IF(H265&lt;&gt;"",H265,INDEX(D:D,E266)))</f>
        <v>0</v>
      </c>
      <c r="G266" s="232" t="str">
        <f t="shared" si="30"/>
        <v>0</v>
      </c>
      <c r="H266" s="233" t="str">
        <f t="shared" si="31"/>
        <v/>
      </c>
      <c r="I266" s="231" t="str">
        <f>IF(AND(F266&lt;&gt;"",N10&gt;0,M266&gt;N10),"Mot &gt; limite","")</f>
        <v/>
      </c>
      <c r="M266" s="126">
        <f>IF(OR(F266="",N10="",N10&lt;=0),"",IF(LEN(F266)&lt;=N10,LEN(F266),IFERROR(FIND("♦",SUBSTITUTE(LEFT(F266,N10)," ","♦",LEN(LEFT(F266,N10))-LEN(SUBSTITUTE(LEFT(F266,N10)," ","")))),FIND(" ",F266&amp;" ",N10+1)-1)))</f>
        <v>1</v>
      </c>
      <c r="N266" s="234">
        <f t="shared" si="32"/>
        <v>249</v>
      </c>
      <c r="O266" s="165" t="str">
        <f t="shared" si="33"/>
        <v>0</v>
      </c>
      <c r="P266" s="234">
        <f t="shared" si="34"/>
        <v>1</v>
      </c>
      <c r="Q266" s="234">
        <f t="shared" si="35"/>
        <v>1</v>
      </c>
      <c r="S266" s="213"/>
      <c r="T266" s="238" t="s">
        <v>1432</v>
      </c>
      <c r="U266" s="240" t="s">
        <v>1433</v>
      </c>
      <c r="V266" s="213"/>
      <c r="W266" s="213"/>
      <c r="X266" s="213"/>
      <c r="Y266" s="213"/>
      <c r="Z266" s="213"/>
      <c r="AA266" s="213"/>
      <c r="AB266" s="213"/>
      <c r="AC266" s="213"/>
      <c r="AD266" s="213"/>
      <c r="AE266" s="213"/>
      <c r="AF266" s="213"/>
      <c r="AG266" s="213"/>
      <c r="AH266" s="213"/>
      <c r="AI266" s="213"/>
      <c r="AJ266" s="213"/>
      <c r="AK266" s="213"/>
      <c r="DE266" s="152"/>
      <c r="DF266" s="160" t="s">
        <v>1434</v>
      </c>
      <c r="DG266" s="160" t="s">
        <v>617</v>
      </c>
      <c r="DH266" s="160" t="s">
        <v>125</v>
      </c>
      <c r="DI266" s="160" t="s">
        <v>1435</v>
      </c>
      <c r="DJ266" s="160" t="s">
        <v>1435</v>
      </c>
      <c r="DK266" s="160" t="s">
        <v>1259</v>
      </c>
      <c r="DL266" s="160" t="s">
        <v>1260</v>
      </c>
      <c r="DM266" s="160" t="s">
        <v>1261</v>
      </c>
      <c r="DN266" s="161" t="s">
        <v>1262</v>
      </c>
      <c r="DP266" s="130">
        <v>1</v>
      </c>
    </row>
    <row r="267" spans="2:120">
      <c r="B267" s="231"/>
      <c r="C267" s="231"/>
      <c r="D267" s="231"/>
      <c r="E267" s="231" cm="1">
        <f t="array" ref="E267">IF(H266&lt;&gt;"",E266,IF(E266="","",IFERROR(MATCH(TRUE(),INDEX(INDEX(K:K,E266+1):K203&lt;&gt;"",0),0)+E266,"")))</f>
        <v>359</v>
      </c>
      <c r="F267" s="232" cm="1">
        <f t="array" ref="F267">IF(E267="","",IF(H266&lt;&gt;"",H266,INDEX(D:D,E267)))</f>
        <v>0</v>
      </c>
      <c r="G267" s="232" t="str">
        <f t="shared" si="30"/>
        <v>0</v>
      </c>
      <c r="H267" s="233" t="str">
        <f t="shared" si="31"/>
        <v/>
      </c>
      <c r="I267" s="231" t="str">
        <f>IF(AND(F267&lt;&gt;"",N10&gt;0,M267&gt;N10),"Mot &gt; limite","")</f>
        <v/>
      </c>
      <c r="M267" s="126">
        <f>IF(OR(F267="",N10="",N10&lt;=0),"",IF(LEN(F267)&lt;=N10,LEN(F267),IFERROR(FIND("♦",SUBSTITUTE(LEFT(F267,N10)," ","♦",LEN(LEFT(F267,N10))-LEN(SUBSTITUTE(LEFT(F267,N10)," ","")))),FIND(" ",F267&amp;" ",N10+1)-1)))</f>
        <v>1</v>
      </c>
      <c r="N267" s="234">
        <f t="shared" si="32"/>
        <v>250</v>
      </c>
      <c r="O267" s="165" t="str">
        <f t="shared" si="33"/>
        <v>0</v>
      </c>
      <c r="P267" s="234">
        <f t="shared" si="34"/>
        <v>1</v>
      </c>
      <c r="Q267" s="234">
        <f t="shared" si="35"/>
        <v>1</v>
      </c>
      <c r="S267" s="213"/>
      <c r="T267" s="238" t="s">
        <v>1436</v>
      </c>
      <c r="U267" s="240" t="s">
        <v>1437</v>
      </c>
      <c r="V267" s="213"/>
      <c r="W267" s="213"/>
      <c r="X267" s="213"/>
      <c r="Y267" s="213"/>
      <c r="Z267" s="213"/>
      <c r="AA267" s="213"/>
      <c r="AB267" s="213"/>
      <c r="AC267" s="213"/>
      <c r="AD267" s="213"/>
      <c r="AE267" s="213"/>
      <c r="AF267" s="213"/>
      <c r="AG267" s="213"/>
      <c r="AH267" s="213"/>
      <c r="AI267" s="213"/>
      <c r="AJ267" s="213"/>
      <c r="AK267" s="213"/>
      <c r="DE267" s="152"/>
      <c r="DF267" s="160" t="s">
        <v>1438</v>
      </c>
      <c r="DG267" s="160" t="s">
        <v>617</v>
      </c>
      <c r="DH267" s="160" t="s">
        <v>125</v>
      </c>
      <c r="DI267" s="160" t="s">
        <v>1439</v>
      </c>
      <c r="DJ267" s="160" t="s">
        <v>1439</v>
      </c>
      <c r="DK267" s="160" t="s">
        <v>1259</v>
      </c>
      <c r="DL267" s="160" t="s">
        <v>1260</v>
      </c>
      <c r="DM267" s="160" t="s">
        <v>1261</v>
      </c>
      <c r="DN267" s="161" t="s">
        <v>1262</v>
      </c>
      <c r="DP267" s="130">
        <v>1</v>
      </c>
    </row>
    <row r="268" spans="2:120">
      <c r="B268" s="231"/>
      <c r="C268" s="231"/>
      <c r="D268" s="231"/>
      <c r="E268" s="231" cm="1">
        <f t="array" ref="E268">IF(H267&lt;&gt;"",E267,IF(E267="","",IFERROR(MATCH(TRUE(),INDEX(INDEX(K:K,E267+1):K203&lt;&gt;"",0),0)+E267,"")))</f>
        <v>360</v>
      </c>
      <c r="F268" s="232" cm="1">
        <f t="array" ref="F268">IF(E268="","",IF(H267&lt;&gt;"",H267,INDEX(D:D,E268)))</f>
        <v>0</v>
      </c>
      <c r="G268" s="232" t="str">
        <f t="shared" si="30"/>
        <v>0</v>
      </c>
      <c r="H268" s="233" t="str">
        <f t="shared" si="31"/>
        <v/>
      </c>
      <c r="I268" s="231" t="str">
        <f>IF(AND(F268&lt;&gt;"",N10&gt;0,M268&gt;N10),"Mot &gt; limite","")</f>
        <v/>
      </c>
      <c r="M268" s="126">
        <f>IF(OR(F268="",N10="",N10&lt;=0),"",IF(LEN(F268)&lt;=N10,LEN(F268),IFERROR(FIND("♦",SUBSTITUTE(LEFT(F268,N10)," ","♦",LEN(LEFT(F268,N10))-LEN(SUBSTITUTE(LEFT(F268,N10)," ","")))),FIND(" ",F268&amp;" ",N10+1)-1)))</f>
        <v>1</v>
      </c>
      <c r="N268" s="234">
        <f t="shared" si="32"/>
        <v>251</v>
      </c>
      <c r="O268" s="165" t="str">
        <f t="shared" si="33"/>
        <v>0</v>
      </c>
      <c r="P268" s="234">
        <f t="shared" si="34"/>
        <v>1</v>
      </c>
      <c r="Q268" s="234">
        <f t="shared" si="35"/>
        <v>1</v>
      </c>
      <c r="S268" s="213"/>
      <c r="T268" s="238" t="s">
        <v>1352</v>
      </c>
      <c r="U268" s="240" t="s">
        <v>1440</v>
      </c>
      <c r="V268" s="213"/>
      <c r="W268" s="213"/>
      <c r="X268" s="213"/>
      <c r="Y268" s="213"/>
      <c r="Z268" s="213"/>
      <c r="AA268" s="213"/>
      <c r="AB268" s="213"/>
      <c r="AC268" s="213"/>
      <c r="AD268" s="213"/>
      <c r="AE268" s="213"/>
      <c r="AF268" s="213"/>
      <c r="AG268" s="213"/>
      <c r="AH268" s="213"/>
      <c r="AI268" s="213"/>
      <c r="AJ268" s="213"/>
      <c r="AK268" s="213"/>
      <c r="DE268" s="152"/>
      <c r="DF268" s="160" t="s">
        <v>1441</v>
      </c>
      <c r="DG268" s="160" t="s">
        <v>617</v>
      </c>
      <c r="DH268" s="160" t="s">
        <v>125</v>
      </c>
      <c r="DI268" s="160" t="s">
        <v>1442</v>
      </c>
      <c r="DJ268" s="160" t="s">
        <v>1442</v>
      </c>
      <c r="DK268" s="160" t="s">
        <v>1259</v>
      </c>
      <c r="DL268" s="160" t="s">
        <v>1260</v>
      </c>
      <c r="DM268" s="160" t="s">
        <v>1261</v>
      </c>
      <c r="DN268" s="161" t="s">
        <v>1262</v>
      </c>
      <c r="DP268" s="130">
        <v>1</v>
      </c>
    </row>
    <row r="269" spans="2:120">
      <c r="B269" s="231"/>
      <c r="C269" s="231"/>
      <c r="D269" s="231"/>
      <c r="E269" s="231" cm="1">
        <f t="array" ref="E269">IF(H268&lt;&gt;"",E268,IF(E268="","",IFERROR(MATCH(TRUE(),INDEX(INDEX(K:K,E268+1):K203&lt;&gt;"",0),0)+E268,"")))</f>
        <v>361</v>
      </c>
      <c r="F269" s="232" cm="1">
        <f t="array" ref="F269">IF(E269="","",IF(H268&lt;&gt;"",H268,INDEX(D:D,E269)))</f>
        <v>0</v>
      </c>
      <c r="G269" s="232" t="str">
        <f t="shared" si="30"/>
        <v>0</v>
      </c>
      <c r="H269" s="233" t="str">
        <f t="shared" si="31"/>
        <v/>
      </c>
      <c r="I269" s="231" t="str">
        <f>IF(AND(F269&lt;&gt;"",N10&gt;0,M269&gt;N10),"Mot &gt; limite","")</f>
        <v/>
      </c>
      <c r="M269" s="126">
        <f>IF(OR(F269="",N10="",N10&lt;=0),"",IF(LEN(F269)&lt;=N10,LEN(F269),IFERROR(FIND("♦",SUBSTITUTE(LEFT(F269,N10)," ","♦",LEN(LEFT(F269,N10))-LEN(SUBSTITUTE(LEFT(F269,N10)," ","")))),FIND(" ",F269&amp;" ",N10+1)-1)))</f>
        <v>1</v>
      </c>
      <c r="N269" s="234">
        <f t="shared" si="32"/>
        <v>252</v>
      </c>
      <c r="O269" s="165" t="str">
        <f t="shared" si="33"/>
        <v>0</v>
      </c>
      <c r="P269" s="234">
        <f t="shared" si="34"/>
        <v>1</v>
      </c>
      <c r="Q269" s="234">
        <f t="shared" si="35"/>
        <v>1</v>
      </c>
      <c r="S269" s="213"/>
      <c r="T269" s="238" t="s">
        <v>1443</v>
      </c>
      <c r="U269" s="240" t="s">
        <v>1444</v>
      </c>
      <c r="V269" s="213"/>
      <c r="W269" s="213"/>
      <c r="X269" s="213"/>
      <c r="Y269" s="213"/>
      <c r="Z269" s="213"/>
      <c r="AA269" s="213"/>
      <c r="AB269" s="213"/>
      <c r="AC269" s="213"/>
      <c r="AD269" s="213"/>
      <c r="AE269" s="213"/>
      <c r="AF269" s="213"/>
      <c r="AG269" s="213"/>
      <c r="AH269" s="213"/>
      <c r="AI269" s="213"/>
      <c r="AJ269" s="213"/>
      <c r="AK269" s="213"/>
      <c r="DE269" s="152"/>
      <c r="DF269" s="160" t="s">
        <v>1445</v>
      </c>
      <c r="DG269" s="160" t="s">
        <v>617</v>
      </c>
      <c r="DH269" s="160" t="s">
        <v>125</v>
      </c>
      <c r="DI269" s="160" t="s">
        <v>1446</v>
      </c>
      <c r="DJ269" s="160" t="s">
        <v>1446</v>
      </c>
      <c r="DK269" s="160" t="s">
        <v>1259</v>
      </c>
      <c r="DL269" s="160" t="s">
        <v>1260</v>
      </c>
      <c r="DM269" s="160" t="s">
        <v>1261</v>
      </c>
      <c r="DN269" s="161" t="s">
        <v>1262</v>
      </c>
      <c r="DP269" s="130">
        <v>1</v>
      </c>
    </row>
    <row r="270" spans="2:120">
      <c r="B270" s="231"/>
      <c r="C270" s="231"/>
      <c r="D270" s="231"/>
      <c r="E270" s="231" cm="1">
        <f t="array" ref="E270">IF(H269&lt;&gt;"",E269,IF(E269="","",IFERROR(MATCH(TRUE(),INDEX(INDEX(K:K,E269+1):K203&lt;&gt;"",0),0)+E269,"")))</f>
        <v>362</v>
      </c>
      <c r="F270" s="232" cm="1">
        <f t="array" ref="F270">IF(E270="","",IF(H269&lt;&gt;"",H269,INDEX(D:D,E270)))</f>
        <v>0</v>
      </c>
      <c r="G270" s="232" t="str">
        <f t="shared" si="30"/>
        <v>0</v>
      </c>
      <c r="H270" s="233" t="str">
        <f t="shared" si="31"/>
        <v/>
      </c>
      <c r="I270" s="231" t="str">
        <f>IF(AND(F270&lt;&gt;"",N10&gt;0,M270&gt;N10),"Mot &gt; limite","")</f>
        <v/>
      </c>
      <c r="M270" s="126">
        <f>IF(OR(F270="",N10="",N10&lt;=0),"",IF(LEN(F270)&lt;=N10,LEN(F270),IFERROR(FIND("♦",SUBSTITUTE(LEFT(F270,N10)," ","♦",LEN(LEFT(F270,N10))-LEN(SUBSTITUTE(LEFT(F270,N10)," ","")))),FIND(" ",F270&amp;" ",N10+1)-1)))</f>
        <v>1</v>
      </c>
      <c r="N270" s="234">
        <f t="shared" si="32"/>
        <v>253</v>
      </c>
      <c r="O270" s="165" t="str">
        <f t="shared" si="33"/>
        <v>0</v>
      </c>
      <c r="P270" s="234">
        <f t="shared" si="34"/>
        <v>1</v>
      </c>
      <c r="Q270" s="234">
        <f t="shared" si="35"/>
        <v>1</v>
      </c>
      <c r="S270" s="213"/>
      <c r="T270" s="241"/>
      <c r="U270" s="239"/>
      <c r="V270" s="213"/>
      <c r="W270" s="213"/>
      <c r="X270" s="213"/>
      <c r="Y270" s="213"/>
      <c r="Z270" s="213"/>
      <c r="AA270" s="213"/>
      <c r="AB270" s="213"/>
      <c r="AC270" s="213"/>
      <c r="AD270" s="213"/>
      <c r="AE270" s="213"/>
      <c r="AF270" s="213"/>
      <c r="AG270" s="213"/>
      <c r="AH270" s="213"/>
      <c r="AI270" s="213"/>
      <c r="AJ270" s="213"/>
      <c r="AK270" s="213"/>
      <c r="DE270" s="152"/>
      <c r="DF270" s="160" t="s">
        <v>1447</v>
      </c>
      <c r="DG270" s="160" t="s">
        <v>617</v>
      </c>
      <c r="DH270" s="160" t="s">
        <v>125</v>
      </c>
      <c r="DI270" s="160" t="s">
        <v>145</v>
      </c>
      <c r="DJ270" s="160" t="s">
        <v>145</v>
      </c>
      <c r="DK270" s="160" t="s">
        <v>1259</v>
      </c>
      <c r="DL270" s="160" t="s">
        <v>1268</v>
      </c>
      <c r="DM270" s="160" t="s">
        <v>590</v>
      </c>
      <c r="DN270" s="161" t="s">
        <v>591</v>
      </c>
      <c r="DP270" s="130">
        <v>1</v>
      </c>
    </row>
    <row r="271" spans="2:120">
      <c r="B271" s="231"/>
      <c r="C271" s="231"/>
      <c r="D271" s="231"/>
      <c r="E271" s="231" cm="1">
        <f t="array" ref="E271">IF(H270&lt;&gt;"",E270,IF(E270="","",IFERROR(MATCH(TRUE(),INDEX(INDEX(K:K,E270+1):K203&lt;&gt;"",0),0)+E270,"")))</f>
        <v>363</v>
      </c>
      <c r="F271" s="232" cm="1">
        <f t="array" ref="F271">IF(E271="","",IF(H270&lt;&gt;"",H270,INDEX(D:D,E271)))</f>
        <v>0</v>
      </c>
      <c r="G271" s="232" t="str">
        <f t="shared" si="30"/>
        <v>0</v>
      </c>
      <c r="H271" s="233" t="str">
        <f t="shared" si="31"/>
        <v/>
      </c>
      <c r="I271" s="231" t="str">
        <f>IF(AND(F271&lt;&gt;"",N10&gt;0,M271&gt;N10),"Mot &gt; limite","")</f>
        <v/>
      </c>
      <c r="M271" s="126">
        <f>IF(OR(F271="",N10="",N10&lt;=0),"",IF(LEN(F271)&lt;=N10,LEN(F271),IFERROR(FIND("♦",SUBSTITUTE(LEFT(F271,N10)," ","♦",LEN(LEFT(F271,N10))-LEN(SUBSTITUTE(LEFT(F271,N10)," ","")))),FIND(" ",F271&amp;" ",N10+1)-1)))</f>
        <v>1</v>
      </c>
      <c r="N271" s="234">
        <f t="shared" si="32"/>
        <v>254</v>
      </c>
      <c r="O271" s="165" t="str">
        <f t="shared" si="33"/>
        <v>0</v>
      </c>
      <c r="P271" s="234">
        <f t="shared" si="34"/>
        <v>1</v>
      </c>
      <c r="Q271" s="234">
        <f t="shared" si="35"/>
        <v>1</v>
      </c>
      <c r="S271" s="213"/>
      <c r="T271" s="230" t="s">
        <v>1448</v>
      </c>
      <c r="U271" s="228" t="s">
        <v>1449</v>
      </c>
      <c r="V271" s="213"/>
      <c r="W271" s="213"/>
      <c r="X271" s="213"/>
      <c r="Y271" s="213"/>
      <c r="Z271" s="213"/>
      <c r="AA271" s="213"/>
      <c r="AB271" s="213"/>
      <c r="AC271" s="213"/>
      <c r="AD271" s="213"/>
      <c r="AE271" s="213"/>
      <c r="AF271" s="213"/>
      <c r="AG271" s="213"/>
      <c r="AH271" s="213"/>
      <c r="AI271" s="213"/>
      <c r="AJ271" s="213"/>
      <c r="AK271" s="213"/>
      <c r="DE271" s="152"/>
      <c r="DF271" s="160" t="s">
        <v>1450</v>
      </c>
      <c r="DG271" s="160" t="s">
        <v>617</v>
      </c>
      <c r="DH271" s="160" t="s">
        <v>125</v>
      </c>
      <c r="DI271" s="160" t="s">
        <v>146</v>
      </c>
      <c r="DJ271" s="160" t="s">
        <v>146</v>
      </c>
      <c r="DK271" s="160" t="s">
        <v>1259</v>
      </c>
      <c r="DL271" s="160" t="s">
        <v>1260</v>
      </c>
      <c r="DM271" s="160" t="s">
        <v>1261</v>
      </c>
      <c r="DN271" s="161" t="s">
        <v>1262</v>
      </c>
      <c r="DP271" s="130">
        <v>1</v>
      </c>
    </row>
    <row r="272" spans="2:120">
      <c r="B272" s="231"/>
      <c r="C272" s="231"/>
      <c r="D272" s="231"/>
      <c r="E272" s="231" cm="1">
        <f t="array" ref="E272">IF(H271&lt;&gt;"",E271,IF(E271="","",IFERROR(MATCH(TRUE(),INDEX(INDEX(K:K,E271+1):K203&lt;&gt;"",0),0)+E271,"")))</f>
        <v>364</v>
      </c>
      <c r="F272" s="232" cm="1">
        <f t="array" ref="F272">IF(E272="","",IF(H271&lt;&gt;"",H271,INDEX(D:D,E272)))</f>
        <v>0</v>
      </c>
      <c r="G272" s="232" t="str">
        <f t="shared" si="30"/>
        <v>0</v>
      </c>
      <c r="H272" s="233" t="str">
        <f t="shared" si="31"/>
        <v/>
      </c>
      <c r="I272" s="231" t="str">
        <f>IF(AND(F272&lt;&gt;"",N10&gt;0,M272&gt;N10),"Mot &gt; limite","")</f>
        <v/>
      </c>
      <c r="M272" s="126">
        <f>IF(OR(F272="",N10="",N10&lt;=0),"",IF(LEN(F272)&lt;=N10,LEN(F272),IFERROR(FIND("♦",SUBSTITUTE(LEFT(F272,N10)," ","♦",LEN(LEFT(F272,N10))-LEN(SUBSTITUTE(LEFT(F272,N10)," ","")))),FIND(" ",F272&amp;" ",N10+1)-1)))</f>
        <v>1</v>
      </c>
      <c r="N272" s="234">
        <f t="shared" si="32"/>
        <v>255</v>
      </c>
      <c r="O272" s="165" t="str">
        <f t="shared" si="33"/>
        <v>0</v>
      </c>
      <c r="P272" s="234">
        <f t="shared" si="34"/>
        <v>1</v>
      </c>
      <c r="Q272" s="234">
        <f t="shared" si="35"/>
        <v>1</v>
      </c>
      <c r="S272" s="213"/>
      <c r="T272" s="241"/>
      <c r="U272" s="228" t="s">
        <v>1451</v>
      </c>
      <c r="V272" s="213"/>
      <c r="W272" s="213"/>
      <c r="X272" s="213"/>
      <c r="Y272" s="213"/>
      <c r="Z272" s="213"/>
      <c r="AA272" s="213"/>
      <c r="AB272" s="213"/>
      <c r="AC272" s="213"/>
      <c r="AD272" s="213"/>
      <c r="AE272" s="213"/>
      <c r="AF272" s="213"/>
      <c r="AG272" s="213"/>
      <c r="AH272" s="213"/>
      <c r="AI272" s="213"/>
      <c r="AJ272" s="213"/>
      <c r="AK272" s="213"/>
      <c r="DE272" s="152"/>
      <c r="DF272" s="160" t="s">
        <v>1452</v>
      </c>
      <c r="DG272" s="160" t="s">
        <v>617</v>
      </c>
      <c r="DH272" s="160" t="s">
        <v>125</v>
      </c>
      <c r="DI272" s="160" t="s">
        <v>1453</v>
      </c>
      <c r="DJ272" s="160" t="s">
        <v>1453</v>
      </c>
      <c r="DK272" s="160" t="s">
        <v>1259</v>
      </c>
      <c r="DL272" s="160" t="s">
        <v>1260</v>
      </c>
      <c r="DM272" s="160" t="s">
        <v>1261</v>
      </c>
      <c r="DN272" s="161" t="s">
        <v>1262</v>
      </c>
      <c r="DP272" s="130">
        <v>1</v>
      </c>
    </row>
    <row r="273" spans="2:120">
      <c r="B273" s="231"/>
      <c r="C273" s="231"/>
      <c r="D273" s="231"/>
      <c r="E273" s="231" cm="1">
        <f t="array" ref="E273">IF(H272&lt;&gt;"",E272,IF(E272="","",IFERROR(MATCH(TRUE(),INDEX(INDEX(K:K,E272+1):K203&lt;&gt;"",0),0)+E272,"")))</f>
        <v>365</v>
      </c>
      <c r="F273" s="232" cm="1">
        <f t="array" ref="F273">IF(E273="","",IF(H272&lt;&gt;"",H272,INDEX(D:D,E273)))</f>
        <v>0</v>
      </c>
      <c r="G273" s="232" t="str">
        <f t="shared" si="30"/>
        <v>0</v>
      </c>
      <c r="H273" s="233" t="str">
        <f t="shared" si="31"/>
        <v/>
      </c>
      <c r="I273" s="231" t="str">
        <f>IF(AND(F273&lt;&gt;"",N10&gt;0,M273&gt;N10),"Mot &gt; limite","")</f>
        <v/>
      </c>
      <c r="M273" s="126">
        <f>IF(OR(F273="",N10="",N10&lt;=0),"",IF(LEN(F273)&lt;=N10,LEN(F273),IFERROR(FIND("♦",SUBSTITUTE(LEFT(F273,N10)," ","♦",LEN(LEFT(F273,N10))-LEN(SUBSTITUTE(LEFT(F273,N10)," ","")))),FIND(" ",F273&amp;" ",N10+1)-1)))</f>
        <v>1</v>
      </c>
      <c r="N273" s="234">
        <f t="shared" si="32"/>
        <v>256</v>
      </c>
      <c r="O273" s="165" t="str">
        <f t="shared" si="33"/>
        <v>0</v>
      </c>
      <c r="P273" s="234">
        <f t="shared" si="34"/>
        <v>1</v>
      </c>
      <c r="Q273" s="234">
        <f t="shared" si="35"/>
        <v>1</v>
      </c>
      <c r="S273" s="213"/>
      <c r="T273" s="241"/>
      <c r="U273" s="239"/>
      <c r="V273" s="213"/>
      <c r="W273" s="213"/>
      <c r="X273" s="213"/>
      <c r="Y273" s="213"/>
      <c r="Z273" s="213"/>
      <c r="AA273" s="213"/>
      <c r="AB273" s="213"/>
      <c r="AC273" s="213"/>
      <c r="AD273" s="213"/>
      <c r="AE273" s="213"/>
      <c r="AF273" s="213"/>
      <c r="AG273" s="213"/>
      <c r="AH273" s="213"/>
      <c r="AI273" s="213"/>
      <c r="AJ273" s="213"/>
      <c r="AK273" s="213"/>
      <c r="DE273" s="152"/>
      <c r="DF273" s="160" t="s">
        <v>1454</v>
      </c>
      <c r="DG273" s="160" t="s">
        <v>617</v>
      </c>
      <c r="DH273" s="160" t="s">
        <v>125</v>
      </c>
      <c r="DI273" s="160" t="s">
        <v>1455</v>
      </c>
      <c r="DJ273" s="160" t="s">
        <v>1455</v>
      </c>
      <c r="DK273" s="160" t="s">
        <v>1259</v>
      </c>
      <c r="DL273" s="160" t="s">
        <v>1260</v>
      </c>
      <c r="DM273" s="160" t="s">
        <v>1261</v>
      </c>
      <c r="DN273" s="161" t="s">
        <v>1262</v>
      </c>
      <c r="DP273" s="130">
        <v>1</v>
      </c>
    </row>
    <row r="274" spans="2:120">
      <c r="B274" s="231"/>
      <c r="C274" s="231"/>
      <c r="D274" s="231"/>
      <c r="E274" s="231" cm="1">
        <f t="array" ref="E274">IF(H273&lt;&gt;"",E273,IF(E273="","",IFERROR(MATCH(TRUE(),INDEX(INDEX(K:K,E273+1):K203&lt;&gt;"",0),0)+E273,"")))</f>
        <v>366</v>
      </c>
      <c r="F274" s="232" cm="1">
        <f t="array" ref="F274">IF(E274="","",IF(H273&lt;&gt;"",H273,INDEX(D:D,E274)))</f>
        <v>0</v>
      </c>
      <c r="G274" s="232" t="str">
        <f t="shared" ref="G274:G337" si="36">IF(OR(F274="",M274=""),"",LEFT(F274,M274))</f>
        <v>0</v>
      </c>
      <c r="H274" s="233" t="str">
        <f t="shared" ref="H274:H337" si="37">IF(OR(F274="",M274=""),"",TRIM(MID(F274,M274+1,99999)))</f>
        <v/>
      </c>
      <c r="I274" s="231" t="str">
        <f>IF(AND(F274&lt;&gt;"",N10&gt;0,M274&gt;N10),"Mot &gt; limite","")</f>
        <v/>
      </c>
      <c r="M274" s="126">
        <f>IF(OR(F274="",N10="",N10&lt;=0),"",IF(LEN(F274)&lt;=N10,LEN(F274),IFERROR(FIND("♦",SUBSTITUTE(LEFT(F274,N10)," ","♦",LEN(LEFT(F274,N10))-LEN(SUBSTITUTE(LEFT(F274,N10)," ","")))),FIND(" ",F274&amp;" ",N10+1)-1)))</f>
        <v>1</v>
      </c>
      <c r="N274" s="234">
        <f t="shared" ref="N274:N337" si="38">IF(O274="","",ROW()-17)</f>
        <v>257</v>
      </c>
      <c r="O274" s="165" t="str">
        <f t="shared" ref="O274:O337" si="39">G274</f>
        <v>0</v>
      </c>
      <c r="P274" s="234">
        <f t="shared" ref="P274:P337" si="40">IF(O274="","",LEN(TRIM(O274))-LEN(SUBSTITUTE(TRIM(O274)," ",""))+1)</f>
        <v>1</v>
      </c>
      <c r="Q274" s="234">
        <f t="shared" ref="Q274:Q337" si="41">IF(O274="","",LEN(O274))</f>
        <v>1</v>
      </c>
      <c r="S274" s="213"/>
      <c r="T274" s="242" t="s">
        <v>1456</v>
      </c>
      <c r="U274" s="213"/>
      <c r="V274" s="213"/>
      <c r="W274" s="213"/>
      <c r="X274" s="213"/>
      <c r="Y274" s="213"/>
      <c r="Z274" s="213"/>
      <c r="AA274" s="213"/>
      <c r="AB274" s="213"/>
      <c r="AC274" s="213"/>
      <c r="AD274" s="213"/>
      <c r="AE274" s="213"/>
      <c r="AF274" s="213"/>
      <c r="AG274" s="213"/>
      <c r="AH274" s="213"/>
      <c r="AI274" s="213"/>
      <c r="AJ274" s="213"/>
      <c r="AK274" s="213"/>
      <c r="DE274" s="152"/>
      <c r="DF274" s="160" t="s">
        <v>1457</v>
      </c>
      <c r="DG274" s="160" t="s">
        <v>617</v>
      </c>
      <c r="DH274" s="160" t="s">
        <v>125</v>
      </c>
      <c r="DI274" s="160" t="s">
        <v>1458</v>
      </c>
      <c r="DJ274" s="160" t="s">
        <v>1458</v>
      </c>
      <c r="DK274" s="160" t="s">
        <v>1259</v>
      </c>
      <c r="DL274" s="160" t="s">
        <v>1260</v>
      </c>
      <c r="DM274" s="160" t="s">
        <v>1261</v>
      </c>
      <c r="DN274" s="161" t="s">
        <v>1262</v>
      </c>
      <c r="DP274" s="130">
        <v>1</v>
      </c>
    </row>
    <row r="275" spans="2:120">
      <c r="B275" s="231"/>
      <c r="C275" s="231"/>
      <c r="D275" s="231"/>
      <c r="E275" s="231" cm="1">
        <f t="array" ref="E275">IF(H274&lt;&gt;"",E274,IF(E274="","",IFERROR(MATCH(TRUE(),INDEX(INDEX(K:K,E274+1):K203&lt;&gt;"",0),0)+E274,"")))</f>
        <v>367</v>
      </c>
      <c r="F275" s="232" cm="1">
        <f t="array" ref="F275">IF(E275="","",IF(H274&lt;&gt;"",H274,INDEX(D:D,E275)))</f>
        <v>0</v>
      </c>
      <c r="G275" s="232" t="str">
        <f t="shared" si="36"/>
        <v>0</v>
      </c>
      <c r="H275" s="233" t="str">
        <f t="shared" si="37"/>
        <v/>
      </c>
      <c r="I275" s="231" t="str">
        <f>IF(AND(F275&lt;&gt;"",N10&gt;0,M275&gt;N10),"Mot &gt; limite","")</f>
        <v/>
      </c>
      <c r="M275" s="126">
        <f>IF(OR(F275="",N10="",N10&lt;=0),"",IF(LEN(F275)&lt;=N10,LEN(F275),IFERROR(FIND("♦",SUBSTITUTE(LEFT(F275,N10)," ","♦",LEN(LEFT(F275,N10))-LEN(SUBSTITUTE(LEFT(F275,N10)," ","")))),FIND(" ",F275&amp;" ",N10+1)-1)))</f>
        <v>1</v>
      </c>
      <c r="N275" s="234">
        <f t="shared" si="38"/>
        <v>258</v>
      </c>
      <c r="O275" s="165" t="str">
        <f t="shared" si="39"/>
        <v>0</v>
      </c>
      <c r="P275" s="234">
        <f t="shared" si="40"/>
        <v>1</v>
      </c>
      <c r="Q275" s="234">
        <f t="shared" si="41"/>
        <v>1</v>
      </c>
      <c r="S275" s="213"/>
      <c r="T275" s="164" t="s">
        <v>1459</v>
      </c>
      <c r="U275" s="213"/>
      <c r="V275" s="213"/>
      <c r="W275" s="213"/>
      <c r="X275" s="213"/>
      <c r="Y275" s="213"/>
      <c r="Z275" s="213"/>
      <c r="AA275" s="213"/>
      <c r="AB275" s="213"/>
      <c r="AC275" s="213"/>
      <c r="AD275" s="213"/>
      <c r="AE275" s="213"/>
      <c r="AF275" s="213"/>
      <c r="AG275" s="213"/>
      <c r="AH275" s="213"/>
      <c r="AI275" s="213"/>
      <c r="AJ275" s="213"/>
      <c r="AK275" s="213"/>
      <c r="DE275" s="152"/>
      <c r="DF275" s="160" t="s">
        <v>1460</v>
      </c>
      <c r="DG275" s="160" t="s">
        <v>617</v>
      </c>
      <c r="DH275" s="160" t="s">
        <v>125</v>
      </c>
      <c r="DI275" s="160" t="s">
        <v>1461</v>
      </c>
      <c r="DJ275" s="160" t="s">
        <v>1461</v>
      </c>
      <c r="DK275" s="160" t="s">
        <v>1259</v>
      </c>
      <c r="DL275" s="160" t="s">
        <v>1260</v>
      </c>
      <c r="DM275" s="160" t="s">
        <v>1261</v>
      </c>
      <c r="DN275" s="161" t="s">
        <v>1262</v>
      </c>
      <c r="DP275" s="130">
        <v>1</v>
      </c>
    </row>
    <row r="276" spans="2:120">
      <c r="B276" s="231"/>
      <c r="C276" s="231"/>
      <c r="D276" s="231"/>
      <c r="E276" s="231" cm="1">
        <f t="array" ref="E276">IF(H275&lt;&gt;"",E275,IF(E275="","",IFERROR(MATCH(TRUE(),INDEX(INDEX(K:K,E275+1):K203&lt;&gt;"",0),0)+E275,"")))</f>
        <v>368</v>
      </c>
      <c r="F276" s="232" cm="1">
        <f t="array" ref="F276">IF(E276="","",IF(H275&lt;&gt;"",H275,INDEX(D:D,E276)))</f>
        <v>0</v>
      </c>
      <c r="G276" s="232" t="str">
        <f t="shared" si="36"/>
        <v>0</v>
      </c>
      <c r="H276" s="233" t="str">
        <f t="shared" si="37"/>
        <v/>
      </c>
      <c r="I276" s="231" t="str">
        <f>IF(AND(F276&lt;&gt;"",N10&gt;0,M276&gt;N10),"Mot &gt; limite","")</f>
        <v/>
      </c>
      <c r="M276" s="126">
        <f>IF(OR(F276="",N10="",N10&lt;=0),"",IF(LEN(F276)&lt;=N10,LEN(F276),IFERROR(FIND("♦",SUBSTITUTE(LEFT(F276,N10)," ","♦",LEN(LEFT(F276,N10))-LEN(SUBSTITUTE(LEFT(F276,N10)," ","")))),FIND(" ",F276&amp;" ",N10+1)-1)))</f>
        <v>1</v>
      </c>
      <c r="N276" s="234">
        <f t="shared" si="38"/>
        <v>259</v>
      </c>
      <c r="O276" s="165" t="str">
        <f t="shared" si="39"/>
        <v>0</v>
      </c>
      <c r="P276" s="234">
        <f t="shared" si="40"/>
        <v>1</v>
      </c>
      <c r="Q276" s="234">
        <f t="shared" si="41"/>
        <v>1</v>
      </c>
      <c r="S276" s="213"/>
      <c r="T276" s="164" t="s">
        <v>1462</v>
      </c>
      <c r="U276" s="213"/>
      <c r="V276" s="213"/>
      <c r="W276" s="213"/>
      <c r="X276" s="213"/>
      <c r="Y276" s="213"/>
      <c r="Z276" s="213"/>
      <c r="AA276" s="213"/>
      <c r="AB276" s="213"/>
      <c r="AC276" s="213"/>
      <c r="AD276" s="213"/>
      <c r="AE276" s="213"/>
      <c r="AF276" s="213"/>
      <c r="AG276" s="213"/>
      <c r="AH276" s="213"/>
      <c r="AI276" s="213"/>
      <c r="AJ276" s="213"/>
      <c r="AK276" s="213"/>
      <c r="DE276" s="152"/>
      <c r="DF276" s="160" t="s">
        <v>1463</v>
      </c>
      <c r="DG276" s="160" t="s">
        <v>617</v>
      </c>
      <c r="DH276" s="160" t="s">
        <v>125</v>
      </c>
      <c r="DI276" s="160" t="s">
        <v>1464</v>
      </c>
      <c r="DJ276" s="160" t="s">
        <v>1464</v>
      </c>
      <c r="DK276" s="160" t="s">
        <v>1259</v>
      </c>
      <c r="DL276" s="160" t="s">
        <v>1260</v>
      </c>
      <c r="DM276" s="160" t="s">
        <v>1261</v>
      </c>
      <c r="DN276" s="161" t="s">
        <v>1262</v>
      </c>
      <c r="DP276" s="130">
        <v>1</v>
      </c>
    </row>
    <row r="277" spans="2:120">
      <c r="B277" s="231"/>
      <c r="C277" s="231"/>
      <c r="D277" s="231"/>
      <c r="E277" s="231" cm="1">
        <f t="array" ref="E277">IF(H276&lt;&gt;"",E276,IF(E276="","",IFERROR(MATCH(TRUE(),INDEX(INDEX(K:K,E276+1):K203&lt;&gt;"",0),0)+E276,"")))</f>
        <v>369</v>
      </c>
      <c r="F277" s="232" cm="1">
        <f t="array" ref="F277">IF(E277="","",IF(H276&lt;&gt;"",H276,INDEX(D:D,E277)))</f>
        <v>0</v>
      </c>
      <c r="G277" s="232" t="str">
        <f t="shared" si="36"/>
        <v>0</v>
      </c>
      <c r="H277" s="233" t="str">
        <f t="shared" si="37"/>
        <v/>
      </c>
      <c r="I277" s="231" t="str">
        <f>IF(AND(F277&lt;&gt;"",N10&gt;0,M277&gt;N10),"Mot &gt; limite","")</f>
        <v/>
      </c>
      <c r="M277" s="126">
        <f>IF(OR(F277="",N10="",N10&lt;=0),"",IF(LEN(F277)&lt;=N10,LEN(F277),IFERROR(FIND("♦",SUBSTITUTE(LEFT(F277,N10)," ","♦",LEN(LEFT(F277,N10))-LEN(SUBSTITUTE(LEFT(F277,N10)," ","")))),FIND(" ",F277&amp;" ",N10+1)-1)))</f>
        <v>1</v>
      </c>
      <c r="N277" s="234">
        <f t="shared" si="38"/>
        <v>260</v>
      </c>
      <c r="O277" s="165" t="str">
        <f t="shared" si="39"/>
        <v>0</v>
      </c>
      <c r="P277" s="234">
        <f t="shared" si="40"/>
        <v>1</v>
      </c>
      <c r="Q277" s="234">
        <f t="shared" si="41"/>
        <v>1</v>
      </c>
      <c r="S277" s="213"/>
      <c r="T277" s="164" t="s">
        <v>1465</v>
      </c>
      <c r="U277" s="213"/>
      <c r="V277" s="213"/>
      <c r="W277" s="213"/>
      <c r="X277" s="213"/>
      <c r="Y277" s="213"/>
      <c r="Z277" s="213"/>
      <c r="AA277" s="213"/>
      <c r="AB277" s="213"/>
      <c r="AC277" s="213"/>
      <c r="AD277" s="213"/>
      <c r="AE277" s="213"/>
      <c r="AF277" s="213"/>
      <c r="AG277" s="213"/>
      <c r="AH277" s="213"/>
      <c r="AI277" s="213"/>
      <c r="AJ277" s="213"/>
      <c r="AK277" s="213"/>
      <c r="DE277" s="152"/>
      <c r="DF277" s="160" t="s">
        <v>1466</v>
      </c>
      <c r="DG277" s="160" t="s">
        <v>617</v>
      </c>
      <c r="DH277" s="160" t="s">
        <v>125</v>
      </c>
      <c r="DI277" s="160" t="s">
        <v>1467</v>
      </c>
      <c r="DJ277" s="160" t="s">
        <v>1467</v>
      </c>
      <c r="DK277" s="160" t="s">
        <v>1259</v>
      </c>
      <c r="DL277" s="160" t="s">
        <v>1260</v>
      </c>
      <c r="DM277" s="160" t="s">
        <v>1261</v>
      </c>
      <c r="DN277" s="161" t="s">
        <v>1262</v>
      </c>
      <c r="DP277" s="130">
        <v>1</v>
      </c>
    </row>
    <row r="278" spans="2:120">
      <c r="B278" s="231"/>
      <c r="C278" s="231"/>
      <c r="D278" s="231"/>
      <c r="E278" s="231" cm="1">
        <f t="array" ref="E278">IF(H277&lt;&gt;"",E277,IF(E277="","",IFERROR(MATCH(TRUE(),INDEX(INDEX(K:K,E277+1):K203&lt;&gt;"",0),0)+E277,"")))</f>
        <v>370</v>
      </c>
      <c r="F278" s="232" cm="1">
        <f t="array" ref="F278">IF(E278="","",IF(H277&lt;&gt;"",H277,INDEX(D:D,E278)))</f>
        <v>0</v>
      </c>
      <c r="G278" s="232" t="str">
        <f t="shared" si="36"/>
        <v>0</v>
      </c>
      <c r="H278" s="233" t="str">
        <f t="shared" si="37"/>
        <v/>
      </c>
      <c r="I278" s="231" t="str">
        <f>IF(AND(F278&lt;&gt;"",N10&gt;0,M278&gt;N10),"Mot &gt; limite","")</f>
        <v/>
      </c>
      <c r="M278" s="126">
        <f>IF(OR(F278="",N10="",N10&lt;=0),"",IF(LEN(F278)&lt;=N10,LEN(F278),IFERROR(FIND("♦",SUBSTITUTE(LEFT(F278,N10)," ","♦",LEN(LEFT(F278,N10))-LEN(SUBSTITUTE(LEFT(F278,N10)," ","")))),FIND(" ",F278&amp;" ",N10+1)-1)))</f>
        <v>1</v>
      </c>
      <c r="N278" s="234">
        <f t="shared" si="38"/>
        <v>261</v>
      </c>
      <c r="O278" s="165" t="str">
        <f t="shared" si="39"/>
        <v>0</v>
      </c>
      <c r="P278" s="234">
        <f t="shared" si="40"/>
        <v>1</v>
      </c>
      <c r="Q278" s="234">
        <f t="shared" si="41"/>
        <v>1</v>
      </c>
      <c r="S278" s="213"/>
      <c r="T278" s="164" t="s">
        <v>1468</v>
      </c>
      <c r="U278" s="213"/>
      <c r="V278" s="213"/>
      <c r="W278" s="213"/>
      <c r="X278" s="213"/>
      <c r="Y278" s="213"/>
      <c r="Z278" s="213"/>
      <c r="AA278" s="213"/>
      <c r="AB278" s="213"/>
      <c r="AC278" s="213"/>
      <c r="AD278" s="213"/>
      <c r="AE278" s="213"/>
      <c r="AF278" s="213"/>
      <c r="AG278" s="213"/>
      <c r="AH278" s="213"/>
      <c r="AI278" s="213"/>
      <c r="AJ278" s="213"/>
      <c r="AK278" s="213"/>
      <c r="DE278" s="152"/>
      <c r="DF278" s="160" t="s">
        <v>1469</v>
      </c>
      <c r="DG278" s="160" t="s">
        <v>617</v>
      </c>
      <c r="DH278" s="160" t="s">
        <v>125</v>
      </c>
      <c r="DI278" s="160" t="s">
        <v>1470</v>
      </c>
      <c r="DJ278" s="160" t="s">
        <v>147</v>
      </c>
      <c r="DK278" s="160" t="s">
        <v>1259</v>
      </c>
      <c r="DL278" s="160" t="s">
        <v>1268</v>
      </c>
      <c r="DM278" s="160" t="s">
        <v>590</v>
      </c>
      <c r="DN278" s="161" t="s">
        <v>591</v>
      </c>
      <c r="DP278" s="130">
        <v>1</v>
      </c>
    </row>
    <row r="279" spans="2:120">
      <c r="B279" s="231"/>
      <c r="C279" s="231"/>
      <c r="D279" s="231"/>
      <c r="E279" s="231" cm="1">
        <f t="array" ref="E279">IF(H278&lt;&gt;"",E278,IF(E278="","",IFERROR(MATCH(TRUE(),INDEX(INDEX(K:K,E278+1):K203&lt;&gt;"",0),0)+E278,"")))</f>
        <v>371</v>
      </c>
      <c r="F279" s="232" cm="1">
        <f t="array" ref="F279">IF(E279="","",IF(H278&lt;&gt;"",H278,INDEX(D:D,E279)))</f>
        <v>0</v>
      </c>
      <c r="G279" s="232" t="str">
        <f t="shared" si="36"/>
        <v>0</v>
      </c>
      <c r="H279" s="233" t="str">
        <f t="shared" si="37"/>
        <v/>
      </c>
      <c r="I279" s="231" t="str">
        <f>IF(AND(F279&lt;&gt;"",N10&gt;0,M279&gt;N10),"Mot &gt; limite","")</f>
        <v/>
      </c>
      <c r="M279" s="126">
        <f>IF(OR(F279="",N10="",N10&lt;=0),"",IF(LEN(F279)&lt;=N10,LEN(F279),IFERROR(FIND("♦",SUBSTITUTE(LEFT(F279,N10)," ","♦",LEN(LEFT(F279,N10))-LEN(SUBSTITUTE(LEFT(F279,N10)," ","")))),FIND(" ",F279&amp;" ",N10+1)-1)))</f>
        <v>1</v>
      </c>
      <c r="N279" s="234">
        <f t="shared" si="38"/>
        <v>262</v>
      </c>
      <c r="O279" s="165" t="str">
        <f t="shared" si="39"/>
        <v>0</v>
      </c>
      <c r="P279" s="234">
        <f t="shared" si="40"/>
        <v>1</v>
      </c>
      <c r="Q279" s="234">
        <f t="shared" si="41"/>
        <v>1</v>
      </c>
      <c r="S279" s="213"/>
      <c r="T279" s="164" t="s">
        <v>1471</v>
      </c>
      <c r="U279" s="213"/>
      <c r="V279" s="213"/>
      <c r="W279" s="213"/>
      <c r="X279" s="213"/>
      <c r="Y279" s="213"/>
      <c r="Z279" s="213"/>
      <c r="AA279" s="213"/>
      <c r="AB279" s="213"/>
      <c r="AC279" s="213"/>
      <c r="AD279" s="213"/>
      <c r="AE279" s="213"/>
      <c r="AF279" s="213"/>
      <c r="AG279" s="213"/>
      <c r="AH279" s="213"/>
      <c r="AI279" s="213"/>
      <c r="AJ279" s="213"/>
      <c r="AK279" s="213"/>
      <c r="DE279" s="152"/>
      <c r="DF279" s="160" t="s">
        <v>1472</v>
      </c>
      <c r="DG279" s="160" t="s">
        <v>617</v>
      </c>
      <c r="DH279" s="160" t="s">
        <v>125</v>
      </c>
      <c r="DI279" s="160" t="s">
        <v>1473</v>
      </c>
      <c r="DJ279" s="160" t="s">
        <v>1473</v>
      </c>
      <c r="DK279" s="160" t="s">
        <v>1259</v>
      </c>
      <c r="DL279" s="160" t="s">
        <v>1260</v>
      </c>
      <c r="DM279" s="160" t="s">
        <v>1261</v>
      </c>
      <c r="DN279" s="161" t="s">
        <v>1262</v>
      </c>
      <c r="DP279" s="130">
        <v>1</v>
      </c>
    </row>
    <row r="280" spans="2:120">
      <c r="B280" s="231"/>
      <c r="C280" s="231"/>
      <c r="D280" s="231"/>
      <c r="E280" s="231" cm="1">
        <f t="array" ref="E280">IF(H279&lt;&gt;"",E279,IF(E279="","",IFERROR(MATCH(TRUE(),INDEX(INDEX(K:K,E279+1):K203&lt;&gt;"",0),0)+E279,"")))</f>
        <v>372</v>
      </c>
      <c r="F280" s="232" cm="1">
        <f t="array" ref="F280">IF(E280="","",IF(H279&lt;&gt;"",H279,INDEX(D:D,E280)))</f>
        <v>0</v>
      </c>
      <c r="G280" s="232" t="str">
        <f t="shared" si="36"/>
        <v>0</v>
      </c>
      <c r="H280" s="233" t="str">
        <f t="shared" si="37"/>
        <v/>
      </c>
      <c r="I280" s="231" t="str">
        <f>IF(AND(F280&lt;&gt;"",N10&gt;0,M280&gt;N10),"Mot &gt; limite","")</f>
        <v/>
      </c>
      <c r="M280" s="126">
        <f>IF(OR(F280="",N10="",N10&lt;=0),"",IF(LEN(F280)&lt;=N10,LEN(F280),IFERROR(FIND("♦",SUBSTITUTE(LEFT(F280,N10)," ","♦",LEN(LEFT(F280,N10))-LEN(SUBSTITUTE(LEFT(F280,N10)," ","")))),FIND(" ",F280&amp;" ",N10+1)-1)))</f>
        <v>1</v>
      </c>
      <c r="N280" s="234">
        <f t="shared" si="38"/>
        <v>263</v>
      </c>
      <c r="O280" s="165" t="str">
        <f t="shared" si="39"/>
        <v>0</v>
      </c>
      <c r="P280" s="234">
        <f t="shared" si="40"/>
        <v>1</v>
      </c>
      <c r="Q280" s="234">
        <f t="shared" si="41"/>
        <v>1</v>
      </c>
      <c r="S280" s="213"/>
      <c r="T280" s="164" t="s">
        <v>1474</v>
      </c>
      <c r="U280" s="213"/>
      <c r="V280" s="213"/>
      <c r="W280" s="213"/>
      <c r="X280" s="213"/>
      <c r="Y280" s="213"/>
      <c r="Z280" s="213"/>
      <c r="AA280" s="213"/>
      <c r="AB280" s="213"/>
      <c r="AC280" s="213"/>
      <c r="AD280" s="213"/>
      <c r="AE280" s="213"/>
      <c r="AF280" s="213"/>
      <c r="AG280" s="213"/>
      <c r="AH280" s="213"/>
      <c r="AI280" s="213"/>
      <c r="AJ280" s="213"/>
      <c r="AK280" s="213"/>
      <c r="DE280" s="152"/>
      <c r="DF280" s="160" t="s">
        <v>1475</v>
      </c>
      <c r="DG280" s="160" t="s">
        <v>617</v>
      </c>
      <c r="DH280" s="160" t="s">
        <v>125</v>
      </c>
      <c r="DI280" s="160" t="s">
        <v>1476</v>
      </c>
      <c r="DJ280" s="160" t="s">
        <v>1477</v>
      </c>
      <c r="DK280" s="160" t="s">
        <v>1259</v>
      </c>
      <c r="DL280" s="160" t="s">
        <v>1268</v>
      </c>
      <c r="DM280" s="160" t="s">
        <v>590</v>
      </c>
      <c r="DN280" s="161" t="s">
        <v>591</v>
      </c>
      <c r="DP280" s="130">
        <v>1</v>
      </c>
    </row>
    <row r="281" spans="2:120">
      <c r="B281" s="231"/>
      <c r="C281" s="231"/>
      <c r="D281" s="231"/>
      <c r="E281" s="231" cm="1">
        <f t="array" ref="E281">IF(H280&lt;&gt;"",E280,IF(E280="","",IFERROR(MATCH(TRUE(),INDEX(INDEX(K:K,E280+1):K203&lt;&gt;"",0),0)+E280,"")))</f>
        <v>373</v>
      </c>
      <c r="F281" s="232" cm="1">
        <f t="array" ref="F281">IF(E281="","",IF(H280&lt;&gt;"",H280,INDEX(D:D,E281)))</f>
        <v>0</v>
      </c>
      <c r="G281" s="232" t="str">
        <f t="shared" si="36"/>
        <v>0</v>
      </c>
      <c r="H281" s="233" t="str">
        <f t="shared" si="37"/>
        <v/>
      </c>
      <c r="I281" s="231" t="str">
        <f>IF(AND(F281&lt;&gt;"",N10&gt;0,M281&gt;N10),"Mot &gt; limite","")</f>
        <v/>
      </c>
      <c r="M281" s="126">
        <f>IF(OR(F281="",N10="",N10&lt;=0),"",IF(LEN(F281)&lt;=N10,LEN(F281),IFERROR(FIND("♦",SUBSTITUTE(LEFT(F281,N10)," ","♦",LEN(LEFT(F281,N10))-LEN(SUBSTITUTE(LEFT(F281,N10)," ","")))),FIND(" ",F281&amp;" ",N10+1)-1)))</f>
        <v>1</v>
      </c>
      <c r="N281" s="234">
        <f t="shared" si="38"/>
        <v>264</v>
      </c>
      <c r="O281" s="165" t="str">
        <f t="shared" si="39"/>
        <v>0</v>
      </c>
      <c r="P281" s="234">
        <f t="shared" si="40"/>
        <v>1</v>
      </c>
      <c r="Q281" s="234">
        <f t="shared" si="41"/>
        <v>1</v>
      </c>
      <c r="S281" s="213"/>
      <c r="T281" s="164" t="s">
        <v>1478</v>
      </c>
      <c r="U281" s="213"/>
      <c r="V281" s="213"/>
      <c r="W281" s="213"/>
      <c r="X281" s="213"/>
      <c r="Y281" s="213"/>
      <c r="Z281" s="213"/>
      <c r="AA281" s="213"/>
      <c r="AB281" s="213"/>
      <c r="AC281" s="213"/>
      <c r="AD281" s="213"/>
      <c r="AE281" s="213"/>
      <c r="AF281" s="213"/>
      <c r="AG281" s="213"/>
      <c r="AH281" s="213"/>
      <c r="AI281" s="213"/>
      <c r="AJ281" s="213"/>
      <c r="AK281" s="213"/>
      <c r="DE281" s="152"/>
      <c r="DF281" s="160" t="s">
        <v>1479</v>
      </c>
      <c r="DG281" s="160" t="s">
        <v>617</v>
      </c>
      <c r="DH281" s="160" t="s">
        <v>125</v>
      </c>
      <c r="DI281" s="160" t="s">
        <v>1480</v>
      </c>
      <c r="DJ281" s="160" t="s">
        <v>434</v>
      </c>
      <c r="DK281" s="160" t="s">
        <v>1259</v>
      </c>
      <c r="DL281" s="160" t="s">
        <v>1268</v>
      </c>
      <c r="DM281" s="160" t="s">
        <v>590</v>
      </c>
      <c r="DN281" s="161" t="s">
        <v>591</v>
      </c>
      <c r="DP281" s="130">
        <v>1</v>
      </c>
    </row>
    <row r="282" spans="2:120">
      <c r="B282" s="231"/>
      <c r="C282" s="231"/>
      <c r="D282" s="231"/>
      <c r="E282" s="231" cm="1">
        <f t="array" ref="E282">IF(H281&lt;&gt;"",E281,IF(E281="","",IFERROR(MATCH(TRUE(),INDEX(INDEX(K:K,E281+1):K203&lt;&gt;"",0),0)+E281,"")))</f>
        <v>374</v>
      </c>
      <c r="F282" s="232" cm="1">
        <f t="array" ref="F282">IF(E282="","",IF(H281&lt;&gt;"",H281,INDEX(D:D,E282)))</f>
        <v>0</v>
      </c>
      <c r="G282" s="232" t="str">
        <f t="shared" si="36"/>
        <v>0</v>
      </c>
      <c r="H282" s="233" t="str">
        <f t="shared" si="37"/>
        <v/>
      </c>
      <c r="I282" s="231" t="str">
        <f>IF(AND(F282&lt;&gt;"",N10&gt;0,M282&gt;N10),"Mot &gt; limite","")</f>
        <v/>
      </c>
      <c r="M282" s="126">
        <f>IF(OR(F282="",N10="",N10&lt;=0),"",IF(LEN(F282)&lt;=N10,LEN(F282),IFERROR(FIND("♦",SUBSTITUTE(LEFT(F282,N10)," ","♦",LEN(LEFT(F282,N10))-LEN(SUBSTITUTE(LEFT(F282,N10)," ","")))),FIND(" ",F282&amp;" ",N10+1)-1)))</f>
        <v>1</v>
      </c>
      <c r="N282" s="234">
        <f t="shared" si="38"/>
        <v>265</v>
      </c>
      <c r="O282" s="165" t="str">
        <f t="shared" si="39"/>
        <v>0</v>
      </c>
      <c r="P282" s="234">
        <f t="shared" si="40"/>
        <v>1</v>
      </c>
      <c r="Q282" s="234">
        <f t="shared" si="41"/>
        <v>1</v>
      </c>
      <c r="S282" s="213"/>
      <c r="T282" s="164" t="s">
        <v>1481</v>
      </c>
      <c r="U282" s="213"/>
      <c r="V282" s="213"/>
      <c r="W282" s="213"/>
      <c r="X282" s="213"/>
      <c r="Y282" s="213"/>
      <c r="Z282" s="213"/>
      <c r="AA282" s="213"/>
      <c r="AB282" s="213"/>
      <c r="AC282" s="213"/>
      <c r="AD282" s="213"/>
      <c r="AE282" s="213"/>
      <c r="AF282" s="213"/>
      <c r="AG282" s="213"/>
      <c r="AH282" s="213"/>
      <c r="AI282" s="213"/>
      <c r="AJ282" s="213"/>
      <c r="AK282" s="213"/>
      <c r="DE282" s="152"/>
      <c r="DF282" s="160" t="s">
        <v>1482</v>
      </c>
      <c r="DG282" s="160" t="s">
        <v>617</v>
      </c>
      <c r="DH282" s="160" t="s">
        <v>125</v>
      </c>
      <c r="DI282" s="160" t="s">
        <v>1483</v>
      </c>
      <c r="DJ282" s="160" t="s">
        <v>1483</v>
      </c>
      <c r="DK282" s="160" t="s">
        <v>1259</v>
      </c>
      <c r="DL282" s="160" t="s">
        <v>1260</v>
      </c>
      <c r="DM282" s="160" t="s">
        <v>1261</v>
      </c>
      <c r="DN282" s="161" t="s">
        <v>1262</v>
      </c>
      <c r="DP282" s="130">
        <v>1</v>
      </c>
    </row>
    <row r="283" spans="2:120">
      <c r="B283" s="231"/>
      <c r="C283" s="231"/>
      <c r="D283" s="231"/>
      <c r="E283" s="231" cm="1">
        <f t="array" ref="E283">IF(H282&lt;&gt;"",E282,IF(E282="","",IFERROR(MATCH(TRUE(),INDEX(INDEX(K:K,E282+1):K203&lt;&gt;"",0),0)+E282,"")))</f>
        <v>375</v>
      </c>
      <c r="F283" s="232" cm="1">
        <f t="array" ref="F283">IF(E283="","",IF(H282&lt;&gt;"",H282,INDEX(D:D,E283)))</f>
        <v>0</v>
      </c>
      <c r="G283" s="232" t="str">
        <f t="shared" si="36"/>
        <v>0</v>
      </c>
      <c r="H283" s="233" t="str">
        <f t="shared" si="37"/>
        <v/>
      </c>
      <c r="I283" s="231" t="str">
        <f>IF(AND(F283&lt;&gt;"",N10&gt;0,M283&gt;N10),"Mot &gt; limite","")</f>
        <v/>
      </c>
      <c r="M283" s="126">
        <f>IF(OR(F283="",N10="",N10&lt;=0),"",IF(LEN(F283)&lt;=N10,LEN(F283),IFERROR(FIND("♦",SUBSTITUTE(LEFT(F283,N10)," ","♦",LEN(LEFT(F283,N10))-LEN(SUBSTITUTE(LEFT(F283,N10)," ","")))),FIND(" ",F283&amp;" ",N10+1)-1)))</f>
        <v>1</v>
      </c>
      <c r="N283" s="234">
        <f t="shared" si="38"/>
        <v>266</v>
      </c>
      <c r="O283" s="165" t="str">
        <f t="shared" si="39"/>
        <v>0</v>
      </c>
      <c r="P283" s="234">
        <f t="shared" si="40"/>
        <v>1</v>
      </c>
      <c r="Q283" s="234">
        <f t="shared" si="41"/>
        <v>1</v>
      </c>
      <c r="S283" s="213"/>
      <c r="T283" s="164" t="s">
        <v>1484</v>
      </c>
      <c r="U283" s="213"/>
      <c r="V283" s="213"/>
      <c r="W283" s="213"/>
      <c r="X283" s="213"/>
      <c r="Y283" s="213"/>
      <c r="Z283" s="213"/>
      <c r="AA283" s="213"/>
      <c r="AB283" s="213"/>
      <c r="AC283" s="213"/>
      <c r="AD283" s="213"/>
      <c r="AE283" s="213"/>
      <c r="AF283" s="213"/>
      <c r="AG283" s="213"/>
      <c r="AH283" s="213"/>
      <c r="AI283" s="213"/>
      <c r="AJ283" s="213"/>
      <c r="AK283" s="213"/>
      <c r="DE283" s="152"/>
      <c r="DF283" s="160" t="s">
        <v>1485</v>
      </c>
      <c r="DG283" s="160" t="s">
        <v>617</v>
      </c>
      <c r="DH283" s="160" t="s">
        <v>125</v>
      </c>
      <c r="DI283" s="160" t="s">
        <v>1486</v>
      </c>
      <c r="DJ283" s="160" t="s">
        <v>1486</v>
      </c>
      <c r="DK283" s="160" t="s">
        <v>1259</v>
      </c>
      <c r="DL283" s="160" t="s">
        <v>1260</v>
      </c>
      <c r="DM283" s="160" t="s">
        <v>1261</v>
      </c>
      <c r="DN283" s="161" t="s">
        <v>1262</v>
      </c>
      <c r="DP283" s="130">
        <v>1</v>
      </c>
    </row>
    <row r="284" spans="2:120">
      <c r="B284" s="231"/>
      <c r="C284" s="231"/>
      <c r="D284" s="231"/>
      <c r="E284" s="231" cm="1">
        <f t="array" ref="E284">IF(H283&lt;&gt;"",E283,IF(E283="","",IFERROR(MATCH(TRUE(),INDEX(INDEX(K:K,E283+1):K203&lt;&gt;"",0),0)+E283,"")))</f>
        <v>376</v>
      </c>
      <c r="F284" s="232" cm="1">
        <f t="array" ref="F284">IF(E284="","",IF(H283&lt;&gt;"",H283,INDEX(D:D,E284)))</f>
        <v>0</v>
      </c>
      <c r="G284" s="232" t="str">
        <f t="shared" si="36"/>
        <v>0</v>
      </c>
      <c r="H284" s="233" t="str">
        <f t="shared" si="37"/>
        <v/>
      </c>
      <c r="I284" s="231" t="str">
        <f>IF(AND(F284&lt;&gt;"",N10&gt;0,M284&gt;N10),"Mot &gt; limite","")</f>
        <v/>
      </c>
      <c r="M284" s="126">
        <f>IF(OR(F284="",N10="",N10&lt;=0),"",IF(LEN(F284)&lt;=N10,LEN(F284),IFERROR(FIND("♦",SUBSTITUTE(LEFT(F284,N10)," ","♦",LEN(LEFT(F284,N10))-LEN(SUBSTITUTE(LEFT(F284,N10)," ","")))),FIND(" ",F284&amp;" ",N10+1)-1)))</f>
        <v>1</v>
      </c>
      <c r="N284" s="234">
        <f t="shared" si="38"/>
        <v>267</v>
      </c>
      <c r="O284" s="165" t="str">
        <f t="shared" si="39"/>
        <v>0</v>
      </c>
      <c r="P284" s="234">
        <f t="shared" si="40"/>
        <v>1</v>
      </c>
      <c r="Q284" s="234">
        <f t="shared" si="41"/>
        <v>1</v>
      </c>
      <c r="S284" s="213"/>
      <c r="T284" s="164"/>
      <c r="U284" s="213"/>
      <c r="V284" s="213"/>
      <c r="W284" s="213"/>
      <c r="X284" s="213"/>
      <c r="Y284" s="213"/>
      <c r="Z284" s="213"/>
      <c r="AA284" s="213"/>
      <c r="AB284" s="213"/>
      <c r="AC284" s="213"/>
      <c r="AD284" s="213"/>
      <c r="AE284" s="213"/>
      <c r="AF284" s="213"/>
      <c r="AG284" s="213"/>
      <c r="AH284" s="213"/>
      <c r="AI284" s="213"/>
      <c r="AJ284" s="213"/>
      <c r="AK284" s="213"/>
      <c r="DE284" s="152"/>
      <c r="DF284" s="160" t="s">
        <v>1487</v>
      </c>
      <c r="DG284" s="160" t="s">
        <v>617</v>
      </c>
      <c r="DH284" s="160" t="s">
        <v>125</v>
      </c>
      <c r="DI284" s="160" t="s">
        <v>1488</v>
      </c>
      <c r="DJ284" s="160" t="s">
        <v>1488</v>
      </c>
      <c r="DK284" s="160" t="s">
        <v>1259</v>
      </c>
      <c r="DL284" s="160" t="s">
        <v>1260</v>
      </c>
      <c r="DM284" s="160" t="s">
        <v>1261</v>
      </c>
      <c r="DN284" s="161" t="s">
        <v>1262</v>
      </c>
      <c r="DP284" s="130">
        <v>1</v>
      </c>
    </row>
    <row r="285" spans="2:120" ht="15">
      <c r="B285" s="231"/>
      <c r="C285" s="231"/>
      <c r="D285" s="231"/>
      <c r="E285" s="231" cm="1">
        <f t="array" ref="E285">IF(H284&lt;&gt;"",E284,IF(E284="","",IFERROR(MATCH(TRUE(),INDEX(INDEX(K:K,E284+1):K203&lt;&gt;"",0),0)+E284,"")))</f>
        <v>377</v>
      </c>
      <c r="F285" s="232" cm="1">
        <f t="array" ref="F285">IF(E285="","",IF(H284&lt;&gt;"",H284,INDEX(D:D,E285)))</f>
        <v>0</v>
      </c>
      <c r="G285" s="232" t="str">
        <f t="shared" si="36"/>
        <v>0</v>
      </c>
      <c r="H285" s="233" t="str">
        <f t="shared" si="37"/>
        <v/>
      </c>
      <c r="I285" s="231" t="str">
        <f>IF(AND(F285&lt;&gt;"",N10&gt;0,M285&gt;N10),"Mot &gt; limite","")</f>
        <v/>
      </c>
      <c r="M285" s="126">
        <f>IF(OR(F285="",N10="",N10&lt;=0),"",IF(LEN(F285)&lt;=N10,LEN(F285),IFERROR(FIND("♦",SUBSTITUTE(LEFT(F285,N10)," ","♦",LEN(LEFT(F285,N10))-LEN(SUBSTITUTE(LEFT(F285,N10)," ","")))),FIND(" ",F285&amp;" ",N10+1)-1)))</f>
        <v>1</v>
      </c>
      <c r="N285" s="234">
        <f t="shared" si="38"/>
        <v>268</v>
      </c>
      <c r="O285" s="165" t="str">
        <f t="shared" si="39"/>
        <v>0</v>
      </c>
      <c r="P285" s="234">
        <f t="shared" si="40"/>
        <v>1</v>
      </c>
      <c r="Q285" s="234">
        <f t="shared" si="41"/>
        <v>1</v>
      </c>
      <c r="DE285" s="152"/>
      <c r="DF285" s="160" t="s">
        <v>1489</v>
      </c>
      <c r="DG285" s="160" t="s">
        <v>617</v>
      </c>
      <c r="DH285" s="160" t="s">
        <v>125</v>
      </c>
      <c r="DI285" s="160" t="s">
        <v>1490</v>
      </c>
      <c r="DJ285" s="160" t="s">
        <v>1490</v>
      </c>
      <c r="DK285" s="160" t="s">
        <v>1259</v>
      </c>
      <c r="DL285" s="160" t="s">
        <v>1260</v>
      </c>
      <c r="DM285" s="160" t="s">
        <v>1261</v>
      </c>
      <c r="DN285" s="161" t="s">
        <v>1262</v>
      </c>
      <c r="DP285" s="130">
        <v>1</v>
      </c>
    </row>
    <row r="286" spans="2:120" ht="15">
      <c r="B286" s="231"/>
      <c r="C286" s="231"/>
      <c r="D286" s="231"/>
      <c r="E286" s="231" cm="1">
        <f t="array" ref="E286">IF(H285&lt;&gt;"",E285,IF(E285="","",IFERROR(MATCH(TRUE(),INDEX(INDEX(K:K,E285+1):K203&lt;&gt;"",0),0)+E285,"")))</f>
        <v>378</v>
      </c>
      <c r="F286" s="232" cm="1">
        <f t="array" ref="F286">IF(E286="","",IF(H285&lt;&gt;"",H285,INDEX(D:D,E286)))</f>
        <v>0</v>
      </c>
      <c r="G286" s="232" t="str">
        <f t="shared" si="36"/>
        <v>0</v>
      </c>
      <c r="H286" s="233" t="str">
        <f t="shared" si="37"/>
        <v/>
      </c>
      <c r="I286" s="231" t="str">
        <f>IF(AND(F286&lt;&gt;"",N10&gt;0,M286&gt;N10),"Mot &gt; limite","")</f>
        <v/>
      </c>
      <c r="M286" s="126">
        <f>IF(OR(F286="",N10="",N10&lt;=0),"",IF(LEN(F286)&lt;=N10,LEN(F286),IFERROR(FIND("♦",SUBSTITUTE(LEFT(F286,N10)," ","♦",LEN(LEFT(F286,N10))-LEN(SUBSTITUTE(LEFT(F286,N10)," ","")))),FIND(" ",F286&amp;" ",N10+1)-1)))</f>
        <v>1</v>
      </c>
      <c r="N286" s="234">
        <f t="shared" si="38"/>
        <v>269</v>
      </c>
      <c r="O286" s="165" t="str">
        <f t="shared" si="39"/>
        <v>0</v>
      </c>
      <c r="P286" s="234">
        <f t="shared" si="40"/>
        <v>1</v>
      </c>
      <c r="Q286" s="234">
        <f t="shared" si="41"/>
        <v>1</v>
      </c>
      <c r="DE286" s="152"/>
      <c r="DF286" s="160" t="s">
        <v>1491</v>
      </c>
      <c r="DG286" s="160" t="s">
        <v>617</v>
      </c>
      <c r="DH286" s="160" t="s">
        <v>125</v>
      </c>
      <c r="DI286" s="160" t="s">
        <v>435</v>
      </c>
      <c r="DJ286" s="160" t="s">
        <v>435</v>
      </c>
      <c r="DK286" s="160" t="s">
        <v>1259</v>
      </c>
      <c r="DL286" s="160" t="s">
        <v>1268</v>
      </c>
      <c r="DM286" s="160" t="s">
        <v>590</v>
      </c>
      <c r="DN286" s="161" t="s">
        <v>591</v>
      </c>
      <c r="DP286" s="130">
        <v>1</v>
      </c>
    </row>
    <row r="287" spans="2:120" ht="15">
      <c r="B287" s="231"/>
      <c r="C287" s="231"/>
      <c r="D287" s="231"/>
      <c r="E287" s="231" cm="1">
        <f t="array" ref="E287">IF(H286&lt;&gt;"",E286,IF(E286="","",IFERROR(MATCH(TRUE(),INDEX(INDEX(K:K,E286+1):K203&lt;&gt;"",0),0)+E286,"")))</f>
        <v>379</v>
      </c>
      <c r="F287" s="232" cm="1">
        <f t="array" ref="F287">IF(E287="","",IF(H286&lt;&gt;"",H286,INDEX(D:D,E287)))</f>
        <v>0</v>
      </c>
      <c r="G287" s="232" t="str">
        <f t="shared" si="36"/>
        <v>0</v>
      </c>
      <c r="H287" s="233" t="str">
        <f t="shared" si="37"/>
        <v/>
      </c>
      <c r="I287" s="231" t="str">
        <f>IF(AND(F287&lt;&gt;"",N10&gt;0,M287&gt;N10),"Mot &gt; limite","")</f>
        <v/>
      </c>
      <c r="M287" s="126">
        <f>IF(OR(F287="",N10="",N10&lt;=0),"",IF(LEN(F287)&lt;=N10,LEN(F287),IFERROR(FIND("♦",SUBSTITUTE(LEFT(F287,N10)," ","♦",LEN(LEFT(F287,N10))-LEN(SUBSTITUTE(LEFT(F287,N10)," ","")))),FIND(" ",F287&amp;" ",N10+1)-1)))</f>
        <v>1</v>
      </c>
      <c r="N287" s="234">
        <f t="shared" si="38"/>
        <v>270</v>
      </c>
      <c r="O287" s="165" t="str">
        <f t="shared" si="39"/>
        <v>0</v>
      </c>
      <c r="P287" s="234">
        <f t="shared" si="40"/>
        <v>1</v>
      </c>
      <c r="Q287" s="234">
        <f t="shared" si="41"/>
        <v>1</v>
      </c>
      <c r="DE287" s="152"/>
      <c r="DF287" s="160" t="s">
        <v>1492</v>
      </c>
      <c r="DG287" s="160" t="s">
        <v>617</v>
      </c>
      <c r="DH287" s="160" t="s">
        <v>125</v>
      </c>
      <c r="DI287" s="160" t="s">
        <v>148</v>
      </c>
      <c r="DJ287" s="160" t="s">
        <v>148</v>
      </c>
      <c r="DK287" s="160" t="s">
        <v>1259</v>
      </c>
      <c r="DL287" s="160" t="s">
        <v>1268</v>
      </c>
      <c r="DM287" s="160" t="s">
        <v>590</v>
      </c>
      <c r="DN287" s="161" t="s">
        <v>591</v>
      </c>
      <c r="DP287" s="130">
        <v>1</v>
      </c>
    </row>
    <row r="288" spans="2:120" ht="15">
      <c r="B288" s="231"/>
      <c r="C288" s="231"/>
      <c r="D288" s="231"/>
      <c r="E288" s="231" cm="1">
        <f t="array" ref="E288">IF(H287&lt;&gt;"",E287,IF(E287="","",IFERROR(MATCH(TRUE(),INDEX(INDEX(K:K,E287+1):K203&lt;&gt;"",0),0)+E287,"")))</f>
        <v>380</v>
      </c>
      <c r="F288" s="232" cm="1">
        <f t="array" ref="F288">IF(E288="","",IF(H287&lt;&gt;"",H287,INDEX(D:D,E288)))</f>
        <v>0</v>
      </c>
      <c r="G288" s="232" t="str">
        <f t="shared" si="36"/>
        <v>0</v>
      </c>
      <c r="H288" s="233" t="str">
        <f t="shared" si="37"/>
        <v/>
      </c>
      <c r="I288" s="231" t="str">
        <f>IF(AND(F288&lt;&gt;"",N10&gt;0,M288&gt;N10),"Mot &gt; limite","")</f>
        <v/>
      </c>
      <c r="M288" s="126">
        <f>IF(OR(F288="",N10="",N10&lt;=0),"",IF(LEN(F288)&lt;=N10,LEN(F288),IFERROR(FIND("♦",SUBSTITUTE(LEFT(F288,N10)," ","♦",LEN(LEFT(F288,N10))-LEN(SUBSTITUTE(LEFT(F288,N10)," ","")))),FIND(" ",F288&amp;" ",N10+1)-1)))</f>
        <v>1</v>
      </c>
      <c r="N288" s="234">
        <f t="shared" si="38"/>
        <v>271</v>
      </c>
      <c r="O288" s="165" t="str">
        <f t="shared" si="39"/>
        <v>0</v>
      </c>
      <c r="P288" s="234">
        <f t="shared" si="40"/>
        <v>1</v>
      </c>
      <c r="Q288" s="234">
        <f t="shared" si="41"/>
        <v>1</v>
      </c>
      <c r="DE288" s="152"/>
      <c r="DF288" s="160" t="s">
        <v>1493</v>
      </c>
      <c r="DG288" s="160" t="s">
        <v>617</v>
      </c>
      <c r="DH288" s="160" t="s">
        <v>125</v>
      </c>
      <c r="DI288" s="160" t="s">
        <v>1494</v>
      </c>
      <c r="DJ288" s="160" t="s">
        <v>1494</v>
      </c>
      <c r="DK288" s="160" t="s">
        <v>1259</v>
      </c>
      <c r="DL288" s="160" t="s">
        <v>1260</v>
      </c>
      <c r="DM288" s="160" t="s">
        <v>1261</v>
      </c>
      <c r="DN288" s="161" t="s">
        <v>1262</v>
      </c>
      <c r="DP288" s="130">
        <v>1</v>
      </c>
    </row>
    <row r="289" spans="2:120" ht="15">
      <c r="B289" s="231"/>
      <c r="C289" s="231"/>
      <c r="D289" s="231"/>
      <c r="E289" s="231" cm="1">
        <f t="array" ref="E289">IF(H288&lt;&gt;"",E288,IF(E288="","",IFERROR(MATCH(TRUE(),INDEX(INDEX(K:K,E288+1):K203&lt;&gt;"",0),0)+E288,"")))</f>
        <v>381</v>
      </c>
      <c r="F289" s="232" cm="1">
        <f t="array" ref="F289">IF(E289="","",IF(H288&lt;&gt;"",H288,INDEX(D:D,E289)))</f>
        <v>0</v>
      </c>
      <c r="G289" s="232" t="str">
        <f t="shared" si="36"/>
        <v>0</v>
      </c>
      <c r="H289" s="233" t="str">
        <f t="shared" si="37"/>
        <v/>
      </c>
      <c r="I289" s="231" t="str">
        <f>IF(AND(F289&lt;&gt;"",N10&gt;0,M289&gt;N10),"Mot &gt; limite","")</f>
        <v/>
      </c>
      <c r="M289" s="126">
        <f>IF(OR(F289="",N10="",N10&lt;=0),"",IF(LEN(F289)&lt;=N10,LEN(F289),IFERROR(FIND("♦",SUBSTITUTE(LEFT(F289,N10)," ","♦",LEN(LEFT(F289,N10))-LEN(SUBSTITUTE(LEFT(F289,N10)," ","")))),FIND(" ",F289&amp;" ",N10+1)-1)))</f>
        <v>1</v>
      </c>
      <c r="N289" s="234">
        <f t="shared" si="38"/>
        <v>272</v>
      </c>
      <c r="O289" s="165" t="str">
        <f t="shared" si="39"/>
        <v>0</v>
      </c>
      <c r="P289" s="234">
        <f t="shared" si="40"/>
        <v>1</v>
      </c>
      <c r="Q289" s="234">
        <f t="shared" si="41"/>
        <v>1</v>
      </c>
      <c r="DE289" s="152"/>
      <c r="DF289" s="160" t="s">
        <v>1495</v>
      </c>
      <c r="DG289" s="160" t="s">
        <v>617</v>
      </c>
      <c r="DH289" s="160" t="s">
        <v>125</v>
      </c>
      <c r="DI289" s="160" t="s">
        <v>149</v>
      </c>
      <c r="DJ289" s="160" t="s">
        <v>149</v>
      </c>
      <c r="DK289" s="160" t="s">
        <v>1259</v>
      </c>
      <c r="DL289" s="160" t="s">
        <v>1260</v>
      </c>
      <c r="DM289" s="160" t="s">
        <v>1261</v>
      </c>
      <c r="DN289" s="161" t="s">
        <v>1262</v>
      </c>
      <c r="DP289" s="130">
        <v>1</v>
      </c>
    </row>
    <row r="290" spans="2:120" ht="15">
      <c r="B290" s="231"/>
      <c r="C290" s="231"/>
      <c r="D290" s="231"/>
      <c r="E290" s="231" cm="1">
        <f t="array" ref="E290">IF(H289&lt;&gt;"",E289,IF(E289="","",IFERROR(MATCH(TRUE(),INDEX(INDEX(K:K,E289+1):K203&lt;&gt;"",0),0)+E289,"")))</f>
        <v>382</v>
      </c>
      <c r="F290" s="232" cm="1">
        <f t="array" ref="F290">IF(E290="","",IF(H289&lt;&gt;"",H289,INDEX(D:D,E290)))</f>
        <v>0</v>
      </c>
      <c r="G290" s="232" t="str">
        <f t="shared" si="36"/>
        <v>0</v>
      </c>
      <c r="H290" s="233" t="str">
        <f t="shared" si="37"/>
        <v/>
      </c>
      <c r="I290" s="231" t="str">
        <f>IF(AND(F290&lt;&gt;"",N10&gt;0,M290&gt;N10),"Mot &gt; limite","")</f>
        <v/>
      </c>
      <c r="M290" s="126">
        <f>IF(OR(F290="",N10="",N10&lt;=0),"",IF(LEN(F290)&lt;=N10,LEN(F290),IFERROR(FIND("♦",SUBSTITUTE(LEFT(F290,N10)," ","♦",LEN(LEFT(F290,N10))-LEN(SUBSTITUTE(LEFT(F290,N10)," ","")))),FIND(" ",F290&amp;" ",N10+1)-1)))</f>
        <v>1</v>
      </c>
      <c r="N290" s="234">
        <f t="shared" si="38"/>
        <v>273</v>
      </c>
      <c r="O290" s="165" t="str">
        <f t="shared" si="39"/>
        <v>0</v>
      </c>
      <c r="P290" s="234">
        <f t="shared" si="40"/>
        <v>1</v>
      </c>
      <c r="Q290" s="234">
        <f t="shared" si="41"/>
        <v>1</v>
      </c>
      <c r="DE290" s="152"/>
      <c r="DF290" s="160" t="s">
        <v>1496</v>
      </c>
      <c r="DG290" s="160" t="s">
        <v>617</v>
      </c>
      <c r="DH290" s="160" t="s">
        <v>125</v>
      </c>
      <c r="DI290" s="160" t="s">
        <v>1497</v>
      </c>
      <c r="DJ290" s="160" t="s">
        <v>1497</v>
      </c>
      <c r="DK290" s="160" t="s">
        <v>1259</v>
      </c>
      <c r="DL290" s="160" t="s">
        <v>1260</v>
      </c>
      <c r="DM290" s="160" t="s">
        <v>1261</v>
      </c>
      <c r="DN290" s="161" t="s">
        <v>1262</v>
      </c>
      <c r="DP290" s="130">
        <v>1</v>
      </c>
    </row>
    <row r="291" spans="2:120" ht="15">
      <c r="B291" s="231"/>
      <c r="C291" s="231"/>
      <c r="D291" s="231"/>
      <c r="E291" s="231" cm="1">
        <f t="array" ref="E291">IF(H290&lt;&gt;"",E290,IF(E290="","",IFERROR(MATCH(TRUE(),INDEX(INDEX(K:K,E290+1):K203&lt;&gt;"",0),0)+E290,"")))</f>
        <v>383</v>
      </c>
      <c r="F291" s="232" cm="1">
        <f t="array" ref="F291">IF(E291="","",IF(H290&lt;&gt;"",H290,INDEX(D:D,E291)))</f>
        <v>0</v>
      </c>
      <c r="G291" s="232" t="str">
        <f t="shared" si="36"/>
        <v>0</v>
      </c>
      <c r="H291" s="233" t="str">
        <f t="shared" si="37"/>
        <v/>
      </c>
      <c r="I291" s="231" t="str">
        <f>IF(AND(F291&lt;&gt;"",N10&gt;0,M291&gt;N10),"Mot &gt; limite","")</f>
        <v/>
      </c>
      <c r="M291" s="126">
        <f>IF(OR(F291="",N10="",N10&lt;=0),"",IF(LEN(F291)&lt;=N10,LEN(F291),IFERROR(FIND("♦",SUBSTITUTE(LEFT(F291,N10)," ","♦",LEN(LEFT(F291,N10))-LEN(SUBSTITUTE(LEFT(F291,N10)," ","")))),FIND(" ",F291&amp;" ",N10+1)-1)))</f>
        <v>1</v>
      </c>
      <c r="N291" s="234">
        <f t="shared" si="38"/>
        <v>274</v>
      </c>
      <c r="O291" s="165" t="str">
        <f t="shared" si="39"/>
        <v>0</v>
      </c>
      <c r="P291" s="234">
        <f t="shared" si="40"/>
        <v>1</v>
      </c>
      <c r="Q291" s="234">
        <f t="shared" si="41"/>
        <v>1</v>
      </c>
      <c r="DE291" s="152"/>
      <c r="DF291" s="160" t="s">
        <v>1498</v>
      </c>
      <c r="DG291" s="160" t="s">
        <v>617</v>
      </c>
      <c r="DH291" s="160" t="s">
        <v>125</v>
      </c>
      <c r="DI291" s="160" t="s">
        <v>1499</v>
      </c>
      <c r="DJ291" s="160" t="s">
        <v>1499</v>
      </c>
      <c r="DK291" s="160" t="s">
        <v>1259</v>
      </c>
      <c r="DL291" s="160" t="s">
        <v>1260</v>
      </c>
      <c r="DM291" s="160" t="s">
        <v>1261</v>
      </c>
      <c r="DN291" s="161" t="s">
        <v>1262</v>
      </c>
      <c r="DP291" s="130">
        <v>1</v>
      </c>
    </row>
    <row r="292" spans="2:120" ht="15">
      <c r="B292" s="231"/>
      <c r="C292" s="231"/>
      <c r="D292" s="231"/>
      <c r="E292" s="231" cm="1">
        <f t="array" ref="E292">IF(H291&lt;&gt;"",E291,IF(E291="","",IFERROR(MATCH(TRUE(),INDEX(INDEX(K:K,E291+1):K203&lt;&gt;"",0),0)+E291,"")))</f>
        <v>384</v>
      </c>
      <c r="F292" s="232" cm="1">
        <f t="array" ref="F292">IF(E292="","",IF(H291&lt;&gt;"",H291,INDEX(D:D,E292)))</f>
        <v>0</v>
      </c>
      <c r="G292" s="232" t="str">
        <f t="shared" si="36"/>
        <v>0</v>
      </c>
      <c r="H292" s="233" t="str">
        <f t="shared" si="37"/>
        <v/>
      </c>
      <c r="I292" s="231" t="str">
        <f>IF(AND(F292&lt;&gt;"",N10&gt;0,M292&gt;N10),"Mot &gt; limite","")</f>
        <v/>
      </c>
      <c r="M292" s="126">
        <f>IF(OR(F292="",N10="",N10&lt;=0),"",IF(LEN(F292)&lt;=N10,LEN(F292),IFERROR(FIND("♦",SUBSTITUTE(LEFT(F292,N10)," ","♦",LEN(LEFT(F292,N10))-LEN(SUBSTITUTE(LEFT(F292,N10)," ","")))),FIND(" ",F292&amp;" ",N10+1)-1)))</f>
        <v>1</v>
      </c>
      <c r="N292" s="234">
        <f t="shared" si="38"/>
        <v>275</v>
      </c>
      <c r="O292" s="165" t="str">
        <f t="shared" si="39"/>
        <v>0</v>
      </c>
      <c r="P292" s="234">
        <f t="shared" si="40"/>
        <v>1</v>
      </c>
      <c r="Q292" s="234">
        <f t="shared" si="41"/>
        <v>1</v>
      </c>
      <c r="DE292" s="152"/>
      <c r="DF292" s="160" t="s">
        <v>1500</v>
      </c>
      <c r="DG292" s="160" t="s">
        <v>617</v>
      </c>
      <c r="DH292" s="160" t="s">
        <v>125</v>
      </c>
      <c r="DI292" s="160" t="s">
        <v>1501</v>
      </c>
      <c r="DJ292" s="160" t="s">
        <v>1501</v>
      </c>
      <c r="DK292" s="160" t="s">
        <v>1259</v>
      </c>
      <c r="DL292" s="160" t="s">
        <v>1260</v>
      </c>
      <c r="DM292" s="160" t="s">
        <v>1261</v>
      </c>
      <c r="DN292" s="161" t="s">
        <v>1262</v>
      </c>
      <c r="DP292" s="130">
        <v>1</v>
      </c>
    </row>
    <row r="293" spans="2:120" ht="15">
      <c r="B293" s="231"/>
      <c r="C293" s="231"/>
      <c r="D293" s="231"/>
      <c r="E293" s="231" cm="1">
        <f t="array" ref="E293">IF(H292&lt;&gt;"",E292,IF(E292="","",IFERROR(MATCH(TRUE(),INDEX(INDEX(K:K,E292+1):K203&lt;&gt;"",0),0)+E292,"")))</f>
        <v>385</v>
      </c>
      <c r="F293" s="232" cm="1">
        <f t="array" ref="F293">IF(E293="","",IF(H292&lt;&gt;"",H292,INDEX(D:D,E293)))</f>
        <v>0</v>
      </c>
      <c r="G293" s="232" t="str">
        <f t="shared" si="36"/>
        <v>0</v>
      </c>
      <c r="H293" s="233" t="str">
        <f t="shared" si="37"/>
        <v/>
      </c>
      <c r="I293" s="231" t="str">
        <f>IF(AND(F293&lt;&gt;"",N10&gt;0,M293&gt;N10),"Mot &gt; limite","")</f>
        <v/>
      </c>
      <c r="M293" s="126">
        <f>IF(OR(F293="",N10="",N10&lt;=0),"",IF(LEN(F293)&lt;=N10,LEN(F293),IFERROR(FIND("♦",SUBSTITUTE(LEFT(F293,N10)," ","♦",LEN(LEFT(F293,N10))-LEN(SUBSTITUTE(LEFT(F293,N10)," ","")))),FIND(" ",F293&amp;" ",N10+1)-1)))</f>
        <v>1</v>
      </c>
      <c r="N293" s="234">
        <f t="shared" si="38"/>
        <v>276</v>
      </c>
      <c r="O293" s="165" t="str">
        <f t="shared" si="39"/>
        <v>0</v>
      </c>
      <c r="P293" s="234">
        <f t="shared" si="40"/>
        <v>1</v>
      </c>
      <c r="Q293" s="234">
        <f t="shared" si="41"/>
        <v>1</v>
      </c>
      <c r="DE293" s="152"/>
      <c r="DF293" s="160" t="s">
        <v>1502</v>
      </c>
      <c r="DG293" s="160" t="s">
        <v>617</v>
      </c>
      <c r="DH293" s="160" t="s">
        <v>125</v>
      </c>
      <c r="DI293" s="160" t="s">
        <v>436</v>
      </c>
      <c r="DJ293" s="160" t="s">
        <v>436</v>
      </c>
      <c r="DK293" s="160" t="s">
        <v>1259</v>
      </c>
      <c r="DL293" s="160" t="s">
        <v>1268</v>
      </c>
      <c r="DM293" s="160" t="s">
        <v>590</v>
      </c>
      <c r="DN293" s="161" t="s">
        <v>591</v>
      </c>
      <c r="DP293" s="130">
        <v>1</v>
      </c>
    </row>
    <row r="294" spans="2:120" ht="15">
      <c r="B294" s="231"/>
      <c r="C294" s="231"/>
      <c r="D294" s="231"/>
      <c r="E294" s="231" cm="1">
        <f t="array" ref="E294">IF(H293&lt;&gt;"",E293,IF(E293="","",IFERROR(MATCH(TRUE(),INDEX(INDEX(K:K,E293+1):K203&lt;&gt;"",0),0)+E293,"")))</f>
        <v>386</v>
      </c>
      <c r="F294" s="232" cm="1">
        <f t="array" ref="F294">IF(E294="","",IF(H293&lt;&gt;"",H293,INDEX(D:D,E294)))</f>
        <v>0</v>
      </c>
      <c r="G294" s="232" t="str">
        <f t="shared" si="36"/>
        <v>0</v>
      </c>
      <c r="H294" s="233" t="str">
        <f t="shared" si="37"/>
        <v/>
      </c>
      <c r="I294" s="231" t="str">
        <f>IF(AND(F294&lt;&gt;"",N10&gt;0,M294&gt;N10),"Mot &gt; limite","")</f>
        <v/>
      </c>
      <c r="M294" s="126">
        <f>IF(OR(F294="",N10="",N10&lt;=0),"",IF(LEN(F294)&lt;=N10,LEN(F294),IFERROR(FIND("♦",SUBSTITUTE(LEFT(F294,N10)," ","♦",LEN(LEFT(F294,N10))-LEN(SUBSTITUTE(LEFT(F294,N10)," ","")))),FIND(" ",F294&amp;" ",N10+1)-1)))</f>
        <v>1</v>
      </c>
      <c r="N294" s="234">
        <f t="shared" si="38"/>
        <v>277</v>
      </c>
      <c r="O294" s="165" t="str">
        <f t="shared" si="39"/>
        <v>0</v>
      </c>
      <c r="P294" s="234">
        <f t="shared" si="40"/>
        <v>1</v>
      </c>
      <c r="Q294" s="234">
        <f t="shared" si="41"/>
        <v>1</v>
      </c>
      <c r="DE294" s="152"/>
      <c r="DF294" s="160" t="s">
        <v>1503</v>
      </c>
      <c r="DG294" s="160" t="s">
        <v>617</v>
      </c>
      <c r="DH294" s="160" t="s">
        <v>125</v>
      </c>
      <c r="DI294" s="160" t="s">
        <v>1504</v>
      </c>
      <c r="DJ294" s="160" t="s">
        <v>1504</v>
      </c>
      <c r="DK294" s="160" t="s">
        <v>1259</v>
      </c>
      <c r="DL294" s="160" t="s">
        <v>1260</v>
      </c>
      <c r="DM294" s="160" t="s">
        <v>1261</v>
      </c>
      <c r="DN294" s="161" t="s">
        <v>1262</v>
      </c>
      <c r="DP294" s="130">
        <v>1</v>
      </c>
    </row>
    <row r="295" spans="2:120" ht="15">
      <c r="B295" s="231"/>
      <c r="C295" s="231"/>
      <c r="D295" s="231"/>
      <c r="E295" s="231" cm="1">
        <f t="array" ref="E295">IF(H294&lt;&gt;"",E294,IF(E294="","",IFERROR(MATCH(TRUE(),INDEX(INDEX(K:K,E294+1):K203&lt;&gt;"",0),0)+E294,"")))</f>
        <v>387</v>
      </c>
      <c r="F295" s="232" cm="1">
        <f t="array" ref="F295">IF(E295="","",IF(H294&lt;&gt;"",H294,INDEX(D:D,E295)))</f>
        <v>0</v>
      </c>
      <c r="G295" s="232" t="str">
        <f t="shared" si="36"/>
        <v>0</v>
      </c>
      <c r="H295" s="233" t="str">
        <f t="shared" si="37"/>
        <v/>
      </c>
      <c r="I295" s="231" t="str">
        <f>IF(AND(F295&lt;&gt;"",N10&gt;0,M295&gt;N10),"Mot &gt; limite","")</f>
        <v/>
      </c>
      <c r="M295" s="126">
        <f>IF(OR(F295="",N10="",N10&lt;=0),"",IF(LEN(F295)&lt;=N10,LEN(F295),IFERROR(FIND("♦",SUBSTITUTE(LEFT(F295,N10)," ","♦",LEN(LEFT(F295,N10))-LEN(SUBSTITUTE(LEFT(F295,N10)," ","")))),FIND(" ",F295&amp;" ",N10+1)-1)))</f>
        <v>1</v>
      </c>
      <c r="N295" s="234">
        <f t="shared" si="38"/>
        <v>278</v>
      </c>
      <c r="O295" s="165" t="str">
        <f t="shared" si="39"/>
        <v>0</v>
      </c>
      <c r="P295" s="234">
        <f t="shared" si="40"/>
        <v>1</v>
      </c>
      <c r="Q295" s="234">
        <f t="shared" si="41"/>
        <v>1</v>
      </c>
      <c r="DE295" s="152"/>
      <c r="DF295" s="160" t="s">
        <v>1505</v>
      </c>
      <c r="DG295" s="160" t="s">
        <v>617</v>
      </c>
      <c r="DH295" s="160" t="s">
        <v>125</v>
      </c>
      <c r="DI295" s="160" t="s">
        <v>1506</v>
      </c>
      <c r="DJ295" s="160" t="s">
        <v>1506</v>
      </c>
      <c r="DK295" s="160" t="s">
        <v>1259</v>
      </c>
      <c r="DL295" s="160" t="s">
        <v>1260</v>
      </c>
      <c r="DM295" s="160" t="s">
        <v>1261</v>
      </c>
      <c r="DN295" s="161" t="s">
        <v>1262</v>
      </c>
      <c r="DP295" s="130">
        <v>1</v>
      </c>
    </row>
    <row r="296" spans="2:120" ht="15">
      <c r="B296" s="231"/>
      <c r="C296" s="231"/>
      <c r="D296" s="231"/>
      <c r="E296" s="231" cm="1">
        <f t="array" ref="E296">IF(H295&lt;&gt;"",E295,IF(E295="","",IFERROR(MATCH(TRUE(),INDEX(INDEX(K:K,E295+1):K203&lt;&gt;"",0),0)+E295,"")))</f>
        <v>388</v>
      </c>
      <c r="F296" s="232" cm="1">
        <f t="array" ref="F296">IF(E296="","",IF(H295&lt;&gt;"",H295,INDEX(D:D,E296)))</f>
        <v>0</v>
      </c>
      <c r="G296" s="232" t="str">
        <f t="shared" si="36"/>
        <v>0</v>
      </c>
      <c r="H296" s="233" t="str">
        <f t="shared" si="37"/>
        <v/>
      </c>
      <c r="I296" s="231" t="str">
        <f>IF(AND(F296&lt;&gt;"",N10&gt;0,M296&gt;N10),"Mot &gt; limite","")</f>
        <v/>
      </c>
      <c r="M296" s="126">
        <f>IF(OR(F296="",N10="",N10&lt;=0),"",IF(LEN(F296)&lt;=N10,LEN(F296),IFERROR(FIND("♦",SUBSTITUTE(LEFT(F296,N10)," ","♦",LEN(LEFT(F296,N10))-LEN(SUBSTITUTE(LEFT(F296,N10)," ","")))),FIND(" ",F296&amp;" ",N10+1)-1)))</f>
        <v>1</v>
      </c>
      <c r="N296" s="234">
        <f t="shared" si="38"/>
        <v>279</v>
      </c>
      <c r="O296" s="165" t="str">
        <f t="shared" si="39"/>
        <v>0</v>
      </c>
      <c r="P296" s="234">
        <f t="shared" si="40"/>
        <v>1</v>
      </c>
      <c r="Q296" s="234">
        <f t="shared" si="41"/>
        <v>1</v>
      </c>
      <c r="DE296" s="152"/>
      <c r="DF296" s="160" t="s">
        <v>1507</v>
      </c>
      <c r="DG296" s="160" t="s">
        <v>617</v>
      </c>
      <c r="DH296" s="160" t="s">
        <v>125</v>
      </c>
      <c r="DI296" s="160" t="s">
        <v>1508</v>
      </c>
      <c r="DJ296" s="160" t="s">
        <v>437</v>
      </c>
      <c r="DK296" s="160" t="s">
        <v>1259</v>
      </c>
      <c r="DL296" s="160" t="s">
        <v>1268</v>
      </c>
      <c r="DM296" s="160" t="s">
        <v>590</v>
      </c>
      <c r="DN296" s="161" t="s">
        <v>591</v>
      </c>
      <c r="DP296" s="130">
        <v>1</v>
      </c>
    </row>
    <row r="297" spans="2:120" ht="15">
      <c r="B297" s="231"/>
      <c r="C297" s="231"/>
      <c r="D297" s="231"/>
      <c r="E297" s="231" cm="1">
        <f t="array" ref="E297">IF(H296&lt;&gt;"",E296,IF(E296="","",IFERROR(MATCH(TRUE(),INDEX(INDEX(K:K,E296+1):K203&lt;&gt;"",0),0)+E296,"")))</f>
        <v>389</v>
      </c>
      <c r="F297" s="232" cm="1">
        <f t="array" ref="F297">IF(E297="","",IF(H296&lt;&gt;"",H296,INDEX(D:D,E297)))</f>
        <v>0</v>
      </c>
      <c r="G297" s="232" t="str">
        <f t="shared" si="36"/>
        <v>0</v>
      </c>
      <c r="H297" s="233" t="str">
        <f t="shared" si="37"/>
        <v/>
      </c>
      <c r="I297" s="231" t="str">
        <f>IF(AND(F297&lt;&gt;"",N10&gt;0,M297&gt;N10),"Mot &gt; limite","")</f>
        <v/>
      </c>
      <c r="M297" s="126">
        <f>IF(OR(F297="",N10="",N10&lt;=0),"",IF(LEN(F297)&lt;=N10,LEN(F297),IFERROR(FIND("♦",SUBSTITUTE(LEFT(F297,N10)," ","♦",LEN(LEFT(F297,N10))-LEN(SUBSTITUTE(LEFT(F297,N10)," ","")))),FIND(" ",F297&amp;" ",N10+1)-1)))</f>
        <v>1</v>
      </c>
      <c r="N297" s="234">
        <f t="shared" si="38"/>
        <v>280</v>
      </c>
      <c r="O297" s="165" t="str">
        <f t="shared" si="39"/>
        <v>0</v>
      </c>
      <c r="P297" s="234">
        <f t="shared" si="40"/>
        <v>1</v>
      </c>
      <c r="Q297" s="234">
        <f t="shared" si="41"/>
        <v>1</v>
      </c>
      <c r="DE297" s="152"/>
      <c r="DF297" s="160" t="s">
        <v>1509</v>
      </c>
      <c r="DG297" s="160" t="s">
        <v>617</v>
      </c>
      <c r="DH297" s="160" t="s">
        <v>125</v>
      </c>
      <c r="DI297" s="160" t="s">
        <v>150</v>
      </c>
      <c r="DJ297" s="160" t="s">
        <v>150</v>
      </c>
      <c r="DK297" s="160" t="s">
        <v>1259</v>
      </c>
      <c r="DL297" s="160" t="s">
        <v>1260</v>
      </c>
      <c r="DM297" s="160" t="s">
        <v>1261</v>
      </c>
      <c r="DN297" s="161" t="s">
        <v>1262</v>
      </c>
      <c r="DP297" s="130">
        <v>1</v>
      </c>
    </row>
    <row r="298" spans="2:120" ht="15">
      <c r="B298" s="231"/>
      <c r="C298" s="231"/>
      <c r="D298" s="231"/>
      <c r="E298" s="231" cm="1">
        <f t="array" ref="E298">IF(H297&lt;&gt;"",E297,IF(E297="","",IFERROR(MATCH(TRUE(),INDEX(INDEX(K:K,E297+1):K203&lt;&gt;"",0),0)+E297,"")))</f>
        <v>390</v>
      </c>
      <c r="F298" s="232" cm="1">
        <f t="array" ref="F298">IF(E298="","",IF(H297&lt;&gt;"",H297,INDEX(D:D,E298)))</f>
        <v>0</v>
      </c>
      <c r="G298" s="232" t="str">
        <f t="shared" si="36"/>
        <v>0</v>
      </c>
      <c r="H298" s="233" t="str">
        <f t="shared" si="37"/>
        <v/>
      </c>
      <c r="I298" s="231" t="str">
        <f>IF(AND(F298&lt;&gt;"",N10&gt;0,M298&gt;N10),"Mot &gt; limite","")</f>
        <v/>
      </c>
      <c r="M298" s="126">
        <f>IF(OR(F298="",N10="",N10&lt;=0),"",IF(LEN(F298)&lt;=N10,LEN(F298),IFERROR(FIND("♦",SUBSTITUTE(LEFT(F298,N10)," ","♦",LEN(LEFT(F298,N10))-LEN(SUBSTITUTE(LEFT(F298,N10)," ","")))),FIND(" ",F298&amp;" ",N10+1)-1)))</f>
        <v>1</v>
      </c>
      <c r="N298" s="234">
        <f t="shared" si="38"/>
        <v>281</v>
      </c>
      <c r="O298" s="165" t="str">
        <f t="shared" si="39"/>
        <v>0</v>
      </c>
      <c r="P298" s="234">
        <f t="shared" si="40"/>
        <v>1</v>
      </c>
      <c r="Q298" s="234">
        <f t="shared" si="41"/>
        <v>1</v>
      </c>
      <c r="DE298" s="152"/>
      <c r="DF298" s="160" t="s">
        <v>1510</v>
      </c>
      <c r="DG298" s="160" t="s">
        <v>617</v>
      </c>
      <c r="DH298" s="160" t="s">
        <v>125</v>
      </c>
      <c r="DI298" s="160" t="s">
        <v>1511</v>
      </c>
      <c r="DJ298" s="160" t="s">
        <v>1511</v>
      </c>
      <c r="DK298" s="160" t="s">
        <v>1259</v>
      </c>
      <c r="DL298" s="160" t="s">
        <v>1260</v>
      </c>
      <c r="DM298" s="160" t="s">
        <v>1261</v>
      </c>
      <c r="DN298" s="161" t="s">
        <v>1262</v>
      </c>
      <c r="DP298" s="130">
        <v>1</v>
      </c>
    </row>
    <row r="299" spans="2:120" ht="15">
      <c r="B299" s="231"/>
      <c r="C299" s="231"/>
      <c r="D299" s="231"/>
      <c r="E299" s="231" cm="1">
        <f t="array" ref="E299">IF(H298&lt;&gt;"",E298,IF(E298="","",IFERROR(MATCH(TRUE(),INDEX(INDEX(K:K,E298+1):K203&lt;&gt;"",0),0)+E298,"")))</f>
        <v>391</v>
      </c>
      <c r="F299" s="232" cm="1">
        <f t="array" ref="F299">IF(E299="","",IF(H298&lt;&gt;"",H298,INDEX(D:D,E299)))</f>
        <v>0</v>
      </c>
      <c r="G299" s="232" t="str">
        <f t="shared" si="36"/>
        <v>0</v>
      </c>
      <c r="H299" s="233" t="str">
        <f t="shared" si="37"/>
        <v/>
      </c>
      <c r="I299" s="231" t="str">
        <f>IF(AND(F299&lt;&gt;"",N10&gt;0,M299&gt;N10),"Mot &gt; limite","")</f>
        <v/>
      </c>
      <c r="M299" s="126">
        <f>IF(OR(F299="",N10="",N10&lt;=0),"",IF(LEN(F299)&lt;=N10,LEN(F299),IFERROR(FIND("♦",SUBSTITUTE(LEFT(F299,N10)," ","♦",LEN(LEFT(F299,N10))-LEN(SUBSTITUTE(LEFT(F299,N10)," ","")))),FIND(" ",F299&amp;" ",N10+1)-1)))</f>
        <v>1</v>
      </c>
      <c r="N299" s="234">
        <f t="shared" si="38"/>
        <v>282</v>
      </c>
      <c r="O299" s="165" t="str">
        <f t="shared" si="39"/>
        <v>0</v>
      </c>
      <c r="P299" s="234">
        <f t="shared" si="40"/>
        <v>1</v>
      </c>
      <c r="Q299" s="234">
        <f t="shared" si="41"/>
        <v>1</v>
      </c>
      <c r="DE299" s="152"/>
      <c r="DF299" s="160" t="s">
        <v>1512</v>
      </c>
      <c r="DG299" s="160" t="s">
        <v>617</v>
      </c>
      <c r="DH299" s="160" t="s">
        <v>125</v>
      </c>
      <c r="DI299" s="160" t="s">
        <v>1513</v>
      </c>
      <c r="DJ299" s="160" t="s">
        <v>1513</v>
      </c>
      <c r="DK299" s="160" t="s">
        <v>1259</v>
      </c>
      <c r="DL299" s="160" t="s">
        <v>1260</v>
      </c>
      <c r="DM299" s="160" t="s">
        <v>1261</v>
      </c>
      <c r="DN299" s="161" t="s">
        <v>1262</v>
      </c>
      <c r="DP299" s="130">
        <v>1</v>
      </c>
    </row>
    <row r="300" spans="2:120" ht="15">
      <c r="B300" s="231"/>
      <c r="C300" s="231"/>
      <c r="D300" s="231"/>
      <c r="E300" s="231" cm="1">
        <f t="array" ref="E300">IF(H299&lt;&gt;"",E299,IF(E299="","",IFERROR(MATCH(TRUE(),INDEX(INDEX(K:K,E299+1):K203&lt;&gt;"",0),0)+E299,"")))</f>
        <v>392</v>
      </c>
      <c r="F300" s="232" cm="1">
        <f t="array" ref="F300">IF(E300="","",IF(H299&lt;&gt;"",H299,INDEX(D:D,E300)))</f>
        <v>0</v>
      </c>
      <c r="G300" s="232" t="str">
        <f t="shared" si="36"/>
        <v>0</v>
      </c>
      <c r="H300" s="233" t="str">
        <f t="shared" si="37"/>
        <v/>
      </c>
      <c r="I300" s="231" t="str">
        <f>IF(AND(F300&lt;&gt;"",N10&gt;0,M300&gt;N10),"Mot &gt; limite","")</f>
        <v/>
      </c>
      <c r="M300" s="126">
        <f>IF(OR(F300="",N10="",N10&lt;=0),"",IF(LEN(F300)&lt;=N10,LEN(F300),IFERROR(FIND("♦",SUBSTITUTE(LEFT(F300,N10)," ","♦",LEN(LEFT(F300,N10))-LEN(SUBSTITUTE(LEFT(F300,N10)," ","")))),FIND(" ",F300&amp;" ",N10+1)-1)))</f>
        <v>1</v>
      </c>
      <c r="N300" s="234">
        <f t="shared" si="38"/>
        <v>283</v>
      </c>
      <c r="O300" s="165" t="str">
        <f t="shared" si="39"/>
        <v>0</v>
      </c>
      <c r="P300" s="234">
        <f t="shared" si="40"/>
        <v>1</v>
      </c>
      <c r="Q300" s="234">
        <f t="shared" si="41"/>
        <v>1</v>
      </c>
      <c r="DE300" s="152"/>
      <c r="DF300" s="160" t="s">
        <v>1514</v>
      </c>
      <c r="DG300" s="160" t="s">
        <v>617</v>
      </c>
      <c r="DH300" s="160" t="s">
        <v>125</v>
      </c>
      <c r="DI300" s="160" t="s">
        <v>1515</v>
      </c>
      <c r="DJ300" s="160" t="s">
        <v>1515</v>
      </c>
      <c r="DK300" s="160" t="s">
        <v>1259</v>
      </c>
      <c r="DL300" s="160" t="s">
        <v>1260</v>
      </c>
      <c r="DM300" s="160" t="s">
        <v>1261</v>
      </c>
      <c r="DN300" s="161" t="s">
        <v>1262</v>
      </c>
      <c r="DP300" s="130">
        <v>1</v>
      </c>
    </row>
    <row r="301" spans="2:120" ht="15">
      <c r="B301" s="231"/>
      <c r="C301" s="231"/>
      <c r="D301" s="231"/>
      <c r="E301" s="231" cm="1">
        <f t="array" ref="E301">IF(H300&lt;&gt;"",E300,IF(E300="","",IFERROR(MATCH(TRUE(),INDEX(INDEX(K:K,E300+1):K203&lt;&gt;"",0),0)+E300,"")))</f>
        <v>393</v>
      </c>
      <c r="F301" s="232" cm="1">
        <f t="array" ref="F301">IF(E301="","",IF(H300&lt;&gt;"",H300,INDEX(D:D,E301)))</f>
        <v>0</v>
      </c>
      <c r="G301" s="232" t="str">
        <f t="shared" si="36"/>
        <v>0</v>
      </c>
      <c r="H301" s="233" t="str">
        <f t="shared" si="37"/>
        <v/>
      </c>
      <c r="I301" s="231" t="str">
        <f>IF(AND(F301&lt;&gt;"",N10&gt;0,M301&gt;N10),"Mot &gt; limite","")</f>
        <v/>
      </c>
      <c r="M301" s="126">
        <f>IF(OR(F301="",N10="",N10&lt;=0),"",IF(LEN(F301)&lt;=N10,LEN(F301),IFERROR(FIND("♦",SUBSTITUTE(LEFT(F301,N10)," ","♦",LEN(LEFT(F301,N10))-LEN(SUBSTITUTE(LEFT(F301,N10)," ","")))),FIND(" ",F301&amp;" ",N10+1)-1)))</f>
        <v>1</v>
      </c>
      <c r="N301" s="234">
        <f t="shared" si="38"/>
        <v>284</v>
      </c>
      <c r="O301" s="165" t="str">
        <f t="shared" si="39"/>
        <v>0</v>
      </c>
      <c r="P301" s="234">
        <f t="shared" si="40"/>
        <v>1</v>
      </c>
      <c r="Q301" s="234">
        <f t="shared" si="41"/>
        <v>1</v>
      </c>
      <c r="DE301" s="152"/>
      <c r="DF301" s="160" t="s">
        <v>1516</v>
      </c>
      <c r="DG301" s="160" t="s">
        <v>617</v>
      </c>
      <c r="DH301" s="160" t="s">
        <v>125</v>
      </c>
      <c r="DI301" s="160" t="s">
        <v>1517</v>
      </c>
      <c r="DJ301" s="160" t="s">
        <v>1517</v>
      </c>
      <c r="DK301" s="160" t="s">
        <v>1259</v>
      </c>
      <c r="DL301" s="160" t="s">
        <v>1260</v>
      </c>
      <c r="DM301" s="160" t="s">
        <v>1261</v>
      </c>
      <c r="DN301" s="161" t="s">
        <v>1262</v>
      </c>
      <c r="DP301" s="130">
        <v>1</v>
      </c>
    </row>
    <row r="302" spans="2:120" ht="15">
      <c r="B302" s="231"/>
      <c r="C302" s="231"/>
      <c r="D302" s="231"/>
      <c r="E302" s="231" cm="1">
        <f t="array" ref="E302">IF(H301&lt;&gt;"",E301,IF(E301="","",IFERROR(MATCH(TRUE(),INDEX(INDEX(K:K,E301+1):K203&lt;&gt;"",0),0)+E301,"")))</f>
        <v>394</v>
      </c>
      <c r="F302" s="232" cm="1">
        <f t="array" ref="F302">IF(E302="","",IF(H301&lt;&gt;"",H301,INDEX(D:D,E302)))</f>
        <v>0</v>
      </c>
      <c r="G302" s="232" t="str">
        <f t="shared" si="36"/>
        <v>0</v>
      </c>
      <c r="H302" s="233" t="str">
        <f t="shared" si="37"/>
        <v/>
      </c>
      <c r="I302" s="231" t="str">
        <f>IF(AND(F302&lt;&gt;"",N10&gt;0,M302&gt;N10),"Mot &gt; limite","")</f>
        <v/>
      </c>
      <c r="M302" s="126">
        <f>IF(OR(F302="",N10="",N10&lt;=0),"",IF(LEN(F302)&lt;=N10,LEN(F302),IFERROR(FIND("♦",SUBSTITUTE(LEFT(F302,N10)," ","♦",LEN(LEFT(F302,N10))-LEN(SUBSTITUTE(LEFT(F302,N10)," ","")))),FIND(" ",F302&amp;" ",N10+1)-1)))</f>
        <v>1</v>
      </c>
      <c r="N302" s="234">
        <f t="shared" si="38"/>
        <v>285</v>
      </c>
      <c r="O302" s="165" t="str">
        <f t="shared" si="39"/>
        <v>0</v>
      </c>
      <c r="P302" s="234">
        <f t="shared" si="40"/>
        <v>1</v>
      </c>
      <c r="Q302" s="234">
        <f t="shared" si="41"/>
        <v>1</v>
      </c>
      <c r="DE302" s="152"/>
      <c r="DF302" s="160" t="s">
        <v>1518</v>
      </c>
      <c r="DG302" s="160" t="s">
        <v>617</v>
      </c>
      <c r="DH302" s="160" t="s">
        <v>125</v>
      </c>
      <c r="DI302" s="160" t="s">
        <v>1519</v>
      </c>
      <c r="DJ302" s="160" t="s">
        <v>1519</v>
      </c>
      <c r="DK302" s="160" t="s">
        <v>1259</v>
      </c>
      <c r="DL302" s="160" t="s">
        <v>1260</v>
      </c>
      <c r="DM302" s="160" t="s">
        <v>1261</v>
      </c>
      <c r="DN302" s="161" t="s">
        <v>1262</v>
      </c>
      <c r="DP302" s="130">
        <v>1</v>
      </c>
    </row>
    <row r="303" spans="2:120" ht="15">
      <c r="B303" s="231"/>
      <c r="C303" s="231"/>
      <c r="D303" s="231"/>
      <c r="E303" s="231" cm="1">
        <f t="array" ref="E303">IF(H302&lt;&gt;"",E302,IF(E302="","",IFERROR(MATCH(TRUE(),INDEX(INDEX(K:K,E302+1):K203&lt;&gt;"",0),0)+E302,"")))</f>
        <v>395</v>
      </c>
      <c r="F303" s="232" cm="1">
        <f t="array" ref="F303">IF(E303="","",IF(H302&lt;&gt;"",H302,INDEX(D:D,E303)))</f>
        <v>0</v>
      </c>
      <c r="G303" s="232" t="str">
        <f t="shared" si="36"/>
        <v>0</v>
      </c>
      <c r="H303" s="233" t="str">
        <f t="shared" si="37"/>
        <v/>
      </c>
      <c r="I303" s="231" t="str">
        <f>IF(AND(F303&lt;&gt;"",N10&gt;0,M303&gt;N10),"Mot &gt; limite","")</f>
        <v/>
      </c>
      <c r="M303" s="126">
        <f>IF(OR(F303="",N10="",N10&lt;=0),"",IF(LEN(F303)&lt;=N10,LEN(F303),IFERROR(FIND("♦",SUBSTITUTE(LEFT(F303,N10)," ","♦",LEN(LEFT(F303,N10))-LEN(SUBSTITUTE(LEFT(F303,N10)," ","")))),FIND(" ",F303&amp;" ",N10+1)-1)))</f>
        <v>1</v>
      </c>
      <c r="N303" s="234">
        <f t="shared" si="38"/>
        <v>286</v>
      </c>
      <c r="O303" s="165" t="str">
        <f t="shared" si="39"/>
        <v>0</v>
      </c>
      <c r="P303" s="234">
        <f t="shared" si="40"/>
        <v>1</v>
      </c>
      <c r="Q303" s="234">
        <f t="shared" si="41"/>
        <v>1</v>
      </c>
      <c r="DE303" s="152"/>
      <c r="DF303" s="160" t="s">
        <v>1520</v>
      </c>
      <c r="DG303" s="160" t="s">
        <v>617</v>
      </c>
      <c r="DH303" s="160" t="s">
        <v>125</v>
      </c>
      <c r="DI303" s="160" t="s">
        <v>1521</v>
      </c>
      <c r="DJ303" s="160" t="s">
        <v>1521</v>
      </c>
      <c r="DK303" s="160" t="s">
        <v>1259</v>
      </c>
      <c r="DL303" s="160" t="s">
        <v>1260</v>
      </c>
      <c r="DM303" s="160" t="s">
        <v>1261</v>
      </c>
      <c r="DN303" s="161" t="s">
        <v>1262</v>
      </c>
      <c r="DP303" s="130">
        <v>1</v>
      </c>
    </row>
    <row r="304" spans="2:120" ht="15">
      <c r="B304" s="231"/>
      <c r="C304" s="231"/>
      <c r="D304" s="231"/>
      <c r="E304" s="231" cm="1">
        <f t="array" ref="E304">IF(H303&lt;&gt;"",E303,IF(E303="","",IFERROR(MATCH(TRUE(),INDEX(INDEX(K:K,E303+1):K203&lt;&gt;"",0),0)+E303,"")))</f>
        <v>396</v>
      </c>
      <c r="F304" s="232" cm="1">
        <f t="array" ref="F304">IF(E304="","",IF(H303&lt;&gt;"",H303,INDEX(D:D,E304)))</f>
        <v>0</v>
      </c>
      <c r="G304" s="232" t="str">
        <f t="shared" si="36"/>
        <v>0</v>
      </c>
      <c r="H304" s="233" t="str">
        <f t="shared" si="37"/>
        <v/>
      </c>
      <c r="I304" s="231" t="str">
        <f>IF(AND(F304&lt;&gt;"",N10&gt;0,M304&gt;N10),"Mot &gt; limite","")</f>
        <v/>
      </c>
      <c r="M304" s="126">
        <f>IF(OR(F304="",N10="",N10&lt;=0),"",IF(LEN(F304)&lt;=N10,LEN(F304),IFERROR(FIND("♦",SUBSTITUTE(LEFT(F304,N10)," ","♦",LEN(LEFT(F304,N10))-LEN(SUBSTITUTE(LEFT(F304,N10)," ","")))),FIND(" ",F304&amp;" ",N10+1)-1)))</f>
        <v>1</v>
      </c>
      <c r="N304" s="234">
        <f t="shared" si="38"/>
        <v>287</v>
      </c>
      <c r="O304" s="165" t="str">
        <f t="shared" si="39"/>
        <v>0</v>
      </c>
      <c r="P304" s="234">
        <f t="shared" si="40"/>
        <v>1</v>
      </c>
      <c r="Q304" s="234">
        <f t="shared" si="41"/>
        <v>1</v>
      </c>
      <c r="DE304" s="152"/>
      <c r="DF304" s="160" t="s">
        <v>1522</v>
      </c>
      <c r="DG304" s="160" t="s">
        <v>617</v>
      </c>
      <c r="DH304" s="160" t="s">
        <v>125</v>
      </c>
      <c r="DI304" s="160" t="s">
        <v>1523</v>
      </c>
      <c r="DJ304" s="160" t="s">
        <v>1523</v>
      </c>
      <c r="DK304" s="160" t="s">
        <v>1259</v>
      </c>
      <c r="DL304" s="160" t="s">
        <v>1260</v>
      </c>
      <c r="DM304" s="160" t="s">
        <v>1261</v>
      </c>
      <c r="DN304" s="161" t="s">
        <v>1262</v>
      </c>
      <c r="DP304" s="130">
        <v>1</v>
      </c>
    </row>
    <row r="305" spans="2:120" ht="15">
      <c r="B305" s="231"/>
      <c r="C305" s="231"/>
      <c r="D305" s="231"/>
      <c r="E305" s="231" cm="1">
        <f t="array" ref="E305">IF(H304&lt;&gt;"",E304,IF(E304="","",IFERROR(MATCH(TRUE(),INDEX(INDEX(K:K,E304+1):K203&lt;&gt;"",0),0)+E304,"")))</f>
        <v>397</v>
      </c>
      <c r="F305" s="232" cm="1">
        <f t="array" ref="F305">IF(E305="","",IF(H304&lt;&gt;"",H304,INDEX(D:D,E305)))</f>
        <v>0</v>
      </c>
      <c r="G305" s="232" t="str">
        <f t="shared" si="36"/>
        <v>0</v>
      </c>
      <c r="H305" s="233" t="str">
        <f t="shared" si="37"/>
        <v/>
      </c>
      <c r="I305" s="231" t="str">
        <f>IF(AND(F305&lt;&gt;"",N10&gt;0,M305&gt;N10),"Mot &gt; limite","")</f>
        <v/>
      </c>
      <c r="M305" s="126">
        <f>IF(OR(F305="",N10="",N10&lt;=0),"",IF(LEN(F305)&lt;=N10,LEN(F305),IFERROR(FIND("♦",SUBSTITUTE(LEFT(F305,N10)," ","♦",LEN(LEFT(F305,N10))-LEN(SUBSTITUTE(LEFT(F305,N10)," ","")))),FIND(" ",F305&amp;" ",N10+1)-1)))</f>
        <v>1</v>
      </c>
      <c r="N305" s="234">
        <f t="shared" si="38"/>
        <v>288</v>
      </c>
      <c r="O305" s="165" t="str">
        <f t="shared" si="39"/>
        <v>0</v>
      </c>
      <c r="P305" s="234">
        <f t="shared" si="40"/>
        <v>1</v>
      </c>
      <c r="Q305" s="234">
        <f t="shared" si="41"/>
        <v>1</v>
      </c>
      <c r="DE305" s="152"/>
      <c r="DF305" s="160" t="s">
        <v>1524</v>
      </c>
      <c r="DG305" s="160" t="s">
        <v>617</v>
      </c>
      <c r="DH305" s="160" t="s">
        <v>125</v>
      </c>
      <c r="DI305" s="160" t="s">
        <v>1525</v>
      </c>
      <c r="DJ305" s="160" t="s">
        <v>1525</v>
      </c>
      <c r="DK305" s="160" t="s">
        <v>1259</v>
      </c>
      <c r="DL305" s="160" t="s">
        <v>1260</v>
      </c>
      <c r="DM305" s="160" t="s">
        <v>1261</v>
      </c>
      <c r="DN305" s="161" t="s">
        <v>1262</v>
      </c>
      <c r="DP305" s="130">
        <v>1</v>
      </c>
    </row>
    <row r="306" spans="2:120" ht="15">
      <c r="B306" s="231"/>
      <c r="C306" s="231"/>
      <c r="D306" s="231"/>
      <c r="E306" s="231" cm="1">
        <f t="array" ref="E306">IF(H305&lt;&gt;"",E305,IF(E305="","",IFERROR(MATCH(TRUE(),INDEX(INDEX(K:K,E305+1):K203&lt;&gt;"",0),0)+E305,"")))</f>
        <v>398</v>
      </c>
      <c r="F306" s="232" cm="1">
        <f t="array" ref="F306">IF(E306="","",IF(H305&lt;&gt;"",H305,INDEX(D:D,E306)))</f>
        <v>0</v>
      </c>
      <c r="G306" s="232" t="str">
        <f t="shared" si="36"/>
        <v>0</v>
      </c>
      <c r="H306" s="233" t="str">
        <f t="shared" si="37"/>
        <v/>
      </c>
      <c r="I306" s="231" t="str">
        <f>IF(AND(F306&lt;&gt;"",N10&gt;0,M306&gt;N10),"Mot &gt; limite","")</f>
        <v/>
      </c>
      <c r="M306" s="126">
        <f>IF(OR(F306="",N10="",N10&lt;=0),"",IF(LEN(F306)&lt;=N10,LEN(F306),IFERROR(FIND("♦",SUBSTITUTE(LEFT(F306,N10)," ","♦",LEN(LEFT(F306,N10))-LEN(SUBSTITUTE(LEFT(F306,N10)," ","")))),FIND(" ",F306&amp;" ",N10+1)-1)))</f>
        <v>1</v>
      </c>
      <c r="N306" s="234">
        <f t="shared" si="38"/>
        <v>289</v>
      </c>
      <c r="O306" s="165" t="str">
        <f t="shared" si="39"/>
        <v>0</v>
      </c>
      <c r="P306" s="234">
        <f t="shared" si="40"/>
        <v>1</v>
      </c>
      <c r="Q306" s="234">
        <f t="shared" si="41"/>
        <v>1</v>
      </c>
      <c r="DE306" s="152"/>
      <c r="DF306" s="160" t="s">
        <v>1526</v>
      </c>
      <c r="DG306" s="160" t="s">
        <v>617</v>
      </c>
      <c r="DH306" s="160" t="s">
        <v>125</v>
      </c>
      <c r="DI306" s="160" t="s">
        <v>1527</v>
      </c>
      <c r="DJ306" s="160" t="s">
        <v>1527</v>
      </c>
      <c r="DK306" s="160" t="s">
        <v>1259</v>
      </c>
      <c r="DL306" s="160" t="s">
        <v>1260</v>
      </c>
      <c r="DM306" s="160" t="s">
        <v>1261</v>
      </c>
      <c r="DN306" s="161" t="s">
        <v>1262</v>
      </c>
      <c r="DP306" s="130">
        <v>1</v>
      </c>
    </row>
    <row r="307" spans="2:120" ht="15">
      <c r="B307" s="231"/>
      <c r="C307" s="231"/>
      <c r="D307" s="231"/>
      <c r="E307" s="231" cm="1">
        <f t="array" ref="E307">IF(H306&lt;&gt;"",E306,IF(E306="","",IFERROR(MATCH(TRUE(),INDEX(INDEX(K:K,E306+1):K203&lt;&gt;"",0),0)+E306,"")))</f>
        <v>399</v>
      </c>
      <c r="F307" s="232" cm="1">
        <f t="array" ref="F307">IF(E307="","",IF(H306&lt;&gt;"",H306,INDEX(D:D,E307)))</f>
        <v>0</v>
      </c>
      <c r="G307" s="232" t="str">
        <f t="shared" si="36"/>
        <v>0</v>
      </c>
      <c r="H307" s="233" t="str">
        <f t="shared" si="37"/>
        <v/>
      </c>
      <c r="I307" s="231" t="str">
        <f>IF(AND(F307&lt;&gt;"",N10&gt;0,M307&gt;N10),"Mot &gt; limite","")</f>
        <v/>
      </c>
      <c r="M307" s="126">
        <f>IF(OR(F307="",N10="",N10&lt;=0),"",IF(LEN(F307)&lt;=N10,LEN(F307),IFERROR(FIND("♦",SUBSTITUTE(LEFT(F307,N10)," ","♦",LEN(LEFT(F307,N10))-LEN(SUBSTITUTE(LEFT(F307,N10)," ","")))),FIND(" ",F307&amp;" ",N10+1)-1)))</f>
        <v>1</v>
      </c>
      <c r="N307" s="234">
        <f t="shared" si="38"/>
        <v>290</v>
      </c>
      <c r="O307" s="165" t="str">
        <f t="shared" si="39"/>
        <v>0</v>
      </c>
      <c r="P307" s="234">
        <f t="shared" si="40"/>
        <v>1</v>
      </c>
      <c r="Q307" s="234">
        <f t="shared" si="41"/>
        <v>1</v>
      </c>
      <c r="DE307" s="152"/>
      <c r="DF307" s="160" t="s">
        <v>1528</v>
      </c>
      <c r="DG307" s="160" t="s">
        <v>617</v>
      </c>
      <c r="DH307" s="160" t="s">
        <v>125</v>
      </c>
      <c r="DI307" s="160" t="s">
        <v>1529</v>
      </c>
      <c r="DJ307" s="160" t="s">
        <v>1529</v>
      </c>
      <c r="DK307" s="160" t="s">
        <v>1259</v>
      </c>
      <c r="DL307" s="160" t="s">
        <v>1260</v>
      </c>
      <c r="DM307" s="160" t="s">
        <v>1261</v>
      </c>
      <c r="DN307" s="161" t="s">
        <v>1262</v>
      </c>
      <c r="DP307" s="130">
        <v>1</v>
      </c>
    </row>
    <row r="308" spans="2:120" ht="15">
      <c r="B308" s="231"/>
      <c r="C308" s="231"/>
      <c r="D308" s="231"/>
      <c r="E308" s="231" cm="1">
        <f t="array" ref="E308">IF(H307&lt;&gt;"",E307,IF(E307="","",IFERROR(MATCH(TRUE(),INDEX(INDEX(K:K,E307+1):K203&lt;&gt;"",0),0)+E307,"")))</f>
        <v>400</v>
      </c>
      <c r="F308" s="232" cm="1">
        <f t="array" ref="F308">IF(E308="","",IF(H307&lt;&gt;"",H307,INDEX(D:D,E308)))</f>
        <v>0</v>
      </c>
      <c r="G308" s="232" t="str">
        <f t="shared" si="36"/>
        <v>0</v>
      </c>
      <c r="H308" s="233" t="str">
        <f t="shared" si="37"/>
        <v/>
      </c>
      <c r="I308" s="231" t="str">
        <f>IF(AND(F308&lt;&gt;"",N10&gt;0,M308&gt;N10),"Mot &gt; limite","")</f>
        <v/>
      </c>
      <c r="M308" s="126">
        <f>IF(OR(F308="",N10="",N10&lt;=0),"",IF(LEN(F308)&lt;=N10,LEN(F308),IFERROR(FIND("♦",SUBSTITUTE(LEFT(F308,N10)," ","♦",LEN(LEFT(F308,N10))-LEN(SUBSTITUTE(LEFT(F308,N10)," ","")))),FIND(" ",F308&amp;" ",N10+1)-1)))</f>
        <v>1</v>
      </c>
      <c r="N308" s="234">
        <f t="shared" si="38"/>
        <v>291</v>
      </c>
      <c r="O308" s="165" t="str">
        <f t="shared" si="39"/>
        <v>0</v>
      </c>
      <c r="P308" s="234">
        <f t="shared" si="40"/>
        <v>1</v>
      </c>
      <c r="Q308" s="234">
        <f t="shared" si="41"/>
        <v>1</v>
      </c>
      <c r="DE308" s="152"/>
      <c r="DF308" s="160" t="s">
        <v>1530</v>
      </c>
      <c r="DG308" s="160" t="s">
        <v>617</v>
      </c>
      <c r="DH308" s="160" t="s">
        <v>125</v>
      </c>
      <c r="DI308" s="160" t="s">
        <v>1531</v>
      </c>
      <c r="DJ308" s="160" t="s">
        <v>1531</v>
      </c>
      <c r="DK308" s="160" t="s">
        <v>1259</v>
      </c>
      <c r="DL308" s="160" t="s">
        <v>1260</v>
      </c>
      <c r="DM308" s="160" t="s">
        <v>1261</v>
      </c>
      <c r="DN308" s="161" t="s">
        <v>1262</v>
      </c>
      <c r="DP308" s="130">
        <v>1</v>
      </c>
    </row>
    <row r="309" spans="2:120" ht="15">
      <c r="B309" s="231"/>
      <c r="C309" s="231"/>
      <c r="D309" s="231"/>
      <c r="E309" s="231" cm="1">
        <f t="array" ref="E309">IF(H308&lt;&gt;"",E308,IF(E308="","",IFERROR(MATCH(TRUE(),INDEX(INDEX(K:K,E308+1):K203&lt;&gt;"",0),0)+E308,"")))</f>
        <v>401</v>
      </c>
      <c r="F309" s="232" cm="1">
        <f t="array" ref="F309">IF(E309="","",IF(H308&lt;&gt;"",H308,INDEX(D:D,E309)))</f>
        <v>0</v>
      </c>
      <c r="G309" s="232" t="str">
        <f t="shared" si="36"/>
        <v>0</v>
      </c>
      <c r="H309" s="233" t="str">
        <f t="shared" si="37"/>
        <v/>
      </c>
      <c r="I309" s="231" t="str">
        <f>IF(AND(F309&lt;&gt;"",N10&gt;0,M309&gt;N10),"Mot &gt; limite","")</f>
        <v/>
      </c>
      <c r="M309" s="126">
        <f>IF(OR(F309="",N10="",N10&lt;=0),"",IF(LEN(F309)&lt;=N10,LEN(F309),IFERROR(FIND("♦",SUBSTITUTE(LEFT(F309,N10)," ","♦",LEN(LEFT(F309,N10))-LEN(SUBSTITUTE(LEFT(F309,N10)," ","")))),FIND(" ",F309&amp;" ",N10+1)-1)))</f>
        <v>1</v>
      </c>
      <c r="N309" s="234">
        <f t="shared" si="38"/>
        <v>292</v>
      </c>
      <c r="O309" s="165" t="str">
        <f t="shared" si="39"/>
        <v>0</v>
      </c>
      <c r="P309" s="234">
        <f t="shared" si="40"/>
        <v>1</v>
      </c>
      <c r="Q309" s="234">
        <f t="shared" si="41"/>
        <v>1</v>
      </c>
      <c r="DE309" s="152"/>
      <c r="DF309" s="160" t="s">
        <v>1532</v>
      </c>
      <c r="DG309" s="160" t="s">
        <v>617</v>
      </c>
      <c r="DH309" s="160" t="s">
        <v>125</v>
      </c>
      <c r="DI309" s="160" t="s">
        <v>1533</v>
      </c>
      <c r="DJ309" s="160" t="s">
        <v>1533</v>
      </c>
      <c r="DK309" s="160" t="s">
        <v>1259</v>
      </c>
      <c r="DL309" s="160" t="s">
        <v>1260</v>
      </c>
      <c r="DM309" s="160" t="s">
        <v>1261</v>
      </c>
      <c r="DN309" s="161" t="s">
        <v>1262</v>
      </c>
      <c r="DP309" s="130">
        <v>1</v>
      </c>
    </row>
    <row r="310" spans="2:120" ht="15">
      <c r="B310" s="231"/>
      <c r="C310" s="231"/>
      <c r="D310" s="231"/>
      <c r="E310" s="231" cm="1">
        <f t="array" ref="E310">IF(H309&lt;&gt;"",E309,IF(E309="","",IFERROR(MATCH(TRUE(),INDEX(INDEX(K:K,E309+1):K203&lt;&gt;"",0),0)+E309,"")))</f>
        <v>402</v>
      </c>
      <c r="F310" s="232" cm="1">
        <f t="array" ref="F310">IF(E310="","",IF(H309&lt;&gt;"",H309,INDEX(D:D,E310)))</f>
        <v>0</v>
      </c>
      <c r="G310" s="232" t="str">
        <f t="shared" si="36"/>
        <v>0</v>
      </c>
      <c r="H310" s="233" t="str">
        <f t="shared" si="37"/>
        <v/>
      </c>
      <c r="I310" s="231" t="str">
        <f>IF(AND(F310&lt;&gt;"",N10&gt;0,M310&gt;N10),"Mot &gt; limite","")</f>
        <v/>
      </c>
      <c r="M310" s="126">
        <f>IF(OR(F310="",N10="",N10&lt;=0),"",IF(LEN(F310)&lt;=N10,LEN(F310),IFERROR(FIND("♦",SUBSTITUTE(LEFT(F310,N10)," ","♦",LEN(LEFT(F310,N10))-LEN(SUBSTITUTE(LEFT(F310,N10)," ","")))),FIND(" ",F310&amp;" ",N10+1)-1)))</f>
        <v>1</v>
      </c>
      <c r="N310" s="234">
        <f t="shared" si="38"/>
        <v>293</v>
      </c>
      <c r="O310" s="165" t="str">
        <f t="shared" si="39"/>
        <v>0</v>
      </c>
      <c r="P310" s="234">
        <f t="shared" si="40"/>
        <v>1</v>
      </c>
      <c r="Q310" s="234">
        <f t="shared" si="41"/>
        <v>1</v>
      </c>
      <c r="DE310" s="152"/>
      <c r="DF310" s="160" t="s">
        <v>1534</v>
      </c>
      <c r="DG310" s="160" t="s">
        <v>617</v>
      </c>
      <c r="DH310" s="160" t="s">
        <v>125</v>
      </c>
      <c r="DI310" s="160" t="s">
        <v>1535</v>
      </c>
      <c r="DJ310" s="160" t="s">
        <v>1535</v>
      </c>
      <c r="DK310" s="160" t="s">
        <v>1259</v>
      </c>
      <c r="DL310" s="160" t="s">
        <v>1260</v>
      </c>
      <c r="DM310" s="160" t="s">
        <v>1261</v>
      </c>
      <c r="DN310" s="161" t="s">
        <v>1262</v>
      </c>
      <c r="DP310" s="130">
        <v>1</v>
      </c>
    </row>
    <row r="311" spans="2:120" ht="15">
      <c r="B311" s="231"/>
      <c r="C311" s="231"/>
      <c r="D311" s="231"/>
      <c r="E311" s="231" cm="1">
        <f t="array" ref="E311">IF(H310&lt;&gt;"",E310,IF(E310="","",IFERROR(MATCH(TRUE(),INDEX(INDEX(K:K,E310+1):K203&lt;&gt;"",0),0)+E310,"")))</f>
        <v>403</v>
      </c>
      <c r="F311" s="232" cm="1">
        <f t="array" ref="F311">IF(E311="","",IF(H310&lt;&gt;"",H310,INDEX(D:D,E311)))</f>
        <v>0</v>
      </c>
      <c r="G311" s="232" t="str">
        <f t="shared" si="36"/>
        <v>0</v>
      </c>
      <c r="H311" s="233" t="str">
        <f t="shared" si="37"/>
        <v/>
      </c>
      <c r="I311" s="231" t="str">
        <f>IF(AND(F311&lt;&gt;"",N10&gt;0,M311&gt;N10),"Mot &gt; limite","")</f>
        <v/>
      </c>
      <c r="M311" s="126">
        <f>IF(OR(F311="",N10="",N10&lt;=0),"",IF(LEN(F311)&lt;=N10,LEN(F311),IFERROR(FIND("♦",SUBSTITUTE(LEFT(F311,N10)," ","♦",LEN(LEFT(F311,N10))-LEN(SUBSTITUTE(LEFT(F311,N10)," ","")))),FIND(" ",F311&amp;" ",N10+1)-1)))</f>
        <v>1</v>
      </c>
      <c r="N311" s="234">
        <f t="shared" si="38"/>
        <v>294</v>
      </c>
      <c r="O311" s="165" t="str">
        <f t="shared" si="39"/>
        <v>0</v>
      </c>
      <c r="P311" s="234">
        <f t="shared" si="40"/>
        <v>1</v>
      </c>
      <c r="Q311" s="234">
        <f t="shared" si="41"/>
        <v>1</v>
      </c>
      <c r="DE311" s="152"/>
      <c r="DF311" s="160" t="s">
        <v>1536</v>
      </c>
      <c r="DG311" s="160" t="s">
        <v>617</v>
      </c>
      <c r="DH311" s="160" t="s">
        <v>125</v>
      </c>
      <c r="DI311" s="160" t="s">
        <v>1537</v>
      </c>
      <c r="DJ311" s="160" t="s">
        <v>1537</v>
      </c>
      <c r="DK311" s="160" t="s">
        <v>1259</v>
      </c>
      <c r="DL311" s="160" t="s">
        <v>1260</v>
      </c>
      <c r="DM311" s="160" t="s">
        <v>1261</v>
      </c>
      <c r="DN311" s="161" t="s">
        <v>1262</v>
      </c>
      <c r="DP311" s="130">
        <v>1</v>
      </c>
    </row>
    <row r="312" spans="2:120" ht="15">
      <c r="B312" s="231"/>
      <c r="C312" s="231"/>
      <c r="D312" s="231"/>
      <c r="E312" s="231" cm="1">
        <f t="array" ref="E312">IF(H311&lt;&gt;"",E311,IF(E311="","",IFERROR(MATCH(TRUE(),INDEX(INDEX(K:K,E311+1):K203&lt;&gt;"",0),0)+E311,"")))</f>
        <v>404</v>
      </c>
      <c r="F312" s="232" cm="1">
        <f t="array" ref="F312">IF(E312="","",IF(H311&lt;&gt;"",H311,INDEX(D:D,E312)))</f>
        <v>0</v>
      </c>
      <c r="G312" s="232" t="str">
        <f t="shared" si="36"/>
        <v>0</v>
      </c>
      <c r="H312" s="233" t="str">
        <f t="shared" si="37"/>
        <v/>
      </c>
      <c r="I312" s="231" t="str">
        <f>IF(AND(F312&lt;&gt;"",N10&gt;0,M312&gt;N10),"Mot &gt; limite","")</f>
        <v/>
      </c>
      <c r="M312" s="126">
        <f>IF(OR(F312="",N10="",N10&lt;=0),"",IF(LEN(F312)&lt;=N10,LEN(F312),IFERROR(FIND("♦",SUBSTITUTE(LEFT(F312,N10)," ","♦",LEN(LEFT(F312,N10))-LEN(SUBSTITUTE(LEFT(F312,N10)," ","")))),FIND(" ",F312&amp;" ",N10+1)-1)))</f>
        <v>1</v>
      </c>
      <c r="N312" s="234">
        <f t="shared" si="38"/>
        <v>295</v>
      </c>
      <c r="O312" s="165" t="str">
        <f t="shared" si="39"/>
        <v>0</v>
      </c>
      <c r="P312" s="234">
        <f t="shared" si="40"/>
        <v>1</v>
      </c>
      <c r="Q312" s="234">
        <f t="shared" si="41"/>
        <v>1</v>
      </c>
      <c r="DE312" s="152"/>
      <c r="DF312" s="160" t="s">
        <v>1538</v>
      </c>
      <c r="DG312" s="160" t="s">
        <v>617</v>
      </c>
      <c r="DH312" s="160" t="s">
        <v>125</v>
      </c>
      <c r="DI312" s="160" t="s">
        <v>1539</v>
      </c>
      <c r="DJ312" s="160" t="s">
        <v>1539</v>
      </c>
      <c r="DK312" s="160" t="s">
        <v>1259</v>
      </c>
      <c r="DL312" s="160" t="s">
        <v>1260</v>
      </c>
      <c r="DM312" s="160" t="s">
        <v>1261</v>
      </c>
      <c r="DN312" s="161" t="s">
        <v>1262</v>
      </c>
      <c r="DP312" s="130">
        <v>1</v>
      </c>
    </row>
    <row r="313" spans="2:120" ht="15">
      <c r="B313" s="231"/>
      <c r="C313" s="231"/>
      <c r="D313" s="231"/>
      <c r="E313" s="231" cm="1">
        <f t="array" ref="E313">IF(H312&lt;&gt;"",E312,IF(E312="","",IFERROR(MATCH(TRUE(),INDEX(INDEX(K:K,E312+1):K203&lt;&gt;"",0),0)+E312,"")))</f>
        <v>405</v>
      </c>
      <c r="F313" s="232" cm="1">
        <f t="array" ref="F313">IF(E313="","",IF(H312&lt;&gt;"",H312,INDEX(D:D,E313)))</f>
        <v>0</v>
      </c>
      <c r="G313" s="232" t="str">
        <f t="shared" si="36"/>
        <v>0</v>
      </c>
      <c r="H313" s="233" t="str">
        <f t="shared" si="37"/>
        <v/>
      </c>
      <c r="I313" s="231" t="str">
        <f>IF(AND(F313&lt;&gt;"",N10&gt;0,M313&gt;N10),"Mot &gt; limite","")</f>
        <v/>
      </c>
      <c r="M313" s="126">
        <f>IF(OR(F313="",N10="",N10&lt;=0),"",IF(LEN(F313)&lt;=N10,LEN(F313),IFERROR(FIND("♦",SUBSTITUTE(LEFT(F313,N10)," ","♦",LEN(LEFT(F313,N10))-LEN(SUBSTITUTE(LEFT(F313,N10)," ","")))),FIND(" ",F313&amp;" ",N10+1)-1)))</f>
        <v>1</v>
      </c>
      <c r="N313" s="234">
        <f t="shared" si="38"/>
        <v>296</v>
      </c>
      <c r="O313" s="165" t="str">
        <f t="shared" si="39"/>
        <v>0</v>
      </c>
      <c r="P313" s="234">
        <f t="shared" si="40"/>
        <v>1</v>
      </c>
      <c r="Q313" s="234">
        <f t="shared" si="41"/>
        <v>1</v>
      </c>
      <c r="DE313" s="152"/>
      <c r="DF313" s="160" t="s">
        <v>1540</v>
      </c>
      <c r="DG313" s="160" t="s">
        <v>617</v>
      </c>
      <c r="DH313" s="160" t="s">
        <v>125</v>
      </c>
      <c r="DI313" s="160" t="s">
        <v>1541</v>
      </c>
      <c r="DJ313" s="160" t="s">
        <v>1541</v>
      </c>
      <c r="DK313" s="160" t="s">
        <v>1259</v>
      </c>
      <c r="DL313" s="160" t="s">
        <v>1260</v>
      </c>
      <c r="DM313" s="160" t="s">
        <v>1261</v>
      </c>
      <c r="DN313" s="161" t="s">
        <v>1262</v>
      </c>
      <c r="DP313" s="130">
        <v>1</v>
      </c>
    </row>
    <row r="314" spans="2:120" ht="15">
      <c r="B314" s="231"/>
      <c r="C314" s="231"/>
      <c r="D314" s="231"/>
      <c r="E314" s="231" cm="1">
        <f t="array" ref="E314">IF(H313&lt;&gt;"",E313,IF(E313="","",IFERROR(MATCH(TRUE(),INDEX(INDEX(K:K,E313+1):K203&lt;&gt;"",0),0)+E313,"")))</f>
        <v>406</v>
      </c>
      <c r="F314" s="232" cm="1">
        <f t="array" ref="F314">IF(E314="","",IF(H313&lt;&gt;"",H313,INDEX(D:D,E314)))</f>
        <v>0</v>
      </c>
      <c r="G314" s="232" t="str">
        <f t="shared" si="36"/>
        <v>0</v>
      </c>
      <c r="H314" s="233" t="str">
        <f t="shared" si="37"/>
        <v/>
      </c>
      <c r="I314" s="231" t="str">
        <f>IF(AND(F314&lt;&gt;"",N10&gt;0,M314&gt;N10),"Mot &gt; limite","")</f>
        <v/>
      </c>
      <c r="M314" s="126">
        <f>IF(OR(F314="",N10="",N10&lt;=0),"",IF(LEN(F314)&lt;=N10,LEN(F314),IFERROR(FIND("♦",SUBSTITUTE(LEFT(F314,N10)," ","♦",LEN(LEFT(F314,N10))-LEN(SUBSTITUTE(LEFT(F314,N10)," ","")))),FIND(" ",F314&amp;" ",N10+1)-1)))</f>
        <v>1</v>
      </c>
      <c r="N314" s="234">
        <f t="shared" si="38"/>
        <v>297</v>
      </c>
      <c r="O314" s="165" t="str">
        <f t="shared" si="39"/>
        <v>0</v>
      </c>
      <c r="P314" s="234">
        <f t="shared" si="40"/>
        <v>1</v>
      </c>
      <c r="Q314" s="234">
        <f t="shared" si="41"/>
        <v>1</v>
      </c>
      <c r="DE314" s="152"/>
      <c r="DF314" s="160" t="s">
        <v>1542</v>
      </c>
      <c r="DG314" s="160" t="s">
        <v>617</v>
      </c>
      <c r="DH314" s="160" t="s">
        <v>125</v>
      </c>
      <c r="DI314" s="160" t="s">
        <v>1543</v>
      </c>
      <c r="DJ314" s="160" t="s">
        <v>1543</v>
      </c>
      <c r="DK314" s="160" t="s">
        <v>1259</v>
      </c>
      <c r="DL314" s="160" t="s">
        <v>1260</v>
      </c>
      <c r="DM314" s="160" t="s">
        <v>1261</v>
      </c>
      <c r="DN314" s="161" t="s">
        <v>1262</v>
      </c>
      <c r="DP314" s="130">
        <v>1</v>
      </c>
    </row>
    <row r="315" spans="2:120" ht="15">
      <c r="B315" s="231"/>
      <c r="C315" s="231"/>
      <c r="D315" s="231"/>
      <c r="E315" s="231" cm="1">
        <f t="array" ref="E315">IF(H314&lt;&gt;"",E314,IF(E314="","",IFERROR(MATCH(TRUE(),INDEX(INDEX(K:K,E314+1):K203&lt;&gt;"",0),0)+E314,"")))</f>
        <v>407</v>
      </c>
      <c r="F315" s="232" cm="1">
        <f t="array" ref="F315">IF(E315="","",IF(H314&lt;&gt;"",H314,INDEX(D:D,E315)))</f>
        <v>0</v>
      </c>
      <c r="G315" s="232" t="str">
        <f t="shared" si="36"/>
        <v>0</v>
      </c>
      <c r="H315" s="233" t="str">
        <f t="shared" si="37"/>
        <v/>
      </c>
      <c r="I315" s="231" t="str">
        <f>IF(AND(F315&lt;&gt;"",N10&gt;0,M315&gt;N10),"Mot &gt; limite","")</f>
        <v/>
      </c>
      <c r="M315" s="126">
        <f>IF(OR(F315="",N10="",N10&lt;=0),"",IF(LEN(F315)&lt;=N10,LEN(F315),IFERROR(FIND("♦",SUBSTITUTE(LEFT(F315,N10)," ","♦",LEN(LEFT(F315,N10))-LEN(SUBSTITUTE(LEFT(F315,N10)," ","")))),FIND(" ",F315&amp;" ",N10+1)-1)))</f>
        <v>1</v>
      </c>
      <c r="N315" s="234">
        <f t="shared" si="38"/>
        <v>298</v>
      </c>
      <c r="O315" s="165" t="str">
        <f t="shared" si="39"/>
        <v>0</v>
      </c>
      <c r="P315" s="234">
        <f t="shared" si="40"/>
        <v>1</v>
      </c>
      <c r="Q315" s="234">
        <f t="shared" si="41"/>
        <v>1</v>
      </c>
      <c r="DE315" s="152"/>
      <c r="DF315" s="160" t="s">
        <v>1544</v>
      </c>
      <c r="DG315" s="160" t="s">
        <v>617</v>
      </c>
      <c r="DH315" s="160" t="s">
        <v>125</v>
      </c>
      <c r="DI315" s="160" t="s">
        <v>1545</v>
      </c>
      <c r="DJ315" s="160" t="s">
        <v>1545</v>
      </c>
      <c r="DK315" s="160" t="s">
        <v>1259</v>
      </c>
      <c r="DL315" s="160" t="s">
        <v>1260</v>
      </c>
      <c r="DM315" s="160" t="s">
        <v>1261</v>
      </c>
      <c r="DN315" s="161" t="s">
        <v>1262</v>
      </c>
      <c r="DP315" s="130">
        <v>1</v>
      </c>
    </row>
    <row r="316" spans="2:120" ht="15">
      <c r="B316" s="231"/>
      <c r="C316" s="231"/>
      <c r="D316" s="231"/>
      <c r="E316" s="231" cm="1">
        <f t="array" ref="E316">IF(H315&lt;&gt;"",E315,IF(E315="","",IFERROR(MATCH(TRUE(),INDEX(INDEX(K:K,E315+1):K203&lt;&gt;"",0),0)+E315,"")))</f>
        <v>408</v>
      </c>
      <c r="F316" s="232" cm="1">
        <f t="array" ref="F316">IF(E316="","",IF(H315&lt;&gt;"",H315,INDEX(D:D,E316)))</f>
        <v>0</v>
      </c>
      <c r="G316" s="232" t="str">
        <f t="shared" si="36"/>
        <v>0</v>
      </c>
      <c r="H316" s="233" t="str">
        <f t="shared" si="37"/>
        <v/>
      </c>
      <c r="I316" s="231" t="str">
        <f>IF(AND(F316&lt;&gt;"",N10&gt;0,M316&gt;N10),"Mot &gt; limite","")</f>
        <v/>
      </c>
      <c r="M316" s="126">
        <f>IF(OR(F316="",N10="",N10&lt;=0),"",IF(LEN(F316)&lt;=N10,LEN(F316),IFERROR(FIND("♦",SUBSTITUTE(LEFT(F316,N10)," ","♦",LEN(LEFT(F316,N10))-LEN(SUBSTITUTE(LEFT(F316,N10)," ","")))),FIND(" ",F316&amp;" ",N10+1)-1)))</f>
        <v>1</v>
      </c>
      <c r="N316" s="234">
        <f t="shared" si="38"/>
        <v>299</v>
      </c>
      <c r="O316" s="165" t="str">
        <f t="shared" si="39"/>
        <v>0</v>
      </c>
      <c r="P316" s="234">
        <f t="shared" si="40"/>
        <v>1</v>
      </c>
      <c r="Q316" s="234">
        <f t="shared" si="41"/>
        <v>1</v>
      </c>
      <c r="DE316" s="152"/>
      <c r="DF316" s="160" t="s">
        <v>1546</v>
      </c>
      <c r="DG316" s="160" t="s">
        <v>617</v>
      </c>
      <c r="DH316" s="160" t="s">
        <v>125</v>
      </c>
      <c r="DI316" s="160" t="s">
        <v>1547</v>
      </c>
      <c r="DJ316" s="160" t="s">
        <v>1547</v>
      </c>
      <c r="DK316" s="160" t="s">
        <v>1259</v>
      </c>
      <c r="DL316" s="160" t="s">
        <v>1260</v>
      </c>
      <c r="DM316" s="160" t="s">
        <v>1261</v>
      </c>
      <c r="DN316" s="161" t="s">
        <v>1262</v>
      </c>
      <c r="DP316" s="130">
        <v>1</v>
      </c>
    </row>
    <row r="317" spans="2:120" ht="15">
      <c r="B317" s="231"/>
      <c r="C317" s="231"/>
      <c r="D317" s="231"/>
      <c r="E317" s="231" cm="1">
        <f t="array" ref="E317">IF(H316&lt;&gt;"",E316,IF(E316="","",IFERROR(MATCH(TRUE(),INDEX(INDEX(K:K,E316+1):K203&lt;&gt;"",0),0)+E316,"")))</f>
        <v>409</v>
      </c>
      <c r="F317" s="232" cm="1">
        <f t="array" ref="F317">IF(E317="","",IF(H316&lt;&gt;"",H316,INDEX(D:D,E317)))</f>
        <v>0</v>
      </c>
      <c r="G317" s="232" t="str">
        <f t="shared" si="36"/>
        <v>0</v>
      </c>
      <c r="H317" s="233" t="str">
        <f t="shared" si="37"/>
        <v/>
      </c>
      <c r="I317" s="231" t="str">
        <f>IF(AND(F317&lt;&gt;"",N10&gt;0,M317&gt;N10),"Mot &gt; limite","")</f>
        <v/>
      </c>
      <c r="M317" s="126">
        <f>IF(OR(F317="",N10="",N10&lt;=0),"",IF(LEN(F317)&lt;=N10,LEN(F317),IFERROR(FIND("♦",SUBSTITUTE(LEFT(F317,N10)," ","♦",LEN(LEFT(F317,N10))-LEN(SUBSTITUTE(LEFT(F317,N10)," ","")))),FIND(" ",F317&amp;" ",N10+1)-1)))</f>
        <v>1</v>
      </c>
      <c r="N317" s="234">
        <f t="shared" si="38"/>
        <v>300</v>
      </c>
      <c r="O317" s="165" t="str">
        <f t="shared" si="39"/>
        <v>0</v>
      </c>
      <c r="P317" s="234">
        <f t="shared" si="40"/>
        <v>1</v>
      </c>
      <c r="Q317" s="234">
        <f t="shared" si="41"/>
        <v>1</v>
      </c>
      <c r="DE317" s="152"/>
      <c r="DF317" s="160" t="s">
        <v>1548</v>
      </c>
      <c r="DG317" s="160" t="s">
        <v>617</v>
      </c>
      <c r="DH317" s="160" t="s">
        <v>125</v>
      </c>
      <c r="DI317" s="160" t="s">
        <v>1549</v>
      </c>
      <c r="DJ317" s="160" t="s">
        <v>1549</v>
      </c>
      <c r="DK317" s="160" t="s">
        <v>1259</v>
      </c>
      <c r="DL317" s="160" t="s">
        <v>1260</v>
      </c>
      <c r="DM317" s="160" t="s">
        <v>1261</v>
      </c>
      <c r="DN317" s="161" t="s">
        <v>1262</v>
      </c>
      <c r="DP317" s="130">
        <v>1</v>
      </c>
    </row>
    <row r="318" spans="2:120" ht="15">
      <c r="B318" s="231"/>
      <c r="C318" s="231"/>
      <c r="D318" s="231"/>
      <c r="E318" s="231" cm="1">
        <f t="array" ref="E318">IF(H317&lt;&gt;"",E317,IF(E317="","",IFERROR(MATCH(TRUE(),INDEX(INDEX(K:K,E317+1):K203&lt;&gt;"",0),0)+E317,"")))</f>
        <v>410</v>
      </c>
      <c r="F318" s="232" cm="1">
        <f t="array" ref="F318">IF(E318="","",IF(H317&lt;&gt;"",H317,INDEX(D:D,E318)))</f>
        <v>0</v>
      </c>
      <c r="G318" s="232" t="str">
        <f t="shared" si="36"/>
        <v>0</v>
      </c>
      <c r="H318" s="233" t="str">
        <f t="shared" si="37"/>
        <v/>
      </c>
      <c r="I318" s="231" t="str">
        <f>IF(AND(F318&lt;&gt;"",N10&gt;0,M318&gt;N10),"Mot &gt; limite","")</f>
        <v/>
      </c>
      <c r="M318" s="126">
        <f>IF(OR(F318="",N10="",N10&lt;=0),"",IF(LEN(F318)&lt;=N10,LEN(F318),IFERROR(FIND("♦",SUBSTITUTE(LEFT(F318,N10)," ","♦",LEN(LEFT(F318,N10))-LEN(SUBSTITUTE(LEFT(F318,N10)," ","")))),FIND(" ",F318&amp;" ",N10+1)-1)))</f>
        <v>1</v>
      </c>
      <c r="N318" s="234">
        <f t="shared" si="38"/>
        <v>301</v>
      </c>
      <c r="O318" s="165" t="str">
        <f t="shared" si="39"/>
        <v>0</v>
      </c>
      <c r="P318" s="234">
        <f t="shared" si="40"/>
        <v>1</v>
      </c>
      <c r="Q318" s="234">
        <f t="shared" si="41"/>
        <v>1</v>
      </c>
      <c r="DE318" s="152"/>
      <c r="DF318" s="160" t="s">
        <v>1550</v>
      </c>
      <c r="DG318" s="160" t="s">
        <v>617</v>
      </c>
      <c r="DH318" s="160" t="s">
        <v>125</v>
      </c>
      <c r="DI318" s="160" t="s">
        <v>1551</v>
      </c>
      <c r="DJ318" s="160" t="s">
        <v>1551</v>
      </c>
      <c r="DK318" s="160" t="s">
        <v>1259</v>
      </c>
      <c r="DL318" s="160" t="s">
        <v>1260</v>
      </c>
      <c r="DM318" s="160" t="s">
        <v>1261</v>
      </c>
      <c r="DN318" s="161" t="s">
        <v>1262</v>
      </c>
      <c r="DP318" s="130">
        <v>1</v>
      </c>
    </row>
    <row r="319" spans="2:120" ht="15">
      <c r="B319" s="231"/>
      <c r="C319" s="231"/>
      <c r="D319" s="231"/>
      <c r="E319" s="231" cm="1">
        <f t="array" ref="E319">IF(H318&lt;&gt;"",E318,IF(E318="","",IFERROR(MATCH(TRUE(),INDEX(INDEX(K:K,E318+1):K203&lt;&gt;"",0),0)+E318,"")))</f>
        <v>411</v>
      </c>
      <c r="F319" s="232" cm="1">
        <f t="array" ref="F319">IF(E319="","",IF(H318&lt;&gt;"",H318,INDEX(D:D,E319)))</f>
        <v>0</v>
      </c>
      <c r="G319" s="232" t="str">
        <f t="shared" si="36"/>
        <v>0</v>
      </c>
      <c r="H319" s="233" t="str">
        <f t="shared" si="37"/>
        <v/>
      </c>
      <c r="I319" s="231" t="str">
        <f>IF(AND(F319&lt;&gt;"",N10&gt;0,M319&gt;N10),"Mot &gt; limite","")</f>
        <v/>
      </c>
      <c r="M319" s="126">
        <f>IF(OR(F319="",N10="",N10&lt;=0),"",IF(LEN(F319)&lt;=N10,LEN(F319),IFERROR(FIND("♦",SUBSTITUTE(LEFT(F319,N10)," ","♦",LEN(LEFT(F319,N10))-LEN(SUBSTITUTE(LEFT(F319,N10)," ","")))),FIND(" ",F319&amp;" ",N10+1)-1)))</f>
        <v>1</v>
      </c>
      <c r="N319" s="234">
        <f t="shared" si="38"/>
        <v>302</v>
      </c>
      <c r="O319" s="165" t="str">
        <f t="shared" si="39"/>
        <v>0</v>
      </c>
      <c r="P319" s="234">
        <f t="shared" si="40"/>
        <v>1</v>
      </c>
      <c r="Q319" s="234">
        <f t="shared" si="41"/>
        <v>1</v>
      </c>
      <c r="DE319" s="152"/>
      <c r="DF319" s="160" t="s">
        <v>1552</v>
      </c>
      <c r="DG319" s="160" t="s">
        <v>617</v>
      </c>
      <c r="DH319" s="160" t="s">
        <v>125</v>
      </c>
      <c r="DI319" s="160" t="s">
        <v>1553</v>
      </c>
      <c r="DJ319" s="160" t="s">
        <v>1553</v>
      </c>
      <c r="DK319" s="160" t="s">
        <v>1259</v>
      </c>
      <c r="DL319" s="160" t="s">
        <v>1260</v>
      </c>
      <c r="DM319" s="160" t="s">
        <v>1261</v>
      </c>
      <c r="DN319" s="161" t="s">
        <v>1262</v>
      </c>
      <c r="DP319" s="130">
        <v>1</v>
      </c>
    </row>
    <row r="320" spans="2:120" ht="15">
      <c r="B320" s="231"/>
      <c r="C320" s="231"/>
      <c r="D320" s="231"/>
      <c r="E320" s="231" cm="1">
        <f t="array" ref="E320">IF(H319&lt;&gt;"",E319,IF(E319="","",IFERROR(MATCH(TRUE(),INDEX(INDEX(K:K,E319+1):K203&lt;&gt;"",0),0)+E319,"")))</f>
        <v>412</v>
      </c>
      <c r="F320" s="232" cm="1">
        <f t="array" ref="F320">IF(E320="","",IF(H319&lt;&gt;"",H319,INDEX(D:D,E320)))</f>
        <v>0</v>
      </c>
      <c r="G320" s="232" t="str">
        <f t="shared" si="36"/>
        <v>0</v>
      </c>
      <c r="H320" s="233" t="str">
        <f t="shared" si="37"/>
        <v/>
      </c>
      <c r="I320" s="231" t="str">
        <f>IF(AND(F320&lt;&gt;"",N10&gt;0,M320&gt;N10),"Mot &gt; limite","")</f>
        <v/>
      </c>
      <c r="M320" s="126">
        <f>IF(OR(F320="",N10="",N10&lt;=0),"",IF(LEN(F320)&lt;=N10,LEN(F320),IFERROR(FIND("♦",SUBSTITUTE(LEFT(F320,N10)," ","♦",LEN(LEFT(F320,N10))-LEN(SUBSTITUTE(LEFT(F320,N10)," ","")))),FIND(" ",F320&amp;" ",N10+1)-1)))</f>
        <v>1</v>
      </c>
      <c r="N320" s="234">
        <f t="shared" si="38"/>
        <v>303</v>
      </c>
      <c r="O320" s="165" t="str">
        <f t="shared" si="39"/>
        <v>0</v>
      </c>
      <c r="P320" s="234">
        <f t="shared" si="40"/>
        <v>1</v>
      </c>
      <c r="Q320" s="234">
        <f t="shared" si="41"/>
        <v>1</v>
      </c>
      <c r="DE320" s="152"/>
      <c r="DF320" s="160" t="s">
        <v>1554</v>
      </c>
      <c r="DG320" s="160" t="s">
        <v>617</v>
      </c>
      <c r="DH320" s="160" t="s">
        <v>125</v>
      </c>
      <c r="DI320" s="160" t="s">
        <v>1555</v>
      </c>
      <c r="DJ320" s="160" t="s">
        <v>1555</v>
      </c>
      <c r="DK320" s="160" t="s">
        <v>1259</v>
      </c>
      <c r="DL320" s="160" t="s">
        <v>1260</v>
      </c>
      <c r="DM320" s="160" t="s">
        <v>1261</v>
      </c>
      <c r="DN320" s="161" t="s">
        <v>1262</v>
      </c>
      <c r="DP320" s="130">
        <v>1</v>
      </c>
    </row>
    <row r="321" spans="2:120" ht="15">
      <c r="B321" s="231"/>
      <c r="C321" s="231"/>
      <c r="D321" s="231"/>
      <c r="E321" s="231" cm="1">
        <f t="array" ref="E321">IF(H320&lt;&gt;"",E320,IF(E320="","",IFERROR(MATCH(TRUE(),INDEX(INDEX(K:K,E320+1):K203&lt;&gt;"",0),0)+E320,"")))</f>
        <v>413</v>
      </c>
      <c r="F321" s="232" cm="1">
        <f t="array" ref="F321">IF(E321="","",IF(H320&lt;&gt;"",H320,INDEX(D:D,E321)))</f>
        <v>0</v>
      </c>
      <c r="G321" s="232" t="str">
        <f t="shared" si="36"/>
        <v>0</v>
      </c>
      <c r="H321" s="233" t="str">
        <f t="shared" si="37"/>
        <v/>
      </c>
      <c r="I321" s="231" t="str">
        <f>IF(AND(F321&lt;&gt;"",N10&gt;0,M321&gt;N10),"Mot &gt; limite","")</f>
        <v/>
      </c>
      <c r="M321" s="126">
        <f>IF(OR(F321="",N10="",N10&lt;=0),"",IF(LEN(F321)&lt;=N10,LEN(F321),IFERROR(FIND("♦",SUBSTITUTE(LEFT(F321,N10)," ","♦",LEN(LEFT(F321,N10))-LEN(SUBSTITUTE(LEFT(F321,N10)," ","")))),FIND(" ",F321&amp;" ",N10+1)-1)))</f>
        <v>1</v>
      </c>
      <c r="N321" s="234">
        <f t="shared" si="38"/>
        <v>304</v>
      </c>
      <c r="O321" s="165" t="str">
        <f t="shared" si="39"/>
        <v>0</v>
      </c>
      <c r="P321" s="234">
        <f t="shared" si="40"/>
        <v>1</v>
      </c>
      <c r="Q321" s="234">
        <f t="shared" si="41"/>
        <v>1</v>
      </c>
      <c r="DE321" s="152"/>
      <c r="DF321" s="160" t="s">
        <v>1556</v>
      </c>
      <c r="DG321" s="160" t="s">
        <v>617</v>
      </c>
      <c r="DH321" s="160" t="s">
        <v>125</v>
      </c>
      <c r="DI321" s="160" t="s">
        <v>1557</v>
      </c>
      <c r="DJ321" s="160" t="s">
        <v>1557</v>
      </c>
      <c r="DK321" s="160" t="s">
        <v>1259</v>
      </c>
      <c r="DL321" s="160" t="s">
        <v>1260</v>
      </c>
      <c r="DM321" s="160" t="s">
        <v>1261</v>
      </c>
      <c r="DN321" s="161" t="s">
        <v>1262</v>
      </c>
      <c r="DP321" s="130">
        <v>1</v>
      </c>
    </row>
    <row r="322" spans="2:120" ht="15">
      <c r="B322" s="231"/>
      <c r="C322" s="231"/>
      <c r="D322" s="231"/>
      <c r="E322" s="231" cm="1">
        <f t="array" ref="E322">IF(H321&lt;&gt;"",E321,IF(E321="","",IFERROR(MATCH(TRUE(),INDEX(INDEX(K:K,E321+1):K203&lt;&gt;"",0),0)+E321,"")))</f>
        <v>414</v>
      </c>
      <c r="F322" s="232" cm="1">
        <f t="array" ref="F322">IF(E322="","",IF(H321&lt;&gt;"",H321,INDEX(D:D,E322)))</f>
        <v>0</v>
      </c>
      <c r="G322" s="232" t="str">
        <f t="shared" si="36"/>
        <v>0</v>
      </c>
      <c r="H322" s="233" t="str">
        <f t="shared" si="37"/>
        <v/>
      </c>
      <c r="I322" s="231" t="str">
        <f>IF(AND(F322&lt;&gt;"",N10&gt;0,M322&gt;N10),"Mot &gt; limite","")</f>
        <v/>
      </c>
      <c r="M322" s="126">
        <f>IF(OR(F322="",N10="",N10&lt;=0),"",IF(LEN(F322)&lt;=N10,LEN(F322),IFERROR(FIND("♦",SUBSTITUTE(LEFT(F322,N10)," ","♦",LEN(LEFT(F322,N10))-LEN(SUBSTITUTE(LEFT(F322,N10)," ","")))),FIND(" ",F322&amp;" ",N10+1)-1)))</f>
        <v>1</v>
      </c>
      <c r="N322" s="234">
        <f t="shared" si="38"/>
        <v>305</v>
      </c>
      <c r="O322" s="165" t="str">
        <f t="shared" si="39"/>
        <v>0</v>
      </c>
      <c r="P322" s="234">
        <f t="shared" si="40"/>
        <v>1</v>
      </c>
      <c r="Q322" s="234">
        <f t="shared" si="41"/>
        <v>1</v>
      </c>
      <c r="DE322" s="152"/>
      <c r="DF322" s="160" t="s">
        <v>1558</v>
      </c>
      <c r="DG322" s="160" t="s">
        <v>617</v>
      </c>
      <c r="DH322" s="160" t="s">
        <v>125</v>
      </c>
      <c r="DI322" s="160" t="s">
        <v>1559</v>
      </c>
      <c r="DJ322" s="160" t="s">
        <v>1559</v>
      </c>
      <c r="DK322" s="160" t="s">
        <v>1259</v>
      </c>
      <c r="DL322" s="160" t="s">
        <v>1260</v>
      </c>
      <c r="DM322" s="160" t="s">
        <v>1261</v>
      </c>
      <c r="DN322" s="161" t="s">
        <v>1262</v>
      </c>
      <c r="DP322" s="130">
        <v>1</v>
      </c>
    </row>
    <row r="323" spans="2:120" ht="15">
      <c r="B323" s="231"/>
      <c r="C323" s="231"/>
      <c r="D323" s="231"/>
      <c r="E323" s="231" cm="1">
        <f t="array" ref="E323">IF(H322&lt;&gt;"",E322,IF(E322="","",IFERROR(MATCH(TRUE(),INDEX(INDEX(K:K,E322+1):K203&lt;&gt;"",0),0)+E322,"")))</f>
        <v>415</v>
      </c>
      <c r="F323" s="232" cm="1">
        <f t="array" ref="F323">IF(E323="","",IF(H322&lt;&gt;"",H322,INDEX(D:D,E323)))</f>
        <v>0</v>
      </c>
      <c r="G323" s="232" t="str">
        <f t="shared" si="36"/>
        <v>0</v>
      </c>
      <c r="H323" s="233" t="str">
        <f t="shared" si="37"/>
        <v/>
      </c>
      <c r="I323" s="231" t="str">
        <f>IF(AND(F323&lt;&gt;"",N10&gt;0,M323&gt;N10),"Mot &gt; limite","")</f>
        <v/>
      </c>
      <c r="M323" s="126">
        <f>IF(OR(F323="",N10="",N10&lt;=0),"",IF(LEN(F323)&lt;=N10,LEN(F323),IFERROR(FIND("♦",SUBSTITUTE(LEFT(F323,N10)," ","♦",LEN(LEFT(F323,N10))-LEN(SUBSTITUTE(LEFT(F323,N10)," ","")))),FIND(" ",F323&amp;" ",N10+1)-1)))</f>
        <v>1</v>
      </c>
      <c r="N323" s="234">
        <f t="shared" si="38"/>
        <v>306</v>
      </c>
      <c r="O323" s="165" t="str">
        <f t="shared" si="39"/>
        <v>0</v>
      </c>
      <c r="P323" s="234">
        <f t="shared" si="40"/>
        <v>1</v>
      </c>
      <c r="Q323" s="234">
        <f t="shared" si="41"/>
        <v>1</v>
      </c>
      <c r="DE323" s="152"/>
      <c r="DF323" s="160" t="s">
        <v>1560</v>
      </c>
      <c r="DG323" s="160" t="s">
        <v>617</v>
      </c>
      <c r="DH323" s="160" t="s">
        <v>125</v>
      </c>
      <c r="DI323" s="160" t="s">
        <v>1561</v>
      </c>
      <c r="DJ323" s="160" t="s">
        <v>1561</v>
      </c>
      <c r="DK323" s="160" t="s">
        <v>1259</v>
      </c>
      <c r="DL323" s="160" t="s">
        <v>1260</v>
      </c>
      <c r="DM323" s="160" t="s">
        <v>1261</v>
      </c>
      <c r="DN323" s="161" t="s">
        <v>1262</v>
      </c>
      <c r="DP323" s="130">
        <v>1</v>
      </c>
    </row>
    <row r="324" spans="2:120" ht="15">
      <c r="B324" s="231"/>
      <c r="C324" s="231"/>
      <c r="D324" s="231"/>
      <c r="E324" s="231" cm="1">
        <f t="array" ref="E324">IF(H323&lt;&gt;"",E323,IF(E323="","",IFERROR(MATCH(TRUE(),INDEX(INDEX(K:K,E323+1):K203&lt;&gt;"",0),0)+E323,"")))</f>
        <v>416</v>
      </c>
      <c r="F324" s="232" cm="1">
        <f t="array" ref="F324">IF(E324="","",IF(H323&lt;&gt;"",H323,INDEX(D:D,E324)))</f>
        <v>0</v>
      </c>
      <c r="G324" s="232" t="str">
        <f t="shared" si="36"/>
        <v>0</v>
      </c>
      <c r="H324" s="233" t="str">
        <f t="shared" si="37"/>
        <v/>
      </c>
      <c r="I324" s="231" t="str">
        <f>IF(AND(F324&lt;&gt;"",N10&gt;0,M324&gt;N10),"Mot &gt; limite","")</f>
        <v/>
      </c>
      <c r="M324" s="126">
        <f>IF(OR(F324="",N10="",N10&lt;=0),"",IF(LEN(F324)&lt;=N10,LEN(F324),IFERROR(FIND("♦",SUBSTITUTE(LEFT(F324,N10)," ","♦",LEN(LEFT(F324,N10))-LEN(SUBSTITUTE(LEFT(F324,N10)," ","")))),FIND(" ",F324&amp;" ",N10+1)-1)))</f>
        <v>1</v>
      </c>
      <c r="N324" s="234">
        <f t="shared" si="38"/>
        <v>307</v>
      </c>
      <c r="O324" s="165" t="str">
        <f t="shared" si="39"/>
        <v>0</v>
      </c>
      <c r="P324" s="234">
        <f t="shared" si="40"/>
        <v>1</v>
      </c>
      <c r="Q324" s="234">
        <f t="shared" si="41"/>
        <v>1</v>
      </c>
      <c r="DE324" s="152"/>
      <c r="DF324" s="160" t="s">
        <v>1562</v>
      </c>
      <c r="DG324" s="160" t="s">
        <v>617</v>
      </c>
      <c r="DH324" s="160" t="s">
        <v>125</v>
      </c>
      <c r="DI324" s="160" t="s">
        <v>1563</v>
      </c>
      <c r="DJ324" s="160" t="s">
        <v>1563</v>
      </c>
      <c r="DK324" s="160" t="s">
        <v>1259</v>
      </c>
      <c r="DL324" s="160" t="s">
        <v>1260</v>
      </c>
      <c r="DM324" s="160" t="s">
        <v>1261</v>
      </c>
      <c r="DN324" s="161" t="s">
        <v>1262</v>
      </c>
      <c r="DP324" s="130">
        <v>1</v>
      </c>
    </row>
    <row r="325" spans="2:120" ht="15">
      <c r="B325" s="231"/>
      <c r="C325" s="231"/>
      <c r="D325" s="231"/>
      <c r="E325" s="231" cm="1">
        <f t="array" ref="E325">IF(H324&lt;&gt;"",E324,IF(E324="","",IFERROR(MATCH(TRUE(),INDEX(INDEX(K:K,E324+1):K203&lt;&gt;"",0),0)+E324,"")))</f>
        <v>417</v>
      </c>
      <c r="F325" s="232" cm="1">
        <f t="array" ref="F325">IF(E325="","",IF(H324&lt;&gt;"",H324,INDEX(D:D,E325)))</f>
        <v>0</v>
      </c>
      <c r="G325" s="232" t="str">
        <f t="shared" si="36"/>
        <v>0</v>
      </c>
      <c r="H325" s="233" t="str">
        <f t="shared" si="37"/>
        <v/>
      </c>
      <c r="I325" s="231" t="str">
        <f>IF(AND(F325&lt;&gt;"",N10&gt;0,M325&gt;N10),"Mot &gt; limite","")</f>
        <v/>
      </c>
      <c r="M325" s="126">
        <f>IF(OR(F325="",N10="",N10&lt;=0),"",IF(LEN(F325)&lt;=N10,LEN(F325),IFERROR(FIND("♦",SUBSTITUTE(LEFT(F325,N10)," ","♦",LEN(LEFT(F325,N10))-LEN(SUBSTITUTE(LEFT(F325,N10)," ","")))),FIND(" ",F325&amp;" ",N10+1)-1)))</f>
        <v>1</v>
      </c>
      <c r="N325" s="234">
        <f t="shared" si="38"/>
        <v>308</v>
      </c>
      <c r="O325" s="165" t="str">
        <f t="shared" si="39"/>
        <v>0</v>
      </c>
      <c r="P325" s="234">
        <f t="shared" si="40"/>
        <v>1</v>
      </c>
      <c r="Q325" s="234">
        <f t="shared" si="41"/>
        <v>1</v>
      </c>
      <c r="DE325" s="152"/>
      <c r="DF325" s="160" t="s">
        <v>1564</v>
      </c>
      <c r="DG325" s="160" t="s">
        <v>617</v>
      </c>
      <c r="DH325" s="160" t="s">
        <v>125</v>
      </c>
      <c r="DI325" s="160" t="s">
        <v>438</v>
      </c>
      <c r="DJ325" s="160" t="s">
        <v>438</v>
      </c>
      <c r="DK325" s="160" t="s">
        <v>1259</v>
      </c>
      <c r="DL325" s="160" t="s">
        <v>1268</v>
      </c>
      <c r="DM325" s="160" t="s">
        <v>590</v>
      </c>
      <c r="DN325" s="161" t="s">
        <v>591</v>
      </c>
      <c r="DP325" s="130">
        <v>1</v>
      </c>
    </row>
    <row r="326" spans="2:120" ht="15">
      <c r="B326" s="231"/>
      <c r="C326" s="231"/>
      <c r="D326" s="231"/>
      <c r="E326" s="231" cm="1">
        <f t="array" ref="E326">IF(H325&lt;&gt;"",E325,IF(E325="","",IFERROR(MATCH(TRUE(),INDEX(INDEX(K:K,E325+1):K203&lt;&gt;"",0),0)+E325,"")))</f>
        <v>418</v>
      </c>
      <c r="F326" s="232" cm="1">
        <f t="array" ref="F326">IF(E326="","",IF(H325&lt;&gt;"",H325,INDEX(D:D,E326)))</f>
        <v>0</v>
      </c>
      <c r="G326" s="232" t="str">
        <f t="shared" si="36"/>
        <v>0</v>
      </c>
      <c r="H326" s="233" t="str">
        <f t="shared" si="37"/>
        <v/>
      </c>
      <c r="I326" s="231" t="str">
        <f>IF(AND(F326&lt;&gt;"",N10&gt;0,M326&gt;N10),"Mot &gt; limite","")</f>
        <v/>
      </c>
      <c r="M326" s="126">
        <f>IF(OR(F326="",N10="",N10&lt;=0),"",IF(LEN(F326)&lt;=N10,LEN(F326),IFERROR(FIND("♦",SUBSTITUTE(LEFT(F326,N10)," ","♦",LEN(LEFT(F326,N10))-LEN(SUBSTITUTE(LEFT(F326,N10)," ","")))),FIND(" ",F326&amp;" ",N10+1)-1)))</f>
        <v>1</v>
      </c>
      <c r="N326" s="234">
        <f t="shared" si="38"/>
        <v>309</v>
      </c>
      <c r="O326" s="165" t="str">
        <f t="shared" si="39"/>
        <v>0</v>
      </c>
      <c r="P326" s="234">
        <f t="shared" si="40"/>
        <v>1</v>
      </c>
      <c r="Q326" s="234">
        <f t="shared" si="41"/>
        <v>1</v>
      </c>
      <c r="DE326" s="152"/>
      <c r="DF326" s="160" t="s">
        <v>1565</v>
      </c>
      <c r="DG326" s="160" t="s">
        <v>617</v>
      </c>
      <c r="DH326" s="160" t="s">
        <v>125</v>
      </c>
      <c r="DI326" s="160" t="s">
        <v>151</v>
      </c>
      <c r="DJ326" s="160" t="s">
        <v>151</v>
      </c>
      <c r="DK326" s="160" t="s">
        <v>1259</v>
      </c>
      <c r="DL326" s="160" t="s">
        <v>1260</v>
      </c>
      <c r="DM326" s="160" t="s">
        <v>1261</v>
      </c>
      <c r="DN326" s="161" t="s">
        <v>1262</v>
      </c>
      <c r="DP326" s="130">
        <v>1</v>
      </c>
    </row>
    <row r="327" spans="2:120" ht="15">
      <c r="B327" s="231"/>
      <c r="C327" s="231"/>
      <c r="D327" s="231"/>
      <c r="E327" s="231" cm="1">
        <f t="array" ref="E327">IF(H326&lt;&gt;"",E326,IF(E326="","",IFERROR(MATCH(TRUE(),INDEX(INDEX(K:K,E326+1):K203&lt;&gt;"",0),0)+E326,"")))</f>
        <v>419</v>
      </c>
      <c r="F327" s="232" cm="1">
        <f t="array" ref="F327">IF(E327="","",IF(H326&lt;&gt;"",H326,INDEX(D:D,E327)))</f>
        <v>0</v>
      </c>
      <c r="G327" s="232" t="str">
        <f t="shared" si="36"/>
        <v>0</v>
      </c>
      <c r="H327" s="233" t="str">
        <f t="shared" si="37"/>
        <v/>
      </c>
      <c r="I327" s="231" t="str">
        <f>IF(AND(F327&lt;&gt;"",N10&gt;0,M327&gt;N10),"Mot &gt; limite","")</f>
        <v/>
      </c>
      <c r="M327" s="126">
        <f>IF(OR(F327="",N10="",N10&lt;=0),"",IF(LEN(F327)&lt;=N10,LEN(F327),IFERROR(FIND("♦",SUBSTITUTE(LEFT(F327,N10)," ","♦",LEN(LEFT(F327,N10))-LEN(SUBSTITUTE(LEFT(F327,N10)," ","")))),FIND(" ",F327&amp;" ",N10+1)-1)))</f>
        <v>1</v>
      </c>
      <c r="N327" s="234">
        <f t="shared" si="38"/>
        <v>310</v>
      </c>
      <c r="O327" s="165" t="str">
        <f t="shared" si="39"/>
        <v>0</v>
      </c>
      <c r="P327" s="234">
        <f t="shared" si="40"/>
        <v>1</v>
      </c>
      <c r="Q327" s="234">
        <f t="shared" si="41"/>
        <v>1</v>
      </c>
      <c r="DE327" s="152"/>
      <c r="DF327" s="160" t="s">
        <v>1566</v>
      </c>
      <c r="DG327" s="160" t="s">
        <v>617</v>
      </c>
      <c r="DH327" s="160" t="s">
        <v>125</v>
      </c>
      <c r="DI327" s="160" t="s">
        <v>1567</v>
      </c>
      <c r="DJ327" s="160" t="s">
        <v>1567</v>
      </c>
      <c r="DK327" s="160" t="s">
        <v>1259</v>
      </c>
      <c r="DL327" s="160" t="s">
        <v>1260</v>
      </c>
      <c r="DM327" s="160" t="s">
        <v>1261</v>
      </c>
      <c r="DN327" s="161" t="s">
        <v>1262</v>
      </c>
      <c r="DP327" s="130">
        <v>1</v>
      </c>
    </row>
    <row r="328" spans="2:120" ht="15">
      <c r="B328" s="231"/>
      <c r="C328" s="231"/>
      <c r="D328" s="231"/>
      <c r="E328" s="231" cm="1">
        <f t="array" ref="E328">IF(H327&lt;&gt;"",E327,IF(E327="","",IFERROR(MATCH(TRUE(),INDEX(INDEX(K:K,E327+1):K203&lt;&gt;"",0),0)+E327,"")))</f>
        <v>420</v>
      </c>
      <c r="F328" s="232" cm="1">
        <f t="array" ref="F328">IF(E328="","",IF(H327&lt;&gt;"",H327,INDEX(D:D,E328)))</f>
        <v>0</v>
      </c>
      <c r="G328" s="232" t="str">
        <f t="shared" si="36"/>
        <v>0</v>
      </c>
      <c r="H328" s="233" t="str">
        <f t="shared" si="37"/>
        <v/>
      </c>
      <c r="I328" s="231" t="str">
        <f>IF(AND(F328&lt;&gt;"",N10&gt;0,M328&gt;N10),"Mot &gt; limite","")</f>
        <v/>
      </c>
      <c r="M328" s="126">
        <f>IF(OR(F328="",N10="",N10&lt;=0),"",IF(LEN(F328)&lt;=N10,LEN(F328),IFERROR(FIND("♦",SUBSTITUTE(LEFT(F328,N10)," ","♦",LEN(LEFT(F328,N10))-LEN(SUBSTITUTE(LEFT(F328,N10)," ","")))),FIND(" ",F328&amp;" ",N10+1)-1)))</f>
        <v>1</v>
      </c>
      <c r="N328" s="234">
        <f t="shared" si="38"/>
        <v>311</v>
      </c>
      <c r="O328" s="165" t="str">
        <f t="shared" si="39"/>
        <v>0</v>
      </c>
      <c r="P328" s="234">
        <f t="shared" si="40"/>
        <v>1</v>
      </c>
      <c r="Q328" s="234">
        <f t="shared" si="41"/>
        <v>1</v>
      </c>
      <c r="DE328" s="152"/>
      <c r="DF328" s="160" t="s">
        <v>1568</v>
      </c>
      <c r="DG328" s="160" t="s">
        <v>617</v>
      </c>
      <c r="DH328" s="160" t="s">
        <v>125</v>
      </c>
      <c r="DI328" s="160" t="s">
        <v>1569</v>
      </c>
      <c r="DJ328" s="160" t="s">
        <v>1569</v>
      </c>
      <c r="DK328" s="160" t="s">
        <v>1259</v>
      </c>
      <c r="DL328" s="160" t="s">
        <v>1260</v>
      </c>
      <c r="DM328" s="160" t="s">
        <v>1261</v>
      </c>
      <c r="DN328" s="161" t="s">
        <v>1262</v>
      </c>
      <c r="DP328" s="130">
        <v>1</v>
      </c>
    </row>
    <row r="329" spans="2:120" ht="15">
      <c r="B329" s="231"/>
      <c r="C329" s="231"/>
      <c r="D329" s="231"/>
      <c r="E329" s="231" cm="1">
        <f t="array" ref="E329">IF(H328&lt;&gt;"",E328,IF(E328="","",IFERROR(MATCH(TRUE(),INDEX(INDEX(K:K,E328+1):K203&lt;&gt;"",0),0)+E328,"")))</f>
        <v>421</v>
      </c>
      <c r="F329" s="232" cm="1">
        <f t="array" ref="F329">IF(E329="","",IF(H328&lt;&gt;"",H328,INDEX(D:D,E329)))</f>
        <v>0</v>
      </c>
      <c r="G329" s="232" t="str">
        <f t="shared" si="36"/>
        <v>0</v>
      </c>
      <c r="H329" s="233" t="str">
        <f t="shared" si="37"/>
        <v/>
      </c>
      <c r="I329" s="231" t="str">
        <f>IF(AND(F329&lt;&gt;"",N10&gt;0,M329&gt;N10),"Mot &gt; limite","")</f>
        <v/>
      </c>
      <c r="M329" s="126">
        <f>IF(OR(F329="",N10="",N10&lt;=0),"",IF(LEN(F329)&lt;=N10,LEN(F329),IFERROR(FIND("♦",SUBSTITUTE(LEFT(F329,N10)," ","♦",LEN(LEFT(F329,N10))-LEN(SUBSTITUTE(LEFT(F329,N10)," ","")))),FIND(" ",F329&amp;" ",N10+1)-1)))</f>
        <v>1</v>
      </c>
      <c r="N329" s="234">
        <f t="shared" si="38"/>
        <v>312</v>
      </c>
      <c r="O329" s="165" t="str">
        <f t="shared" si="39"/>
        <v>0</v>
      </c>
      <c r="P329" s="234">
        <f t="shared" si="40"/>
        <v>1</v>
      </c>
      <c r="Q329" s="234">
        <f t="shared" si="41"/>
        <v>1</v>
      </c>
      <c r="DE329" s="152"/>
      <c r="DF329" s="160" t="s">
        <v>1570</v>
      </c>
      <c r="DG329" s="160" t="s">
        <v>617</v>
      </c>
      <c r="DH329" s="160" t="s">
        <v>125</v>
      </c>
      <c r="DI329" s="160" t="s">
        <v>1571</v>
      </c>
      <c r="DJ329" s="160" t="s">
        <v>1571</v>
      </c>
      <c r="DK329" s="160" t="s">
        <v>1259</v>
      </c>
      <c r="DL329" s="160" t="s">
        <v>1260</v>
      </c>
      <c r="DM329" s="160" t="s">
        <v>1261</v>
      </c>
      <c r="DN329" s="161" t="s">
        <v>1262</v>
      </c>
      <c r="DP329" s="130">
        <v>1</v>
      </c>
    </row>
    <row r="330" spans="2:120" ht="15">
      <c r="B330" s="231"/>
      <c r="C330" s="231"/>
      <c r="D330" s="231"/>
      <c r="E330" s="231" cm="1">
        <f t="array" ref="E330">IF(H329&lt;&gt;"",E329,IF(E329="","",IFERROR(MATCH(TRUE(),INDEX(INDEX(K:K,E329+1):K203&lt;&gt;"",0),0)+E329,"")))</f>
        <v>422</v>
      </c>
      <c r="F330" s="232" cm="1">
        <f t="array" ref="F330">IF(E330="","",IF(H329&lt;&gt;"",H329,INDEX(D:D,E330)))</f>
        <v>0</v>
      </c>
      <c r="G330" s="232" t="str">
        <f t="shared" si="36"/>
        <v>0</v>
      </c>
      <c r="H330" s="233" t="str">
        <f t="shared" si="37"/>
        <v/>
      </c>
      <c r="I330" s="231" t="str">
        <f>IF(AND(F330&lt;&gt;"",N10&gt;0,M330&gt;N10),"Mot &gt; limite","")</f>
        <v/>
      </c>
      <c r="M330" s="126">
        <f>IF(OR(F330="",N10="",N10&lt;=0),"",IF(LEN(F330)&lt;=N10,LEN(F330),IFERROR(FIND("♦",SUBSTITUTE(LEFT(F330,N10)," ","♦",LEN(LEFT(F330,N10))-LEN(SUBSTITUTE(LEFT(F330,N10)," ","")))),FIND(" ",F330&amp;" ",N10+1)-1)))</f>
        <v>1</v>
      </c>
      <c r="N330" s="234">
        <f t="shared" si="38"/>
        <v>313</v>
      </c>
      <c r="O330" s="165" t="str">
        <f t="shared" si="39"/>
        <v>0</v>
      </c>
      <c r="P330" s="234">
        <f t="shared" si="40"/>
        <v>1</v>
      </c>
      <c r="Q330" s="234">
        <f t="shared" si="41"/>
        <v>1</v>
      </c>
      <c r="DE330" s="152"/>
      <c r="DF330" s="160" t="s">
        <v>1572</v>
      </c>
      <c r="DG330" s="160" t="s">
        <v>617</v>
      </c>
      <c r="DH330" s="160" t="s">
        <v>125</v>
      </c>
      <c r="DI330" s="160" t="s">
        <v>439</v>
      </c>
      <c r="DJ330" s="160" t="s">
        <v>439</v>
      </c>
      <c r="DK330" s="160" t="s">
        <v>1259</v>
      </c>
      <c r="DL330" s="160" t="s">
        <v>1268</v>
      </c>
      <c r="DM330" s="160" t="s">
        <v>590</v>
      </c>
      <c r="DN330" s="161" t="s">
        <v>591</v>
      </c>
      <c r="DP330" s="130">
        <v>1</v>
      </c>
    </row>
    <row r="331" spans="2:120" ht="15">
      <c r="B331" s="231"/>
      <c r="C331" s="231"/>
      <c r="D331" s="231"/>
      <c r="E331" s="231" cm="1">
        <f t="array" ref="E331">IF(H330&lt;&gt;"",E330,IF(E330="","",IFERROR(MATCH(TRUE(),INDEX(INDEX(K:K,E330+1):K203&lt;&gt;"",0),0)+E330,"")))</f>
        <v>423</v>
      </c>
      <c r="F331" s="232" cm="1">
        <f t="array" ref="F331">IF(E331="","",IF(H330&lt;&gt;"",H330,INDEX(D:D,E331)))</f>
        <v>0</v>
      </c>
      <c r="G331" s="232" t="str">
        <f t="shared" si="36"/>
        <v>0</v>
      </c>
      <c r="H331" s="233" t="str">
        <f t="shared" si="37"/>
        <v/>
      </c>
      <c r="I331" s="231" t="str">
        <f>IF(AND(F331&lt;&gt;"",N10&gt;0,M331&gt;N10),"Mot &gt; limite","")</f>
        <v/>
      </c>
      <c r="M331" s="126">
        <f>IF(OR(F331="",N10="",N10&lt;=0),"",IF(LEN(F331)&lt;=N10,LEN(F331),IFERROR(FIND("♦",SUBSTITUTE(LEFT(F331,N10)," ","♦",LEN(LEFT(F331,N10))-LEN(SUBSTITUTE(LEFT(F331,N10)," ","")))),FIND(" ",F331&amp;" ",N10+1)-1)))</f>
        <v>1</v>
      </c>
      <c r="N331" s="234">
        <f t="shared" si="38"/>
        <v>314</v>
      </c>
      <c r="O331" s="165" t="str">
        <f t="shared" si="39"/>
        <v>0</v>
      </c>
      <c r="P331" s="234">
        <f t="shared" si="40"/>
        <v>1</v>
      </c>
      <c r="Q331" s="234">
        <f t="shared" si="41"/>
        <v>1</v>
      </c>
      <c r="DE331" s="152"/>
      <c r="DF331" s="160" t="s">
        <v>1573</v>
      </c>
      <c r="DG331" s="160" t="s">
        <v>617</v>
      </c>
      <c r="DH331" s="160" t="s">
        <v>125</v>
      </c>
      <c r="DI331" s="160" t="s">
        <v>1574</v>
      </c>
      <c r="DJ331" s="160" t="s">
        <v>1574</v>
      </c>
      <c r="DK331" s="160" t="s">
        <v>666</v>
      </c>
      <c r="DL331" s="160" t="s">
        <v>667</v>
      </c>
      <c r="DM331" s="160" t="s">
        <v>590</v>
      </c>
      <c r="DN331" s="161" t="s">
        <v>668</v>
      </c>
      <c r="DP331" s="130">
        <v>1</v>
      </c>
    </row>
    <row r="332" spans="2:120" ht="15">
      <c r="B332" s="231"/>
      <c r="C332" s="231"/>
      <c r="D332" s="231"/>
      <c r="E332" s="231" cm="1">
        <f t="array" ref="E332">IF(H331&lt;&gt;"",E331,IF(E331="","",IFERROR(MATCH(TRUE(),INDEX(INDEX(K:K,E331+1):K203&lt;&gt;"",0),0)+E331,"")))</f>
        <v>424</v>
      </c>
      <c r="F332" s="232" cm="1">
        <f t="array" ref="F332">IF(E332="","",IF(H331&lt;&gt;"",H331,INDEX(D:D,E332)))</f>
        <v>0</v>
      </c>
      <c r="G332" s="232" t="str">
        <f t="shared" si="36"/>
        <v>0</v>
      </c>
      <c r="H332" s="233" t="str">
        <f t="shared" si="37"/>
        <v/>
      </c>
      <c r="I332" s="231" t="str">
        <f>IF(AND(F332&lt;&gt;"",N10&gt;0,M332&gt;N10),"Mot &gt; limite","")</f>
        <v/>
      </c>
      <c r="M332" s="126">
        <f>IF(OR(F332="",N10="",N10&lt;=0),"",IF(LEN(F332)&lt;=N10,LEN(F332),IFERROR(FIND("♦",SUBSTITUTE(LEFT(F332,N10)," ","♦",LEN(LEFT(F332,N10))-LEN(SUBSTITUTE(LEFT(F332,N10)," ","")))),FIND(" ",F332&amp;" ",N10+1)-1)))</f>
        <v>1</v>
      </c>
      <c r="N332" s="234">
        <f t="shared" si="38"/>
        <v>315</v>
      </c>
      <c r="O332" s="165" t="str">
        <f t="shared" si="39"/>
        <v>0</v>
      </c>
      <c r="P332" s="234">
        <f t="shared" si="40"/>
        <v>1</v>
      </c>
      <c r="Q332" s="234">
        <f t="shared" si="41"/>
        <v>1</v>
      </c>
      <c r="DE332" s="152"/>
      <c r="DF332" s="160" t="s">
        <v>1575</v>
      </c>
      <c r="DG332" s="160" t="s">
        <v>617</v>
      </c>
      <c r="DH332" s="160" t="s">
        <v>125</v>
      </c>
      <c r="DI332" s="160" t="s">
        <v>1576</v>
      </c>
      <c r="DJ332" s="160" t="s">
        <v>1576</v>
      </c>
      <c r="DK332" s="160" t="s">
        <v>666</v>
      </c>
      <c r="DL332" s="160" t="s">
        <v>667</v>
      </c>
      <c r="DM332" s="160" t="s">
        <v>590</v>
      </c>
      <c r="DN332" s="161" t="s">
        <v>668</v>
      </c>
      <c r="DP332" s="130">
        <v>1</v>
      </c>
    </row>
    <row r="333" spans="2:120" ht="15">
      <c r="B333" s="231"/>
      <c r="C333" s="231"/>
      <c r="D333" s="231"/>
      <c r="E333" s="231" cm="1">
        <f t="array" ref="E333">IF(H332&lt;&gt;"",E332,IF(E332="","",IFERROR(MATCH(TRUE(),INDEX(INDEX(K:K,E332+1):K203&lt;&gt;"",0),0)+E332,"")))</f>
        <v>425</v>
      </c>
      <c r="F333" s="232" cm="1">
        <f t="array" ref="F333">IF(E333="","",IF(H332&lt;&gt;"",H332,INDEX(D:D,E333)))</f>
        <v>0</v>
      </c>
      <c r="G333" s="232" t="str">
        <f t="shared" si="36"/>
        <v>0</v>
      </c>
      <c r="H333" s="233" t="str">
        <f t="shared" si="37"/>
        <v/>
      </c>
      <c r="I333" s="231" t="str">
        <f>IF(AND(F333&lt;&gt;"",N10&gt;0,M333&gt;N10),"Mot &gt; limite","")</f>
        <v/>
      </c>
      <c r="M333" s="126">
        <f>IF(OR(F333="",N10="",N10&lt;=0),"",IF(LEN(F333)&lt;=N10,LEN(F333),IFERROR(FIND("♦",SUBSTITUTE(LEFT(F333,N10)," ","♦",LEN(LEFT(F333,N10))-LEN(SUBSTITUTE(LEFT(F333,N10)," ","")))),FIND(" ",F333&amp;" ",N10+1)-1)))</f>
        <v>1</v>
      </c>
      <c r="N333" s="234">
        <f t="shared" si="38"/>
        <v>316</v>
      </c>
      <c r="O333" s="165" t="str">
        <f t="shared" si="39"/>
        <v>0</v>
      </c>
      <c r="P333" s="234">
        <f t="shared" si="40"/>
        <v>1</v>
      </c>
      <c r="Q333" s="234">
        <f t="shared" si="41"/>
        <v>1</v>
      </c>
      <c r="DE333" s="152"/>
      <c r="DF333" s="160" t="s">
        <v>1577</v>
      </c>
      <c r="DG333" s="160" t="s">
        <v>617</v>
      </c>
      <c r="DH333" s="160" t="s">
        <v>125</v>
      </c>
      <c r="DI333" s="160" t="s">
        <v>1578</v>
      </c>
      <c r="DJ333" s="160" t="s">
        <v>1578</v>
      </c>
      <c r="DK333" s="160" t="s">
        <v>1259</v>
      </c>
      <c r="DL333" s="160" t="s">
        <v>1260</v>
      </c>
      <c r="DM333" s="160" t="s">
        <v>1261</v>
      </c>
      <c r="DN333" s="161" t="s">
        <v>1262</v>
      </c>
      <c r="DP333" s="130">
        <v>1</v>
      </c>
    </row>
    <row r="334" spans="2:120" ht="15">
      <c r="B334" s="231"/>
      <c r="C334" s="231"/>
      <c r="D334" s="231"/>
      <c r="E334" s="231" cm="1">
        <f t="array" ref="E334">IF(H333&lt;&gt;"",E333,IF(E333="","",IFERROR(MATCH(TRUE(),INDEX(INDEX(K:K,E333+1):K203&lt;&gt;"",0),0)+E333,"")))</f>
        <v>426</v>
      </c>
      <c r="F334" s="232" cm="1">
        <f t="array" ref="F334">IF(E334="","",IF(H333&lt;&gt;"",H333,INDEX(D:D,E334)))</f>
        <v>0</v>
      </c>
      <c r="G334" s="232" t="str">
        <f t="shared" si="36"/>
        <v>0</v>
      </c>
      <c r="H334" s="233" t="str">
        <f t="shared" si="37"/>
        <v/>
      </c>
      <c r="I334" s="231" t="str">
        <f>IF(AND(F334&lt;&gt;"",N10&gt;0,M334&gt;N10),"Mot &gt; limite","")</f>
        <v/>
      </c>
      <c r="M334" s="126">
        <f>IF(OR(F334="",N10="",N10&lt;=0),"",IF(LEN(F334)&lt;=N10,LEN(F334),IFERROR(FIND("♦",SUBSTITUTE(LEFT(F334,N10)," ","♦",LEN(LEFT(F334,N10))-LEN(SUBSTITUTE(LEFT(F334,N10)," ","")))),FIND(" ",F334&amp;" ",N10+1)-1)))</f>
        <v>1</v>
      </c>
      <c r="N334" s="234">
        <f t="shared" si="38"/>
        <v>317</v>
      </c>
      <c r="O334" s="165" t="str">
        <f t="shared" si="39"/>
        <v>0</v>
      </c>
      <c r="P334" s="234">
        <f t="shared" si="40"/>
        <v>1</v>
      </c>
      <c r="Q334" s="234">
        <f t="shared" si="41"/>
        <v>1</v>
      </c>
      <c r="DE334" s="152"/>
      <c r="DF334" s="160" t="s">
        <v>1579</v>
      </c>
      <c r="DG334" s="160" t="s">
        <v>617</v>
      </c>
      <c r="DH334" s="160" t="s">
        <v>125</v>
      </c>
      <c r="DI334" s="160" t="s">
        <v>1580</v>
      </c>
      <c r="DJ334" s="160" t="s">
        <v>1580</v>
      </c>
      <c r="DK334" s="160" t="s">
        <v>1259</v>
      </c>
      <c r="DL334" s="160" t="s">
        <v>1260</v>
      </c>
      <c r="DM334" s="160" t="s">
        <v>1261</v>
      </c>
      <c r="DN334" s="161" t="s">
        <v>1262</v>
      </c>
      <c r="DP334" s="130">
        <v>1</v>
      </c>
    </row>
    <row r="335" spans="2:120" ht="15">
      <c r="B335" s="231"/>
      <c r="C335" s="231"/>
      <c r="D335" s="231"/>
      <c r="E335" s="231" cm="1">
        <f t="array" ref="E335">IF(H334&lt;&gt;"",E334,IF(E334="","",IFERROR(MATCH(TRUE(),INDEX(INDEX(K:K,E334+1):K203&lt;&gt;"",0),0)+E334,"")))</f>
        <v>427</v>
      </c>
      <c r="F335" s="232" cm="1">
        <f t="array" ref="F335">IF(E335="","",IF(H334&lt;&gt;"",H334,INDEX(D:D,E335)))</f>
        <v>0</v>
      </c>
      <c r="G335" s="232" t="str">
        <f t="shared" si="36"/>
        <v>0</v>
      </c>
      <c r="H335" s="233" t="str">
        <f t="shared" si="37"/>
        <v/>
      </c>
      <c r="I335" s="231" t="str">
        <f>IF(AND(F335&lt;&gt;"",N10&gt;0,M335&gt;N10),"Mot &gt; limite","")</f>
        <v/>
      </c>
      <c r="M335" s="126">
        <f>IF(OR(F335="",N10="",N10&lt;=0),"",IF(LEN(F335)&lt;=N10,LEN(F335),IFERROR(FIND("♦",SUBSTITUTE(LEFT(F335,N10)," ","♦",LEN(LEFT(F335,N10))-LEN(SUBSTITUTE(LEFT(F335,N10)," ","")))),FIND(" ",F335&amp;" ",N10+1)-1)))</f>
        <v>1</v>
      </c>
      <c r="N335" s="234">
        <f t="shared" si="38"/>
        <v>318</v>
      </c>
      <c r="O335" s="165" t="str">
        <f t="shared" si="39"/>
        <v>0</v>
      </c>
      <c r="P335" s="234">
        <f t="shared" si="40"/>
        <v>1</v>
      </c>
      <c r="Q335" s="234">
        <f t="shared" si="41"/>
        <v>1</v>
      </c>
      <c r="DE335" s="152"/>
      <c r="DF335" s="160" t="s">
        <v>1581</v>
      </c>
      <c r="DG335" s="160" t="s">
        <v>617</v>
      </c>
      <c r="DH335" s="160" t="s">
        <v>125</v>
      </c>
      <c r="DI335" s="160" t="s">
        <v>1582</v>
      </c>
      <c r="DJ335" s="160" t="s">
        <v>1582</v>
      </c>
      <c r="DK335" s="160" t="s">
        <v>1259</v>
      </c>
      <c r="DL335" s="160" t="s">
        <v>1260</v>
      </c>
      <c r="DM335" s="160" t="s">
        <v>1261</v>
      </c>
      <c r="DN335" s="161" t="s">
        <v>1262</v>
      </c>
      <c r="DP335" s="130">
        <v>1</v>
      </c>
    </row>
    <row r="336" spans="2:120" ht="15">
      <c r="B336" s="231"/>
      <c r="C336" s="231"/>
      <c r="D336" s="231"/>
      <c r="E336" s="231" cm="1">
        <f t="array" ref="E336">IF(H335&lt;&gt;"",E335,IF(E335="","",IFERROR(MATCH(TRUE(),INDEX(INDEX(K:K,E335+1):K203&lt;&gt;"",0),0)+E335,"")))</f>
        <v>428</v>
      </c>
      <c r="F336" s="232" cm="1">
        <f t="array" ref="F336">IF(E336="","",IF(H335&lt;&gt;"",H335,INDEX(D:D,E336)))</f>
        <v>0</v>
      </c>
      <c r="G336" s="232" t="str">
        <f t="shared" si="36"/>
        <v>0</v>
      </c>
      <c r="H336" s="233" t="str">
        <f t="shared" si="37"/>
        <v/>
      </c>
      <c r="I336" s="231" t="str">
        <f>IF(AND(F336&lt;&gt;"",N10&gt;0,M336&gt;N10),"Mot &gt; limite","")</f>
        <v/>
      </c>
      <c r="M336" s="126">
        <f>IF(OR(F336="",N10="",N10&lt;=0),"",IF(LEN(F336)&lt;=N10,LEN(F336),IFERROR(FIND("♦",SUBSTITUTE(LEFT(F336,N10)," ","♦",LEN(LEFT(F336,N10))-LEN(SUBSTITUTE(LEFT(F336,N10)," ","")))),FIND(" ",F336&amp;" ",N10+1)-1)))</f>
        <v>1</v>
      </c>
      <c r="N336" s="234">
        <f t="shared" si="38"/>
        <v>319</v>
      </c>
      <c r="O336" s="165" t="str">
        <f t="shared" si="39"/>
        <v>0</v>
      </c>
      <c r="P336" s="234">
        <f t="shared" si="40"/>
        <v>1</v>
      </c>
      <c r="Q336" s="234">
        <f t="shared" si="41"/>
        <v>1</v>
      </c>
      <c r="DE336" s="152"/>
      <c r="DF336" s="160" t="s">
        <v>1583</v>
      </c>
      <c r="DG336" s="160" t="s">
        <v>617</v>
      </c>
      <c r="DH336" s="160" t="s">
        <v>125</v>
      </c>
      <c r="DI336" s="160" t="s">
        <v>1584</v>
      </c>
      <c r="DJ336" s="160" t="s">
        <v>1585</v>
      </c>
      <c r="DK336" s="160" t="s">
        <v>1259</v>
      </c>
      <c r="DL336" s="160" t="s">
        <v>1268</v>
      </c>
      <c r="DM336" s="160" t="s">
        <v>590</v>
      </c>
      <c r="DN336" s="161" t="s">
        <v>591</v>
      </c>
      <c r="DP336" s="130">
        <v>1</v>
      </c>
    </row>
    <row r="337" spans="2:120" ht="15">
      <c r="B337" s="231"/>
      <c r="C337" s="231"/>
      <c r="D337" s="231"/>
      <c r="E337" s="231" cm="1">
        <f t="array" ref="E337">IF(H336&lt;&gt;"",E336,IF(E336="","",IFERROR(MATCH(TRUE(),INDEX(INDEX(K:K,E336+1):K203&lt;&gt;"",0),0)+E336,"")))</f>
        <v>429</v>
      </c>
      <c r="F337" s="232" cm="1">
        <f t="array" ref="F337">IF(E337="","",IF(H336&lt;&gt;"",H336,INDEX(D:D,E337)))</f>
        <v>0</v>
      </c>
      <c r="G337" s="232" t="str">
        <f t="shared" si="36"/>
        <v>0</v>
      </c>
      <c r="H337" s="233" t="str">
        <f t="shared" si="37"/>
        <v/>
      </c>
      <c r="I337" s="231" t="str">
        <f>IF(AND(F337&lt;&gt;"",N10&gt;0,M337&gt;N10),"Mot &gt; limite","")</f>
        <v/>
      </c>
      <c r="M337" s="126">
        <f>IF(OR(F337="",N10="",N10&lt;=0),"",IF(LEN(F337)&lt;=N10,LEN(F337),IFERROR(FIND("♦",SUBSTITUTE(LEFT(F337,N10)," ","♦",LEN(LEFT(F337,N10))-LEN(SUBSTITUTE(LEFT(F337,N10)," ","")))),FIND(" ",F337&amp;" ",N10+1)-1)))</f>
        <v>1</v>
      </c>
      <c r="N337" s="234">
        <f t="shared" si="38"/>
        <v>320</v>
      </c>
      <c r="O337" s="165" t="str">
        <f t="shared" si="39"/>
        <v>0</v>
      </c>
      <c r="P337" s="234">
        <f t="shared" si="40"/>
        <v>1</v>
      </c>
      <c r="Q337" s="234">
        <f t="shared" si="41"/>
        <v>1</v>
      </c>
      <c r="DE337" s="152"/>
      <c r="DF337" s="160" t="s">
        <v>1586</v>
      </c>
      <c r="DG337" s="160" t="s">
        <v>617</v>
      </c>
      <c r="DH337" s="160" t="s">
        <v>125</v>
      </c>
      <c r="DI337" s="160" t="s">
        <v>1587</v>
      </c>
      <c r="DJ337" s="160" t="s">
        <v>1587</v>
      </c>
      <c r="DK337" s="160" t="s">
        <v>1259</v>
      </c>
      <c r="DL337" s="160" t="s">
        <v>1260</v>
      </c>
      <c r="DM337" s="160" t="s">
        <v>1261</v>
      </c>
      <c r="DN337" s="161" t="s">
        <v>1262</v>
      </c>
      <c r="DP337" s="130">
        <v>1</v>
      </c>
    </row>
    <row r="338" spans="2:120" ht="15">
      <c r="B338" s="231"/>
      <c r="C338" s="231"/>
      <c r="D338" s="231"/>
      <c r="E338" s="231" cm="1">
        <f t="array" ref="E338">IF(H337&lt;&gt;"",E337,IF(E337="","",IFERROR(MATCH(TRUE(),INDEX(INDEX(K:K,E337+1):K203&lt;&gt;"",0),0)+E337,"")))</f>
        <v>430</v>
      </c>
      <c r="F338" s="232" cm="1">
        <f t="array" ref="F338">IF(E338="","",IF(H337&lt;&gt;"",H337,INDEX(D:D,E338)))</f>
        <v>0</v>
      </c>
      <c r="G338" s="232" t="str">
        <f t="shared" ref="G338:G401" si="42">IF(OR(F338="",M338=""),"",LEFT(F338,M338))</f>
        <v>0</v>
      </c>
      <c r="H338" s="233" t="str">
        <f t="shared" ref="H338:H401" si="43">IF(OR(F338="",M338=""),"",TRIM(MID(F338,M338+1,99999)))</f>
        <v/>
      </c>
      <c r="I338" s="231" t="str">
        <f>IF(AND(F338&lt;&gt;"",N10&gt;0,M338&gt;N10),"Mot &gt; limite","")</f>
        <v/>
      </c>
      <c r="M338" s="126">
        <f>IF(OR(F338="",N10="",N10&lt;=0),"",IF(LEN(F338)&lt;=N10,LEN(F338),IFERROR(FIND("♦",SUBSTITUTE(LEFT(F338,N10)," ","♦",LEN(LEFT(F338,N10))-LEN(SUBSTITUTE(LEFT(F338,N10)," ","")))),FIND(" ",F338&amp;" ",N10+1)-1)))</f>
        <v>1</v>
      </c>
      <c r="N338" s="234">
        <f t="shared" ref="N338:N401" si="44">IF(O338="","",ROW()-17)</f>
        <v>321</v>
      </c>
      <c r="O338" s="165" t="str">
        <f t="shared" ref="O338:O401" si="45">G338</f>
        <v>0</v>
      </c>
      <c r="P338" s="234">
        <f t="shared" ref="P338:P401" si="46">IF(O338="","",LEN(TRIM(O338))-LEN(SUBSTITUTE(TRIM(O338)," ",""))+1)</f>
        <v>1</v>
      </c>
      <c r="Q338" s="234">
        <f t="shared" ref="Q338:Q401" si="47">IF(O338="","",LEN(O338))</f>
        <v>1</v>
      </c>
      <c r="DE338" s="152"/>
      <c r="DF338" s="160" t="s">
        <v>1588</v>
      </c>
      <c r="DG338" s="160" t="s">
        <v>617</v>
      </c>
      <c r="DH338" s="160" t="s">
        <v>125</v>
      </c>
      <c r="DI338" s="160" t="s">
        <v>1589</v>
      </c>
      <c r="DJ338" s="160" t="s">
        <v>1589</v>
      </c>
      <c r="DK338" s="160" t="s">
        <v>1259</v>
      </c>
      <c r="DL338" s="160" t="s">
        <v>1260</v>
      </c>
      <c r="DM338" s="160" t="s">
        <v>1261</v>
      </c>
      <c r="DN338" s="161" t="s">
        <v>1262</v>
      </c>
      <c r="DP338" s="130">
        <v>1</v>
      </c>
    </row>
    <row r="339" spans="2:120" ht="15">
      <c r="B339" s="231"/>
      <c r="C339" s="231"/>
      <c r="D339" s="231"/>
      <c r="E339" s="231" cm="1">
        <f t="array" ref="E339">IF(H338&lt;&gt;"",E338,IF(E338="","",IFERROR(MATCH(TRUE(),INDEX(INDEX(K:K,E338+1):K203&lt;&gt;"",0),0)+E338,"")))</f>
        <v>431</v>
      </c>
      <c r="F339" s="232" cm="1">
        <f t="array" ref="F339">IF(E339="","",IF(H338&lt;&gt;"",H338,INDEX(D:D,E339)))</f>
        <v>0</v>
      </c>
      <c r="G339" s="232" t="str">
        <f t="shared" si="42"/>
        <v>0</v>
      </c>
      <c r="H339" s="233" t="str">
        <f t="shared" si="43"/>
        <v/>
      </c>
      <c r="I339" s="231" t="str">
        <f>IF(AND(F339&lt;&gt;"",N10&gt;0,M339&gt;N10),"Mot &gt; limite","")</f>
        <v/>
      </c>
      <c r="M339" s="126">
        <f>IF(OR(F339="",N10="",N10&lt;=0),"",IF(LEN(F339)&lt;=N10,LEN(F339),IFERROR(FIND("♦",SUBSTITUTE(LEFT(F339,N10)," ","♦",LEN(LEFT(F339,N10))-LEN(SUBSTITUTE(LEFT(F339,N10)," ","")))),FIND(" ",F339&amp;" ",N10+1)-1)))</f>
        <v>1</v>
      </c>
      <c r="N339" s="234">
        <f t="shared" si="44"/>
        <v>322</v>
      </c>
      <c r="O339" s="165" t="str">
        <f t="shared" si="45"/>
        <v>0</v>
      </c>
      <c r="P339" s="234">
        <f t="shared" si="46"/>
        <v>1</v>
      </c>
      <c r="Q339" s="234">
        <f t="shared" si="47"/>
        <v>1</v>
      </c>
      <c r="DE339" s="152"/>
      <c r="DF339" s="160" t="s">
        <v>1590</v>
      </c>
      <c r="DG339" s="160" t="s">
        <v>617</v>
      </c>
      <c r="DH339" s="160" t="s">
        <v>125</v>
      </c>
      <c r="DI339" s="160" t="s">
        <v>1591</v>
      </c>
      <c r="DJ339" s="160" t="s">
        <v>1591</v>
      </c>
      <c r="DK339" s="160" t="s">
        <v>1259</v>
      </c>
      <c r="DL339" s="160" t="s">
        <v>1268</v>
      </c>
      <c r="DM339" s="160" t="s">
        <v>590</v>
      </c>
      <c r="DN339" s="161" t="s">
        <v>591</v>
      </c>
      <c r="DP339" s="130">
        <v>1</v>
      </c>
    </row>
    <row r="340" spans="2:120" ht="15">
      <c r="B340" s="231"/>
      <c r="C340" s="231"/>
      <c r="D340" s="231"/>
      <c r="E340" s="231" cm="1">
        <f t="array" ref="E340">IF(H339&lt;&gt;"",E339,IF(E339="","",IFERROR(MATCH(TRUE(),INDEX(INDEX(K:K,E339+1):K203&lt;&gt;"",0),0)+E339,"")))</f>
        <v>432</v>
      </c>
      <c r="F340" s="232" cm="1">
        <f t="array" ref="F340">IF(E340="","",IF(H339&lt;&gt;"",H339,INDEX(D:D,E340)))</f>
        <v>0</v>
      </c>
      <c r="G340" s="232" t="str">
        <f t="shared" si="42"/>
        <v>0</v>
      </c>
      <c r="H340" s="233" t="str">
        <f t="shared" si="43"/>
        <v/>
      </c>
      <c r="I340" s="231" t="str">
        <f>IF(AND(F340&lt;&gt;"",N10&gt;0,M340&gt;N10),"Mot &gt; limite","")</f>
        <v/>
      </c>
      <c r="M340" s="126">
        <f>IF(OR(F340="",N10="",N10&lt;=0),"",IF(LEN(F340)&lt;=N10,LEN(F340),IFERROR(FIND("♦",SUBSTITUTE(LEFT(F340,N10)," ","♦",LEN(LEFT(F340,N10))-LEN(SUBSTITUTE(LEFT(F340,N10)," ","")))),FIND(" ",F340&amp;" ",N10+1)-1)))</f>
        <v>1</v>
      </c>
      <c r="N340" s="234">
        <f t="shared" si="44"/>
        <v>323</v>
      </c>
      <c r="O340" s="165" t="str">
        <f t="shared" si="45"/>
        <v>0</v>
      </c>
      <c r="P340" s="234">
        <f t="shared" si="46"/>
        <v>1</v>
      </c>
      <c r="Q340" s="234">
        <f t="shared" si="47"/>
        <v>1</v>
      </c>
      <c r="DE340" s="152"/>
      <c r="DF340" s="160" t="s">
        <v>1592</v>
      </c>
      <c r="DG340" s="160" t="s">
        <v>617</v>
      </c>
      <c r="DH340" s="160" t="s">
        <v>125</v>
      </c>
      <c r="DI340" s="160" t="s">
        <v>440</v>
      </c>
      <c r="DJ340" s="160" t="s">
        <v>440</v>
      </c>
      <c r="DK340" s="160" t="s">
        <v>666</v>
      </c>
      <c r="DL340" s="160" t="s">
        <v>667</v>
      </c>
      <c r="DM340" s="160" t="s">
        <v>590</v>
      </c>
      <c r="DN340" s="161" t="s">
        <v>668</v>
      </c>
      <c r="DP340" s="130">
        <v>1</v>
      </c>
    </row>
    <row r="341" spans="2:120" ht="15">
      <c r="B341" s="231"/>
      <c r="C341" s="231"/>
      <c r="D341" s="231"/>
      <c r="E341" s="231" cm="1">
        <f t="array" ref="E341">IF(H340&lt;&gt;"",E340,IF(E340="","",IFERROR(MATCH(TRUE(),INDEX(INDEX(K:K,E340+1):K203&lt;&gt;"",0),0)+E340,"")))</f>
        <v>433</v>
      </c>
      <c r="F341" s="232" cm="1">
        <f t="array" ref="F341">IF(E341="","",IF(H340&lt;&gt;"",H340,INDEX(D:D,E341)))</f>
        <v>0</v>
      </c>
      <c r="G341" s="232" t="str">
        <f t="shared" si="42"/>
        <v>0</v>
      </c>
      <c r="H341" s="233" t="str">
        <f t="shared" si="43"/>
        <v/>
      </c>
      <c r="I341" s="231" t="str">
        <f>IF(AND(F341&lt;&gt;"",N10&gt;0,M341&gt;N10),"Mot &gt; limite","")</f>
        <v/>
      </c>
      <c r="M341" s="126">
        <f>IF(OR(F341="",N10="",N10&lt;=0),"",IF(LEN(F341)&lt;=N10,LEN(F341),IFERROR(FIND("♦",SUBSTITUTE(LEFT(F341,N10)," ","♦",LEN(LEFT(F341,N10))-LEN(SUBSTITUTE(LEFT(F341,N10)," ","")))),FIND(" ",F341&amp;" ",N10+1)-1)))</f>
        <v>1</v>
      </c>
      <c r="N341" s="234">
        <f t="shared" si="44"/>
        <v>324</v>
      </c>
      <c r="O341" s="165" t="str">
        <f t="shared" si="45"/>
        <v>0</v>
      </c>
      <c r="P341" s="234">
        <f t="shared" si="46"/>
        <v>1</v>
      </c>
      <c r="Q341" s="234">
        <f t="shared" si="47"/>
        <v>1</v>
      </c>
      <c r="DE341" s="152"/>
      <c r="DF341" s="160" t="s">
        <v>1593</v>
      </c>
      <c r="DG341" s="160" t="s">
        <v>617</v>
      </c>
      <c r="DH341" s="160" t="s">
        <v>125</v>
      </c>
      <c r="DI341" s="160" t="s">
        <v>1594</v>
      </c>
      <c r="DJ341" s="160" t="s">
        <v>1594</v>
      </c>
      <c r="DK341" s="160" t="s">
        <v>666</v>
      </c>
      <c r="DL341" s="160" t="s">
        <v>667</v>
      </c>
      <c r="DM341" s="160" t="s">
        <v>590</v>
      </c>
      <c r="DN341" s="161" t="s">
        <v>668</v>
      </c>
      <c r="DP341" s="130">
        <v>1</v>
      </c>
    </row>
    <row r="342" spans="2:120" ht="15">
      <c r="B342" s="231"/>
      <c r="C342" s="231"/>
      <c r="D342" s="231"/>
      <c r="E342" s="231" cm="1">
        <f t="array" ref="E342">IF(H341&lt;&gt;"",E341,IF(E341="","",IFERROR(MATCH(TRUE(),INDEX(INDEX(K:K,E341+1):K203&lt;&gt;"",0),0)+E341,"")))</f>
        <v>434</v>
      </c>
      <c r="F342" s="232" cm="1">
        <f t="array" ref="F342">IF(E342="","",IF(H341&lt;&gt;"",H341,INDEX(D:D,E342)))</f>
        <v>0</v>
      </c>
      <c r="G342" s="232" t="str">
        <f t="shared" si="42"/>
        <v>0</v>
      </c>
      <c r="H342" s="233" t="str">
        <f t="shared" si="43"/>
        <v/>
      </c>
      <c r="I342" s="231" t="str">
        <f>IF(AND(F342&lt;&gt;"",N10&gt;0,M342&gt;N10),"Mot &gt; limite","")</f>
        <v/>
      </c>
      <c r="M342" s="126">
        <f>IF(OR(F342="",N10="",N10&lt;=0),"",IF(LEN(F342)&lt;=N10,LEN(F342),IFERROR(FIND("♦",SUBSTITUTE(LEFT(F342,N10)," ","♦",LEN(LEFT(F342,N10))-LEN(SUBSTITUTE(LEFT(F342,N10)," ","")))),FIND(" ",F342&amp;" ",N10+1)-1)))</f>
        <v>1</v>
      </c>
      <c r="N342" s="234">
        <f t="shared" si="44"/>
        <v>325</v>
      </c>
      <c r="O342" s="165" t="str">
        <f t="shared" si="45"/>
        <v>0</v>
      </c>
      <c r="P342" s="234">
        <f t="shared" si="46"/>
        <v>1</v>
      </c>
      <c r="Q342" s="234">
        <f t="shared" si="47"/>
        <v>1</v>
      </c>
      <c r="DE342" s="152"/>
      <c r="DF342" s="160" t="s">
        <v>1595</v>
      </c>
      <c r="DG342" s="160" t="s">
        <v>617</v>
      </c>
      <c r="DH342" s="160" t="s">
        <v>125</v>
      </c>
      <c r="DI342" s="160" t="s">
        <v>1596</v>
      </c>
      <c r="DJ342" s="160" t="s">
        <v>1597</v>
      </c>
      <c r="DK342" s="160" t="s">
        <v>1259</v>
      </c>
      <c r="DL342" s="160" t="s">
        <v>1268</v>
      </c>
      <c r="DM342" s="160" t="s">
        <v>590</v>
      </c>
      <c r="DN342" s="161" t="s">
        <v>591</v>
      </c>
      <c r="DP342" s="130">
        <v>1</v>
      </c>
    </row>
    <row r="343" spans="2:120" ht="15">
      <c r="B343" s="231"/>
      <c r="C343" s="231"/>
      <c r="D343" s="231"/>
      <c r="E343" s="231" cm="1">
        <f t="array" ref="E343">IF(H342&lt;&gt;"",E342,IF(E342="","",IFERROR(MATCH(TRUE(),INDEX(INDEX(K:K,E342+1):K203&lt;&gt;"",0),0)+E342,"")))</f>
        <v>435</v>
      </c>
      <c r="F343" s="232" cm="1">
        <f t="array" ref="F343">IF(E343="","",IF(H342&lt;&gt;"",H342,INDEX(D:D,E343)))</f>
        <v>0</v>
      </c>
      <c r="G343" s="232" t="str">
        <f t="shared" si="42"/>
        <v>0</v>
      </c>
      <c r="H343" s="233" t="str">
        <f t="shared" si="43"/>
        <v/>
      </c>
      <c r="I343" s="231" t="str">
        <f>IF(AND(F343&lt;&gt;"",N10&gt;0,M343&gt;N10),"Mot &gt; limite","")</f>
        <v/>
      </c>
      <c r="M343" s="126">
        <f>IF(OR(F343="",N10="",N10&lt;=0),"",IF(LEN(F343)&lt;=N10,LEN(F343),IFERROR(FIND("♦",SUBSTITUTE(LEFT(F343,N10)," ","♦",LEN(LEFT(F343,N10))-LEN(SUBSTITUTE(LEFT(F343,N10)," ","")))),FIND(" ",F343&amp;" ",N10+1)-1)))</f>
        <v>1</v>
      </c>
      <c r="N343" s="234">
        <f t="shared" si="44"/>
        <v>326</v>
      </c>
      <c r="O343" s="165" t="str">
        <f t="shared" si="45"/>
        <v>0</v>
      </c>
      <c r="P343" s="234">
        <f t="shared" si="46"/>
        <v>1</v>
      </c>
      <c r="Q343" s="234">
        <f t="shared" si="47"/>
        <v>1</v>
      </c>
      <c r="DE343" s="152"/>
      <c r="DF343" s="160" t="s">
        <v>1598</v>
      </c>
      <c r="DG343" s="160" t="s">
        <v>617</v>
      </c>
      <c r="DH343" s="160" t="s">
        <v>125</v>
      </c>
      <c r="DI343" s="160" t="s">
        <v>441</v>
      </c>
      <c r="DJ343" s="160" t="s">
        <v>441</v>
      </c>
      <c r="DK343" s="160" t="s">
        <v>1259</v>
      </c>
      <c r="DL343" s="160" t="s">
        <v>1268</v>
      </c>
      <c r="DM343" s="160" t="s">
        <v>590</v>
      </c>
      <c r="DN343" s="161" t="s">
        <v>591</v>
      </c>
      <c r="DP343" s="130">
        <v>1</v>
      </c>
    </row>
    <row r="344" spans="2:120" ht="15">
      <c r="B344" s="231"/>
      <c r="C344" s="231"/>
      <c r="D344" s="231"/>
      <c r="E344" s="231" cm="1">
        <f t="array" ref="E344">IF(H343&lt;&gt;"",E343,IF(E343="","",IFERROR(MATCH(TRUE(),INDEX(INDEX(K:K,E343+1):K203&lt;&gt;"",0),0)+E343,"")))</f>
        <v>436</v>
      </c>
      <c r="F344" s="232" cm="1">
        <f t="array" ref="F344">IF(E344="","",IF(H343&lt;&gt;"",H343,INDEX(D:D,E344)))</f>
        <v>0</v>
      </c>
      <c r="G344" s="232" t="str">
        <f t="shared" si="42"/>
        <v>0</v>
      </c>
      <c r="H344" s="233" t="str">
        <f t="shared" si="43"/>
        <v/>
      </c>
      <c r="I344" s="231" t="str">
        <f>IF(AND(F344&lt;&gt;"",N10&gt;0,M344&gt;N10),"Mot &gt; limite","")</f>
        <v/>
      </c>
      <c r="M344" s="126">
        <f>IF(OR(F344="",N10="",N10&lt;=0),"",IF(LEN(F344)&lt;=N10,LEN(F344),IFERROR(FIND("♦",SUBSTITUTE(LEFT(F344,N10)," ","♦",LEN(LEFT(F344,N10))-LEN(SUBSTITUTE(LEFT(F344,N10)," ","")))),FIND(" ",F344&amp;" ",N10+1)-1)))</f>
        <v>1</v>
      </c>
      <c r="N344" s="234">
        <f t="shared" si="44"/>
        <v>327</v>
      </c>
      <c r="O344" s="165" t="str">
        <f t="shared" si="45"/>
        <v>0</v>
      </c>
      <c r="P344" s="234">
        <f t="shared" si="46"/>
        <v>1</v>
      </c>
      <c r="Q344" s="234">
        <f t="shared" si="47"/>
        <v>1</v>
      </c>
      <c r="DE344" s="152"/>
      <c r="DF344" s="160" t="s">
        <v>1599</v>
      </c>
      <c r="DG344" s="160" t="s">
        <v>617</v>
      </c>
      <c r="DH344" s="160" t="s">
        <v>125</v>
      </c>
      <c r="DI344" s="160" t="s">
        <v>442</v>
      </c>
      <c r="DJ344" s="160" t="s">
        <v>442</v>
      </c>
      <c r="DK344" s="160" t="s">
        <v>1259</v>
      </c>
      <c r="DL344" s="160" t="s">
        <v>1268</v>
      </c>
      <c r="DM344" s="160" t="s">
        <v>590</v>
      </c>
      <c r="DN344" s="161" t="s">
        <v>591</v>
      </c>
      <c r="DP344" s="130">
        <v>1</v>
      </c>
    </row>
    <row r="345" spans="2:120" ht="15">
      <c r="B345" s="231"/>
      <c r="C345" s="231"/>
      <c r="D345" s="231"/>
      <c r="E345" s="231" cm="1">
        <f t="array" ref="E345">IF(H344&lt;&gt;"",E344,IF(E344="","",IFERROR(MATCH(TRUE(),INDEX(INDEX(K:K,E344+1):K203&lt;&gt;"",0),0)+E344,"")))</f>
        <v>437</v>
      </c>
      <c r="F345" s="232" cm="1">
        <f t="array" ref="F345">IF(E345="","",IF(H344&lt;&gt;"",H344,INDEX(D:D,E345)))</f>
        <v>0</v>
      </c>
      <c r="G345" s="232" t="str">
        <f t="shared" si="42"/>
        <v>0</v>
      </c>
      <c r="H345" s="233" t="str">
        <f t="shared" si="43"/>
        <v/>
      </c>
      <c r="I345" s="231" t="str">
        <f>IF(AND(F345&lt;&gt;"",N10&gt;0,M345&gt;N10),"Mot &gt; limite","")</f>
        <v/>
      </c>
      <c r="M345" s="126">
        <f>IF(OR(F345="",N10="",N10&lt;=0),"",IF(LEN(F345)&lt;=N10,LEN(F345),IFERROR(FIND("♦",SUBSTITUTE(LEFT(F345,N10)," ","♦",LEN(LEFT(F345,N10))-LEN(SUBSTITUTE(LEFT(F345,N10)," ","")))),FIND(" ",F345&amp;" ",N10+1)-1)))</f>
        <v>1</v>
      </c>
      <c r="N345" s="234">
        <f t="shared" si="44"/>
        <v>328</v>
      </c>
      <c r="O345" s="165" t="str">
        <f t="shared" si="45"/>
        <v>0</v>
      </c>
      <c r="P345" s="234">
        <f t="shared" si="46"/>
        <v>1</v>
      </c>
      <c r="Q345" s="234">
        <f t="shared" si="47"/>
        <v>1</v>
      </c>
      <c r="DE345" s="152"/>
      <c r="DF345" s="160" t="s">
        <v>1600</v>
      </c>
      <c r="DG345" s="160" t="s">
        <v>617</v>
      </c>
      <c r="DH345" s="160" t="s">
        <v>125</v>
      </c>
      <c r="DI345" s="160" t="s">
        <v>443</v>
      </c>
      <c r="DJ345" s="160" t="s">
        <v>443</v>
      </c>
      <c r="DK345" s="160" t="s">
        <v>666</v>
      </c>
      <c r="DL345" s="160" t="s">
        <v>667</v>
      </c>
      <c r="DM345" s="160" t="s">
        <v>590</v>
      </c>
      <c r="DN345" s="161" t="s">
        <v>668</v>
      </c>
      <c r="DP345" s="130">
        <v>1</v>
      </c>
    </row>
    <row r="346" spans="2:120" ht="15">
      <c r="B346" s="231"/>
      <c r="C346" s="231"/>
      <c r="D346" s="231"/>
      <c r="E346" s="231" cm="1">
        <f t="array" ref="E346">IF(H345&lt;&gt;"",E345,IF(E345="","",IFERROR(MATCH(TRUE(),INDEX(INDEX(K:K,E345+1):K203&lt;&gt;"",0),0)+E345,"")))</f>
        <v>438</v>
      </c>
      <c r="F346" s="232" cm="1">
        <f t="array" ref="F346">IF(E346="","",IF(H345&lt;&gt;"",H345,INDEX(D:D,E346)))</f>
        <v>0</v>
      </c>
      <c r="G346" s="232" t="str">
        <f t="shared" si="42"/>
        <v>0</v>
      </c>
      <c r="H346" s="233" t="str">
        <f t="shared" si="43"/>
        <v/>
      </c>
      <c r="I346" s="231" t="str">
        <f>IF(AND(F346&lt;&gt;"",N10&gt;0,M346&gt;N10),"Mot &gt; limite","")</f>
        <v/>
      </c>
      <c r="M346" s="126">
        <f>IF(OR(F346="",N10="",N10&lt;=0),"",IF(LEN(F346)&lt;=N10,LEN(F346),IFERROR(FIND("♦",SUBSTITUTE(LEFT(F346,N10)," ","♦",LEN(LEFT(F346,N10))-LEN(SUBSTITUTE(LEFT(F346,N10)," ","")))),FIND(" ",F346&amp;" ",N10+1)-1)))</f>
        <v>1</v>
      </c>
      <c r="N346" s="234">
        <f t="shared" si="44"/>
        <v>329</v>
      </c>
      <c r="O346" s="165" t="str">
        <f t="shared" si="45"/>
        <v>0</v>
      </c>
      <c r="P346" s="234">
        <f t="shared" si="46"/>
        <v>1</v>
      </c>
      <c r="Q346" s="234">
        <f t="shared" si="47"/>
        <v>1</v>
      </c>
      <c r="DE346" s="152"/>
      <c r="DF346" s="160" t="s">
        <v>1601</v>
      </c>
      <c r="DG346" s="160" t="s">
        <v>617</v>
      </c>
      <c r="DH346" s="160" t="s">
        <v>125</v>
      </c>
      <c r="DI346" s="160" t="s">
        <v>1602</v>
      </c>
      <c r="DJ346" s="160" t="s">
        <v>1602</v>
      </c>
      <c r="DK346" s="160" t="s">
        <v>1259</v>
      </c>
      <c r="DL346" s="160" t="s">
        <v>1268</v>
      </c>
      <c r="DM346" s="160" t="s">
        <v>590</v>
      </c>
      <c r="DN346" s="161" t="s">
        <v>591</v>
      </c>
      <c r="DP346" s="130">
        <v>1</v>
      </c>
    </row>
    <row r="347" spans="2:120" ht="15">
      <c r="B347" s="231"/>
      <c r="C347" s="231"/>
      <c r="D347" s="231"/>
      <c r="E347" s="231" cm="1">
        <f t="array" ref="E347">IF(H346&lt;&gt;"",E346,IF(E346="","",IFERROR(MATCH(TRUE(),INDEX(INDEX(K:K,E346+1):K203&lt;&gt;"",0),0)+E346,"")))</f>
        <v>439</v>
      </c>
      <c r="F347" s="232" cm="1">
        <f t="array" ref="F347">IF(E347="","",IF(H346&lt;&gt;"",H346,INDEX(D:D,E347)))</f>
        <v>0</v>
      </c>
      <c r="G347" s="232" t="str">
        <f t="shared" si="42"/>
        <v>0</v>
      </c>
      <c r="H347" s="233" t="str">
        <f t="shared" si="43"/>
        <v/>
      </c>
      <c r="I347" s="231" t="str">
        <f>IF(AND(F347&lt;&gt;"",N10&gt;0,M347&gt;N10),"Mot &gt; limite","")</f>
        <v/>
      </c>
      <c r="M347" s="126">
        <f>IF(OR(F347="",N10="",N10&lt;=0),"",IF(LEN(F347)&lt;=N10,LEN(F347),IFERROR(FIND("♦",SUBSTITUTE(LEFT(F347,N10)," ","♦",LEN(LEFT(F347,N10))-LEN(SUBSTITUTE(LEFT(F347,N10)," ","")))),FIND(" ",F347&amp;" ",N10+1)-1)))</f>
        <v>1</v>
      </c>
      <c r="N347" s="234">
        <f t="shared" si="44"/>
        <v>330</v>
      </c>
      <c r="O347" s="165" t="str">
        <f t="shared" si="45"/>
        <v>0</v>
      </c>
      <c r="P347" s="234">
        <f t="shared" si="46"/>
        <v>1</v>
      </c>
      <c r="Q347" s="234">
        <f t="shared" si="47"/>
        <v>1</v>
      </c>
      <c r="DE347" s="152"/>
      <c r="DF347" s="160" t="s">
        <v>1603</v>
      </c>
      <c r="DG347" s="160" t="s">
        <v>617</v>
      </c>
      <c r="DH347" s="160" t="s">
        <v>125</v>
      </c>
      <c r="DI347" s="160" t="s">
        <v>1604</v>
      </c>
      <c r="DJ347" s="160" t="s">
        <v>1604</v>
      </c>
      <c r="DK347" s="160" t="s">
        <v>666</v>
      </c>
      <c r="DL347" s="160" t="s">
        <v>667</v>
      </c>
      <c r="DM347" s="160" t="s">
        <v>590</v>
      </c>
      <c r="DN347" s="161" t="s">
        <v>668</v>
      </c>
      <c r="DP347" s="130">
        <v>1</v>
      </c>
    </row>
    <row r="348" spans="2:120" ht="15">
      <c r="B348" s="231"/>
      <c r="C348" s="231"/>
      <c r="D348" s="231"/>
      <c r="E348" s="231" cm="1">
        <f t="array" ref="E348">IF(H347&lt;&gt;"",E347,IF(E347="","",IFERROR(MATCH(TRUE(),INDEX(INDEX(K:K,E347+1):K203&lt;&gt;"",0),0)+E347,"")))</f>
        <v>440</v>
      </c>
      <c r="F348" s="232" cm="1">
        <f t="array" ref="F348">IF(E348="","",IF(H347&lt;&gt;"",H347,INDEX(D:D,E348)))</f>
        <v>0</v>
      </c>
      <c r="G348" s="232" t="str">
        <f t="shared" si="42"/>
        <v>0</v>
      </c>
      <c r="H348" s="233" t="str">
        <f t="shared" si="43"/>
        <v/>
      </c>
      <c r="I348" s="231" t="str">
        <f>IF(AND(F348&lt;&gt;"",N10&gt;0,M348&gt;N10),"Mot &gt; limite","")</f>
        <v/>
      </c>
      <c r="M348" s="126">
        <f>IF(OR(F348="",N10="",N10&lt;=0),"",IF(LEN(F348)&lt;=N10,LEN(F348),IFERROR(FIND("♦",SUBSTITUTE(LEFT(F348,N10)," ","♦",LEN(LEFT(F348,N10))-LEN(SUBSTITUTE(LEFT(F348,N10)," ","")))),FIND(" ",F348&amp;" ",N10+1)-1)))</f>
        <v>1</v>
      </c>
      <c r="N348" s="234">
        <f t="shared" si="44"/>
        <v>331</v>
      </c>
      <c r="O348" s="165" t="str">
        <f t="shared" si="45"/>
        <v>0</v>
      </c>
      <c r="P348" s="234">
        <f t="shared" si="46"/>
        <v>1</v>
      </c>
      <c r="Q348" s="234">
        <f t="shared" si="47"/>
        <v>1</v>
      </c>
      <c r="DE348" s="152"/>
      <c r="DF348" s="160" t="s">
        <v>1605</v>
      </c>
      <c r="DG348" s="160" t="s">
        <v>617</v>
      </c>
      <c r="DH348" s="160" t="s">
        <v>125</v>
      </c>
      <c r="DI348" s="160" t="s">
        <v>1606</v>
      </c>
      <c r="DJ348" s="160" t="s">
        <v>1606</v>
      </c>
      <c r="DK348" s="160" t="s">
        <v>1259</v>
      </c>
      <c r="DL348" s="160" t="s">
        <v>1260</v>
      </c>
      <c r="DM348" s="160" t="s">
        <v>1261</v>
      </c>
      <c r="DN348" s="161" t="s">
        <v>1262</v>
      </c>
      <c r="DP348" s="130">
        <v>1</v>
      </c>
    </row>
    <row r="349" spans="2:120" ht="15">
      <c r="B349" s="231"/>
      <c r="C349" s="231"/>
      <c r="D349" s="231"/>
      <c r="E349" s="231" cm="1">
        <f t="array" ref="E349">IF(H348&lt;&gt;"",E348,IF(E348="","",IFERROR(MATCH(TRUE(),INDEX(INDEX(K:K,E348+1):K203&lt;&gt;"",0),0)+E348,"")))</f>
        <v>441</v>
      </c>
      <c r="F349" s="232" cm="1">
        <f t="array" ref="F349">IF(E349="","",IF(H348&lt;&gt;"",H348,INDEX(D:D,E349)))</f>
        <v>0</v>
      </c>
      <c r="G349" s="232" t="str">
        <f t="shared" si="42"/>
        <v>0</v>
      </c>
      <c r="H349" s="233" t="str">
        <f t="shared" si="43"/>
        <v/>
      </c>
      <c r="I349" s="231" t="str">
        <f>IF(AND(F349&lt;&gt;"",N10&gt;0,M349&gt;N10),"Mot &gt; limite","")</f>
        <v/>
      </c>
      <c r="M349" s="126">
        <f>IF(OR(F349="",N10="",N10&lt;=0),"",IF(LEN(F349)&lt;=N10,LEN(F349),IFERROR(FIND("♦",SUBSTITUTE(LEFT(F349,N10)," ","♦",LEN(LEFT(F349,N10))-LEN(SUBSTITUTE(LEFT(F349,N10)," ","")))),FIND(" ",F349&amp;" ",N10+1)-1)))</f>
        <v>1</v>
      </c>
      <c r="N349" s="234">
        <f t="shared" si="44"/>
        <v>332</v>
      </c>
      <c r="O349" s="165" t="str">
        <f t="shared" si="45"/>
        <v>0</v>
      </c>
      <c r="P349" s="234">
        <f t="shared" si="46"/>
        <v>1</v>
      </c>
      <c r="Q349" s="234">
        <f t="shared" si="47"/>
        <v>1</v>
      </c>
      <c r="DE349" s="152"/>
      <c r="DF349" s="160" t="s">
        <v>1607</v>
      </c>
      <c r="DG349" s="160" t="s">
        <v>617</v>
      </c>
      <c r="DH349" s="160" t="s">
        <v>125</v>
      </c>
      <c r="DI349" s="160" t="s">
        <v>1608</v>
      </c>
      <c r="DJ349" s="160" t="s">
        <v>1608</v>
      </c>
      <c r="DK349" s="160" t="s">
        <v>1259</v>
      </c>
      <c r="DL349" s="160" t="s">
        <v>1268</v>
      </c>
      <c r="DM349" s="160" t="s">
        <v>590</v>
      </c>
      <c r="DN349" s="161" t="s">
        <v>591</v>
      </c>
      <c r="DP349" s="130">
        <v>1</v>
      </c>
    </row>
    <row r="350" spans="2:120" ht="15">
      <c r="B350" s="231"/>
      <c r="C350" s="231"/>
      <c r="D350" s="231"/>
      <c r="E350" s="231" cm="1">
        <f t="array" ref="E350">IF(H349&lt;&gt;"",E349,IF(E349="","",IFERROR(MATCH(TRUE(),INDEX(INDEX(K:K,E349+1):K203&lt;&gt;"",0),0)+E349,"")))</f>
        <v>442</v>
      </c>
      <c r="F350" s="232" cm="1">
        <f t="array" ref="F350">IF(E350="","",IF(H349&lt;&gt;"",H349,INDEX(D:D,E350)))</f>
        <v>0</v>
      </c>
      <c r="G350" s="232" t="str">
        <f t="shared" si="42"/>
        <v>0</v>
      </c>
      <c r="H350" s="233" t="str">
        <f t="shared" si="43"/>
        <v/>
      </c>
      <c r="I350" s="231" t="str">
        <f>IF(AND(F350&lt;&gt;"",N10&gt;0,M350&gt;N10),"Mot &gt; limite","")</f>
        <v/>
      </c>
      <c r="M350" s="126">
        <f>IF(OR(F350="",N10="",N10&lt;=0),"",IF(LEN(F350)&lt;=N10,LEN(F350),IFERROR(FIND("♦",SUBSTITUTE(LEFT(F350,N10)," ","♦",LEN(LEFT(F350,N10))-LEN(SUBSTITUTE(LEFT(F350,N10)," ","")))),FIND(" ",F350&amp;" ",N10+1)-1)))</f>
        <v>1</v>
      </c>
      <c r="N350" s="234">
        <f t="shared" si="44"/>
        <v>333</v>
      </c>
      <c r="O350" s="165" t="str">
        <f t="shared" si="45"/>
        <v>0</v>
      </c>
      <c r="P350" s="234">
        <f t="shared" si="46"/>
        <v>1</v>
      </c>
      <c r="Q350" s="234">
        <f t="shared" si="47"/>
        <v>1</v>
      </c>
      <c r="DE350" s="152"/>
      <c r="DF350" s="160" t="s">
        <v>1609</v>
      </c>
      <c r="DG350" s="160" t="s">
        <v>617</v>
      </c>
      <c r="DH350" s="160" t="s">
        <v>125</v>
      </c>
      <c r="DI350" s="160" t="s">
        <v>1610</v>
      </c>
      <c r="DJ350" s="160" t="s">
        <v>1610</v>
      </c>
      <c r="DK350" s="160" t="s">
        <v>1259</v>
      </c>
      <c r="DL350" s="160" t="s">
        <v>1260</v>
      </c>
      <c r="DM350" s="160" t="s">
        <v>1261</v>
      </c>
      <c r="DN350" s="161" t="s">
        <v>1262</v>
      </c>
      <c r="DP350" s="130">
        <v>1</v>
      </c>
    </row>
    <row r="351" spans="2:120" ht="15">
      <c r="B351" s="231"/>
      <c r="C351" s="231"/>
      <c r="D351" s="231"/>
      <c r="E351" s="231" cm="1">
        <f t="array" ref="E351">IF(H350&lt;&gt;"",E350,IF(E350="","",IFERROR(MATCH(TRUE(),INDEX(INDEX(K:K,E350+1):K203&lt;&gt;"",0),0)+E350,"")))</f>
        <v>443</v>
      </c>
      <c r="F351" s="232" cm="1">
        <f t="array" ref="F351">IF(E351="","",IF(H350&lt;&gt;"",H350,INDEX(D:D,E351)))</f>
        <v>0</v>
      </c>
      <c r="G351" s="232" t="str">
        <f t="shared" si="42"/>
        <v>0</v>
      </c>
      <c r="H351" s="233" t="str">
        <f t="shared" si="43"/>
        <v/>
      </c>
      <c r="I351" s="231" t="str">
        <f>IF(AND(F351&lt;&gt;"",N10&gt;0,M351&gt;N10),"Mot &gt; limite","")</f>
        <v/>
      </c>
      <c r="M351" s="126">
        <f>IF(OR(F351="",N10="",N10&lt;=0),"",IF(LEN(F351)&lt;=N10,LEN(F351),IFERROR(FIND("♦",SUBSTITUTE(LEFT(F351,N10)," ","♦",LEN(LEFT(F351,N10))-LEN(SUBSTITUTE(LEFT(F351,N10)," ","")))),FIND(" ",F351&amp;" ",N10+1)-1)))</f>
        <v>1</v>
      </c>
      <c r="N351" s="234">
        <f t="shared" si="44"/>
        <v>334</v>
      </c>
      <c r="O351" s="165" t="str">
        <f t="shared" si="45"/>
        <v>0</v>
      </c>
      <c r="P351" s="234">
        <f t="shared" si="46"/>
        <v>1</v>
      </c>
      <c r="Q351" s="234">
        <f t="shared" si="47"/>
        <v>1</v>
      </c>
      <c r="DE351" s="152"/>
      <c r="DF351" s="160" t="s">
        <v>1611</v>
      </c>
      <c r="DG351" s="160" t="s">
        <v>617</v>
      </c>
      <c r="DH351" s="160" t="s">
        <v>125</v>
      </c>
      <c r="DI351" s="160" t="s">
        <v>1612</v>
      </c>
      <c r="DJ351" s="160" t="s">
        <v>1612</v>
      </c>
      <c r="DK351" s="160" t="s">
        <v>1259</v>
      </c>
      <c r="DL351" s="160" t="s">
        <v>1268</v>
      </c>
      <c r="DM351" s="160" t="s">
        <v>590</v>
      </c>
      <c r="DN351" s="161" t="s">
        <v>591</v>
      </c>
      <c r="DP351" s="130">
        <v>1</v>
      </c>
    </row>
    <row r="352" spans="2:120" ht="15">
      <c r="B352" s="231"/>
      <c r="C352" s="231"/>
      <c r="D352" s="231"/>
      <c r="E352" s="231" cm="1">
        <f t="array" ref="E352">IF(H351&lt;&gt;"",E351,IF(E351="","",IFERROR(MATCH(TRUE(),INDEX(INDEX(K:K,E351+1):K203&lt;&gt;"",0),0)+E351,"")))</f>
        <v>444</v>
      </c>
      <c r="F352" s="232" cm="1">
        <f t="array" ref="F352">IF(E352="","",IF(H351&lt;&gt;"",H351,INDEX(D:D,E352)))</f>
        <v>0</v>
      </c>
      <c r="G352" s="232" t="str">
        <f t="shared" si="42"/>
        <v>0</v>
      </c>
      <c r="H352" s="233" t="str">
        <f t="shared" si="43"/>
        <v/>
      </c>
      <c r="I352" s="231" t="str">
        <f>IF(AND(F352&lt;&gt;"",N10&gt;0,M352&gt;N10),"Mot &gt; limite","")</f>
        <v/>
      </c>
      <c r="M352" s="126">
        <f>IF(OR(F352="",N10="",N10&lt;=0),"",IF(LEN(F352)&lt;=N10,LEN(F352),IFERROR(FIND("♦",SUBSTITUTE(LEFT(F352,N10)," ","♦",LEN(LEFT(F352,N10))-LEN(SUBSTITUTE(LEFT(F352,N10)," ","")))),FIND(" ",F352&amp;" ",N10+1)-1)))</f>
        <v>1</v>
      </c>
      <c r="N352" s="234">
        <f t="shared" si="44"/>
        <v>335</v>
      </c>
      <c r="O352" s="165" t="str">
        <f t="shared" si="45"/>
        <v>0</v>
      </c>
      <c r="P352" s="234">
        <f t="shared" si="46"/>
        <v>1</v>
      </c>
      <c r="Q352" s="234">
        <f t="shared" si="47"/>
        <v>1</v>
      </c>
      <c r="DE352" s="152"/>
      <c r="DF352" s="160" t="s">
        <v>1613</v>
      </c>
      <c r="DG352" s="160" t="s">
        <v>621</v>
      </c>
      <c r="DH352" s="160" t="s">
        <v>125</v>
      </c>
      <c r="DI352" s="160" t="s">
        <v>1614</v>
      </c>
      <c r="DJ352" s="160" t="s">
        <v>1615</v>
      </c>
      <c r="DK352" s="160" t="s">
        <v>588</v>
      </c>
      <c r="DL352" s="160" t="s">
        <v>1616</v>
      </c>
      <c r="DM352" s="160" t="s">
        <v>590</v>
      </c>
      <c r="DN352" s="161" t="s">
        <v>591</v>
      </c>
      <c r="DP352" s="130">
        <v>1</v>
      </c>
    </row>
    <row r="353" spans="2:120" ht="15">
      <c r="B353" s="231"/>
      <c r="C353" s="231"/>
      <c r="D353" s="231"/>
      <c r="E353" s="231" cm="1">
        <f t="array" ref="E353">IF(H352&lt;&gt;"",E352,IF(E352="","",IFERROR(MATCH(TRUE(),INDEX(INDEX(K:K,E352+1):K203&lt;&gt;"",0),0)+E352,"")))</f>
        <v>445</v>
      </c>
      <c r="F353" s="232" cm="1">
        <f t="array" ref="F353">IF(E353="","",IF(H352&lt;&gt;"",H352,INDEX(D:D,E353)))</f>
        <v>0</v>
      </c>
      <c r="G353" s="232" t="str">
        <f t="shared" si="42"/>
        <v>0</v>
      </c>
      <c r="H353" s="233" t="str">
        <f t="shared" si="43"/>
        <v/>
      </c>
      <c r="I353" s="231" t="str">
        <f>IF(AND(F353&lt;&gt;"",N10&gt;0,M353&gt;N10),"Mot &gt; limite","")</f>
        <v/>
      </c>
      <c r="M353" s="126">
        <f>IF(OR(F353="",N10="",N10&lt;=0),"",IF(LEN(F353)&lt;=N10,LEN(F353),IFERROR(FIND("♦",SUBSTITUTE(LEFT(F353,N10)," ","♦",LEN(LEFT(F353,N10))-LEN(SUBSTITUTE(LEFT(F353,N10)," ","")))),FIND(" ",F353&amp;" ",N10+1)-1)))</f>
        <v>1</v>
      </c>
      <c r="N353" s="234">
        <f t="shared" si="44"/>
        <v>336</v>
      </c>
      <c r="O353" s="165" t="str">
        <f t="shared" si="45"/>
        <v>0</v>
      </c>
      <c r="P353" s="234">
        <f t="shared" si="46"/>
        <v>1</v>
      </c>
      <c r="Q353" s="234">
        <f t="shared" si="47"/>
        <v>1</v>
      </c>
      <c r="DE353" s="152"/>
      <c r="DF353" s="160" t="s">
        <v>1617</v>
      </c>
      <c r="DG353" s="160" t="s">
        <v>621</v>
      </c>
      <c r="DH353" s="160" t="s">
        <v>125</v>
      </c>
      <c r="DI353" s="160" t="s">
        <v>273</v>
      </c>
      <c r="DJ353" s="160" t="s">
        <v>273</v>
      </c>
      <c r="DK353" s="160" t="s">
        <v>588</v>
      </c>
      <c r="DL353" s="160" t="s">
        <v>1616</v>
      </c>
      <c r="DM353" s="160" t="s">
        <v>590</v>
      </c>
      <c r="DN353" s="161" t="s">
        <v>591</v>
      </c>
      <c r="DP353" s="130">
        <v>1</v>
      </c>
    </row>
    <row r="354" spans="2:120" ht="15">
      <c r="B354" s="231"/>
      <c r="C354" s="231"/>
      <c r="D354" s="231"/>
      <c r="E354" s="231" cm="1">
        <f t="array" ref="E354">IF(H353&lt;&gt;"",E353,IF(E353="","",IFERROR(MATCH(TRUE(),INDEX(INDEX(K:K,E353+1):K203&lt;&gt;"",0),0)+E353,"")))</f>
        <v>446</v>
      </c>
      <c r="F354" s="232" cm="1">
        <f t="array" ref="F354">IF(E354="","",IF(H353&lt;&gt;"",H353,INDEX(D:D,E354)))</f>
        <v>0</v>
      </c>
      <c r="G354" s="232" t="str">
        <f t="shared" si="42"/>
        <v>0</v>
      </c>
      <c r="H354" s="233" t="str">
        <f t="shared" si="43"/>
        <v/>
      </c>
      <c r="I354" s="231" t="str">
        <f>IF(AND(F354&lt;&gt;"",N10&gt;0,M354&gt;N10),"Mot &gt; limite","")</f>
        <v/>
      </c>
      <c r="M354" s="126">
        <f>IF(OR(F354="",N10="",N10&lt;=0),"",IF(LEN(F354)&lt;=N10,LEN(F354),IFERROR(FIND("♦",SUBSTITUTE(LEFT(F354,N10)," ","♦",LEN(LEFT(F354,N10))-LEN(SUBSTITUTE(LEFT(F354,N10)," ","")))),FIND(" ",F354&amp;" ",N10+1)-1)))</f>
        <v>1</v>
      </c>
      <c r="N354" s="234">
        <f t="shared" si="44"/>
        <v>337</v>
      </c>
      <c r="O354" s="165" t="str">
        <f t="shared" si="45"/>
        <v>0</v>
      </c>
      <c r="P354" s="234">
        <f t="shared" si="46"/>
        <v>1</v>
      </c>
      <c r="Q354" s="234">
        <f t="shared" si="47"/>
        <v>1</v>
      </c>
      <c r="DE354" s="152"/>
      <c r="DF354" s="160" t="s">
        <v>1618</v>
      </c>
      <c r="DG354" s="160" t="s">
        <v>621</v>
      </c>
      <c r="DH354" s="160" t="s">
        <v>125</v>
      </c>
      <c r="DI354" s="160" t="s">
        <v>1619</v>
      </c>
      <c r="DJ354" s="160" t="s">
        <v>1620</v>
      </c>
      <c r="DK354" s="160" t="s">
        <v>588</v>
      </c>
      <c r="DL354" s="160" t="s">
        <v>1616</v>
      </c>
      <c r="DM354" s="160" t="s">
        <v>590</v>
      </c>
      <c r="DN354" s="161" t="s">
        <v>591</v>
      </c>
      <c r="DP354" s="130">
        <v>1</v>
      </c>
    </row>
    <row r="355" spans="2:120" ht="15">
      <c r="B355" s="231"/>
      <c r="C355" s="231"/>
      <c r="D355" s="231"/>
      <c r="E355" s="231" cm="1">
        <f t="array" ref="E355">IF(H354&lt;&gt;"",E354,IF(E354="","",IFERROR(MATCH(TRUE(),INDEX(INDEX(K:K,E354+1):K203&lt;&gt;"",0),0)+E354,"")))</f>
        <v>447</v>
      </c>
      <c r="F355" s="232" cm="1">
        <f t="array" ref="F355">IF(E355="","",IF(H354&lt;&gt;"",H354,INDEX(D:D,E355)))</f>
        <v>0</v>
      </c>
      <c r="G355" s="232" t="str">
        <f t="shared" si="42"/>
        <v>0</v>
      </c>
      <c r="H355" s="233" t="str">
        <f t="shared" si="43"/>
        <v/>
      </c>
      <c r="I355" s="231" t="str">
        <f>IF(AND(F355&lt;&gt;"",N10&gt;0,M355&gt;N10),"Mot &gt; limite","")</f>
        <v/>
      </c>
      <c r="M355" s="126">
        <f>IF(OR(F355="",N10="",N10&lt;=0),"",IF(LEN(F355)&lt;=N10,LEN(F355),IFERROR(FIND("♦",SUBSTITUTE(LEFT(F355,N10)," ","♦",LEN(LEFT(F355,N10))-LEN(SUBSTITUTE(LEFT(F355,N10)," ","")))),FIND(" ",F355&amp;" ",N10+1)-1)))</f>
        <v>1</v>
      </c>
      <c r="N355" s="234">
        <f t="shared" si="44"/>
        <v>338</v>
      </c>
      <c r="O355" s="165" t="str">
        <f t="shared" si="45"/>
        <v>0</v>
      </c>
      <c r="P355" s="234">
        <f t="shared" si="46"/>
        <v>1</v>
      </c>
      <c r="Q355" s="234">
        <f t="shared" si="47"/>
        <v>1</v>
      </c>
      <c r="DE355" s="152"/>
      <c r="DF355" s="160" t="s">
        <v>1621</v>
      </c>
      <c r="DG355" s="160" t="s">
        <v>621</v>
      </c>
      <c r="DH355" s="160" t="s">
        <v>125</v>
      </c>
      <c r="DI355" s="160" t="s">
        <v>1622</v>
      </c>
      <c r="DJ355" s="160" t="s">
        <v>457</v>
      </c>
      <c r="DK355" s="160" t="s">
        <v>588</v>
      </c>
      <c r="DL355" s="160" t="s">
        <v>1616</v>
      </c>
      <c r="DM355" s="160" t="s">
        <v>590</v>
      </c>
      <c r="DN355" s="161" t="s">
        <v>591</v>
      </c>
      <c r="DP355" s="130">
        <v>1</v>
      </c>
    </row>
    <row r="356" spans="2:120" ht="15">
      <c r="B356" s="231"/>
      <c r="C356" s="231"/>
      <c r="D356" s="231"/>
      <c r="E356" s="231" cm="1">
        <f t="array" ref="E356">IF(H355&lt;&gt;"",E355,IF(E355="","",IFERROR(MATCH(TRUE(),INDEX(INDEX(K:K,E355+1):K203&lt;&gt;"",0),0)+E355,"")))</f>
        <v>448</v>
      </c>
      <c r="F356" s="232" cm="1">
        <f t="array" ref="F356">IF(E356="","",IF(H355&lt;&gt;"",H355,INDEX(D:D,E356)))</f>
        <v>0</v>
      </c>
      <c r="G356" s="232" t="str">
        <f t="shared" si="42"/>
        <v>0</v>
      </c>
      <c r="H356" s="233" t="str">
        <f t="shared" si="43"/>
        <v/>
      </c>
      <c r="I356" s="231" t="str">
        <f>IF(AND(F356&lt;&gt;"",N10&gt;0,M356&gt;N10),"Mot &gt; limite","")</f>
        <v/>
      </c>
      <c r="M356" s="126">
        <f>IF(OR(F356="",N10="",N10&lt;=0),"",IF(LEN(F356)&lt;=N10,LEN(F356),IFERROR(FIND("♦",SUBSTITUTE(LEFT(F356,N10)," ","♦",LEN(LEFT(F356,N10))-LEN(SUBSTITUTE(LEFT(F356,N10)," ","")))),FIND(" ",F356&amp;" ",N10+1)-1)))</f>
        <v>1</v>
      </c>
      <c r="N356" s="234">
        <f t="shared" si="44"/>
        <v>339</v>
      </c>
      <c r="O356" s="165" t="str">
        <f t="shared" si="45"/>
        <v>0</v>
      </c>
      <c r="P356" s="234">
        <f t="shared" si="46"/>
        <v>1</v>
      </c>
      <c r="Q356" s="234">
        <f t="shared" si="47"/>
        <v>1</v>
      </c>
      <c r="DE356" s="152"/>
      <c r="DF356" s="160" t="s">
        <v>1623</v>
      </c>
      <c r="DG356" s="160" t="s">
        <v>621</v>
      </c>
      <c r="DH356" s="160" t="s">
        <v>125</v>
      </c>
      <c r="DI356" s="160" t="s">
        <v>1624</v>
      </c>
      <c r="DJ356" s="160" t="s">
        <v>274</v>
      </c>
      <c r="DK356" s="160" t="s">
        <v>588</v>
      </c>
      <c r="DL356" s="160" t="s">
        <v>1616</v>
      </c>
      <c r="DM356" s="160" t="s">
        <v>590</v>
      </c>
      <c r="DN356" s="161" t="s">
        <v>591</v>
      </c>
      <c r="DP356" s="130">
        <v>1</v>
      </c>
    </row>
    <row r="357" spans="2:120" ht="15">
      <c r="B357" s="231"/>
      <c r="C357" s="231"/>
      <c r="D357" s="231"/>
      <c r="E357" s="231" cm="1">
        <f t="array" ref="E357">IF(H356&lt;&gt;"",E356,IF(E356="","",IFERROR(MATCH(TRUE(),INDEX(INDEX(K:K,E356+1):K203&lt;&gt;"",0),0)+E356,"")))</f>
        <v>449</v>
      </c>
      <c r="F357" s="232" cm="1">
        <f t="array" ref="F357">IF(E357="","",IF(H356&lt;&gt;"",H356,INDEX(D:D,E357)))</f>
        <v>0</v>
      </c>
      <c r="G357" s="232" t="str">
        <f t="shared" si="42"/>
        <v>0</v>
      </c>
      <c r="H357" s="233" t="str">
        <f t="shared" si="43"/>
        <v/>
      </c>
      <c r="I357" s="231" t="str">
        <f>IF(AND(F357&lt;&gt;"",N10&gt;0,M357&gt;N10),"Mot &gt; limite","")</f>
        <v/>
      </c>
      <c r="M357" s="126">
        <f>IF(OR(F357="",N10="",N10&lt;=0),"",IF(LEN(F357)&lt;=N10,LEN(F357),IFERROR(FIND("♦",SUBSTITUTE(LEFT(F357,N10)," ","♦",LEN(LEFT(F357,N10))-LEN(SUBSTITUTE(LEFT(F357,N10)," ","")))),FIND(" ",F357&amp;" ",N10+1)-1)))</f>
        <v>1</v>
      </c>
      <c r="N357" s="234">
        <f t="shared" si="44"/>
        <v>340</v>
      </c>
      <c r="O357" s="165" t="str">
        <f t="shared" si="45"/>
        <v>0</v>
      </c>
      <c r="P357" s="234">
        <f t="shared" si="46"/>
        <v>1</v>
      </c>
      <c r="Q357" s="234">
        <f t="shared" si="47"/>
        <v>1</v>
      </c>
      <c r="DE357" s="152"/>
      <c r="DF357" s="160" t="s">
        <v>1625</v>
      </c>
      <c r="DG357" s="160" t="s">
        <v>621</v>
      </c>
      <c r="DH357" s="160" t="s">
        <v>125</v>
      </c>
      <c r="DI357" s="160" t="s">
        <v>1626</v>
      </c>
      <c r="DJ357" s="160" t="s">
        <v>275</v>
      </c>
      <c r="DK357" s="160" t="s">
        <v>588</v>
      </c>
      <c r="DL357" s="160" t="s">
        <v>1616</v>
      </c>
      <c r="DM357" s="160" t="s">
        <v>590</v>
      </c>
      <c r="DN357" s="161" t="s">
        <v>591</v>
      </c>
      <c r="DP357" s="130">
        <v>1</v>
      </c>
    </row>
    <row r="358" spans="2:120" ht="15">
      <c r="B358" s="231"/>
      <c r="C358" s="231"/>
      <c r="D358" s="231"/>
      <c r="E358" s="231" cm="1">
        <f t="array" ref="E358">IF(H357&lt;&gt;"",E357,IF(E357="","",IFERROR(MATCH(TRUE(),INDEX(INDEX(K:K,E357+1):K203&lt;&gt;"",0),0)+E357,"")))</f>
        <v>450</v>
      </c>
      <c r="F358" s="232" cm="1">
        <f t="array" ref="F358">IF(E358="","",IF(H357&lt;&gt;"",H357,INDEX(D:D,E358)))</f>
        <v>0</v>
      </c>
      <c r="G358" s="232" t="str">
        <f t="shared" si="42"/>
        <v>0</v>
      </c>
      <c r="H358" s="233" t="str">
        <f t="shared" si="43"/>
        <v/>
      </c>
      <c r="I358" s="231" t="str">
        <f>IF(AND(F358&lt;&gt;"",N10&gt;0,M358&gt;N10),"Mot &gt; limite","")</f>
        <v/>
      </c>
      <c r="M358" s="126">
        <f>IF(OR(F358="",N10="",N10&lt;=0),"",IF(LEN(F358)&lt;=N10,LEN(F358),IFERROR(FIND("♦",SUBSTITUTE(LEFT(F358,N10)," ","♦",LEN(LEFT(F358,N10))-LEN(SUBSTITUTE(LEFT(F358,N10)," ","")))),FIND(" ",F358&amp;" ",N10+1)-1)))</f>
        <v>1</v>
      </c>
      <c r="N358" s="234">
        <f t="shared" si="44"/>
        <v>341</v>
      </c>
      <c r="O358" s="165" t="str">
        <f t="shared" si="45"/>
        <v>0</v>
      </c>
      <c r="P358" s="234">
        <f t="shared" si="46"/>
        <v>1</v>
      </c>
      <c r="Q358" s="234">
        <f t="shared" si="47"/>
        <v>1</v>
      </c>
      <c r="DE358" s="152"/>
      <c r="DF358" s="160" t="s">
        <v>1627</v>
      </c>
      <c r="DG358" s="160" t="s">
        <v>621</v>
      </c>
      <c r="DH358" s="160" t="s">
        <v>125</v>
      </c>
      <c r="DI358" s="160" t="s">
        <v>1628</v>
      </c>
      <c r="DJ358" s="160" t="s">
        <v>1628</v>
      </c>
      <c r="DK358" s="160" t="s">
        <v>588</v>
      </c>
      <c r="DL358" s="160" t="s">
        <v>1616</v>
      </c>
      <c r="DM358" s="160" t="s">
        <v>590</v>
      </c>
      <c r="DN358" s="161" t="s">
        <v>591</v>
      </c>
      <c r="DP358" s="130">
        <v>1</v>
      </c>
    </row>
    <row r="359" spans="2:120" ht="15">
      <c r="B359" s="231"/>
      <c r="C359" s="231"/>
      <c r="D359" s="231"/>
      <c r="E359" s="231" cm="1">
        <f t="array" ref="E359">IF(H358&lt;&gt;"",E358,IF(E358="","",IFERROR(MATCH(TRUE(),INDEX(INDEX(K:K,E358+1):K203&lt;&gt;"",0),0)+E358,"")))</f>
        <v>451</v>
      </c>
      <c r="F359" s="232" cm="1">
        <f t="array" ref="F359">IF(E359="","",IF(H358&lt;&gt;"",H358,INDEX(D:D,E359)))</f>
        <v>0</v>
      </c>
      <c r="G359" s="232" t="str">
        <f t="shared" si="42"/>
        <v>0</v>
      </c>
      <c r="H359" s="233" t="str">
        <f t="shared" si="43"/>
        <v/>
      </c>
      <c r="I359" s="231" t="str">
        <f>IF(AND(F359&lt;&gt;"",N10&gt;0,M359&gt;N10),"Mot &gt; limite","")</f>
        <v/>
      </c>
      <c r="M359" s="126">
        <f>IF(OR(F359="",N10="",N10&lt;=0),"",IF(LEN(F359)&lt;=N10,LEN(F359),IFERROR(FIND("♦",SUBSTITUTE(LEFT(F359,N10)," ","♦",LEN(LEFT(F359,N10))-LEN(SUBSTITUTE(LEFT(F359,N10)," ","")))),FIND(" ",F359&amp;" ",N10+1)-1)))</f>
        <v>1</v>
      </c>
      <c r="N359" s="234">
        <f t="shared" si="44"/>
        <v>342</v>
      </c>
      <c r="O359" s="165" t="str">
        <f t="shared" si="45"/>
        <v>0</v>
      </c>
      <c r="P359" s="234">
        <f t="shared" si="46"/>
        <v>1</v>
      </c>
      <c r="Q359" s="234">
        <f t="shared" si="47"/>
        <v>1</v>
      </c>
      <c r="DE359" s="152"/>
      <c r="DF359" s="160" t="s">
        <v>1629</v>
      </c>
      <c r="DG359" s="160" t="s">
        <v>621</v>
      </c>
      <c r="DH359" s="160" t="s">
        <v>125</v>
      </c>
      <c r="DI359" s="160" t="s">
        <v>1630</v>
      </c>
      <c r="DJ359" s="160" t="s">
        <v>1630</v>
      </c>
      <c r="DK359" s="160" t="s">
        <v>588</v>
      </c>
      <c r="DL359" s="160" t="s">
        <v>1616</v>
      </c>
      <c r="DM359" s="160" t="s">
        <v>590</v>
      </c>
      <c r="DN359" s="161" t="s">
        <v>591</v>
      </c>
      <c r="DP359" s="130">
        <v>1</v>
      </c>
    </row>
    <row r="360" spans="2:120" ht="15">
      <c r="B360" s="231"/>
      <c r="C360" s="231"/>
      <c r="D360" s="231"/>
      <c r="E360" s="231" cm="1">
        <f t="array" ref="E360">IF(H359&lt;&gt;"",E359,IF(E359="","",IFERROR(MATCH(TRUE(),INDEX(INDEX(K:K,E359+1):K203&lt;&gt;"",0),0)+E359,"")))</f>
        <v>452</v>
      </c>
      <c r="F360" s="232" cm="1">
        <f t="array" ref="F360">IF(E360="","",IF(H359&lt;&gt;"",H359,INDEX(D:D,E360)))</f>
        <v>0</v>
      </c>
      <c r="G360" s="232" t="str">
        <f t="shared" si="42"/>
        <v>0</v>
      </c>
      <c r="H360" s="233" t="str">
        <f t="shared" si="43"/>
        <v/>
      </c>
      <c r="I360" s="231" t="str">
        <f>IF(AND(F360&lt;&gt;"",N10&gt;0,M360&gt;N10),"Mot &gt; limite","")</f>
        <v/>
      </c>
      <c r="M360" s="126">
        <f>IF(OR(F360="",N10="",N10&lt;=0),"",IF(LEN(F360)&lt;=N10,LEN(F360),IFERROR(FIND("♦",SUBSTITUTE(LEFT(F360,N10)," ","♦",LEN(LEFT(F360,N10))-LEN(SUBSTITUTE(LEFT(F360,N10)," ","")))),FIND(" ",F360&amp;" ",N10+1)-1)))</f>
        <v>1</v>
      </c>
      <c r="N360" s="234">
        <f t="shared" si="44"/>
        <v>343</v>
      </c>
      <c r="O360" s="165" t="str">
        <f t="shared" si="45"/>
        <v>0</v>
      </c>
      <c r="P360" s="234">
        <f t="shared" si="46"/>
        <v>1</v>
      </c>
      <c r="Q360" s="234">
        <f t="shared" si="47"/>
        <v>1</v>
      </c>
      <c r="DE360" s="152"/>
      <c r="DF360" s="160" t="s">
        <v>1631</v>
      </c>
      <c r="DG360" s="160" t="s">
        <v>621</v>
      </c>
      <c r="DH360" s="160" t="s">
        <v>125</v>
      </c>
      <c r="DI360" s="160" t="s">
        <v>1632</v>
      </c>
      <c r="DJ360" s="160" t="s">
        <v>1632</v>
      </c>
      <c r="DK360" s="160" t="s">
        <v>588</v>
      </c>
      <c r="DL360" s="160" t="s">
        <v>1616</v>
      </c>
      <c r="DM360" s="160" t="s">
        <v>590</v>
      </c>
      <c r="DN360" s="161" t="s">
        <v>591</v>
      </c>
      <c r="DP360" s="130">
        <v>1</v>
      </c>
    </row>
    <row r="361" spans="2:120" ht="15">
      <c r="B361" s="231"/>
      <c r="C361" s="231"/>
      <c r="D361" s="231"/>
      <c r="E361" s="231" cm="1">
        <f t="array" ref="E361">IF(H360&lt;&gt;"",E360,IF(E360="","",IFERROR(MATCH(TRUE(),INDEX(INDEX(K:K,E360+1):K203&lt;&gt;"",0),0)+E360,"")))</f>
        <v>453</v>
      </c>
      <c r="F361" s="232" cm="1">
        <f t="array" ref="F361">IF(E361="","",IF(H360&lt;&gt;"",H360,INDEX(D:D,E361)))</f>
        <v>0</v>
      </c>
      <c r="G361" s="232" t="str">
        <f t="shared" si="42"/>
        <v>0</v>
      </c>
      <c r="H361" s="233" t="str">
        <f t="shared" si="43"/>
        <v/>
      </c>
      <c r="I361" s="231" t="str">
        <f>IF(AND(F361&lt;&gt;"",N10&gt;0,M361&gt;N10),"Mot &gt; limite","")</f>
        <v/>
      </c>
      <c r="M361" s="126">
        <f>IF(OR(F361="",N10="",N10&lt;=0),"",IF(LEN(F361)&lt;=N10,LEN(F361),IFERROR(FIND("♦",SUBSTITUTE(LEFT(F361,N10)," ","♦",LEN(LEFT(F361,N10))-LEN(SUBSTITUTE(LEFT(F361,N10)," ","")))),FIND(" ",F361&amp;" ",N10+1)-1)))</f>
        <v>1</v>
      </c>
      <c r="N361" s="234">
        <f t="shared" si="44"/>
        <v>344</v>
      </c>
      <c r="O361" s="165" t="str">
        <f t="shared" si="45"/>
        <v>0</v>
      </c>
      <c r="P361" s="234">
        <f t="shared" si="46"/>
        <v>1</v>
      </c>
      <c r="Q361" s="234">
        <f t="shared" si="47"/>
        <v>1</v>
      </c>
      <c r="DE361" s="152"/>
      <c r="DF361" s="160" t="s">
        <v>1633</v>
      </c>
      <c r="DG361" s="160" t="s">
        <v>621</v>
      </c>
      <c r="DH361" s="160" t="s">
        <v>125</v>
      </c>
      <c r="DI361" s="160" t="s">
        <v>1634</v>
      </c>
      <c r="DJ361" s="160" t="s">
        <v>1635</v>
      </c>
      <c r="DK361" s="160" t="s">
        <v>588</v>
      </c>
      <c r="DL361" s="160" t="s">
        <v>1616</v>
      </c>
      <c r="DM361" s="160" t="s">
        <v>590</v>
      </c>
      <c r="DN361" s="161" t="s">
        <v>591</v>
      </c>
      <c r="DP361" s="130">
        <v>1</v>
      </c>
    </row>
    <row r="362" spans="2:120" ht="15">
      <c r="B362" s="231"/>
      <c r="C362" s="231"/>
      <c r="D362" s="231"/>
      <c r="E362" s="231" cm="1">
        <f t="array" ref="E362">IF(H361&lt;&gt;"",E361,IF(E361="","",IFERROR(MATCH(TRUE(),INDEX(INDEX(K:K,E361+1):K203&lt;&gt;"",0),0)+E361,"")))</f>
        <v>454</v>
      </c>
      <c r="F362" s="232" cm="1">
        <f t="array" ref="F362">IF(E362="","",IF(H361&lt;&gt;"",H361,INDEX(D:D,E362)))</f>
        <v>0</v>
      </c>
      <c r="G362" s="232" t="str">
        <f t="shared" si="42"/>
        <v>0</v>
      </c>
      <c r="H362" s="233" t="str">
        <f t="shared" si="43"/>
        <v/>
      </c>
      <c r="I362" s="231" t="str">
        <f>IF(AND(F362&lt;&gt;"",N10&gt;0,M362&gt;N10),"Mot &gt; limite","")</f>
        <v/>
      </c>
      <c r="M362" s="126">
        <f>IF(OR(F362="",N10="",N10&lt;=0),"",IF(LEN(F362)&lt;=N10,LEN(F362),IFERROR(FIND("♦",SUBSTITUTE(LEFT(F362,N10)," ","♦",LEN(LEFT(F362,N10))-LEN(SUBSTITUTE(LEFT(F362,N10)," ","")))),FIND(" ",F362&amp;" ",N10+1)-1)))</f>
        <v>1</v>
      </c>
      <c r="N362" s="234">
        <f t="shared" si="44"/>
        <v>345</v>
      </c>
      <c r="O362" s="165" t="str">
        <f t="shared" si="45"/>
        <v>0</v>
      </c>
      <c r="P362" s="234">
        <f t="shared" si="46"/>
        <v>1</v>
      </c>
      <c r="Q362" s="234">
        <f t="shared" si="47"/>
        <v>1</v>
      </c>
      <c r="DE362" s="152"/>
      <c r="DF362" s="160" t="s">
        <v>1636</v>
      </c>
      <c r="DG362" s="160" t="s">
        <v>621</v>
      </c>
      <c r="DH362" s="160" t="s">
        <v>125</v>
      </c>
      <c r="DI362" s="160" t="s">
        <v>1637</v>
      </c>
      <c r="DJ362" s="160" t="s">
        <v>1638</v>
      </c>
      <c r="DK362" s="160" t="s">
        <v>588</v>
      </c>
      <c r="DL362" s="160" t="s">
        <v>1616</v>
      </c>
      <c r="DM362" s="160" t="s">
        <v>590</v>
      </c>
      <c r="DN362" s="161" t="s">
        <v>591</v>
      </c>
      <c r="DP362" s="130">
        <v>1</v>
      </c>
    </row>
    <row r="363" spans="2:120" ht="15">
      <c r="B363" s="231"/>
      <c r="C363" s="231"/>
      <c r="D363" s="231"/>
      <c r="E363" s="231" cm="1">
        <f t="array" ref="E363">IF(H362&lt;&gt;"",E362,IF(E362="","",IFERROR(MATCH(TRUE(),INDEX(INDEX(K:K,E362+1):K203&lt;&gt;"",0),0)+E362,"")))</f>
        <v>455</v>
      </c>
      <c r="F363" s="232" cm="1">
        <f t="array" ref="F363">IF(E363="","",IF(H362&lt;&gt;"",H362,INDEX(D:D,E363)))</f>
        <v>0</v>
      </c>
      <c r="G363" s="232" t="str">
        <f t="shared" si="42"/>
        <v>0</v>
      </c>
      <c r="H363" s="233" t="str">
        <f t="shared" si="43"/>
        <v/>
      </c>
      <c r="I363" s="231" t="str">
        <f>IF(AND(F363&lt;&gt;"",N10&gt;0,M363&gt;N10),"Mot &gt; limite","")</f>
        <v/>
      </c>
      <c r="M363" s="126">
        <f>IF(OR(F363="",N10="",N10&lt;=0),"",IF(LEN(F363)&lt;=N10,LEN(F363),IFERROR(FIND("♦",SUBSTITUTE(LEFT(F363,N10)," ","♦",LEN(LEFT(F363,N10))-LEN(SUBSTITUTE(LEFT(F363,N10)," ","")))),FIND(" ",F363&amp;" ",N10+1)-1)))</f>
        <v>1</v>
      </c>
      <c r="N363" s="234">
        <f t="shared" si="44"/>
        <v>346</v>
      </c>
      <c r="O363" s="165" t="str">
        <f t="shared" si="45"/>
        <v>0</v>
      </c>
      <c r="P363" s="234">
        <f t="shared" si="46"/>
        <v>1</v>
      </c>
      <c r="Q363" s="234">
        <f t="shared" si="47"/>
        <v>1</v>
      </c>
      <c r="DE363" s="152"/>
      <c r="DF363" s="160" t="s">
        <v>1639</v>
      </c>
      <c r="DG363" s="160" t="s">
        <v>621</v>
      </c>
      <c r="DH363" s="160" t="s">
        <v>125</v>
      </c>
      <c r="DI363" s="160" t="s">
        <v>1640</v>
      </c>
      <c r="DJ363" s="160" t="s">
        <v>1641</v>
      </c>
      <c r="DK363" s="160" t="s">
        <v>588</v>
      </c>
      <c r="DL363" s="160" t="s">
        <v>1616</v>
      </c>
      <c r="DM363" s="160" t="s">
        <v>590</v>
      </c>
      <c r="DN363" s="161" t="s">
        <v>591</v>
      </c>
      <c r="DP363" s="130">
        <v>1</v>
      </c>
    </row>
    <row r="364" spans="2:120" ht="15">
      <c r="B364" s="231"/>
      <c r="C364" s="231"/>
      <c r="D364" s="231"/>
      <c r="E364" s="231" cm="1">
        <f t="array" ref="E364">IF(H363&lt;&gt;"",E363,IF(E363="","",IFERROR(MATCH(TRUE(),INDEX(INDEX(K:K,E363+1):K203&lt;&gt;"",0),0)+E363,"")))</f>
        <v>456</v>
      </c>
      <c r="F364" s="232" cm="1">
        <f t="array" ref="F364">IF(E364="","",IF(H363&lt;&gt;"",H363,INDEX(D:D,E364)))</f>
        <v>0</v>
      </c>
      <c r="G364" s="232" t="str">
        <f t="shared" si="42"/>
        <v>0</v>
      </c>
      <c r="H364" s="233" t="str">
        <f t="shared" si="43"/>
        <v/>
      </c>
      <c r="I364" s="231" t="str">
        <f>IF(AND(F364&lt;&gt;"",N10&gt;0,M364&gt;N10),"Mot &gt; limite","")</f>
        <v/>
      </c>
      <c r="M364" s="126">
        <f>IF(OR(F364="",N10="",N10&lt;=0),"",IF(LEN(F364)&lt;=N10,LEN(F364),IFERROR(FIND("♦",SUBSTITUTE(LEFT(F364,N10)," ","♦",LEN(LEFT(F364,N10))-LEN(SUBSTITUTE(LEFT(F364,N10)," ","")))),FIND(" ",F364&amp;" ",N10+1)-1)))</f>
        <v>1</v>
      </c>
      <c r="N364" s="234">
        <f t="shared" si="44"/>
        <v>347</v>
      </c>
      <c r="O364" s="165" t="str">
        <f t="shared" si="45"/>
        <v>0</v>
      </c>
      <c r="P364" s="234">
        <f t="shared" si="46"/>
        <v>1</v>
      </c>
      <c r="Q364" s="234">
        <f t="shared" si="47"/>
        <v>1</v>
      </c>
      <c r="DE364" s="152"/>
      <c r="DF364" s="160" t="s">
        <v>1642</v>
      </c>
      <c r="DG364" s="160" t="s">
        <v>621</v>
      </c>
      <c r="DH364" s="160" t="s">
        <v>125</v>
      </c>
      <c r="DI364" s="160" t="s">
        <v>1643</v>
      </c>
      <c r="DJ364" s="160" t="s">
        <v>1644</v>
      </c>
      <c r="DK364" s="160" t="s">
        <v>588</v>
      </c>
      <c r="DL364" s="160" t="s">
        <v>1616</v>
      </c>
      <c r="DM364" s="160" t="s">
        <v>590</v>
      </c>
      <c r="DN364" s="161" t="s">
        <v>591</v>
      </c>
      <c r="DP364" s="130">
        <v>1</v>
      </c>
    </row>
    <row r="365" spans="2:120" ht="15">
      <c r="B365" s="231"/>
      <c r="C365" s="231"/>
      <c r="D365" s="231"/>
      <c r="E365" s="231" cm="1">
        <f t="array" ref="E365">IF(H364&lt;&gt;"",E364,IF(E364="","",IFERROR(MATCH(TRUE(),INDEX(INDEX(K:K,E364+1):K203&lt;&gt;"",0),0)+E364,"")))</f>
        <v>457</v>
      </c>
      <c r="F365" s="232" cm="1">
        <f t="array" ref="F365">IF(E365="","",IF(H364&lt;&gt;"",H364,INDEX(D:D,E365)))</f>
        <v>0</v>
      </c>
      <c r="G365" s="232" t="str">
        <f t="shared" si="42"/>
        <v>0</v>
      </c>
      <c r="H365" s="233" t="str">
        <f t="shared" si="43"/>
        <v/>
      </c>
      <c r="I365" s="231" t="str">
        <f>IF(AND(F365&lt;&gt;"",N10&gt;0,M365&gt;N10),"Mot &gt; limite","")</f>
        <v/>
      </c>
      <c r="M365" s="126">
        <f>IF(OR(F365="",N10="",N10&lt;=0),"",IF(LEN(F365)&lt;=N10,LEN(F365),IFERROR(FIND("♦",SUBSTITUTE(LEFT(F365,N10)," ","♦",LEN(LEFT(F365,N10))-LEN(SUBSTITUTE(LEFT(F365,N10)," ","")))),FIND(" ",F365&amp;" ",N10+1)-1)))</f>
        <v>1</v>
      </c>
      <c r="N365" s="234">
        <f t="shared" si="44"/>
        <v>348</v>
      </c>
      <c r="O365" s="165" t="str">
        <f t="shared" si="45"/>
        <v>0</v>
      </c>
      <c r="P365" s="234">
        <f t="shared" si="46"/>
        <v>1</v>
      </c>
      <c r="Q365" s="234">
        <f t="shared" si="47"/>
        <v>1</v>
      </c>
      <c r="DE365" s="152"/>
      <c r="DF365" s="160" t="s">
        <v>1645</v>
      </c>
      <c r="DG365" s="160" t="s">
        <v>621</v>
      </c>
      <c r="DH365" s="160" t="s">
        <v>125</v>
      </c>
      <c r="DI365" s="160" t="s">
        <v>1646</v>
      </c>
      <c r="DJ365" s="160" t="s">
        <v>1647</v>
      </c>
      <c r="DK365" s="160" t="s">
        <v>588</v>
      </c>
      <c r="DL365" s="160" t="s">
        <v>1616</v>
      </c>
      <c r="DM365" s="160" t="s">
        <v>590</v>
      </c>
      <c r="DN365" s="161" t="s">
        <v>591</v>
      </c>
      <c r="DP365" s="130">
        <v>1</v>
      </c>
    </row>
    <row r="366" spans="2:120" ht="15">
      <c r="B366" s="231"/>
      <c r="C366" s="231"/>
      <c r="D366" s="231"/>
      <c r="E366" s="231" cm="1">
        <f t="array" ref="E366">IF(H365&lt;&gt;"",E365,IF(E365="","",IFERROR(MATCH(TRUE(),INDEX(INDEX(K:K,E365+1):K203&lt;&gt;"",0),0)+E365,"")))</f>
        <v>458</v>
      </c>
      <c r="F366" s="232" cm="1">
        <f t="array" ref="F366">IF(E366="","",IF(H365&lt;&gt;"",H365,INDEX(D:D,E366)))</f>
        <v>0</v>
      </c>
      <c r="G366" s="232" t="str">
        <f t="shared" si="42"/>
        <v>0</v>
      </c>
      <c r="H366" s="233" t="str">
        <f t="shared" si="43"/>
        <v/>
      </c>
      <c r="I366" s="231" t="str">
        <f>IF(AND(F366&lt;&gt;"",N10&gt;0,M366&gt;N10),"Mot &gt; limite","")</f>
        <v/>
      </c>
      <c r="M366" s="126">
        <f>IF(OR(F366="",N10="",N10&lt;=0),"",IF(LEN(F366)&lt;=N10,LEN(F366),IFERROR(FIND("♦",SUBSTITUTE(LEFT(F366,N10)," ","♦",LEN(LEFT(F366,N10))-LEN(SUBSTITUTE(LEFT(F366,N10)," ","")))),FIND(" ",F366&amp;" ",N10+1)-1)))</f>
        <v>1</v>
      </c>
      <c r="N366" s="234">
        <f t="shared" si="44"/>
        <v>349</v>
      </c>
      <c r="O366" s="165" t="str">
        <f t="shared" si="45"/>
        <v>0</v>
      </c>
      <c r="P366" s="234">
        <f t="shared" si="46"/>
        <v>1</v>
      </c>
      <c r="Q366" s="234">
        <f t="shared" si="47"/>
        <v>1</v>
      </c>
      <c r="DE366" s="152"/>
      <c r="DF366" s="160" t="s">
        <v>1648</v>
      </c>
      <c r="DG366" s="160" t="s">
        <v>621</v>
      </c>
      <c r="DH366" s="160" t="s">
        <v>125</v>
      </c>
      <c r="DI366" s="160" t="s">
        <v>1649</v>
      </c>
      <c r="DJ366" s="160" t="s">
        <v>513</v>
      </c>
      <c r="DK366" s="160" t="s">
        <v>588</v>
      </c>
      <c r="DL366" s="160" t="s">
        <v>1616</v>
      </c>
      <c r="DM366" s="160" t="s">
        <v>590</v>
      </c>
      <c r="DN366" s="161" t="s">
        <v>591</v>
      </c>
      <c r="DP366" s="130">
        <v>1</v>
      </c>
    </row>
    <row r="367" spans="2:120" ht="15">
      <c r="B367" s="231"/>
      <c r="C367" s="231"/>
      <c r="D367" s="231"/>
      <c r="E367" s="231" cm="1">
        <f t="array" ref="E367">IF(H366&lt;&gt;"",E366,IF(E366="","",IFERROR(MATCH(TRUE(),INDEX(INDEX(K:K,E366+1):K203&lt;&gt;"",0),0)+E366,"")))</f>
        <v>459</v>
      </c>
      <c r="F367" s="232" cm="1">
        <f t="array" ref="F367">IF(E367="","",IF(H366&lt;&gt;"",H366,INDEX(D:D,E367)))</f>
        <v>0</v>
      </c>
      <c r="G367" s="232" t="str">
        <f t="shared" si="42"/>
        <v>0</v>
      </c>
      <c r="H367" s="233" t="str">
        <f t="shared" si="43"/>
        <v/>
      </c>
      <c r="I367" s="231" t="str">
        <f>IF(AND(F367&lt;&gt;"",N10&gt;0,M367&gt;N10),"Mot &gt; limite","")</f>
        <v/>
      </c>
      <c r="M367" s="126">
        <f>IF(OR(F367="",N10="",N10&lt;=0),"",IF(LEN(F367)&lt;=N10,LEN(F367),IFERROR(FIND("♦",SUBSTITUTE(LEFT(F367,N10)," ","♦",LEN(LEFT(F367,N10))-LEN(SUBSTITUTE(LEFT(F367,N10)," ","")))),FIND(" ",F367&amp;" ",N10+1)-1)))</f>
        <v>1</v>
      </c>
      <c r="N367" s="234">
        <f t="shared" si="44"/>
        <v>350</v>
      </c>
      <c r="O367" s="165" t="str">
        <f t="shared" si="45"/>
        <v>0</v>
      </c>
      <c r="P367" s="234">
        <f t="shared" si="46"/>
        <v>1</v>
      </c>
      <c r="Q367" s="234">
        <f t="shared" si="47"/>
        <v>1</v>
      </c>
      <c r="DE367" s="152"/>
      <c r="DF367" s="160" t="s">
        <v>1650</v>
      </c>
      <c r="DG367" s="160" t="s">
        <v>621</v>
      </c>
      <c r="DH367" s="160" t="s">
        <v>125</v>
      </c>
      <c r="DI367" s="160" t="s">
        <v>1651</v>
      </c>
      <c r="DJ367" s="160" t="s">
        <v>1652</v>
      </c>
      <c r="DK367" s="160" t="s">
        <v>588</v>
      </c>
      <c r="DL367" s="160" t="s">
        <v>1616</v>
      </c>
      <c r="DM367" s="160" t="s">
        <v>590</v>
      </c>
      <c r="DN367" s="161" t="s">
        <v>591</v>
      </c>
      <c r="DP367" s="130">
        <v>1</v>
      </c>
    </row>
    <row r="368" spans="2:120" ht="15">
      <c r="B368" s="231"/>
      <c r="C368" s="231"/>
      <c r="D368" s="231"/>
      <c r="E368" s="231" cm="1">
        <f t="array" ref="E368">IF(H367&lt;&gt;"",E367,IF(E367="","",IFERROR(MATCH(TRUE(),INDEX(INDEX(K:K,E367+1):K203&lt;&gt;"",0),0)+E367,"")))</f>
        <v>460</v>
      </c>
      <c r="F368" s="232" cm="1">
        <f t="array" ref="F368">IF(E368="","",IF(H367&lt;&gt;"",H367,INDEX(D:D,E368)))</f>
        <v>0</v>
      </c>
      <c r="G368" s="232" t="str">
        <f t="shared" si="42"/>
        <v>0</v>
      </c>
      <c r="H368" s="233" t="str">
        <f t="shared" si="43"/>
        <v/>
      </c>
      <c r="I368" s="231" t="str">
        <f>IF(AND(F368&lt;&gt;"",N10&gt;0,M368&gt;N10),"Mot &gt; limite","")</f>
        <v/>
      </c>
      <c r="M368" s="126">
        <f>IF(OR(F368="",N10="",N10&lt;=0),"",IF(LEN(F368)&lt;=N10,LEN(F368),IFERROR(FIND("♦",SUBSTITUTE(LEFT(F368,N10)," ","♦",LEN(LEFT(F368,N10))-LEN(SUBSTITUTE(LEFT(F368,N10)," ","")))),FIND(" ",F368&amp;" ",N10+1)-1)))</f>
        <v>1</v>
      </c>
      <c r="N368" s="234">
        <f t="shared" si="44"/>
        <v>351</v>
      </c>
      <c r="O368" s="165" t="str">
        <f t="shared" si="45"/>
        <v>0</v>
      </c>
      <c r="P368" s="234">
        <f t="shared" si="46"/>
        <v>1</v>
      </c>
      <c r="Q368" s="234">
        <f t="shared" si="47"/>
        <v>1</v>
      </c>
      <c r="DE368" s="152"/>
      <c r="DF368" s="160" t="s">
        <v>1653</v>
      </c>
      <c r="DG368" s="160" t="s">
        <v>621</v>
      </c>
      <c r="DH368" s="160" t="s">
        <v>125</v>
      </c>
      <c r="DI368" s="160" t="s">
        <v>1654</v>
      </c>
      <c r="DJ368" s="160" t="s">
        <v>1654</v>
      </c>
      <c r="DK368" s="160" t="s">
        <v>666</v>
      </c>
      <c r="DL368" s="160" t="s">
        <v>667</v>
      </c>
      <c r="DM368" s="160" t="s">
        <v>590</v>
      </c>
      <c r="DN368" s="161" t="s">
        <v>668</v>
      </c>
      <c r="DP368" s="130">
        <v>1</v>
      </c>
    </row>
    <row r="369" spans="2:120" ht="15">
      <c r="B369" s="231"/>
      <c r="C369" s="231"/>
      <c r="D369" s="231"/>
      <c r="E369" s="231" cm="1">
        <f t="array" ref="E369">IF(H368&lt;&gt;"",E368,IF(E368="","",IFERROR(MATCH(TRUE(),INDEX(INDEX(K:K,E368+1):K203&lt;&gt;"",0),0)+E368,"")))</f>
        <v>461</v>
      </c>
      <c r="F369" s="232" cm="1">
        <f t="array" ref="F369">IF(E369="","",IF(H368&lt;&gt;"",H368,INDEX(D:D,E369)))</f>
        <v>0</v>
      </c>
      <c r="G369" s="232" t="str">
        <f t="shared" si="42"/>
        <v>0</v>
      </c>
      <c r="H369" s="233" t="str">
        <f t="shared" si="43"/>
        <v/>
      </c>
      <c r="I369" s="231" t="str">
        <f>IF(AND(F369&lt;&gt;"",N10&gt;0,M369&gt;N10),"Mot &gt; limite","")</f>
        <v/>
      </c>
      <c r="M369" s="126">
        <f>IF(OR(F369="",N10="",N10&lt;=0),"",IF(LEN(F369)&lt;=N10,LEN(F369),IFERROR(FIND("♦",SUBSTITUTE(LEFT(F369,N10)," ","♦",LEN(LEFT(F369,N10))-LEN(SUBSTITUTE(LEFT(F369,N10)," ","")))),FIND(" ",F369&amp;" ",N10+1)-1)))</f>
        <v>1</v>
      </c>
      <c r="N369" s="234">
        <f t="shared" si="44"/>
        <v>352</v>
      </c>
      <c r="O369" s="165" t="str">
        <f t="shared" si="45"/>
        <v>0</v>
      </c>
      <c r="P369" s="234">
        <f t="shared" si="46"/>
        <v>1</v>
      </c>
      <c r="Q369" s="234">
        <f t="shared" si="47"/>
        <v>1</v>
      </c>
      <c r="DE369" s="152"/>
      <c r="DF369" s="160" t="s">
        <v>1655</v>
      </c>
      <c r="DG369" s="160" t="s">
        <v>621</v>
      </c>
      <c r="DH369" s="160" t="s">
        <v>125</v>
      </c>
      <c r="DI369" s="160" t="s">
        <v>1656</v>
      </c>
      <c r="DJ369" s="160" t="s">
        <v>1656</v>
      </c>
      <c r="DK369" s="160" t="s">
        <v>666</v>
      </c>
      <c r="DL369" s="160" t="s">
        <v>667</v>
      </c>
      <c r="DM369" s="160" t="s">
        <v>590</v>
      </c>
      <c r="DN369" s="161" t="s">
        <v>668</v>
      </c>
      <c r="DP369" s="130">
        <v>1</v>
      </c>
    </row>
    <row r="370" spans="2:120" ht="15">
      <c r="B370" s="231"/>
      <c r="C370" s="231"/>
      <c r="D370" s="231"/>
      <c r="E370" s="231" cm="1">
        <f t="array" ref="E370">IF(H369&lt;&gt;"",E369,IF(E369="","",IFERROR(MATCH(TRUE(),INDEX(INDEX(K:K,E369+1):K203&lt;&gt;"",0),0)+E369,"")))</f>
        <v>462</v>
      </c>
      <c r="F370" s="232" cm="1">
        <f t="array" ref="F370">IF(E370="","",IF(H369&lt;&gt;"",H369,INDEX(D:D,E370)))</f>
        <v>0</v>
      </c>
      <c r="G370" s="232" t="str">
        <f t="shared" si="42"/>
        <v>0</v>
      </c>
      <c r="H370" s="233" t="str">
        <f t="shared" si="43"/>
        <v/>
      </c>
      <c r="I370" s="231" t="str">
        <f>IF(AND(F370&lt;&gt;"",N10&gt;0,M370&gt;N10),"Mot &gt; limite","")</f>
        <v/>
      </c>
      <c r="M370" s="126">
        <f>IF(OR(F370="",N10="",N10&lt;=0),"",IF(LEN(F370)&lt;=N10,LEN(F370),IFERROR(FIND("♦",SUBSTITUTE(LEFT(F370,N10)," ","♦",LEN(LEFT(F370,N10))-LEN(SUBSTITUTE(LEFT(F370,N10)," ","")))),FIND(" ",F370&amp;" ",N10+1)-1)))</f>
        <v>1</v>
      </c>
      <c r="N370" s="234">
        <f t="shared" si="44"/>
        <v>353</v>
      </c>
      <c r="O370" s="165" t="str">
        <f t="shared" si="45"/>
        <v>0</v>
      </c>
      <c r="P370" s="234">
        <f t="shared" si="46"/>
        <v>1</v>
      </c>
      <c r="Q370" s="234">
        <f t="shared" si="47"/>
        <v>1</v>
      </c>
      <c r="DE370" s="152"/>
      <c r="DF370" s="160" t="s">
        <v>1657</v>
      </c>
      <c r="DG370" s="160" t="s">
        <v>621</v>
      </c>
      <c r="DH370" s="160" t="s">
        <v>125</v>
      </c>
      <c r="DI370" s="160" t="s">
        <v>1658</v>
      </c>
      <c r="DJ370" s="160" t="s">
        <v>1658</v>
      </c>
      <c r="DK370" s="160" t="s">
        <v>666</v>
      </c>
      <c r="DL370" s="160" t="s">
        <v>667</v>
      </c>
      <c r="DM370" s="160" t="s">
        <v>590</v>
      </c>
      <c r="DN370" s="161" t="s">
        <v>668</v>
      </c>
      <c r="DP370" s="130">
        <v>1</v>
      </c>
    </row>
    <row r="371" spans="2:120" ht="15">
      <c r="B371" s="231"/>
      <c r="C371" s="231"/>
      <c r="D371" s="231"/>
      <c r="E371" s="231" cm="1">
        <f t="array" ref="E371">IF(H370&lt;&gt;"",E370,IF(E370="","",IFERROR(MATCH(TRUE(),INDEX(INDEX(K:K,E370+1):K203&lt;&gt;"",0),0)+E370,"")))</f>
        <v>463</v>
      </c>
      <c r="F371" s="232" cm="1">
        <f t="array" ref="F371">IF(E371="","",IF(H370&lt;&gt;"",H370,INDEX(D:D,E371)))</f>
        <v>0</v>
      </c>
      <c r="G371" s="232" t="str">
        <f t="shared" si="42"/>
        <v>0</v>
      </c>
      <c r="H371" s="233" t="str">
        <f t="shared" si="43"/>
        <v/>
      </c>
      <c r="I371" s="231" t="str">
        <f>IF(AND(F371&lt;&gt;"",N10&gt;0,M371&gt;N10),"Mot &gt; limite","")</f>
        <v/>
      </c>
      <c r="M371" s="126">
        <f>IF(OR(F371="",N10="",N10&lt;=0),"",IF(LEN(F371)&lt;=N10,LEN(F371),IFERROR(FIND("♦",SUBSTITUTE(LEFT(F371,N10)," ","♦",LEN(LEFT(F371,N10))-LEN(SUBSTITUTE(LEFT(F371,N10)," ","")))),FIND(" ",F371&amp;" ",N10+1)-1)))</f>
        <v>1</v>
      </c>
      <c r="N371" s="234">
        <f t="shared" si="44"/>
        <v>354</v>
      </c>
      <c r="O371" s="165" t="str">
        <f t="shared" si="45"/>
        <v>0</v>
      </c>
      <c r="P371" s="234">
        <f t="shared" si="46"/>
        <v>1</v>
      </c>
      <c r="Q371" s="234">
        <f t="shared" si="47"/>
        <v>1</v>
      </c>
      <c r="DE371" s="152"/>
      <c r="DF371" s="160" t="s">
        <v>1659</v>
      </c>
      <c r="DG371" s="160" t="s">
        <v>621</v>
      </c>
      <c r="DH371" s="160" t="s">
        <v>125</v>
      </c>
      <c r="DI371" s="160" t="s">
        <v>1660</v>
      </c>
      <c r="DJ371" s="160" t="s">
        <v>1660</v>
      </c>
      <c r="DK371" s="160" t="s">
        <v>666</v>
      </c>
      <c r="DL371" s="160" t="s">
        <v>667</v>
      </c>
      <c r="DM371" s="160" t="s">
        <v>590</v>
      </c>
      <c r="DN371" s="161" t="s">
        <v>668</v>
      </c>
      <c r="DP371" s="130">
        <v>1</v>
      </c>
    </row>
    <row r="372" spans="2:120" ht="15">
      <c r="B372" s="231"/>
      <c r="C372" s="231"/>
      <c r="D372" s="231"/>
      <c r="E372" s="231" cm="1">
        <f t="array" ref="E372">IF(H371&lt;&gt;"",E371,IF(E371="","",IFERROR(MATCH(TRUE(),INDEX(INDEX(K:K,E371+1):K203&lt;&gt;"",0),0)+E371,"")))</f>
        <v>464</v>
      </c>
      <c r="F372" s="232" cm="1">
        <f t="array" ref="F372">IF(E372="","",IF(H371&lt;&gt;"",H371,INDEX(D:D,E372)))</f>
        <v>0</v>
      </c>
      <c r="G372" s="232" t="str">
        <f t="shared" si="42"/>
        <v>0</v>
      </c>
      <c r="H372" s="233" t="str">
        <f t="shared" si="43"/>
        <v/>
      </c>
      <c r="I372" s="231" t="str">
        <f>IF(AND(F372&lt;&gt;"",N10&gt;0,M372&gt;N10),"Mot &gt; limite","")</f>
        <v/>
      </c>
      <c r="M372" s="126">
        <f>IF(OR(F372="",N10="",N10&lt;=0),"",IF(LEN(F372)&lt;=N10,LEN(F372),IFERROR(FIND("♦",SUBSTITUTE(LEFT(F372,N10)," ","♦",LEN(LEFT(F372,N10))-LEN(SUBSTITUTE(LEFT(F372,N10)," ","")))),FIND(" ",F372&amp;" ",N10+1)-1)))</f>
        <v>1</v>
      </c>
      <c r="N372" s="234">
        <f t="shared" si="44"/>
        <v>355</v>
      </c>
      <c r="O372" s="165" t="str">
        <f t="shared" si="45"/>
        <v>0</v>
      </c>
      <c r="P372" s="234">
        <f t="shared" si="46"/>
        <v>1</v>
      </c>
      <c r="Q372" s="234">
        <f t="shared" si="47"/>
        <v>1</v>
      </c>
      <c r="DE372" s="152"/>
      <c r="DF372" s="160" t="s">
        <v>1661</v>
      </c>
      <c r="DG372" s="160" t="s">
        <v>621</v>
      </c>
      <c r="DH372" s="160" t="s">
        <v>125</v>
      </c>
      <c r="DI372" s="160" t="s">
        <v>1662</v>
      </c>
      <c r="DJ372" s="160" t="s">
        <v>1662</v>
      </c>
      <c r="DK372" s="160" t="s">
        <v>666</v>
      </c>
      <c r="DL372" s="160" t="s">
        <v>667</v>
      </c>
      <c r="DM372" s="160" t="s">
        <v>590</v>
      </c>
      <c r="DN372" s="161" t="s">
        <v>668</v>
      </c>
      <c r="DP372" s="130">
        <v>1</v>
      </c>
    </row>
    <row r="373" spans="2:120" ht="15">
      <c r="B373" s="231"/>
      <c r="C373" s="231"/>
      <c r="D373" s="231"/>
      <c r="E373" s="231" cm="1">
        <f t="array" ref="E373">IF(H372&lt;&gt;"",E372,IF(E372="","",IFERROR(MATCH(TRUE(),INDEX(INDEX(K:K,E372+1):K203&lt;&gt;"",0),0)+E372,"")))</f>
        <v>465</v>
      </c>
      <c r="F373" s="232" cm="1">
        <f t="array" ref="F373">IF(E373="","",IF(H372&lt;&gt;"",H372,INDEX(D:D,E373)))</f>
        <v>0</v>
      </c>
      <c r="G373" s="232" t="str">
        <f t="shared" si="42"/>
        <v>0</v>
      </c>
      <c r="H373" s="233" t="str">
        <f t="shared" si="43"/>
        <v/>
      </c>
      <c r="I373" s="231" t="str">
        <f>IF(AND(F373&lt;&gt;"",N10&gt;0,M373&gt;N10),"Mot &gt; limite","")</f>
        <v/>
      </c>
      <c r="M373" s="126">
        <f>IF(OR(F373="",N10="",N10&lt;=0),"",IF(LEN(F373)&lt;=N10,LEN(F373),IFERROR(FIND("♦",SUBSTITUTE(LEFT(F373,N10)," ","♦",LEN(LEFT(F373,N10))-LEN(SUBSTITUTE(LEFT(F373,N10)," ","")))),FIND(" ",F373&amp;" ",N10+1)-1)))</f>
        <v>1</v>
      </c>
      <c r="N373" s="234">
        <f t="shared" si="44"/>
        <v>356</v>
      </c>
      <c r="O373" s="165" t="str">
        <f t="shared" si="45"/>
        <v>0</v>
      </c>
      <c r="P373" s="234">
        <f t="shared" si="46"/>
        <v>1</v>
      </c>
      <c r="Q373" s="234">
        <f t="shared" si="47"/>
        <v>1</v>
      </c>
      <c r="DE373" s="152"/>
      <c r="DF373" s="160" t="s">
        <v>1663</v>
      </c>
      <c r="DG373" s="160" t="s">
        <v>621</v>
      </c>
      <c r="DH373" s="160" t="s">
        <v>125</v>
      </c>
      <c r="DI373" s="160" t="s">
        <v>1664</v>
      </c>
      <c r="DJ373" s="160" t="s">
        <v>1664</v>
      </c>
      <c r="DK373" s="160" t="s">
        <v>666</v>
      </c>
      <c r="DL373" s="160" t="s">
        <v>667</v>
      </c>
      <c r="DM373" s="160" t="s">
        <v>590</v>
      </c>
      <c r="DN373" s="161" t="s">
        <v>668</v>
      </c>
      <c r="DP373" s="130">
        <v>1</v>
      </c>
    </row>
    <row r="374" spans="2:120" ht="15">
      <c r="B374" s="231"/>
      <c r="C374" s="231"/>
      <c r="D374" s="231"/>
      <c r="E374" s="231" cm="1">
        <f t="array" ref="E374">IF(H373&lt;&gt;"",E373,IF(E373="","",IFERROR(MATCH(TRUE(),INDEX(INDEX(K:K,E373+1):K203&lt;&gt;"",0),0)+E373,"")))</f>
        <v>466</v>
      </c>
      <c r="F374" s="232" cm="1">
        <f t="array" ref="F374">IF(E374="","",IF(H373&lt;&gt;"",H373,INDEX(D:D,E374)))</f>
        <v>0</v>
      </c>
      <c r="G374" s="232" t="str">
        <f t="shared" si="42"/>
        <v>0</v>
      </c>
      <c r="H374" s="233" t="str">
        <f t="shared" si="43"/>
        <v/>
      </c>
      <c r="I374" s="231" t="str">
        <f>IF(AND(F374&lt;&gt;"",N10&gt;0,M374&gt;N10),"Mot &gt; limite","")</f>
        <v/>
      </c>
      <c r="M374" s="126">
        <f>IF(OR(F374="",N10="",N10&lt;=0),"",IF(LEN(F374)&lt;=N10,LEN(F374),IFERROR(FIND("♦",SUBSTITUTE(LEFT(F374,N10)," ","♦",LEN(LEFT(F374,N10))-LEN(SUBSTITUTE(LEFT(F374,N10)," ","")))),FIND(" ",F374&amp;" ",N10+1)-1)))</f>
        <v>1</v>
      </c>
      <c r="N374" s="234">
        <f t="shared" si="44"/>
        <v>357</v>
      </c>
      <c r="O374" s="165" t="str">
        <f t="shared" si="45"/>
        <v>0</v>
      </c>
      <c r="P374" s="234">
        <f t="shared" si="46"/>
        <v>1</v>
      </c>
      <c r="Q374" s="234">
        <f t="shared" si="47"/>
        <v>1</v>
      </c>
      <c r="DE374" s="152"/>
      <c r="DF374" s="160" t="s">
        <v>1665</v>
      </c>
      <c r="DG374" s="160" t="s">
        <v>621</v>
      </c>
      <c r="DH374" s="160" t="s">
        <v>125</v>
      </c>
      <c r="DI374" s="160" t="s">
        <v>1666</v>
      </c>
      <c r="DJ374" s="160" t="s">
        <v>1666</v>
      </c>
      <c r="DK374" s="160" t="s">
        <v>588</v>
      </c>
      <c r="DL374" s="160" t="s">
        <v>1616</v>
      </c>
      <c r="DM374" s="160" t="s">
        <v>590</v>
      </c>
      <c r="DN374" s="161" t="s">
        <v>591</v>
      </c>
      <c r="DP374" s="130">
        <v>1</v>
      </c>
    </row>
    <row r="375" spans="2:120" ht="15">
      <c r="B375" s="231"/>
      <c r="C375" s="231"/>
      <c r="D375" s="231"/>
      <c r="E375" s="231" cm="1">
        <f t="array" ref="E375">IF(H374&lt;&gt;"",E374,IF(E374="","",IFERROR(MATCH(TRUE(),INDEX(INDEX(K:K,E374+1):K203&lt;&gt;"",0),0)+E374,"")))</f>
        <v>467</v>
      </c>
      <c r="F375" s="232" cm="1">
        <f t="array" ref="F375">IF(E375="","",IF(H374&lt;&gt;"",H374,INDEX(D:D,E375)))</f>
        <v>0</v>
      </c>
      <c r="G375" s="232" t="str">
        <f t="shared" si="42"/>
        <v>0</v>
      </c>
      <c r="H375" s="233" t="str">
        <f t="shared" si="43"/>
        <v/>
      </c>
      <c r="I375" s="231" t="str">
        <f>IF(AND(F375&lt;&gt;"",N10&gt;0,M375&gt;N10),"Mot &gt; limite","")</f>
        <v/>
      </c>
      <c r="M375" s="126">
        <f>IF(OR(F375="",N10="",N10&lt;=0),"",IF(LEN(F375)&lt;=N10,LEN(F375),IFERROR(FIND("♦",SUBSTITUTE(LEFT(F375,N10)," ","♦",LEN(LEFT(F375,N10))-LEN(SUBSTITUTE(LEFT(F375,N10)," ","")))),FIND(" ",F375&amp;" ",N10+1)-1)))</f>
        <v>1</v>
      </c>
      <c r="N375" s="234">
        <f t="shared" si="44"/>
        <v>358</v>
      </c>
      <c r="O375" s="165" t="str">
        <f t="shared" si="45"/>
        <v>0</v>
      </c>
      <c r="P375" s="234">
        <f t="shared" si="46"/>
        <v>1</v>
      </c>
      <c r="Q375" s="234">
        <f t="shared" si="47"/>
        <v>1</v>
      </c>
      <c r="DE375" s="152"/>
      <c r="DF375" s="160" t="s">
        <v>1667</v>
      </c>
      <c r="DG375" s="160" t="s">
        <v>621</v>
      </c>
      <c r="DH375" s="160" t="s">
        <v>125</v>
      </c>
      <c r="DI375" s="160" t="s">
        <v>785</v>
      </c>
      <c r="DJ375" s="160" t="s">
        <v>465</v>
      </c>
      <c r="DK375" s="160" t="s">
        <v>588</v>
      </c>
      <c r="DL375" s="160" t="s">
        <v>1616</v>
      </c>
      <c r="DM375" s="160" t="s">
        <v>590</v>
      </c>
      <c r="DN375" s="161" t="s">
        <v>591</v>
      </c>
      <c r="DP375" s="130">
        <v>1</v>
      </c>
    </row>
    <row r="376" spans="2:120" ht="15">
      <c r="B376" s="231"/>
      <c r="C376" s="231"/>
      <c r="D376" s="231"/>
      <c r="E376" s="231" cm="1">
        <f t="array" ref="E376">IF(H375&lt;&gt;"",E375,IF(E375="","",IFERROR(MATCH(TRUE(),INDEX(INDEX(K:K,E375+1):K203&lt;&gt;"",0),0)+E375,"")))</f>
        <v>468</v>
      </c>
      <c r="F376" s="232" cm="1">
        <f t="array" ref="F376">IF(E376="","",IF(H375&lt;&gt;"",H375,INDEX(D:D,E376)))</f>
        <v>0</v>
      </c>
      <c r="G376" s="232" t="str">
        <f t="shared" si="42"/>
        <v>0</v>
      </c>
      <c r="H376" s="233" t="str">
        <f t="shared" si="43"/>
        <v/>
      </c>
      <c r="I376" s="231" t="str">
        <f>IF(AND(F376&lt;&gt;"",N10&gt;0,M376&gt;N10),"Mot &gt; limite","")</f>
        <v/>
      </c>
      <c r="M376" s="126">
        <f>IF(OR(F376="",N10="",N10&lt;=0),"",IF(LEN(F376)&lt;=N10,LEN(F376),IFERROR(FIND("♦",SUBSTITUTE(LEFT(F376,N10)," ","♦",LEN(LEFT(F376,N10))-LEN(SUBSTITUTE(LEFT(F376,N10)," ","")))),FIND(" ",F376&amp;" ",N10+1)-1)))</f>
        <v>1</v>
      </c>
      <c r="N376" s="234">
        <f t="shared" si="44"/>
        <v>359</v>
      </c>
      <c r="O376" s="165" t="str">
        <f t="shared" si="45"/>
        <v>0</v>
      </c>
      <c r="P376" s="234">
        <f t="shared" si="46"/>
        <v>1</v>
      </c>
      <c r="Q376" s="234">
        <f t="shared" si="47"/>
        <v>1</v>
      </c>
      <c r="DE376" s="152"/>
      <c r="DF376" s="160" t="s">
        <v>1668</v>
      </c>
      <c r="DG376" s="160" t="s">
        <v>621</v>
      </c>
      <c r="DH376" s="160" t="s">
        <v>125</v>
      </c>
      <c r="DI376" s="160" t="s">
        <v>1669</v>
      </c>
      <c r="DJ376" s="160" t="s">
        <v>1669</v>
      </c>
      <c r="DK376" s="160" t="s">
        <v>588</v>
      </c>
      <c r="DL376" s="160" t="s">
        <v>1616</v>
      </c>
      <c r="DM376" s="160" t="s">
        <v>590</v>
      </c>
      <c r="DN376" s="161" t="s">
        <v>591</v>
      </c>
      <c r="DP376" s="130">
        <v>1</v>
      </c>
    </row>
    <row r="377" spans="2:120" ht="15">
      <c r="B377" s="231"/>
      <c r="C377" s="231"/>
      <c r="D377" s="231"/>
      <c r="E377" s="231" cm="1">
        <f t="array" ref="E377">IF(H376&lt;&gt;"",E376,IF(E376="","",IFERROR(MATCH(TRUE(),INDEX(INDEX(K:K,E376+1):K203&lt;&gt;"",0),0)+E376,"")))</f>
        <v>469</v>
      </c>
      <c r="F377" s="232" cm="1">
        <f t="array" ref="F377">IF(E377="","",IF(H376&lt;&gt;"",H376,INDEX(D:D,E377)))</f>
        <v>0</v>
      </c>
      <c r="G377" s="232" t="str">
        <f t="shared" si="42"/>
        <v>0</v>
      </c>
      <c r="H377" s="233" t="str">
        <f t="shared" si="43"/>
        <v/>
      </c>
      <c r="I377" s="231" t="str">
        <f>IF(AND(F377&lt;&gt;"",N10&gt;0,M377&gt;N10),"Mot &gt; limite","")</f>
        <v/>
      </c>
      <c r="M377" s="126">
        <f>IF(OR(F377="",N10="",N10&lt;=0),"",IF(LEN(F377)&lt;=N10,LEN(F377),IFERROR(FIND("♦",SUBSTITUTE(LEFT(F377,N10)," ","♦",LEN(LEFT(F377,N10))-LEN(SUBSTITUTE(LEFT(F377,N10)," ","")))),FIND(" ",F377&amp;" ",N10+1)-1)))</f>
        <v>1</v>
      </c>
      <c r="N377" s="234">
        <f t="shared" si="44"/>
        <v>360</v>
      </c>
      <c r="O377" s="165" t="str">
        <f t="shared" si="45"/>
        <v>0</v>
      </c>
      <c r="P377" s="234">
        <f t="shared" si="46"/>
        <v>1</v>
      </c>
      <c r="Q377" s="234">
        <f t="shared" si="47"/>
        <v>1</v>
      </c>
      <c r="DE377" s="152"/>
      <c r="DF377" s="160" t="s">
        <v>1670</v>
      </c>
      <c r="DG377" s="160" t="s">
        <v>621</v>
      </c>
      <c r="DH377" s="160" t="s">
        <v>125</v>
      </c>
      <c r="DI377" s="160" t="s">
        <v>1671</v>
      </c>
      <c r="DJ377" s="160" t="s">
        <v>1672</v>
      </c>
      <c r="DK377" s="160" t="s">
        <v>588</v>
      </c>
      <c r="DL377" s="160" t="s">
        <v>1616</v>
      </c>
      <c r="DM377" s="160" t="s">
        <v>590</v>
      </c>
      <c r="DN377" s="161" t="s">
        <v>591</v>
      </c>
      <c r="DP377" s="130">
        <v>1</v>
      </c>
    </row>
    <row r="378" spans="2:120" ht="15">
      <c r="B378" s="231"/>
      <c r="C378" s="231"/>
      <c r="D378" s="231"/>
      <c r="E378" s="231" cm="1">
        <f t="array" ref="E378">IF(H377&lt;&gt;"",E377,IF(E377="","",IFERROR(MATCH(TRUE(),INDEX(INDEX(K:K,E377+1):K203&lt;&gt;"",0),0)+E377,"")))</f>
        <v>470</v>
      </c>
      <c r="F378" s="232" cm="1">
        <f t="array" ref="F378">IF(E378="","",IF(H377&lt;&gt;"",H377,INDEX(D:D,E378)))</f>
        <v>0</v>
      </c>
      <c r="G378" s="232" t="str">
        <f t="shared" si="42"/>
        <v>0</v>
      </c>
      <c r="H378" s="233" t="str">
        <f t="shared" si="43"/>
        <v/>
      </c>
      <c r="I378" s="231" t="str">
        <f>IF(AND(F378&lt;&gt;"",N10&gt;0,M378&gt;N10),"Mot &gt; limite","")</f>
        <v/>
      </c>
      <c r="M378" s="126">
        <f>IF(OR(F378="",N10="",N10&lt;=0),"",IF(LEN(F378)&lt;=N10,LEN(F378),IFERROR(FIND("♦",SUBSTITUTE(LEFT(F378,N10)," ","♦",LEN(LEFT(F378,N10))-LEN(SUBSTITUTE(LEFT(F378,N10)," ","")))),FIND(" ",F378&amp;" ",N10+1)-1)))</f>
        <v>1</v>
      </c>
      <c r="N378" s="234">
        <f t="shared" si="44"/>
        <v>361</v>
      </c>
      <c r="O378" s="165" t="str">
        <f t="shared" si="45"/>
        <v>0</v>
      </c>
      <c r="P378" s="234">
        <f t="shared" si="46"/>
        <v>1</v>
      </c>
      <c r="Q378" s="234">
        <f t="shared" si="47"/>
        <v>1</v>
      </c>
      <c r="DE378" s="152"/>
      <c r="DF378" s="160" t="s">
        <v>1673</v>
      </c>
      <c r="DG378" s="160" t="s">
        <v>621</v>
      </c>
      <c r="DH378" s="160" t="s">
        <v>125</v>
      </c>
      <c r="DI378" s="160" t="s">
        <v>1674</v>
      </c>
      <c r="DJ378" s="160" t="s">
        <v>276</v>
      </c>
      <c r="DK378" s="160" t="s">
        <v>588</v>
      </c>
      <c r="DL378" s="160" t="s">
        <v>1616</v>
      </c>
      <c r="DM378" s="160" t="s">
        <v>590</v>
      </c>
      <c r="DN378" s="161" t="s">
        <v>591</v>
      </c>
      <c r="DP378" s="130">
        <v>1</v>
      </c>
    </row>
    <row r="379" spans="2:120" ht="15">
      <c r="B379" s="231"/>
      <c r="C379" s="231"/>
      <c r="D379" s="231"/>
      <c r="E379" s="231" cm="1">
        <f t="array" ref="E379">IF(H378&lt;&gt;"",E378,IF(E378="","",IFERROR(MATCH(TRUE(),INDEX(INDEX(K:K,E378+1):K203&lt;&gt;"",0),0)+E378,"")))</f>
        <v>471</v>
      </c>
      <c r="F379" s="232" cm="1">
        <f t="array" ref="F379">IF(E379="","",IF(H378&lt;&gt;"",H378,INDEX(D:D,E379)))</f>
        <v>0</v>
      </c>
      <c r="G379" s="232" t="str">
        <f t="shared" si="42"/>
        <v>0</v>
      </c>
      <c r="H379" s="233" t="str">
        <f t="shared" si="43"/>
        <v/>
      </c>
      <c r="I379" s="231" t="str">
        <f>IF(AND(F379&lt;&gt;"",N10&gt;0,M379&gt;N10),"Mot &gt; limite","")</f>
        <v/>
      </c>
      <c r="M379" s="126">
        <f>IF(OR(F379="",N10="",N10&lt;=0),"",IF(LEN(F379)&lt;=N10,LEN(F379),IFERROR(FIND("♦",SUBSTITUTE(LEFT(F379,N10)," ","♦",LEN(LEFT(F379,N10))-LEN(SUBSTITUTE(LEFT(F379,N10)," ","")))),FIND(" ",F379&amp;" ",N10+1)-1)))</f>
        <v>1</v>
      </c>
      <c r="N379" s="234">
        <f t="shared" si="44"/>
        <v>362</v>
      </c>
      <c r="O379" s="165" t="str">
        <f t="shared" si="45"/>
        <v>0</v>
      </c>
      <c r="P379" s="234">
        <f t="shared" si="46"/>
        <v>1</v>
      </c>
      <c r="Q379" s="234">
        <f t="shared" si="47"/>
        <v>1</v>
      </c>
      <c r="DE379" s="152"/>
      <c r="DF379" s="160" t="s">
        <v>1675</v>
      </c>
      <c r="DG379" s="160" t="s">
        <v>621</v>
      </c>
      <c r="DH379" s="160" t="s">
        <v>125</v>
      </c>
      <c r="DI379" s="160" t="s">
        <v>1676</v>
      </c>
      <c r="DJ379" s="160" t="s">
        <v>277</v>
      </c>
      <c r="DK379" s="160" t="s">
        <v>588</v>
      </c>
      <c r="DL379" s="160" t="s">
        <v>1616</v>
      </c>
      <c r="DM379" s="160" t="s">
        <v>590</v>
      </c>
      <c r="DN379" s="161" t="s">
        <v>591</v>
      </c>
      <c r="DP379" s="130">
        <v>1</v>
      </c>
    </row>
    <row r="380" spans="2:120" ht="15">
      <c r="B380" s="231"/>
      <c r="C380" s="231"/>
      <c r="D380" s="231"/>
      <c r="E380" s="231" cm="1">
        <f t="array" ref="E380">IF(H379&lt;&gt;"",E379,IF(E379="","",IFERROR(MATCH(TRUE(),INDEX(INDEX(K:K,E379+1):K203&lt;&gt;"",0),0)+E379,"")))</f>
        <v>472</v>
      </c>
      <c r="F380" s="232" cm="1">
        <f t="array" ref="F380">IF(E380="","",IF(H379&lt;&gt;"",H379,INDEX(D:D,E380)))</f>
        <v>0</v>
      </c>
      <c r="G380" s="232" t="str">
        <f t="shared" si="42"/>
        <v>0</v>
      </c>
      <c r="H380" s="233" t="str">
        <f t="shared" si="43"/>
        <v/>
      </c>
      <c r="I380" s="231" t="str">
        <f>IF(AND(F380&lt;&gt;"",N10&gt;0,M380&gt;N10),"Mot &gt; limite","")</f>
        <v/>
      </c>
      <c r="M380" s="126">
        <f>IF(OR(F380="",N10="",N10&lt;=0),"",IF(LEN(F380)&lt;=N10,LEN(F380),IFERROR(FIND("♦",SUBSTITUTE(LEFT(F380,N10)," ","♦",LEN(LEFT(F380,N10))-LEN(SUBSTITUTE(LEFT(F380,N10)," ","")))),FIND(" ",F380&amp;" ",N10+1)-1)))</f>
        <v>1</v>
      </c>
      <c r="N380" s="234">
        <f t="shared" si="44"/>
        <v>363</v>
      </c>
      <c r="O380" s="165" t="str">
        <f t="shared" si="45"/>
        <v>0</v>
      </c>
      <c r="P380" s="234">
        <f t="shared" si="46"/>
        <v>1</v>
      </c>
      <c r="Q380" s="234">
        <f t="shared" si="47"/>
        <v>1</v>
      </c>
      <c r="DE380" s="152"/>
      <c r="DF380" s="160" t="s">
        <v>1677</v>
      </c>
      <c r="DG380" s="160" t="s">
        <v>621</v>
      </c>
      <c r="DH380" s="160" t="s">
        <v>125</v>
      </c>
      <c r="DI380" s="160" t="s">
        <v>1678</v>
      </c>
      <c r="DJ380" s="160" t="s">
        <v>1679</v>
      </c>
      <c r="DK380" s="160" t="s">
        <v>588</v>
      </c>
      <c r="DL380" s="160" t="s">
        <v>1616</v>
      </c>
      <c r="DM380" s="160" t="s">
        <v>590</v>
      </c>
      <c r="DN380" s="161" t="s">
        <v>591</v>
      </c>
      <c r="DP380" s="130">
        <v>1</v>
      </c>
    </row>
    <row r="381" spans="2:120" ht="15">
      <c r="B381" s="231"/>
      <c r="C381" s="231"/>
      <c r="D381" s="231"/>
      <c r="E381" s="231" cm="1">
        <f t="array" ref="E381">IF(H380&lt;&gt;"",E380,IF(E380="","",IFERROR(MATCH(TRUE(),INDEX(INDEX(K:K,E380+1):K203&lt;&gt;"",0),0)+E380,"")))</f>
        <v>473</v>
      </c>
      <c r="F381" s="232" cm="1">
        <f t="array" ref="F381">IF(E381="","",IF(H380&lt;&gt;"",H380,INDEX(D:D,E381)))</f>
        <v>0</v>
      </c>
      <c r="G381" s="232" t="str">
        <f t="shared" si="42"/>
        <v>0</v>
      </c>
      <c r="H381" s="233" t="str">
        <f t="shared" si="43"/>
        <v/>
      </c>
      <c r="I381" s="231" t="str">
        <f>IF(AND(F381&lt;&gt;"",N10&gt;0,M381&gt;N10),"Mot &gt; limite","")</f>
        <v/>
      </c>
      <c r="M381" s="126">
        <f>IF(OR(F381="",N10="",N10&lt;=0),"",IF(LEN(F381)&lt;=N10,LEN(F381),IFERROR(FIND("♦",SUBSTITUTE(LEFT(F381,N10)," ","♦",LEN(LEFT(F381,N10))-LEN(SUBSTITUTE(LEFT(F381,N10)," ","")))),FIND(" ",F381&amp;" ",N10+1)-1)))</f>
        <v>1</v>
      </c>
      <c r="N381" s="234">
        <f t="shared" si="44"/>
        <v>364</v>
      </c>
      <c r="O381" s="165" t="str">
        <f t="shared" si="45"/>
        <v>0</v>
      </c>
      <c r="P381" s="234">
        <f t="shared" si="46"/>
        <v>1</v>
      </c>
      <c r="Q381" s="234">
        <f t="shared" si="47"/>
        <v>1</v>
      </c>
      <c r="DE381" s="152"/>
      <c r="DF381" s="160" t="s">
        <v>1680</v>
      </c>
      <c r="DG381" s="160" t="s">
        <v>621</v>
      </c>
      <c r="DH381" s="160" t="s">
        <v>125</v>
      </c>
      <c r="DI381" s="160" t="s">
        <v>514</v>
      </c>
      <c r="DJ381" s="160" t="s">
        <v>514</v>
      </c>
      <c r="DK381" s="160" t="s">
        <v>588</v>
      </c>
      <c r="DL381" s="160" t="s">
        <v>1616</v>
      </c>
      <c r="DM381" s="160" t="s">
        <v>590</v>
      </c>
      <c r="DN381" s="161" t="s">
        <v>591</v>
      </c>
      <c r="DP381" s="130">
        <v>1</v>
      </c>
    </row>
    <row r="382" spans="2:120" ht="15">
      <c r="B382" s="231"/>
      <c r="C382" s="231"/>
      <c r="D382" s="231"/>
      <c r="E382" s="231" cm="1">
        <f t="array" ref="E382">IF(H381&lt;&gt;"",E381,IF(E381="","",IFERROR(MATCH(TRUE(),INDEX(INDEX(K:K,E381+1):K203&lt;&gt;"",0),0)+E381,"")))</f>
        <v>474</v>
      </c>
      <c r="F382" s="232" cm="1">
        <f t="array" ref="F382">IF(E382="","",IF(H381&lt;&gt;"",H381,INDEX(D:D,E382)))</f>
        <v>0</v>
      </c>
      <c r="G382" s="232" t="str">
        <f t="shared" si="42"/>
        <v>0</v>
      </c>
      <c r="H382" s="233" t="str">
        <f t="shared" si="43"/>
        <v/>
      </c>
      <c r="I382" s="231" t="str">
        <f>IF(AND(F382&lt;&gt;"",N10&gt;0,M382&gt;N10),"Mot &gt; limite","")</f>
        <v/>
      </c>
      <c r="M382" s="126">
        <f>IF(OR(F382="",N10="",N10&lt;=0),"",IF(LEN(F382)&lt;=N10,LEN(F382),IFERROR(FIND("♦",SUBSTITUTE(LEFT(F382,N10)," ","♦",LEN(LEFT(F382,N10))-LEN(SUBSTITUTE(LEFT(F382,N10)," ","")))),FIND(" ",F382&amp;" ",N10+1)-1)))</f>
        <v>1</v>
      </c>
      <c r="N382" s="234">
        <f t="shared" si="44"/>
        <v>365</v>
      </c>
      <c r="O382" s="165" t="str">
        <f t="shared" si="45"/>
        <v>0</v>
      </c>
      <c r="P382" s="234">
        <f t="shared" si="46"/>
        <v>1</v>
      </c>
      <c r="Q382" s="234">
        <f t="shared" si="47"/>
        <v>1</v>
      </c>
      <c r="DE382" s="152"/>
      <c r="DF382" s="160" t="s">
        <v>1681</v>
      </c>
      <c r="DG382" s="160" t="s">
        <v>621</v>
      </c>
      <c r="DH382" s="160" t="s">
        <v>125</v>
      </c>
      <c r="DI382" s="160" t="s">
        <v>1682</v>
      </c>
      <c r="DJ382" s="160" t="s">
        <v>1682</v>
      </c>
      <c r="DK382" s="160" t="s">
        <v>588</v>
      </c>
      <c r="DL382" s="160" t="s">
        <v>1616</v>
      </c>
      <c r="DM382" s="160" t="s">
        <v>590</v>
      </c>
      <c r="DN382" s="161" t="s">
        <v>591</v>
      </c>
      <c r="DP382" s="130">
        <v>1</v>
      </c>
    </row>
    <row r="383" spans="2:120" ht="15">
      <c r="B383" s="231"/>
      <c r="C383" s="231"/>
      <c r="D383" s="231"/>
      <c r="E383" s="231" cm="1">
        <f t="array" ref="E383">IF(H382&lt;&gt;"",E382,IF(E382="","",IFERROR(MATCH(TRUE(),INDEX(INDEX(K:K,E382+1):K203&lt;&gt;"",0),0)+E382,"")))</f>
        <v>475</v>
      </c>
      <c r="F383" s="232" cm="1">
        <f t="array" ref="F383">IF(E383="","",IF(H382&lt;&gt;"",H382,INDEX(D:D,E383)))</f>
        <v>0</v>
      </c>
      <c r="G383" s="232" t="str">
        <f t="shared" si="42"/>
        <v>0</v>
      </c>
      <c r="H383" s="233" t="str">
        <f t="shared" si="43"/>
        <v/>
      </c>
      <c r="I383" s="231" t="str">
        <f>IF(AND(F383&lt;&gt;"",N10&gt;0,M383&gt;N10),"Mot &gt; limite","")</f>
        <v/>
      </c>
      <c r="M383" s="126">
        <f>IF(OR(F383="",N10="",N10&lt;=0),"",IF(LEN(F383)&lt;=N10,LEN(F383),IFERROR(FIND("♦",SUBSTITUTE(LEFT(F383,N10)," ","♦",LEN(LEFT(F383,N10))-LEN(SUBSTITUTE(LEFT(F383,N10)," ","")))),FIND(" ",F383&amp;" ",N10+1)-1)))</f>
        <v>1</v>
      </c>
      <c r="N383" s="234">
        <f t="shared" si="44"/>
        <v>366</v>
      </c>
      <c r="O383" s="165" t="str">
        <f t="shared" si="45"/>
        <v>0</v>
      </c>
      <c r="P383" s="234">
        <f t="shared" si="46"/>
        <v>1</v>
      </c>
      <c r="Q383" s="234">
        <f t="shared" si="47"/>
        <v>1</v>
      </c>
      <c r="DE383" s="152"/>
      <c r="DF383" s="160" t="s">
        <v>1683</v>
      </c>
      <c r="DG383" s="160" t="s">
        <v>621</v>
      </c>
      <c r="DH383" s="160" t="s">
        <v>125</v>
      </c>
      <c r="DI383" s="160" t="s">
        <v>1684</v>
      </c>
      <c r="DJ383" s="160" t="s">
        <v>1684</v>
      </c>
      <c r="DK383" s="160" t="s">
        <v>588</v>
      </c>
      <c r="DL383" s="160" t="s">
        <v>1616</v>
      </c>
      <c r="DM383" s="160" t="s">
        <v>590</v>
      </c>
      <c r="DN383" s="161" t="s">
        <v>591</v>
      </c>
      <c r="DP383" s="130">
        <v>1</v>
      </c>
    </row>
    <row r="384" spans="2:120" ht="15">
      <c r="B384" s="231"/>
      <c r="C384" s="231"/>
      <c r="D384" s="231"/>
      <c r="E384" s="231" cm="1">
        <f t="array" ref="E384">IF(H383&lt;&gt;"",E383,IF(E383="","",IFERROR(MATCH(TRUE(),INDEX(INDEX(K:K,E383+1):K203&lt;&gt;"",0),0)+E383,"")))</f>
        <v>476</v>
      </c>
      <c r="F384" s="232" cm="1">
        <f t="array" ref="F384">IF(E384="","",IF(H383&lt;&gt;"",H383,INDEX(D:D,E384)))</f>
        <v>0</v>
      </c>
      <c r="G384" s="232" t="str">
        <f t="shared" si="42"/>
        <v>0</v>
      </c>
      <c r="H384" s="233" t="str">
        <f t="shared" si="43"/>
        <v/>
      </c>
      <c r="I384" s="231" t="str">
        <f>IF(AND(F384&lt;&gt;"",N10&gt;0,M384&gt;N10),"Mot &gt; limite","")</f>
        <v/>
      </c>
      <c r="M384" s="126">
        <f>IF(OR(F384="",N10="",N10&lt;=0),"",IF(LEN(F384)&lt;=N10,LEN(F384),IFERROR(FIND("♦",SUBSTITUTE(LEFT(F384,N10)," ","♦",LEN(LEFT(F384,N10))-LEN(SUBSTITUTE(LEFT(F384,N10)," ","")))),FIND(" ",F384&amp;" ",N10+1)-1)))</f>
        <v>1</v>
      </c>
      <c r="N384" s="234">
        <f t="shared" si="44"/>
        <v>367</v>
      </c>
      <c r="O384" s="165" t="str">
        <f t="shared" si="45"/>
        <v>0</v>
      </c>
      <c r="P384" s="234">
        <f t="shared" si="46"/>
        <v>1</v>
      </c>
      <c r="Q384" s="234">
        <f t="shared" si="47"/>
        <v>1</v>
      </c>
      <c r="DE384" s="152"/>
      <c r="DF384" s="160" t="s">
        <v>1685</v>
      </c>
      <c r="DG384" s="160" t="s">
        <v>621</v>
      </c>
      <c r="DH384" s="160" t="s">
        <v>125</v>
      </c>
      <c r="DI384" s="160" t="s">
        <v>1686</v>
      </c>
      <c r="DJ384" s="160" t="s">
        <v>1686</v>
      </c>
      <c r="DK384" s="160" t="s">
        <v>588</v>
      </c>
      <c r="DL384" s="160" t="s">
        <v>1616</v>
      </c>
      <c r="DM384" s="160" t="s">
        <v>590</v>
      </c>
      <c r="DN384" s="161" t="s">
        <v>591</v>
      </c>
      <c r="DP384" s="130">
        <v>1</v>
      </c>
    </row>
    <row r="385" spans="2:120" ht="15">
      <c r="B385" s="231"/>
      <c r="C385" s="231"/>
      <c r="D385" s="231"/>
      <c r="E385" s="231" cm="1">
        <f t="array" ref="E385">IF(H384&lt;&gt;"",E384,IF(E384="","",IFERROR(MATCH(TRUE(),INDEX(INDEX(K:K,E384+1):K203&lt;&gt;"",0),0)+E384,"")))</f>
        <v>477</v>
      </c>
      <c r="F385" s="232" cm="1">
        <f t="array" ref="F385">IF(E385="","",IF(H384&lt;&gt;"",H384,INDEX(D:D,E385)))</f>
        <v>0</v>
      </c>
      <c r="G385" s="232" t="str">
        <f t="shared" si="42"/>
        <v>0</v>
      </c>
      <c r="H385" s="233" t="str">
        <f t="shared" si="43"/>
        <v/>
      </c>
      <c r="I385" s="231" t="str">
        <f>IF(AND(F385&lt;&gt;"",N10&gt;0,M385&gt;N10),"Mot &gt; limite","")</f>
        <v/>
      </c>
      <c r="M385" s="126">
        <f>IF(OR(F385="",N10="",N10&lt;=0),"",IF(LEN(F385)&lt;=N10,LEN(F385),IFERROR(FIND("♦",SUBSTITUTE(LEFT(F385,N10)," ","♦",LEN(LEFT(F385,N10))-LEN(SUBSTITUTE(LEFT(F385,N10)," ","")))),FIND(" ",F385&amp;" ",N10+1)-1)))</f>
        <v>1</v>
      </c>
      <c r="N385" s="234">
        <f t="shared" si="44"/>
        <v>368</v>
      </c>
      <c r="O385" s="165" t="str">
        <f t="shared" si="45"/>
        <v>0</v>
      </c>
      <c r="P385" s="234">
        <f t="shared" si="46"/>
        <v>1</v>
      </c>
      <c r="Q385" s="234">
        <f t="shared" si="47"/>
        <v>1</v>
      </c>
      <c r="DE385" s="152"/>
      <c r="DF385" s="160" t="s">
        <v>1687</v>
      </c>
      <c r="DG385" s="160" t="s">
        <v>621</v>
      </c>
      <c r="DH385" s="160" t="s">
        <v>125</v>
      </c>
      <c r="DI385" s="160" t="s">
        <v>1688</v>
      </c>
      <c r="DJ385" s="160" t="s">
        <v>1688</v>
      </c>
      <c r="DK385" s="160" t="s">
        <v>588</v>
      </c>
      <c r="DL385" s="160" t="s">
        <v>1616</v>
      </c>
      <c r="DM385" s="160" t="s">
        <v>590</v>
      </c>
      <c r="DN385" s="161" t="s">
        <v>591</v>
      </c>
      <c r="DP385" s="130">
        <v>1</v>
      </c>
    </row>
    <row r="386" spans="2:120" ht="15">
      <c r="B386" s="231"/>
      <c r="C386" s="231"/>
      <c r="D386" s="231"/>
      <c r="E386" s="231" cm="1">
        <f t="array" ref="E386">IF(H385&lt;&gt;"",E385,IF(E385="","",IFERROR(MATCH(TRUE(),INDEX(INDEX(K:K,E385+1):K203&lt;&gt;"",0),0)+E385,"")))</f>
        <v>478</v>
      </c>
      <c r="F386" s="232" cm="1">
        <f t="array" ref="F386">IF(E386="","",IF(H385&lt;&gt;"",H385,INDEX(D:D,E386)))</f>
        <v>0</v>
      </c>
      <c r="G386" s="232" t="str">
        <f t="shared" si="42"/>
        <v>0</v>
      </c>
      <c r="H386" s="233" t="str">
        <f t="shared" si="43"/>
        <v/>
      </c>
      <c r="I386" s="231" t="str">
        <f>IF(AND(F386&lt;&gt;"",N10&gt;0,M386&gt;N10),"Mot &gt; limite","")</f>
        <v/>
      </c>
      <c r="M386" s="126">
        <f>IF(OR(F386="",N10="",N10&lt;=0),"",IF(LEN(F386)&lt;=N10,LEN(F386),IFERROR(FIND("♦",SUBSTITUTE(LEFT(F386,N10)," ","♦",LEN(LEFT(F386,N10))-LEN(SUBSTITUTE(LEFT(F386,N10)," ","")))),FIND(" ",F386&amp;" ",N10+1)-1)))</f>
        <v>1</v>
      </c>
      <c r="N386" s="234">
        <f t="shared" si="44"/>
        <v>369</v>
      </c>
      <c r="O386" s="165" t="str">
        <f t="shared" si="45"/>
        <v>0</v>
      </c>
      <c r="P386" s="234">
        <f t="shared" si="46"/>
        <v>1</v>
      </c>
      <c r="Q386" s="234">
        <f t="shared" si="47"/>
        <v>1</v>
      </c>
      <c r="DE386" s="152"/>
      <c r="DF386" s="160" t="s">
        <v>1689</v>
      </c>
      <c r="DG386" s="160" t="s">
        <v>621</v>
      </c>
      <c r="DH386" s="160" t="s">
        <v>125</v>
      </c>
      <c r="DI386" s="160" t="s">
        <v>1690</v>
      </c>
      <c r="DJ386" s="160" t="s">
        <v>278</v>
      </c>
      <c r="DK386" s="160" t="s">
        <v>588</v>
      </c>
      <c r="DL386" s="160" t="s">
        <v>1616</v>
      </c>
      <c r="DM386" s="160" t="s">
        <v>590</v>
      </c>
      <c r="DN386" s="161" t="s">
        <v>591</v>
      </c>
      <c r="DP386" s="130">
        <v>1</v>
      </c>
    </row>
    <row r="387" spans="2:120" ht="15">
      <c r="B387" s="231"/>
      <c r="C387" s="231"/>
      <c r="D387" s="231"/>
      <c r="E387" s="231" cm="1">
        <f t="array" ref="E387">IF(H386&lt;&gt;"",E386,IF(E386="","",IFERROR(MATCH(TRUE(),INDEX(INDEX(K:K,E386+1):K203&lt;&gt;"",0),0)+E386,"")))</f>
        <v>479</v>
      </c>
      <c r="F387" s="232" cm="1">
        <f t="array" ref="F387">IF(E387="","",IF(H386&lt;&gt;"",H386,INDEX(D:D,E387)))</f>
        <v>0</v>
      </c>
      <c r="G387" s="232" t="str">
        <f t="shared" si="42"/>
        <v>0</v>
      </c>
      <c r="H387" s="233" t="str">
        <f t="shared" si="43"/>
        <v/>
      </c>
      <c r="I387" s="231" t="str">
        <f>IF(AND(F387&lt;&gt;"",N10&gt;0,M387&gt;N10),"Mot &gt; limite","")</f>
        <v/>
      </c>
      <c r="M387" s="126">
        <f>IF(OR(F387="",N10="",N10&lt;=0),"",IF(LEN(F387)&lt;=N10,LEN(F387),IFERROR(FIND("♦",SUBSTITUTE(LEFT(F387,N10)," ","♦",LEN(LEFT(F387,N10))-LEN(SUBSTITUTE(LEFT(F387,N10)," ","")))),FIND(" ",F387&amp;" ",N10+1)-1)))</f>
        <v>1</v>
      </c>
      <c r="N387" s="234">
        <f t="shared" si="44"/>
        <v>370</v>
      </c>
      <c r="O387" s="165" t="str">
        <f t="shared" si="45"/>
        <v>0</v>
      </c>
      <c r="P387" s="234">
        <f t="shared" si="46"/>
        <v>1</v>
      </c>
      <c r="Q387" s="234">
        <f t="shared" si="47"/>
        <v>1</v>
      </c>
      <c r="DE387" s="152"/>
      <c r="DF387" s="160" t="s">
        <v>1691</v>
      </c>
      <c r="DG387" s="160" t="s">
        <v>621</v>
      </c>
      <c r="DH387" s="160" t="s">
        <v>125</v>
      </c>
      <c r="DI387" s="160" t="s">
        <v>1692</v>
      </c>
      <c r="DJ387" s="160" t="s">
        <v>1693</v>
      </c>
      <c r="DK387" s="160" t="s">
        <v>588</v>
      </c>
      <c r="DL387" s="160" t="s">
        <v>1616</v>
      </c>
      <c r="DM387" s="160" t="s">
        <v>590</v>
      </c>
      <c r="DN387" s="161" t="s">
        <v>591</v>
      </c>
      <c r="DP387" s="130">
        <v>1</v>
      </c>
    </row>
    <row r="388" spans="2:120" ht="15">
      <c r="B388" s="231"/>
      <c r="C388" s="231"/>
      <c r="D388" s="231"/>
      <c r="E388" s="231" cm="1">
        <f t="array" ref="E388">IF(H387&lt;&gt;"",E387,IF(E387="","",IFERROR(MATCH(TRUE(),INDEX(INDEX(K:K,E387+1):K203&lt;&gt;"",0),0)+E387,"")))</f>
        <v>480</v>
      </c>
      <c r="F388" s="232" cm="1">
        <f t="array" ref="F388">IF(E388="","",IF(H387&lt;&gt;"",H387,INDEX(D:D,E388)))</f>
        <v>0</v>
      </c>
      <c r="G388" s="232" t="str">
        <f t="shared" si="42"/>
        <v>0</v>
      </c>
      <c r="H388" s="233" t="str">
        <f t="shared" si="43"/>
        <v/>
      </c>
      <c r="I388" s="231" t="str">
        <f>IF(AND(F388&lt;&gt;"",N10&gt;0,M388&gt;N10),"Mot &gt; limite","")</f>
        <v/>
      </c>
      <c r="M388" s="126">
        <f>IF(OR(F388="",N10="",N10&lt;=0),"",IF(LEN(F388)&lt;=N10,LEN(F388),IFERROR(FIND("♦",SUBSTITUTE(LEFT(F388,N10)," ","♦",LEN(LEFT(F388,N10))-LEN(SUBSTITUTE(LEFT(F388,N10)," ","")))),FIND(" ",F388&amp;" ",N10+1)-1)))</f>
        <v>1</v>
      </c>
      <c r="N388" s="234">
        <f t="shared" si="44"/>
        <v>371</v>
      </c>
      <c r="O388" s="165" t="str">
        <f t="shared" si="45"/>
        <v>0</v>
      </c>
      <c r="P388" s="234">
        <f t="shared" si="46"/>
        <v>1</v>
      </c>
      <c r="Q388" s="234">
        <f t="shared" si="47"/>
        <v>1</v>
      </c>
      <c r="DE388" s="152"/>
      <c r="DF388" s="160" t="s">
        <v>1694</v>
      </c>
      <c r="DG388" s="160" t="s">
        <v>621</v>
      </c>
      <c r="DH388" s="160" t="s">
        <v>125</v>
      </c>
      <c r="DI388" s="160" t="s">
        <v>1695</v>
      </c>
      <c r="DJ388" s="160" t="s">
        <v>1696</v>
      </c>
      <c r="DK388" s="160" t="s">
        <v>588</v>
      </c>
      <c r="DL388" s="160" t="s">
        <v>1616</v>
      </c>
      <c r="DM388" s="160" t="s">
        <v>590</v>
      </c>
      <c r="DN388" s="161" t="s">
        <v>591</v>
      </c>
      <c r="DP388" s="130">
        <v>1</v>
      </c>
    </row>
    <row r="389" spans="2:120" ht="15">
      <c r="B389" s="231"/>
      <c r="C389" s="231"/>
      <c r="D389" s="231"/>
      <c r="E389" s="231" cm="1">
        <f t="array" ref="E389">IF(H388&lt;&gt;"",E388,IF(E388="","",IFERROR(MATCH(TRUE(),INDEX(INDEX(K:K,E388+1):K203&lt;&gt;"",0),0)+E388,"")))</f>
        <v>481</v>
      </c>
      <c r="F389" s="232" cm="1">
        <f t="array" ref="F389">IF(E389="","",IF(H388&lt;&gt;"",H388,INDEX(D:D,E389)))</f>
        <v>0</v>
      </c>
      <c r="G389" s="232" t="str">
        <f t="shared" si="42"/>
        <v>0</v>
      </c>
      <c r="H389" s="233" t="str">
        <f t="shared" si="43"/>
        <v/>
      </c>
      <c r="I389" s="231" t="str">
        <f>IF(AND(F389&lt;&gt;"",N10&gt;0,M389&gt;N10),"Mot &gt; limite","")</f>
        <v/>
      </c>
      <c r="M389" s="126">
        <f>IF(OR(F389="",N10="",N10&lt;=0),"",IF(LEN(F389)&lt;=N10,LEN(F389),IFERROR(FIND("♦",SUBSTITUTE(LEFT(F389,N10)," ","♦",LEN(LEFT(F389,N10))-LEN(SUBSTITUTE(LEFT(F389,N10)," ","")))),FIND(" ",F389&amp;" ",N10+1)-1)))</f>
        <v>1</v>
      </c>
      <c r="N389" s="234">
        <f t="shared" si="44"/>
        <v>372</v>
      </c>
      <c r="O389" s="165" t="str">
        <f t="shared" si="45"/>
        <v>0</v>
      </c>
      <c r="P389" s="234">
        <f t="shared" si="46"/>
        <v>1</v>
      </c>
      <c r="Q389" s="234">
        <f t="shared" si="47"/>
        <v>1</v>
      </c>
      <c r="DE389" s="152"/>
      <c r="DF389" s="160" t="s">
        <v>1697</v>
      </c>
      <c r="DG389" s="160" t="s">
        <v>621</v>
      </c>
      <c r="DH389" s="160" t="s">
        <v>125</v>
      </c>
      <c r="DI389" s="160" t="s">
        <v>1698</v>
      </c>
      <c r="DJ389" s="160" t="s">
        <v>1699</v>
      </c>
      <c r="DK389" s="160" t="s">
        <v>588</v>
      </c>
      <c r="DL389" s="160" t="s">
        <v>1616</v>
      </c>
      <c r="DM389" s="160" t="s">
        <v>590</v>
      </c>
      <c r="DN389" s="161" t="s">
        <v>591</v>
      </c>
      <c r="DP389" s="130">
        <v>1</v>
      </c>
    </row>
    <row r="390" spans="2:120" ht="15">
      <c r="B390" s="231"/>
      <c r="C390" s="231"/>
      <c r="D390" s="231"/>
      <c r="E390" s="231" cm="1">
        <f t="array" ref="E390">IF(H389&lt;&gt;"",E389,IF(E389="","",IFERROR(MATCH(TRUE(),INDEX(INDEX(K:K,E389+1):K203&lt;&gt;"",0),0)+E389,"")))</f>
        <v>482</v>
      </c>
      <c r="F390" s="232" cm="1">
        <f t="array" ref="F390">IF(E390="","",IF(H389&lt;&gt;"",H389,INDEX(D:D,E390)))</f>
        <v>0</v>
      </c>
      <c r="G390" s="232" t="str">
        <f t="shared" si="42"/>
        <v>0</v>
      </c>
      <c r="H390" s="233" t="str">
        <f t="shared" si="43"/>
        <v/>
      </c>
      <c r="I390" s="231" t="str">
        <f>IF(AND(F390&lt;&gt;"",N10&gt;0,M390&gt;N10),"Mot &gt; limite","")</f>
        <v/>
      </c>
      <c r="M390" s="126">
        <f>IF(OR(F390="",N10="",N10&lt;=0),"",IF(LEN(F390)&lt;=N10,LEN(F390),IFERROR(FIND("♦",SUBSTITUTE(LEFT(F390,N10)," ","♦",LEN(LEFT(F390,N10))-LEN(SUBSTITUTE(LEFT(F390,N10)," ","")))),FIND(" ",F390&amp;" ",N10+1)-1)))</f>
        <v>1</v>
      </c>
      <c r="N390" s="234">
        <f t="shared" si="44"/>
        <v>373</v>
      </c>
      <c r="O390" s="165" t="str">
        <f t="shared" si="45"/>
        <v>0</v>
      </c>
      <c r="P390" s="234">
        <f t="shared" si="46"/>
        <v>1</v>
      </c>
      <c r="Q390" s="234">
        <f t="shared" si="47"/>
        <v>1</v>
      </c>
      <c r="DE390" s="152"/>
      <c r="DF390" s="160" t="s">
        <v>1700</v>
      </c>
      <c r="DG390" s="160" t="s">
        <v>621</v>
      </c>
      <c r="DH390" s="160" t="s">
        <v>125</v>
      </c>
      <c r="DI390" s="160" t="s">
        <v>1701</v>
      </c>
      <c r="DJ390" s="160" t="s">
        <v>1702</v>
      </c>
      <c r="DK390" s="160" t="s">
        <v>588</v>
      </c>
      <c r="DL390" s="160" t="s">
        <v>1616</v>
      </c>
      <c r="DM390" s="160" t="s">
        <v>590</v>
      </c>
      <c r="DN390" s="161" t="s">
        <v>591</v>
      </c>
      <c r="DP390" s="130">
        <v>1</v>
      </c>
    </row>
    <row r="391" spans="2:120" ht="15">
      <c r="B391" s="231"/>
      <c r="C391" s="231"/>
      <c r="D391" s="231"/>
      <c r="E391" s="231" cm="1">
        <f t="array" ref="E391">IF(H390&lt;&gt;"",E390,IF(E390="","",IFERROR(MATCH(TRUE(),INDEX(INDEX(K:K,E390+1):K203&lt;&gt;"",0),0)+E390,"")))</f>
        <v>483</v>
      </c>
      <c r="F391" s="232" cm="1">
        <f t="array" ref="F391">IF(E391="","",IF(H390&lt;&gt;"",H390,INDEX(D:D,E391)))</f>
        <v>0</v>
      </c>
      <c r="G391" s="232" t="str">
        <f t="shared" si="42"/>
        <v>0</v>
      </c>
      <c r="H391" s="233" t="str">
        <f t="shared" si="43"/>
        <v/>
      </c>
      <c r="I391" s="231" t="str">
        <f>IF(AND(F391&lt;&gt;"",N10&gt;0,M391&gt;N10),"Mot &gt; limite","")</f>
        <v/>
      </c>
      <c r="M391" s="126">
        <f>IF(OR(F391="",N10="",N10&lt;=0),"",IF(LEN(F391)&lt;=N10,LEN(F391),IFERROR(FIND("♦",SUBSTITUTE(LEFT(F391,N10)," ","♦",LEN(LEFT(F391,N10))-LEN(SUBSTITUTE(LEFT(F391,N10)," ","")))),FIND(" ",F391&amp;" ",N10+1)-1)))</f>
        <v>1</v>
      </c>
      <c r="N391" s="234">
        <f t="shared" si="44"/>
        <v>374</v>
      </c>
      <c r="O391" s="165" t="str">
        <f t="shared" si="45"/>
        <v>0</v>
      </c>
      <c r="P391" s="234">
        <f t="shared" si="46"/>
        <v>1</v>
      </c>
      <c r="Q391" s="234">
        <f t="shared" si="47"/>
        <v>1</v>
      </c>
      <c r="DE391" s="152"/>
      <c r="DF391" s="160" t="s">
        <v>1703</v>
      </c>
      <c r="DG391" s="160" t="s">
        <v>621</v>
      </c>
      <c r="DH391" s="160" t="s">
        <v>125</v>
      </c>
      <c r="DI391" s="160" t="s">
        <v>1704</v>
      </c>
      <c r="DJ391" s="160" t="s">
        <v>279</v>
      </c>
      <c r="DK391" s="160" t="s">
        <v>588</v>
      </c>
      <c r="DL391" s="160" t="s">
        <v>1616</v>
      </c>
      <c r="DM391" s="160" t="s">
        <v>590</v>
      </c>
      <c r="DN391" s="161" t="s">
        <v>591</v>
      </c>
      <c r="DP391" s="130">
        <v>1</v>
      </c>
    </row>
    <row r="392" spans="2:120" ht="15">
      <c r="B392" s="231"/>
      <c r="C392" s="231"/>
      <c r="D392" s="231"/>
      <c r="E392" s="231" cm="1">
        <f t="array" ref="E392">IF(H391&lt;&gt;"",E391,IF(E391="","",IFERROR(MATCH(TRUE(),INDEX(INDEX(K:K,E391+1):K203&lt;&gt;"",0),0)+E391,"")))</f>
        <v>484</v>
      </c>
      <c r="F392" s="232" cm="1">
        <f t="array" ref="F392">IF(E392="","",IF(H391&lt;&gt;"",H391,INDEX(D:D,E392)))</f>
        <v>0</v>
      </c>
      <c r="G392" s="232" t="str">
        <f t="shared" si="42"/>
        <v>0</v>
      </c>
      <c r="H392" s="233" t="str">
        <f t="shared" si="43"/>
        <v/>
      </c>
      <c r="I392" s="231" t="str">
        <f>IF(AND(F392&lt;&gt;"",N10&gt;0,M392&gt;N10),"Mot &gt; limite","")</f>
        <v/>
      </c>
      <c r="M392" s="126">
        <f>IF(OR(F392="",N10="",N10&lt;=0),"",IF(LEN(F392)&lt;=N10,LEN(F392),IFERROR(FIND("♦",SUBSTITUTE(LEFT(F392,N10)," ","♦",LEN(LEFT(F392,N10))-LEN(SUBSTITUTE(LEFT(F392,N10)," ","")))),FIND(" ",F392&amp;" ",N10+1)-1)))</f>
        <v>1</v>
      </c>
      <c r="N392" s="234">
        <f t="shared" si="44"/>
        <v>375</v>
      </c>
      <c r="O392" s="165" t="str">
        <f t="shared" si="45"/>
        <v>0</v>
      </c>
      <c r="P392" s="234">
        <f t="shared" si="46"/>
        <v>1</v>
      </c>
      <c r="Q392" s="234">
        <f t="shared" si="47"/>
        <v>1</v>
      </c>
      <c r="DE392" s="152"/>
      <c r="DF392" s="160" t="s">
        <v>1705</v>
      </c>
      <c r="DG392" s="160" t="s">
        <v>621</v>
      </c>
      <c r="DH392" s="160" t="s">
        <v>125</v>
      </c>
      <c r="DI392" s="160" t="s">
        <v>1706</v>
      </c>
      <c r="DJ392" s="160" t="s">
        <v>1707</v>
      </c>
      <c r="DK392" s="160" t="s">
        <v>588</v>
      </c>
      <c r="DL392" s="160" t="s">
        <v>1616</v>
      </c>
      <c r="DM392" s="160" t="s">
        <v>590</v>
      </c>
      <c r="DN392" s="161" t="s">
        <v>591</v>
      </c>
      <c r="DP392" s="130">
        <v>1</v>
      </c>
    </row>
    <row r="393" spans="2:120" ht="15">
      <c r="B393" s="231"/>
      <c r="C393" s="231"/>
      <c r="D393" s="231"/>
      <c r="E393" s="231" cm="1">
        <f t="array" ref="E393">IF(H392&lt;&gt;"",E392,IF(E392="","",IFERROR(MATCH(TRUE(),INDEX(INDEX(K:K,E392+1):K203&lt;&gt;"",0),0)+E392,"")))</f>
        <v>485</v>
      </c>
      <c r="F393" s="232" cm="1">
        <f t="array" ref="F393">IF(E393="","",IF(H392&lt;&gt;"",H392,INDEX(D:D,E393)))</f>
        <v>0</v>
      </c>
      <c r="G393" s="232" t="str">
        <f t="shared" si="42"/>
        <v>0</v>
      </c>
      <c r="H393" s="233" t="str">
        <f t="shared" si="43"/>
        <v/>
      </c>
      <c r="I393" s="231" t="str">
        <f>IF(AND(F393&lt;&gt;"",N10&gt;0,M393&gt;N10),"Mot &gt; limite","")</f>
        <v/>
      </c>
      <c r="M393" s="126">
        <f>IF(OR(F393="",N10="",N10&lt;=0),"",IF(LEN(F393)&lt;=N10,LEN(F393),IFERROR(FIND("♦",SUBSTITUTE(LEFT(F393,N10)," ","♦",LEN(LEFT(F393,N10))-LEN(SUBSTITUTE(LEFT(F393,N10)," ","")))),FIND(" ",F393&amp;" ",N10+1)-1)))</f>
        <v>1</v>
      </c>
      <c r="N393" s="234">
        <f t="shared" si="44"/>
        <v>376</v>
      </c>
      <c r="O393" s="165" t="str">
        <f t="shared" si="45"/>
        <v>0</v>
      </c>
      <c r="P393" s="234">
        <f t="shared" si="46"/>
        <v>1</v>
      </c>
      <c r="Q393" s="234">
        <f t="shared" si="47"/>
        <v>1</v>
      </c>
      <c r="DE393" s="152"/>
      <c r="DF393" s="160" t="s">
        <v>1708</v>
      </c>
      <c r="DG393" s="160" t="s">
        <v>621</v>
      </c>
      <c r="DH393" s="160" t="s">
        <v>125</v>
      </c>
      <c r="DI393" s="160" t="s">
        <v>1709</v>
      </c>
      <c r="DJ393" s="160" t="s">
        <v>1709</v>
      </c>
      <c r="DK393" s="160" t="s">
        <v>588</v>
      </c>
      <c r="DL393" s="160" t="s">
        <v>1616</v>
      </c>
      <c r="DM393" s="160" t="s">
        <v>590</v>
      </c>
      <c r="DN393" s="161" t="s">
        <v>591</v>
      </c>
      <c r="DP393" s="130">
        <v>1</v>
      </c>
    </row>
    <row r="394" spans="2:120" ht="15">
      <c r="B394" s="231"/>
      <c r="C394" s="231"/>
      <c r="D394" s="231"/>
      <c r="E394" s="231" cm="1">
        <f t="array" ref="E394">IF(H393&lt;&gt;"",E393,IF(E393="","",IFERROR(MATCH(TRUE(),INDEX(INDEX(K:K,E393+1):K203&lt;&gt;"",0),0)+E393,"")))</f>
        <v>486</v>
      </c>
      <c r="F394" s="232" cm="1">
        <f t="array" ref="F394">IF(E394="","",IF(H393&lt;&gt;"",H393,INDEX(D:D,E394)))</f>
        <v>0</v>
      </c>
      <c r="G394" s="232" t="str">
        <f t="shared" si="42"/>
        <v>0</v>
      </c>
      <c r="H394" s="233" t="str">
        <f t="shared" si="43"/>
        <v/>
      </c>
      <c r="I394" s="231" t="str">
        <f>IF(AND(F394&lt;&gt;"",N10&gt;0,M394&gt;N10),"Mot &gt; limite","")</f>
        <v/>
      </c>
      <c r="M394" s="126">
        <f>IF(OR(F394="",N10="",N10&lt;=0),"",IF(LEN(F394)&lt;=N10,LEN(F394),IFERROR(FIND("♦",SUBSTITUTE(LEFT(F394,N10)," ","♦",LEN(LEFT(F394,N10))-LEN(SUBSTITUTE(LEFT(F394,N10)," ","")))),FIND(" ",F394&amp;" ",N10+1)-1)))</f>
        <v>1</v>
      </c>
      <c r="N394" s="234">
        <f t="shared" si="44"/>
        <v>377</v>
      </c>
      <c r="O394" s="165" t="str">
        <f t="shared" si="45"/>
        <v>0</v>
      </c>
      <c r="P394" s="234">
        <f t="shared" si="46"/>
        <v>1</v>
      </c>
      <c r="Q394" s="234">
        <f t="shared" si="47"/>
        <v>1</v>
      </c>
      <c r="DE394" s="152"/>
      <c r="DF394" s="160" t="s">
        <v>1710</v>
      </c>
      <c r="DG394" s="160" t="s">
        <v>621</v>
      </c>
      <c r="DH394" s="160" t="s">
        <v>125</v>
      </c>
      <c r="DI394" s="160" t="s">
        <v>280</v>
      </c>
      <c r="DJ394" s="160" t="s">
        <v>280</v>
      </c>
      <c r="DK394" s="160" t="s">
        <v>588</v>
      </c>
      <c r="DL394" s="160" t="s">
        <v>1616</v>
      </c>
      <c r="DM394" s="160" t="s">
        <v>590</v>
      </c>
      <c r="DN394" s="161" t="s">
        <v>591</v>
      </c>
      <c r="DP394" s="130">
        <v>1</v>
      </c>
    </row>
    <row r="395" spans="2:120" ht="15">
      <c r="B395" s="231"/>
      <c r="C395" s="231"/>
      <c r="D395" s="231"/>
      <c r="E395" s="231" cm="1">
        <f t="array" ref="E395">IF(H394&lt;&gt;"",E394,IF(E394="","",IFERROR(MATCH(TRUE(),INDEX(INDEX(K:K,E394+1):K203&lt;&gt;"",0),0)+E394,"")))</f>
        <v>487</v>
      </c>
      <c r="F395" s="232" cm="1">
        <f t="array" ref="F395">IF(E395="","",IF(H394&lt;&gt;"",H394,INDEX(D:D,E395)))</f>
        <v>0</v>
      </c>
      <c r="G395" s="232" t="str">
        <f t="shared" si="42"/>
        <v>0</v>
      </c>
      <c r="H395" s="233" t="str">
        <f t="shared" si="43"/>
        <v/>
      </c>
      <c r="I395" s="231" t="str">
        <f>IF(AND(F395&lt;&gt;"",N10&gt;0,M395&gt;N10),"Mot &gt; limite","")</f>
        <v/>
      </c>
      <c r="M395" s="126">
        <f>IF(OR(F395="",N10="",N10&lt;=0),"",IF(LEN(F395)&lt;=N10,LEN(F395),IFERROR(FIND("♦",SUBSTITUTE(LEFT(F395,N10)," ","♦",LEN(LEFT(F395,N10))-LEN(SUBSTITUTE(LEFT(F395,N10)," ","")))),FIND(" ",F395&amp;" ",N10+1)-1)))</f>
        <v>1</v>
      </c>
      <c r="N395" s="234">
        <f t="shared" si="44"/>
        <v>378</v>
      </c>
      <c r="O395" s="165" t="str">
        <f t="shared" si="45"/>
        <v>0</v>
      </c>
      <c r="P395" s="234">
        <f t="shared" si="46"/>
        <v>1</v>
      </c>
      <c r="Q395" s="234">
        <f t="shared" si="47"/>
        <v>1</v>
      </c>
      <c r="DE395" s="152"/>
      <c r="DF395" s="160" t="s">
        <v>1711</v>
      </c>
      <c r="DG395" s="160" t="s">
        <v>621</v>
      </c>
      <c r="DH395" s="160" t="s">
        <v>125</v>
      </c>
      <c r="DI395" s="160" t="s">
        <v>515</v>
      </c>
      <c r="DJ395" s="160" t="s">
        <v>515</v>
      </c>
      <c r="DK395" s="160" t="s">
        <v>588</v>
      </c>
      <c r="DL395" s="160" t="s">
        <v>1616</v>
      </c>
      <c r="DM395" s="160" t="s">
        <v>590</v>
      </c>
      <c r="DN395" s="161" t="s">
        <v>591</v>
      </c>
      <c r="DP395" s="130">
        <v>1</v>
      </c>
    </row>
    <row r="396" spans="2:120" ht="15">
      <c r="B396" s="231"/>
      <c r="C396" s="231"/>
      <c r="D396" s="231"/>
      <c r="E396" s="231" cm="1">
        <f t="array" ref="E396">IF(H395&lt;&gt;"",E395,IF(E395="","",IFERROR(MATCH(TRUE(),INDEX(INDEX(K:K,E395+1):K203&lt;&gt;"",0),0)+E395,"")))</f>
        <v>488</v>
      </c>
      <c r="F396" s="232" cm="1">
        <f t="array" ref="F396">IF(E396="","",IF(H395&lt;&gt;"",H395,INDEX(D:D,E396)))</f>
        <v>0</v>
      </c>
      <c r="G396" s="232" t="str">
        <f t="shared" si="42"/>
        <v>0</v>
      </c>
      <c r="H396" s="233" t="str">
        <f t="shared" si="43"/>
        <v/>
      </c>
      <c r="I396" s="231" t="str">
        <f>IF(AND(F396&lt;&gt;"",N10&gt;0,M396&gt;N10),"Mot &gt; limite","")</f>
        <v/>
      </c>
      <c r="M396" s="126">
        <f>IF(OR(F396="",N10="",N10&lt;=0),"",IF(LEN(F396)&lt;=N10,LEN(F396),IFERROR(FIND("♦",SUBSTITUTE(LEFT(F396,N10)," ","♦",LEN(LEFT(F396,N10))-LEN(SUBSTITUTE(LEFT(F396,N10)," ","")))),FIND(" ",F396&amp;" ",N10+1)-1)))</f>
        <v>1</v>
      </c>
      <c r="N396" s="234">
        <f t="shared" si="44"/>
        <v>379</v>
      </c>
      <c r="O396" s="165" t="str">
        <f t="shared" si="45"/>
        <v>0</v>
      </c>
      <c r="P396" s="234">
        <f t="shared" si="46"/>
        <v>1</v>
      </c>
      <c r="Q396" s="234">
        <f t="shared" si="47"/>
        <v>1</v>
      </c>
      <c r="DE396" s="152"/>
      <c r="DF396" s="160" t="s">
        <v>1712</v>
      </c>
      <c r="DG396" s="160" t="s">
        <v>621</v>
      </c>
      <c r="DH396" s="160" t="s">
        <v>125</v>
      </c>
      <c r="DI396" s="160" t="s">
        <v>1713</v>
      </c>
      <c r="DJ396" s="160" t="s">
        <v>516</v>
      </c>
      <c r="DK396" s="160" t="s">
        <v>588</v>
      </c>
      <c r="DL396" s="160" t="s">
        <v>1616</v>
      </c>
      <c r="DM396" s="160" t="s">
        <v>590</v>
      </c>
      <c r="DN396" s="161" t="s">
        <v>591</v>
      </c>
      <c r="DP396" s="130">
        <v>1</v>
      </c>
    </row>
    <row r="397" spans="2:120" ht="15">
      <c r="B397" s="231"/>
      <c r="C397" s="231"/>
      <c r="D397" s="231"/>
      <c r="E397" s="231" cm="1">
        <f t="array" ref="E397">IF(H396&lt;&gt;"",E396,IF(E396="","",IFERROR(MATCH(TRUE(),INDEX(INDEX(K:K,E396+1):K203&lt;&gt;"",0),0)+E396,"")))</f>
        <v>489</v>
      </c>
      <c r="F397" s="232" cm="1">
        <f t="array" ref="F397">IF(E397="","",IF(H396&lt;&gt;"",H396,INDEX(D:D,E397)))</f>
        <v>0</v>
      </c>
      <c r="G397" s="232" t="str">
        <f t="shared" si="42"/>
        <v>0</v>
      </c>
      <c r="H397" s="233" t="str">
        <f t="shared" si="43"/>
        <v/>
      </c>
      <c r="I397" s="231" t="str">
        <f>IF(AND(F397&lt;&gt;"",N10&gt;0,M397&gt;N10),"Mot &gt; limite","")</f>
        <v/>
      </c>
      <c r="M397" s="126">
        <f>IF(OR(F397="",N10="",N10&lt;=0),"",IF(LEN(F397)&lt;=N10,LEN(F397),IFERROR(FIND("♦",SUBSTITUTE(LEFT(F397,N10)," ","♦",LEN(LEFT(F397,N10))-LEN(SUBSTITUTE(LEFT(F397,N10)," ","")))),FIND(" ",F397&amp;" ",N10+1)-1)))</f>
        <v>1</v>
      </c>
      <c r="N397" s="234">
        <f t="shared" si="44"/>
        <v>380</v>
      </c>
      <c r="O397" s="165" t="str">
        <f t="shared" si="45"/>
        <v>0</v>
      </c>
      <c r="P397" s="234">
        <f t="shared" si="46"/>
        <v>1</v>
      </c>
      <c r="Q397" s="234">
        <f t="shared" si="47"/>
        <v>1</v>
      </c>
      <c r="DE397" s="152"/>
      <c r="DF397" s="160" t="s">
        <v>1714</v>
      </c>
      <c r="DG397" s="160" t="s">
        <v>621</v>
      </c>
      <c r="DH397" s="160" t="s">
        <v>125</v>
      </c>
      <c r="DI397" s="160" t="s">
        <v>281</v>
      </c>
      <c r="DJ397" s="160" t="s">
        <v>281</v>
      </c>
      <c r="DK397" s="160" t="s">
        <v>588</v>
      </c>
      <c r="DL397" s="160" t="s">
        <v>1616</v>
      </c>
      <c r="DM397" s="160" t="s">
        <v>590</v>
      </c>
      <c r="DN397" s="161" t="s">
        <v>591</v>
      </c>
      <c r="DP397" s="130">
        <v>1</v>
      </c>
    </row>
    <row r="398" spans="2:120" ht="15">
      <c r="B398" s="231"/>
      <c r="C398" s="231"/>
      <c r="D398" s="231"/>
      <c r="E398" s="231" cm="1">
        <f t="array" ref="E398">IF(H397&lt;&gt;"",E397,IF(E397="","",IFERROR(MATCH(TRUE(),INDEX(INDEX(K:K,E397+1):K203&lt;&gt;"",0),0)+E397,"")))</f>
        <v>490</v>
      </c>
      <c r="F398" s="232" cm="1">
        <f t="array" ref="F398">IF(E398="","",IF(H397&lt;&gt;"",H397,INDEX(D:D,E398)))</f>
        <v>0</v>
      </c>
      <c r="G398" s="232" t="str">
        <f t="shared" si="42"/>
        <v>0</v>
      </c>
      <c r="H398" s="233" t="str">
        <f t="shared" si="43"/>
        <v/>
      </c>
      <c r="I398" s="231" t="str">
        <f>IF(AND(F398&lt;&gt;"",N10&gt;0,M398&gt;N10),"Mot &gt; limite","")</f>
        <v/>
      </c>
      <c r="M398" s="126">
        <f>IF(OR(F398="",N10="",N10&lt;=0),"",IF(LEN(F398)&lt;=N10,LEN(F398),IFERROR(FIND("♦",SUBSTITUTE(LEFT(F398,N10)," ","♦",LEN(LEFT(F398,N10))-LEN(SUBSTITUTE(LEFT(F398,N10)," ","")))),FIND(" ",F398&amp;" ",N10+1)-1)))</f>
        <v>1</v>
      </c>
      <c r="N398" s="234">
        <f t="shared" si="44"/>
        <v>381</v>
      </c>
      <c r="O398" s="165" t="str">
        <f t="shared" si="45"/>
        <v>0</v>
      </c>
      <c r="P398" s="234">
        <f t="shared" si="46"/>
        <v>1</v>
      </c>
      <c r="Q398" s="234">
        <f t="shared" si="47"/>
        <v>1</v>
      </c>
      <c r="DE398" s="152"/>
      <c r="DF398" s="160" t="s">
        <v>1715</v>
      </c>
      <c r="DG398" s="160" t="s">
        <v>621</v>
      </c>
      <c r="DH398" s="160" t="s">
        <v>125</v>
      </c>
      <c r="DI398" s="160" t="s">
        <v>282</v>
      </c>
      <c r="DJ398" s="160" t="s">
        <v>282</v>
      </c>
      <c r="DK398" s="160" t="s">
        <v>588</v>
      </c>
      <c r="DL398" s="160" t="s">
        <v>1616</v>
      </c>
      <c r="DM398" s="160" t="s">
        <v>590</v>
      </c>
      <c r="DN398" s="161" t="s">
        <v>591</v>
      </c>
      <c r="DP398" s="130">
        <v>1</v>
      </c>
    </row>
    <row r="399" spans="2:120" ht="15">
      <c r="B399" s="231"/>
      <c r="C399" s="231"/>
      <c r="D399" s="231"/>
      <c r="E399" s="231" cm="1">
        <f t="array" ref="E399">IF(H398&lt;&gt;"",E398,IF(E398="","",IFERROR(MATCH(TRUE(),INDEX(INDEX(K:K,E398+1):K203&lt;&gt;"",0),0)+E398,"")))</f>
        <v>491</v>
      </c>
      <c r="F399" s="232" cm="1">
        <f t="array" ref="F399">IF(E399="","",IF(H398&lt;&gt;"",H398,INDEX(D:D,E399)))</f>
        <v>0</v>
      </c>
      <c r="G399" s="232" t="str">
        <f t="shared" si="42"/>
        <v>0</v>
      </c>
      <c r="H399" s="233" t="str">
        <f t="shared" si="43"/>
        <v/>
      </c>
      <c r="I399" s="231" t="str">
        <f>IF(AND(F399&lt;&gt;"",N10&gt;0,M399&gt;N10),"Mot &gt; limite","")</f>
        <v/>
      </c>
      <c r="M399" s="126">
        <f>IF(OR(F399="",N10="",N10&lt;=0),"",IF(LEN(F399)&lt;=N10,LEN(F399),IFERROR(FIND("♦",SUBSTITUTE(LEFT(F399,N10)," ","♦",LEN(LEFT(F399,N10))-LEN(SUBSTITUTE(LEFT(F399,N10)," ","")))),FIND(" ",F399&amp;" ",N10+1)-1)))</f>
        <v>1</v>
      </c>
      <c r="N399" s="234">
        <f t="shared" si="44"/>
        <v>382</v>
      </c>
      <c r="O399" s="165" t="str">
        <f t="shared" si="45"/>
        <v>0</v>
      </c>
      <c r="P399" s="234">
        <f t="shared" si="46"/>
        <v>1</v>
      </c>
      <c r="Q399" s="234">
        <f t="shared" si="47"/>
        <v>1</v>
      </c>
      <c r="DE399" s="152"/>
      <c r="DF399" s="160" t="s">
        <v>1716</v>
      </c>
      <c r="DG399" s="160" t="s">
        <v>621</v>
      </c>
      <c r="DH399" s="160" t="s">
        <v>125</v>
      </c>
      <c r="DI399" s="160" t="s">
        <v>1717</v>
      </c>
      <c r="DJ399" s="160" t="s">
        <v>1718</v>
      </c>
      <c r="DK399" s="160" t="s">
        <v>588</v>
      </c>
      <c r="DL399" s="160" t="s">
        <v>1616</v>
      </c>
      <c r="DM399" s="160" t="s">
        <v>590</v>
      </c>
      <c r="DN399" s="161" t="s">
        <v>591</v>
      </c>
      <c r="DP399" s="130">
        <v>1</v>
      </c>
    </row>
    <row r="400" spans="2:120" ht="15">
      <c r="B400" s="231"/>
      <c r="C400" s="231"/>
      <c r="D400" s="231"/>
      <c r="E400" s="231" cm="1">
        <f t="array" ref="E400">IF(H399&lt;&gt;"",E399,IF(E399="","",IFERROR(MATCH(TRUE(),INDEX(INDEX(K:K,E399+1):K203&lt;&gt;"",0),0)+E399,"")))</f>
        <v>492</v>
      </c>
      <c r="F400" s="232" cm="1">
        <f t="array" ref="F400">IF(E400="","",IF(H399&lt;&gt;"",H399,INDEX(D:D,E400)))</f>
        <v>0</v>
      </c>
      <c r="G400" s="232" t="str">
        <f t="shared" si="42"/>
        <v>0</v>
      </c>
      <c r="H400" s="233" t="str">
        <f t="shared" si="43"/>
        <v/>
      </c>
      <c r="I400" s="231" t="str">
        <f>IF(AND(F400&lt;&gt;"",N10&gt;0,M400&gt;N10),"Mot &gt; limite","")</f>
        <v/>
      </c>
      <c r="M400" s="126">
        <f>IF(OR(F400="",N10="",N10&lt;=0),"",IF(LEN(F400)&lt;=N10,LEN(F400),IFERROR(FIND("♦",SUBSTITUTE(LEFT(F400,N10)," ","♦",LEN(LEFT(F400,N10))-LEN(SUBSTITUTE(LEFT(F400,N10)," ","")))),FIND(" ",F400&amp;" ",N10+1)-1)))</f>
        <v>1</v>
      </c>
      <c r="N400" s="234">
        <f t="shared" si="44"/>
        <v>383</v>
      </c>
      <c r="O400" s="165" t="str">
        <f t="shared" si="45"/>
        <v>0</v>
      </c>
      <c r="P400" s="234">
        <f t="shared" si="46"/>
        <v>1</v>
      </c>
      <c r="Q400" s="234">
        <f t="shared" si="47"/>
        <v>1</v>
      </c>
      <c r="DE400" s="152"/>
      <c r="DF400" s="160" t="s">
        <v>1719</v>
      </c>
      <c r="DG400" s="160" t="s">
        <v>621</v>
      </c>
      <c r="DH400" s="160" t="s">
        <v>125</v>
      </c>
      <c r="DI400" s="160" t="s">
        <v>896</v>
      </c>
      <c r="DJ400" s="160" t="s">
        <v>468</v>
      </c>
      <c r="DK400" s="160" t="s">
        <v>588</v>
      </c>
      <c r="DL400" s="160" t="s">
        <v>1616</v>
      </c>
      <c r="DM400" s="160" t="s">
        <v>590</v>
      </c>
      <c r="DN400" s="161" t="s">
        <v>591</v>
      </c>
      <c r="DP400" s="130">
        <v>1</v>
      </c>
    </row>
    <row r="401" spans="2:120" ht="15">
      <c r="B401" s="231"/>
      <c r="C401" s="231"/>
      <c r="D401" s="231"/>
      <c r="E401" s="231" cm="1">
        <f t="array" ref="E401">IF(H400&lt;&gt;"",E400,IF(E400="","",IFERROR(MATCH(TRUE(),INDEX(INDEX(K:K,E400+1):K203&lt;&gt;"",0),0)+E400,"")))</f>
        <v>493</v>
      </c>
      <c r="F401" s="232" cm="1">
        <f t="array" ref="F401">IF(E401="","",IF(H400&lt;&gt;"",H400,INDEX(D:D,E401)))</f>
        <v>0</v>
      </c>
      <c r="G401" s="232" t="str">
        <f t="shared" si="42"/>
        <v>0</v>
      </c>
      <c r="H401" s="233" t="str">
        <f t="shared" si="43"/>
        <v/>
      </c>
      <c r="I401" s="231" t="str">
        <f>IF(AND(F401&lt;&gt;"",N10&gt;0,M401&gt;N10),"Mot &gt; limite","")</f>
        <v/>
      </c>
      <c r="M401" s="126">
        <f>IF(OR(F401="",N10="",N10&lt;=0),"",IF(LEN(F401)&lt;=N10,LEN(F401),IFERROR(FIND("♦",SUBSTITUTE(LEFT(F401,N10)," ","♦",LEN(LEFT(F401,N10))-LEN(SUBSTITUTE(LEFT(F401,N10)," ","")))),FIND(" ",F401&amp;" ",N10+1)-1)))</f>
        <v>1</v>
      </c>
      <c r="N401" s="234">
        <f t="shared" si="44"/>
        <v>384</v>
      </c>
      <c r="O401" s="165" t="str">
        <f t="shared" si="45"/>
        <v>0</v>
      </c>
      <c r="P401" s="234">
        <f t="shared" si="46"/>
        <v>1</v>
      </c>
      <c r="Q401" s="234">
        <f t="shared" si="47"/>
        <v>1</v>
      </c>
      <c r="DE401" s="152"/>
      <c r="DF401" s="160" t="s">
        <v>1720</v>
      </c>
      <c r="DG401" s="160" t="s">
        <v>621</v>
      </c>
      <c r="DH401" s="160" t="s">
        <v>125</v>
      </c>
      <c r="DI401" s="160" t="s">
        <v>1721</v>
      </c>
      <c r="DJ401" s="160" t="s">
        <v>283</v>
      </c>
      <c r="DK401" s="160" t="s">
        <v>588</v>
      </c>
      <c r="DL401" s="160" t="s">
        <v>1616</v>
      </c>
      <c r="DM401" s="160" t="s">
        <v>590</v>
      </c>
      <c r="DN401" s="161" t="s">
        <v>591</v>
      </c>
      <c r="DP401" s="130">
        <v>1</v>
      </c>
    </row>
    <row r="402" spans="2:120" ht="15">
      <c r="B402" s="231"/>
      <c r="C402" s="231"/>
      <c r="D402" s="231"/>
      <c r="E402" s="231" cm="1">
        <f t="array" ref="E402">IF(H401&lt;&gt;"",E401,IF(E401="","",IFERROR(MATCH(TRUE(),INDEX(INDEX(K:K,E401+1):K203&lt;&gt;"",0),0)+E401,"")))</f>
        <v>494</v>
      </c>
      <c r="F402" s="232" cm="1">
        <f t="array" ref="F402">IF(E402="","",IF(H401&lt;&gt;"",H401,INDEX(D:D,E402)))</f>
        <v>0</v>
      </c>
      <c r="G402" s="232" t="str">
        <f t="shared" ref="G402:G465" si="48">IF(OR(F402="",M402=""),"",LEFT(F402,M402))</f>
        <v>0</v>
      </c>
      <c r="H402" s="233" t="str">
        <f t="shared" ref="H402:H465" si="49">IF(OR(F402="",M402=""),"",TRIM(MID(F402,M402+1,99999)))</f>
        <v/>
      </c>
      <c r="I402" s="231" t="str">
        <f>IF(AND(F402&lt;&gt;"",N10&gt;0,M402&gt;N10),"Mot &gt; limite","")</f>
        <v/>
      </c>
      <c r="M402" s="126">
        <f>IF(OR(F402="",N10="",N10&lt;=0),"",IF(LEN(F402)&lt;=N10,LEN(F402),IFERROR(FIND("♦",SUBSTITUTE(LEFT(F402,N10)," ","♦",LEN(LEFT(F402,N10))-LEN(SUBSTITUTE(LEFT(F402,N10)," ","")))),FIND(" ",F402&amp;" ",N10+1)-1)))</f>
        <v>1</v>
      </c>
      <c r="N402" s="234">
        <f t="shared" ref="N402:N465" si="50">IF(O402="","",ROW()-17)</f>
        <v>385</v>
      </c>
      <c r="O402" s="165" t="str">
        <f t="shared" ref="O402:O465" si="51">G402</f>
        <v>0</v>
      </c>
      <c r="P402" s="234">
        <f t="shared" ref="P402:P465" si="52">IF(O402="","",LEN(TRIM(O402))-LEN(SUBSTITUTE(TRIM(O402)," ",""))+1)</f>
        <v>1</v>
      </c>
      <c r="Q402" s="234">
        <f t="shared" ref="Q402:Q465" si="53">IF(O402="","",LEN(O402))</f>
        <v>1</v>
      </c>
      <c r="DE402" s="152"/>
      <c r="DF402" s="160" t="s">
        <v>1722</v>
      </c>
      <c r="DG402" s="160" t="s">
        <v>621</v>
      </c>
      <c r="DH402" s="160" t="s">
        <v>125</v>
      </c>
      <c r="DI402" s="160" t="s">
        <v>989</v>
      </c>
      <c r="DJ402" s="160" t="s">
        <v>989</v>
      </c>
      <c r="DK402" s="160" t="s">
        <v>588</v>
      </c>
      <c r="DL402" s="160" t="s">
        <v>1616</v>
      </c>
      <c r="DM402" s="160" t="s">
        <v>590</v>
      </c>
      <c r="DN402" s="161" t="s">
        <v>591</v>
      </c>
      <c r="DP402" s="130">
        <v>1</v>
      </c>
    </row>
    <row r="403" spans="2:120" ht="15">
      <c r="B403" s="231"/>
      <c r="C403" s="231"/>
      <c r="D403" s="231"/>
      <c r="E403" s="231" cm="1">
        <f t="array" ref="E403">IF(H402&lt;&gt;"",E402,IF(E402="","",IFERROR(MATCH(TRUE(),INDEX(INDEX(K:K,E402+1):K203&lt;&gt;"",0),0)+E402,"")))</f>
        <v>495</v>
      </c>
      <c r="F403" s="232" cm="1">
        <f t="array" ref="F403">IF(E403="","",IF(H402&lt;&gt;"",H402,INDEX(D:D,E403)))</f>
        <v>0</v>
      </c>
      <c r="G403" s="232" t="str">
        <f t="shared" si="48"/>
        <v>0</v>
      </c>
      <c r="H403" s="233" t="str">
        <f t="shared" si="49"/>
        <v/>
      </c>
      <c r="I403" s="231" t="str">
        <f>IF(AND(F403&lt;&gt;"",N10&gt;0,M403&gt;N10),"Mot &gt; limite","")</f>
        <v/>
      </c>
      <c r="M403" s="126">
        <f>IF(OR(F403="",N10="",N10&lt;=0),"",IF(LEN(F403)&lt;=N10,LEN(F403),IFERROR(FIND("♦",SUBSTITUTE(LEFT(F403,N10)," ","♦",LEN(LEFT(F403,N10))-LEN(SUBSTITUTE(LEFT(F403,N10)," ","")))),FIND(" ",F403&amp;" ",N10+1)-1)))</f>
        <v>1</v>
      </c>
      <c r="N403" s="234">
        <f t="shared" si="50"/>
        <v>386</v>
      </c>
      <c r="O403" s="165" t="str">
        <f t="shared" si="51"/>
        <v>0</v>
      </c>
      <c r="P403" s="234">
        <f t="shared" si="52"/>
        <v>1</v>
      </c>
      <c r="Q403" s="234">
        <f t="shared" si="53"/>
        <v>1</v>
      </c>
      <c r="DE403" s="152"/>
      <c r="DF403" s="160" t="s">
        <v>1723</v>
      </c>
      <c r="DG403" s="160" t="s">
        <v>621</v>
      </c>
      <c r="DH403" s="160" t="s">
        <v>125</v>
      </c>
      <c r="DI403" s="160" t="s">
        <v>1724</v>
      </c>
      <c r="DJ403" s="160" t="s">
        <v>1724</v>
      </c>
      <c r="DK403" s="160" t="s">
        <v>588</v>
      </c>
      <c r="DL403" s="160" t="s">
        <v>1616</v>
      </c>
      <c r="DM403" s="160" t="s">
        <v>590</v>
      </c>
      <c r="DN403" s="161" t="s">
        <v>591</v>
      </c>
      <c r="DP403" s="130">
        <v>1</v>
      </c>
    </row>
    <row r="404" spans="2:120" ht="15">
      <c r="B404" s="231"/>
      <c r="C404" s="231"/>
      <c r="D404" s="231"/>
      <c r="E404" s="231" cm="1">
        <f t="array" ref="E404">IF(H403&lt;&gt;"",E403,IF(E403="","",IFERROR(MATCH(TRUE(),INDEX(INDEX(K:K,E403+1):K203&lt;&gt;"",0),0)+E403,"")))</f>
        <v>496</v>
      </c>
      <c r="F404" s="232" cm="1">
        <f t="array" ref="F404">IF(E404="","",IF(H403&lt;&gt;"",H403,INDEX(D:D,E404)))</f>
        <v>0</v>
      </c>
      <c r="G404" s="232" t="str">
        <f t="shared" si="48"/>
        <v>0</v>
      </c>
      <c r="H404" s="233" t="str">
        <f t="shared" si="49"/>
        <v/>
      </c>
      <c r="I404" s="231" t="str">
        <f>IF(AND(F404&lt;&gt;"",N10&gt;0,M404&gt;N10),"Mot &gt; limite","")</f>
        <v/>
      </c>
      <c r="M404" s="126">
        <f>IF(OR(F404="",N10="",N10&lt;=0),"",IF(LEN(F404)&lt;=N10,LEN(F404),IFERROR(FIND("♦",SUBSTITUTE(LEFT(F404,N10)," ","♦",LEN(LEFT(F404,N10))-LEN(SUBSTITUTE(LEFT(F404,N10)," ","")))),FIND(" ",F404&amp;" ",N10+1)-1)))</f>
        <v>1</v>
      </c>
      <c r="N404" s="234">
        <f t="shared" si="50"/>
        <v>387</v>
      </c>
      <c r="O404" s="165" t="str">
        <f t="shared" si="51"/>
        <v>0</v>
      </c>
      <c r="P404" s="234">
        <f t="shared" si="52"/>
        <v>1</v>
      </c>
      <c r="Q404" s="234">
        <f t="shared" si="53"/>
        <v>1</v>
      </c>
      <c r="DE404" s="152"/>
      <c r="DF404" s="160" t="s">
        <v>1725</v>
      </c>
      <c r="DG404" s="160" t="s">
        <v>621</v>
      </c>
      <c r="DH404" s="160" t="s">
        <v>125</v>
      </c>
      <c r="DI404" s="160" t="s">
        <v>1726</v>
      </c>
      <c r="DJ404" s="160" t="s">
        <v>1726</v>
      </c>
      <c r="DK404" s="160" t="s">
        <v>588</v>
      </c>
      <c r="DL404" s="160" t="s">
        <v>1616</v>
      </c>
      <c r="DM404" s="160" t="s">
        <v>590</v>
      </c>
      <c r="DN404" s="161" t="s">
        <v>591</v>
      </c>
      <c r="DP404" s="130">
        <v>1</v>
      </c>
    </row>
    <row r="405" spans="2:120" ht="15">
      <c r="B405" s="231"/>
      <c r="C405" s="231"/>
      <c r="D405" s="231"/>
      <c r="E405" s="231" cm="1">
        <f t="array" ref="E405">IF(H404&lt;&gt;"",E404,IF(E404="","",IFERROR(MATCH(TRUE(),INDEX(INDEX(K:K,E404+1):K203&lt;&gt;"",0),0)+E404,"")))</f>
        <v>497</v>
      </c>
      <c r="F405" s="232" cm="1">
        <f t="array" ref="F405">IF(E405="","",IF(H404&lt;&gt;"",H404,INDEX(D:D,E405)))</f>
        <v>0</v>
      </c>
      <c r="G405" s="232" t="str">
        <f t="shared" si="48"/>
        <v>0</v>
      </c>
      <c r="H405" s="233" t="str">
        <f t="shared" si="49"/>
        <v/>
      </c>
      <c r="I405" s="231" t="str">
        <f>IF(AND(F405&lt;&gt;"",N10&gt;0,M405&gt;N10),"Mot &gt; limite","")</f>
        <v/>
      </c>
      <c r="M405" s="126">
        <f>IF(OR(F405="",N10="",N10&lt;=0),"",IF(LEN(F405)&lt;=N10,LEN(F405),IFERROR(FIND("♦",SUBSTITUTE(LEFT(F405,N10)," ","♦",LEN(LEFT(F405,N10))-LEN(SUBSTITUTE(LEFT(F405,N10)," ","")))),FIND(" ",F405&amp;" ",N10+1)-1)))</f>
        <v>1</v>
      </c>
      <c r="N405" s="234">
        <f t="shared" si="50"/>
        <v>388</v>
      </c>
      <c r="O405" s="165" t="str">
        <f t="shared" si="51"/>
        <v>0</v>
      </c>
      <c r="P405" s="234">
        <f t="shared" si="52"/>
        <v>1</v>
      </c>
      <c r="Q405" s="234">
        <f t="shared" si="53"/>
        <v>1</v>
      </c>
      <c r="DE405" s="152"/>
      <c r="DF405" s="160" t="s">
        <v>1727</v>
      </c>
      <c r="DG405" s="160" t="s">
        <v>621</v>
      </c>
      <c r="DH405" s="160" t="s">
        <v>125</v>
      </c>
      <c r="DI405" s="160" t="s">
        <v>1728</v>
      </c>
      <c r="DJ405" s="160" t="s">
        <v>1728</v>
      </c>
      <c r="DK405" s="160" t="s">
        <v>588</v>
      </c>
      <c r="DL405" s="160" t="s">
        <v>1616</v>
      </c>
      <c r="DM405" s="160" t="s">
        <v>590</v>
      </c>
      <c r="DN405" s="161" t="s">
        <v>591</v>
      </c>
      <c r="DP405" s="130">
        <v>1</v>
      </c>
    </row>
    <row r="406" spans="2:120" ht="15">
      <c r="B406" s="231"/>
      <c r="C406" s="231"/>
      <c r="D406" s="231"/>
      <c r="E406" s="231" cm="1">
        <f t="array" ref="E406">IF(H405&lt;&gt;"",E405,IF(E405="","",IFERROR(MATCH(TRUE(),INDEX(INDEX(K:K,E405+1):K203&lt;&gt;"",0),0)+E405,"")))</f>
        <v>498</v>
      </c>
      <c r="F406" s="232" cm="1">
        <f t="array" ref="F406">IF(E406="","",IF(H405&lt;&gt;"",H405,INDEX(D:D,E406)))</f>
        <v>0</v>
      </c>
      <c r="G406" s="232" t="str">
        <f t="shared" si="48"/>
        <v>0</v>
      </c>
      <c r="H406" s="233" t="str">
        <f t="shared" si="49"/>
        <v/>
      </c>
      <c r="I406" s="231" t="str">
        <f>IF(AND(F406&lt;&gt;"",N10&gt;0,M406&gt;N10),"Mot &gt; limite","")</f>
        <v/>
      </c>
      <c r="M406" s="126">
        <f>IF(OR(F406="",N10="",N10&lt;=0),"",IF(LEN(F406)&lt;=N10,LEN(F406),IFERROR(FIND("♦",SUBSTITUTE(LEFT(F406,N10)," ","♦",LEN(LEFT(F406,N10))-LEN(SUBSTITUTE(LEFT(F406,N10)," ","")))),FIND(" ",F406&amp;" ",N10+1)-1)))</f>
        <v>1</v>
      </c>
      <c r="N406" s="234">
        <f t="shared" si="50"/>
        <v>389</v>
      </c>
      <c r="O406" s="165" t="str">
        <f t="shared" si="51"/>
        <v>0</v>
      </c>
      <c r="P406" s="234">
        <f t="shared" si="52"/>
        <v>1</v>
      </c>
      <c r="Q406" s="234">
        <f t="shared" si="53"/>
        <v>1</v>
      </c>
      <c r="DE406" s="152"/>
      <c r="DF406" s="160" t="s">
        <v>1729</v>
      </c>
      <c r="DG406" s="160" t="s">
        <v>621</v>
      </c>
      <c r="DH406" s="160" t="s">
        <v>125</v>
      </c>
      <c r="DI406" s="160" t="s">
        <v>1730</v>
      </c>
      <c r="DJ406" s="160" t="s">
        <v>1731</v>
      </c>
      <c r="DK406" s="160" t="s">
        <v>588</v>
      </c>
      <c r="DL406" s="160" t="s">
        <v>1616</v>
      </c>
      <c r="DM406" s="160" t="s">
        <v>590</v>
      </c>
      <c r="DN406" s="161" t="s">
        <v>591</v>
      </c>
      <c r="DP406" s="130">
        <v>1</v>
      </c>
    </row>
    <row r="407" spans="2:120" ht="15">
      <c r="B407" s="231"/>
      <c r="C407" s="231"/>
      <c r="D407" s="231"/>
      <c r="E407" s="231" cm="1">
        <f t="array" ref="E407">IF(H406&lt;&gt;"",E406,IF(E406="","",IFERROR(MATCH(TRUE(),INDEX(INDEX(K:K,E406+1):K203&lt;&gt;"",0),0)+E406,"")))</f>
        <v>499</v>
      </c>
      <c r="F407" s="232" cm="1">
        <f t="array" ref="F407">IF(E407="","",IF(H406&lt;&gt;"",H406,INDEX(D:D,E407)))</f>
        <v>0</v>
      </c>
      <c r="G407" s="232" t="str">
        <f t="shared" si="48"/>
        <v>0</v>
      </c>
      <c r="H407" s="233" t="str">
        <f t="shared" si="49"/>
        <v/>
      </c>
      <c r="I407" s="231" t="str">
        <f>IF(AND(F407&lt;&gt;"",N10&gt;0,M407&gt;N10),"Mot &gt; limite","")</f>
        <v/>
      </c>
      <c r="M407" s="126">
        <f>IF(OR(F407="",N10="",N10&lt;=0),"",IF(LEN(F407)&lt;=N10,LEN(F407),IFERROR(FIND("♦",SUBSTITUTE(LEFT(F407,N10)," ","♦",LEN(LEFT(F407,N10))-LEN(SUBSTITUTE(LEFT(F407,N10)," ","")))),FIND(" ",F407&amp;" ",N10+1)-1)))</f>
        <v>1</v>
      </c>
      <c r="N407" s="234">
        <f t="shared" si="50"/>
        <v>390</v>
      </c>
      <c r="O407" s="165" t="str">
        <f t="shared" si="51"/>
        <v>0</v>
      </c>
      <c r="P407" s="234">
        <f t="shared" si="52"/>
        <v>1</v>
      </c>
      <c r="Q407" s="234">
        <f t="shared" si="53"/>
        <v>1</v>
      </c>
      <c r="DE407" s="152"/>
      <c r="DF407" s="160" t="s">
        <v>1732</v>
      </c>
      <c r="DG407" s="160" t="s">
        <v>621</v>
      </c>
      <c r="DH407" s="160" t="s">
        <v>125</v>
      </c>
      <c r="DI407" s="160" t="s">
        <v>1733</v>
      </c>
      <c r="DJ407" s="160" t="s">
        <v>1733</v>
      </c>
      <c r="DK407" s="160" t="s">
        <v>588</v>
      </c>
      <c r="DL407" s="160" t="s">
        <v>1616</v>
      </c>
      <c r="DM407" s="160" t="s">
        <v>590</v>
      </c>
      <c r="DN407" s="161" t="s">
        <v>591</v>
      </c>
      <c r="DP407" s="130">
        <v>1</v>
      </c>
    </row>
    <row r="408" spans="2:120" ht="15">
      <c r="B408" s="231"/>
      <c r="C408" s="231"/>
      <c r="D408" s="231"/>
      <c r="E408" s="231" cm="1">
        <f t="array" ref="E408">IF(H407&lt;&gt;"",E407,IF(E407="","",IFERROR(MATCH(TRUE(),INDEX(INDEX(K:K,E407+1):K203&lt;&gt;"",0),0)+E407,"")))</f>
        <v>500</v>
      </c>
      <c r="F408" s="232" cm="1">
        <f t="array" ref="F408">IF(E408="","",IF(H407&lt;&gt;"",H407,INDEX(D:D,E408)))</f>
        <v>0</v>
      </c>
      <c r="G408" s="232" t="str">
        <f t="shared" si="48"/>
        <v>0</v>
      </c>
      <c r="H408" s="233" t="str">
        <f t="shared" si="49"/>
        <v/>
      </c>
      <c r="I408" s="231" t="str">
        <f>IF(AND(F408&lt;&gt;"",N10&gt;0,M408&gt;N10),"Mot &gt; limite","")</f>
        <v/>
      </c>
      <c r="M408" s="126">
        <f>IF(OR(F408="",N10="",N10&lt;=0),"",IF(LEN(F408)&lt;=N10,LEN(F408),IFERROR(FIND("♦",SUBSTITUTE(LEFT(F408,N10)," ","♦",LEN(LEFT(F408,N10))-LEN(SUBSTITUTE(LEFT(F408,N10)," ","")))),FIND(" ",F408&amp;" ",N10+1)-1)))</f>
        <v>1</v>
      </c>
      <c r="N408" s="234">
        <f t="shared" si="50"/>
        <v>391</v>
      </c>
      <c r="O408" s="165" t="str">
        <f t="shared" si="51"/>
        <v>0</v>
      </c>
      <c r="P408" s="234">
        <f t="shared" si="52"/>
        <v>1</v>
      </c>
      <c r="Q408" s="234">
        <f t="shared" si="53"/>
        <v>1</v>
      </c>
      <c r="DE408" s="152"/>
      <c r="DF408" s="160" t="s">
        <v>1734</v>
      </c>
      <c r="DG408" s="160" t="s">
        <v>621</v>
      </c>
      <c r="DH408" s="160" t="s">
        <v>125</v>
      </c>
      <c r="DI408" s="160" t="s">
        <v>1735</v>
      </c>
      <c r="DJ408" s="160" t="s">
        <v>1736</v>
      </c>
      <c r="DK408" s="160" t="s">
        <v>588</v>
      </c>
      <c r="DL408" s="160" t="s">
        <v>1616</v>
      </c>
      <c r="DM408" s="160" t="s">
        <v>590</v>
      </c>
      <c r="DN408" s="161" t="s">
        <v>591</v>
      </c>
      <c r="DP408" s="130">
        <v>1</v>
      </c>
    </row>
    <row r="409" spans="2:120" ht="15">
      <c r="B409" s="231"/>
      <c r="C409" s="231"/>
      <c r="D409" s="231"/>
      <c r="E409" s="231" cm="1">
        <f t="array" ref="E409">IF(H408&lt;&gt;"",E408,IF(E408="","",IFERROR(MATCH(TRUE(),INDEX(INDEX(K:K,E408+1):K203&lt;&gt;"",0),0)+E408,"")))</f>
        <v>501</v>
      </c>
      <c r="F409" s="232" cm="1">
        <f t="array" ref="F409">IF(E409="","",IF(H408&lt;&gt;"",H408,INDEX(D:D,E409)))</f>
        <v>0</v>
      </c>
      <c r="G409" s="232" t="str">
        <f t="shared" si="48"/>
        <v>0</v>
      </c>
      <c r="H409" s="233" t="str">
        <f t="shared" si="49"/>
        <v/>
      </c>
      <c r="I409" s="231" t="str">
        <f>IF(AND(F409&lt;&gt;"",N10&gt;0,M409&gt;N10),"Mot &gt; limite","")</f>
        <v/>
      </c>
      <c r="M409" s="126">
        <f>IF(OR(F409="",N10="",N10&lt;=0),"",IF(LEN(F409)&lt;=N10,LEN(F409),IFERROR(FIND("♦",SUBSTITUTE(LEFT(F409,N10)," ","♦",LEN(LEFT(F409,N10))-LEN(SUBSTITUTE(LEFT(F409,N10)," ","")))),FIND(" ",F409&amp;" ",N10+1)-1)))</f>
        <v>1</v>
      </c>
      <c r="N409" s="234">
        <f t="shared" si="50"/>
        <v>392</v>
      </c>
      <c r="O409" s="165" t="str">
        <f t="shared" si="51"/>
        <v>0</v>
      </c>
      <c r="P409" s="234">
        <f t="shared" si="52"/>
        <v>1</v>
      </c>
      <c r="Q409" s="234">
        <f t="shared" si="53"/>
        <v>1</v>
      </c>
      <c r="DE409" s="152"/>
      <c r="DF409" s="160" t="s">
        <v>1737</v>
      </c>
      <c r="DG409" s="160" t="s">
        <v>621</v>
      </c>
      <c r="DH409" s="160" t="s">
        <v>125</v>
      </c>
      <c r="DI409" s="160" t="s">
        <v>1738</v>
      </c>
      <c r="DJ409" s="160" t="s">
        <v>1738</v>
      </c>
      <c r="DK409" s="160" t="s">
        <v>588</v>
      </c>
      <c r="DL409" s="160" t="s">
        <v>1616</v>
      </c>
      <c r="DM409" s="160" t="s">
        <v>590</v>
      </c>
      <c r="DN409" s="161" t="s">
        <v>591</v>
      </c>
      <c r="DP409" s="130">
        <v>1</v>
      </c>
    </row>
    <row r="410" spans="2:120" ht="15">
      <c r="B410" s="231"/>
      <c r="C410" s="231"/>
      <c r="D410" s="231"/>
      <c r="E410" s="231" cm="1">
        <f t="array" ref="E410">IF(H409&lt;&gt;"",E409,IF(E409="","",IFERROR(MATCH(TRUE(),INDEX(INDEX(K:K,E409+1):K203&lt;&gt;"",0),0)+E409,"")))</f>
        <v>502</v>
      </c>
      <c r="F410" s="232" cm="1">
        <f t="array" ref="F410">IF(E410="","",IF(H409&lt;&gt;"",H409,INDEX(D:D,E410)))</f>
        <v>0</v>
      </c>
      <c r="G410" s="232" t="str">
        <f t="shared" si="48"/>
        <v>0</v>
      </c>
      <c r="H410" s="233" t="str">
        <f t="shared" si="49"/>
        <v/>
      </c>
      <c r="I410" s="231" t="str">
        <f>IF(AND(F410&lt;&gt;"",N10&gt;0,M410&gt;N10),"Mot &gt; limite","")</f>
        <v/>
      </c>
      <c r="M410" s="126">
        <f>IF(OR(F410="",N10="",N10&lt;=0),"",IF(LEN(F410)&lt;=N10,LEN(F410),IFERROR(FIND("♦",SUBSTITUTE(LEFT(F410,N10)," ","♦",LEN(LEFT(F410,N10))-LEN(SUBSTITUTE(LEFT(F410,N10)," ","")))),FIND(" ",F410&amp;" ",N10+1)-1)))</f>
        <v>1</v>
      </c>
      <c r="N410" s="234">
        <f t="shared" si="50"/>
        <v>393</v>
      </c>
      <c r="O410" s="165" t="str">
        <f t="shared" si="51"/>
        <v>0</v>
      </c>
      <c r="P410" s="234">
        <f t="shared" si="52"/>
        <v>1</v>
      </c>
      <c r="Q410" s="234">
        <f t="shared" si="53"/>
        <v>1</v>
      </c>
      <c r="DE410" s="152"/>
      <c r="DF410" s="160" t="s">
        <v>1739</v>
      </c>
      <c r="DG410" s="160" t="s">
        <v>621</v>
      </c>
      <c r="DH410" s="160" t="s">
        <v>1182</v>
      </c>
      <c r="DI410" s="160" t="s">
        <v>1740</v>
      </c>
      <c r="DJ410" s="160" t="s">
        <v>1740</v>
      </c>
      <c r="DK410" s="160" t="s">
        <v>588</v>
      </c>
      <c r="DL410" s="160" t="s">
        <v>1741</v>
      </c>
      <c r="DM410" s="160" t="s">
        <v>590</v>
      </c>
      <c r="DN410" s="161" t="s">
        <v>591</v>
      </c>
      <c r="DP410" s="130">
        <v>1</v>
      </c>
    </row>
    <row r="411" spans="2:120" ht="15">
      <c r="B411" s="231"/>
      <c r="C411" s="231"/>
      <c r="D411" s="231"/>
      <c r="E411" s="231" cm="1">
        <f t="array" ref="E411">IF(H410&lt;&gt;"",E410,IF(E410="","",IFERROR(MATCH(TRUE(),INDEX(INDEX(K:K,E410+1):K203&lt;&gt;"",0),0)+E410,"")))</f>
        <v>503</v>
      </c>
      <c r="F411" s="232" cm="1">
        <f t="array" ref="F411">IF(E411="","",IF(H410&lt;&gt;"",H410,INDEX(D:D,E411)))</f>
        <v>0</v>
      </c>
      <c r="G411" s="232" t="str">
        <f t="shared" si="48"/>
        <v>0</v>
      </c>
      <c r="H411" s="233" t="str">
        <f t="shared" si="49"/>
        <v/>
      </c>
      <c r="I411" s="231" t="str">
        <f>IF(AND(F411&lt;&gt;"",N10&gt;0,M411&gt;N10),"Mot &gt; limite","")</f>
        <v/>
      </c>
      <c r="M411" s="126">
        <f>IF(OR(F411="",N10="",N10&lt;=0),"",IF(LEN(F411)&lt;=N10,LEN(F411),IFERROR(FIND("♦",SUBSTITUTE(LEFT(F411,N10)," ","♦",LEN(LEFT(F411,N10))-LEN(SUBSTITUTE(LEFT(F411,N10)," ","")))),FIND(" ",F411&amp;" ",N10+1)-1)))</f>
        <v>1</v>
      </c>
      <c r="N411" s="234">
        <f t="shared" si="50"/>
        <v>394</v>
      </c>
      <c r="O411" s="165" t="str">
        <f t="shared" si="51"/>
        <v>0</v>
      </c>
      <c r="P411" s="234">
        <f t="shared" si="52"/>
        <v>1</v>
      </c>
      <c r="Q411" s="234">
        <f t="shared" si="53"/>
        <v>1</v>
      </c>
      <c r="DE411" s="152"/>
      <c r="DF411" s="160" t="s">
        <v>1742</v>
      </c>
      <c r="DG411" s="160" t="s">
        <v>621</v>
      </c>
      <c r="DH411" s="160" t="s">
        <v>1182</v>
      </c>
      <c r="DI411" s="160" t="s">
        <v>1743</v>
      </c>
      <c r="DJ411" s="160" t="s">
        <v>1743</v>
      </c>
      <c r="DK411" s="160" t="s">
        <v>588</v>
      </c>
      <c r="DL411" s="160" t="s">
        <v>1741</v>
      </c>
      <c r="DM411" s="160" t="s">
        <v>590</v>
      </c>
      <c r="DN411" s="161" t="s">
        <v>591</v>
      </c>
      <c r="DP411" s="130">
        <v>1</v>
      </c>
    </row>
    <row r="412" spans="2:120" ht="15">
      <c r="B412" s="231"/>
      <c r="C412" s="231"/>
      <c r="D412" s="231"/>
      <c r="E412" s="231" cm="1">
        <f t="array" ref="E412">IF(H411&lt;&gt;"",E411,IF(E411="","",IFERROR(MATCH(TRUE(),INDEX(INDEX(K:K,E411+1):K203&lt;&gt;"",0),0)+E411,"")))</f>
        <v>504</v>
      </c>
      <c r="F412" s="232" cm="1">
        <f t="array" ref="F412">IF(E412="","",IF(H411&lt;&gt;"",H411,INDEX(D:D,E412)))</f>
        <v>0</v>
      </c>
      <c r="G412" s="232" t="str">
        <f t="shared" si="48"/>
        <v>0</v>
      </c>
      <c r="H412" s="233" t="str">
        <f t="shared" si="49"/>
        <v/>
      </c>
      <c r="I412" s="231" t="str">
        <f>IF(AND(F412&lt;&gt;"",N10&gt;0,M412&gt;N10),"Mot &gt; limite","")</f>
        <v/>
      </c>
      <c r="M412" s="126">
        <f>IF(OR(F412="",N10="",N10&lt;=0),"",IF(LEN(F412)&lt;=N10,LEN(F412),IFERROR(FIND("♦",SUBSTITUTE(LEFT(F412,N10)," ","♦",LEN(LEFT(F412,N10))-LEN(SUBSTITUTE(LEFT(F412,N10)," ","")))),FIND(" ",F412&amp;" ",N10+1)-1)))</f>
        <v>1</v>
      </c>
      <c r="N412" s="234">
        <f t="shared" si="50"/>
        <v>395</v>
      </c>
      <c r="O412" s="165" t="str">
        <f t="shared" si="51"/>
        <v>0</v>
      </c>
      <c r="P412" s="234">
        <f t="shared" si="52"/>
        <v>1</v>
      </c>
      <c r="Q412" s="234">
        <f t="shared" si="53"/>
        <v>1</v>
      </c>
      <c r="DE412" s="152"/>
      <c r="DF412" s="160" t="s">
        <v>1744</v>
      </c>
      <c r="DG412" s="160" t="s">
        <v>621</v>
      </c>
      <c r="DH412" s="160" t="s">
        <v>1182</v>
      </c>
      <c r="DI412" s="160" t="s">
        <v>1183</v>
      </c>
      <c r="DJ412" s="160" t="s">
        <v>1183</v>
      </c>
      <c r="DK412" s="160" t="s">
        <v>588</v>
      </c>
      <c r="DL412" s="160" t="s">
        <v>1741</v>
      </c>
      <c r="DM412" s="160" t="s">
        <v>590</v>
      </c>
      <c r="DN412" s="161" t="s">
        <v>591</v>
      </c>
      <c r="DP412" s="130">
        <v>1</v>
      </c>
    </row>
    <row r="413" spans="2:120" ht="15">
      <c r="B413" s="231"/>
      <c r="C413" s="231"/>
      <c r="D413" s="231"/>
      <c r="E413" s="231" cm="1">
        <f t="array" ref="E413">IF(H412&lt;&gt;"",E412,IF(E412="","",IFERROR(MATCH(TRUE(),INDEX(INDEX(K:K,E412+1):K203&lt;&gt;"",0),0)+E412,"")))</f>
        <v>505</v>
      </c>
      <c r="F413" s="232" cm="1">
        <f t="array" ref="F413">IF(E413="","",IF(H412&lt;&gt;"",H412,INDEX(D:D,E413)))</f>
        <v>0</v>
      </c>
      <c r="G413" s="232" t="str">
        <f t="shared" si="48"/>
        <v>0</v>
      </c>
      <c r="H413" s="233" t="str">
        <f t="shared" si="49"/>
        <v/>
      </c>
      <c r="I413" s="231" t="str">
        <f>IF(AND(F413&lt;&gt;"",N10&gt;0,M413&gt;N10),"Mot &gt; limite","")</f>
        <v/>
      </c>
      <c r="M413" s="126">
        <f>IF(OR(F413="",N10="",N10&lt;=0),"",IF(LEN(F413)&lt;=N10,LEN(F413),IFERROR(FIND("♦",SUBSTITUTE(LEFT(F413,N10)," ","♦",LEN(LEFT(F413,N10))-LEN(SUBSTITUTE(LEFT(F413,N10)," ","")))),FIND(" ",F413&amp;" ",N10+1)-1)))</f>
        <v>1</v>
      </c>
      <c r="N413" s="234">
        <f t="shared" si="50"/>
        <v>396</v>
      </c>
      <c r="O413" s="165" t="str">
        <f t="shared" si="51"/>
        <v>0</v>
      </c>
      <c r="P413" s="234">
        <f t="shared" si="52"/>
        <v>1</v>
      </c>
      <c r="Q413" s="234">
        <f t="shared" si="53"/>
        <v>1</v>
      </c>
      <c r="DE413" s="152"/>
      <c r="DF413" s="160" t="s">
        <v>1745</v>
      </c>
      <c r="DG413" s="160" t="s">
        <v>621</v>
      </c>
      <c r="DH413" s="160" t="s">
        <v>1182</v>
      </c>
      <c r="DI413" s="160" t="s">
        <v>458</v>
      </c>
      <c r="DJ413" s="160" t="s">
        <v>458</v>
      </c>
      <c r="DK413" s="160" t="s">
        <v>588</v>
      </c>
      <c r="DL413" s="160" t="s">
        <v>1741</v>
      </c>
      <c r="DM413" s="160" t="s">
        <v>590</v>
      </c>
      <c r="DN413" s="161" t="s">
        <v>591</v>
      </c>
      <c r="DP413" s="130">
        <v>1</v>
      </c>
    </row>
    <row r="414" spans="2:120" ht="15">
      <c r="B414" s="231"/>
      <c r="C414" s="231"/>
      <c r="D414" s="231"/>
      <c r="E414" s="231" cm="1">
        <f t="array" ref="E414">IF(H413&lt;&gt;"",E413,IF(E413="","",IFERROR(MATCH(TRUE(),INDEX(INDEX(K:K,E413+1):K203&lt;&gt;"",0),0)+E413,"")))</f>
        <v>506</v>
      </c>
      <c r="F414" s="232" cm="1">
        <f t="array" ref="F414">IF(E414="","",IF(H413&lt;&gt;"",H413,INDEX(D:D,E414)))</f>
        <v>0</v>
      </c>
      <c r="G414" s="232" t="str">
        <f t="shared" si="48"/>
        <v>0</v>
      </c>
      <c r="H414" s="233" t="str">
        <f t="shared" si="49"/>
        <v/>
      </c>
      <c r="I414" s="231" t="str">
        <f>IF(AND(F414&lt;&gt;"",N10&gt;0,M414&gt;N10),"Mot &gt; limite","")</f>
        <v/>
      </c>
      <c r="M414" s="126">
        <f>IF(OR(F414="",N10="",N10&lt;=0),"",IF(LEN(F414)&lt;=N10,LEN(F414),IFERROR(FIND("♦",SUBSTITUTE(LEFT(F414,N10)," ","♦",LEN(LEFT(F414,N10))-LEN(SUBSTITUTE(LEFT(F414,N10)," ","")))),FIND(" ",F414&amp;" ",N10+1)-1)))</f>
        <v>1</v>
      </c>
      <c r="N414" s="234">
        <f t="shared" si="50"/>
        <v>397</v>
      </c>
      <c r="O414" s="165" t="str">
        <f t="shared" si="51"/>
        <v>0</v>
      </c>
      <c r="P414" s="234">
        <f t="shared" si="52"/>
        <v>1</v>
      </c>
      <c r="Q414" s="234">
        <f t="shared" si="53"/>
        <v>1</v>
      </c>
      <c r="DE414" s="152"/>
      <c r="DF414" s="160" t="s">
        <v>1746</v>
      </c>
      <c r="DG414" s="160" t="s">
        <v>621</v>
      </c>
      <c r="DH414" s="160" t="s">
        <v>1182</v>
      </c>
      <c r="DI414" s="160" t="s">
        <v>1747</v>
      </c>
      <c r="DJ414" s="160" t="s">
        <v>1747</v>
      </c>
      <c r="DK414" s="160" t="s">
        <v>588</v>
      </c>
      <c r="DL414" s="160" t="s">
        <v>1741</v>
      </c>
      <c r="DM414" s="160" t="s">
        <v>590</v>
      </c>
      <c r="DN414" s="161" t="s">
        <v>591</v>
      </c>
      <c r="DP414" s="130">
        <v>1</v>
      </c>
    </row>
    <row r="415" spans="2:120" ht="15">
      <c r="B415" s="231"/>
      <c r="C415" s="231"/>
      <c r="D415" s="231"/>
      <c r="E415" s="231" cm="1">
        <f t="array" ref="E415">IF(H414&lt;&gt;"",E414,IF(E414="","",IFERROR(MATCH(TRUE(),INDEX(INDEX(K:K,E414+1):K203&lt;&gt;"",0),0)+E414,"")))</f>
        <v>507</v>
      </c>
      <c r="F415" s="232" cm="1">
        <f t="array" ref="F415">IF(E415="","",IF(H414&lt;&gt;"",H414,INDEX(D:D,E415)))</f>
        <v>0</v>
      </c>
      <c r="G415" s="232" t="str">
        <f t="shared" si="48"/>
        <v>0</v>
      </c>
      <c r="H415" s="233" t="str">
        <f t="shared" si="49"/>
        <v/>
      </c>
      <c r="I415" s="231" t="str">
        <f>IF(AND(F415&lt;&gt;"",N10&gt;0,M415&gt;N10),"Mot &gt; limite","")</f>
        <v/>
      </c>
      <c r="M415" s="126">
        <f>IF(OR(F415="",N10="",N10&lt;=0),"",IF(LEN(F415)&lt;=N10,LEN(F415),IFERROR(FIND("♦",SUBSTITUTE(LEFT(F415,N10)," ","♦",LEN(LEFT(F415,N10))-LEN(SUBSTITUTE(LEFT(F415,N10)," ","")))),FIND(" ",F415&amp;" ",N10+1)-1)))</f>
        <v>1</v>
      </c>
      <c r="N415" s="234">
        <f t="shared" si="50"/>
        <v>398</v>
      </c>
      <c r="O415" s="165" t="str">
        <f t="shared" si="51"/>
        <v>0</v>
      </c>
      <c r="P415" s="234">
        <f t="shared" si="52"/>
        <v>1</v>
      </c>
      <c r="Q415" s="234">
        <f t="shared" si="53"/>
        <v>1</v>
      </c>
      <c r="DE415" s="152"/>
      <c r="DF415" s="160" t="s">
        <v>1748</v>
      </c>
      <c r="DG415" s="160" t="s">
        <v>621</v>
      </c>
      <c r="DH415" s="160" t="s">
        <v>1182</v>
      </c>
      <c r="DI415" s="160" t="s">
        <v>1191</v>
      </c>
      <c r="DJ415" s="160" t="s">
        <v>1191</v>
      </c>
      <c r="DK415" s="160" t="s">
        <v>666</v>
      </c>
      <c r="DL415" s="160" t="s">
        <v>1192</v>
      </c>
      <c r="DM415" s="160" t="s">
        <v>590</v>
      </c>
      <c r="DN415" s="161" t="s">
        <v>668</v>
      </c>
      <c r="DP415" s="130">
        <v>1</v>
      </c>
    </row>
    <row r="416" spans="2:120" ht="15">
      <c r="B416" s="231"/>
      <c r="C416" s="231"/>
      <c r="D416" s="231"/>
      <c r="E416" s="231" cm="1">
        <f t="array" ref="E416">IF(H415&lt;&gt;"",E415,IF(E415="","",IFERROR(MATCH(TRUE(),INDEX(INDEX(K:K,E415+1):K203&lt;&gt;"",0),0)+E415,"")))</f>
        <v>508</v>
      </c>
      <c r="F416" s="232" cm="1">
        <f t="array" ref="F416">IF(E416="","",IF(H415&lt;&gt;"",H415,INDEX(D:D,E416)))</f>
        <v>0</v>
      </c>
      <c r="G416" s="232" t="str">
        <f t="shared" si="48"/>
        <v>0</v>
      </c>
      <c r="H416" s="233" t="str">
        <f t="shared" si="49"/>
        <v/>
      </c>
      <c r="I416" s="231" t="str">
        <f>IF(AND(F416&lt;&gt;"",N10&gt;0,M416&gt;N10),"Mot &gt; limite","")</f>
        <v/>
      </c>
      <c r="M416" s="126">
        <f>IF(OR(F416="",N10="",N10&lt;=0),"",IF(LEN(F416)&lt;=N10,LEN(F416),IFERROR(FIND("♦",SUBSTITUTE(LEFT(F416,N10)," ","♦",LEN(LEFT(F416,N10))-LEN(SUBSTITUTE(LEFT(F416,N10)," ","")))),FIND(" ",F416&amp;" ",N10+1)-1)))</f>
        <v>1</v>
      </c>
      <c r="N416" s="234">
        <f t="shared" si="50"/>
        <v>399</v>
      </c>
      <c r="O416" s="165" t="str">
        <f t="shared" si="51"/>
        <v>0</v>
      </c>
      <c r="P416" s="234">
        <f t="shared" si="52"/>
        <v>1</v>
      </c>
      <c r="Q416" s="234">
        <f t="shared" si="53"/>
        <v>1</v>
      </c>
      <c r="DE416" s="152"/>
      <c r="DF416" s="160" t="s">
        <v>1749</v>
      </c>
      <c r="DG416" s="160" t="s">
        <v>621</v>
      </c>
      <c r="DH416" s="160" t="s">
        <v>1182</v>
      </c>
      <c r="DI416" s="160" t="s">
        <v>1196</v>
      </c>
      <c r="DJ416" s="160" t="s">
        <v>1196</v>
      </c>
      <c r="DK416" s="160" t="s">
        <v>666</v>
      </c>
      <c r="DL416" s="160" t="s">
        <v>1192</v>
      </c>
      <c r="DM416" s="160" t="s">
        <v>590</v>
      </c>
      <c r="DN416" s="161" t="s">
        <v>668</v>
      </c>
      <c r="DP416" s="130">
        <v>1</v>
      </c>
    </row>
    <row r="417" spans="2:120" ht="15">
      <c r="B417" s="231"/>
      <c r="C417" s="231"/>
      <c r="D417" s="231"/>
      <c r="E417" s="231" cm="1">
        <f t="array" ref="E417">IF(H416&lt;&gt;"",E416,IF(E416="","",IFERROR(MATCH(TRUE(),INDEX(INDEX(K:K,E416+1):K203&lt;&gt;"",0),0)+E416,"")))</f>
        <v>509</v>
      </c>
      <c r="F417" s="232" cm="1">
        <f t="array" ref="F417">IF(E417="","",IF(H416&lt;&gt;"",H416,INDEX(D:D,E417)))</f>
        <v>0</v>
      </c>
      <c r="G417" s="232" t="str">
        <f t="shared" si="48"/>
        <v>0</v>
      </c>
      <c r="H417" s="233" t="str">
        <f t="shared" si="49"/>
        <v/>
      </c>
      <c r="I417" s="231" t="str">
        <f>IF(AND(F417&lt;&gt;"",N10&gt;0,M417&gt;N10),"Mot &gt; limite","")</f>
        <v/>
      </c>
      <c r="M417" s="126">
        <f>IF(OR(F417="",N10="",N10&lt;=0),"",IF(LEN(F417)&lt;=N10,LEN(F417),IFERROR(FIND("♦",SUBSTITUTE(LEFT(F417,N10)," ","♦",LEN(LEFT(F417,N10))-LEN(SUBSTITUTE(LEFT(F417,N10)," ","")))),FIND(" ",F417&amp;" ",N10+1)-1)))</f>
        <v>1</v>
      </c>
      <c r="N417" s="234">
        <f t="shared" si="50"/>
        <v>400</v>
      </c>
      <c r="O417" s="165" t="str">
        <f t="shared" si="51"/>
        <v>0</v>
      </c>
      <c r="P417" s="234">
        <f t="shared" si="52"/>
        <v>1</v>
      </c>
      <c r="Q417" s="234">
        <f t="shared" si="53"/>
        <v>1</v>
      </c>
      <c r="DE417" s="152"/>
      <c r="DF417" s="160" t="s">
        <v>1750</v>
      </c>
      <c r="DG417" s="160" t="s">
        <v>621</v>
      </c>
      <c r="DH417" s="160" t="s">
        <v>1182</v>
      </c>
      <c r="DI417" s="160" t="s">
        <v>1751</v>
      </c>
      <c r="DJ417" s="160" t="s">
        <v>1751</v>
      </c>
      <c r="DK417" s="160" t="s">
        <v>588</v>
      </c>
      <c r="DL417" s="160" t="s">
        <v>1741</v>
      </c>
      <c r="DM417" s="160" t="s">
        <v>590</v>
      </c>
      <c r="DN417" s="161" t="s">
        <v>591</v>
      </c>
      <c r="DP417" s="130">
        <v>1</v>
      </c>
    </row>
    <row r="418" spans="2:120" ht="15">
      <c r="B418" s="231"/>
      <c r="C418" s="231"/>
      <c r="D418" s="231"/>
      <c r="E418" s="231" cm="1">
        <f t="array" ref="E418">IF(H417&lt;&gt;"",E417,IF(E417="","",IFERROR(MATCH(TRUE(),INDEX(INDEX(K:K,E417+1):K203&lt;&gt;"",0),0)+E417,"")))</f>
        <v>510</v>
      </c>
      <c r="F418" s="232" cm="1">
        <f t="array" ref="F418">IF(E418="","",IF(H417&lt;&gt;"",H417,INDEX(D:D,E418)))</f>
        <v>0</v>
      </c>
      <c r="G418" s="232" t="str">
        <f t="shared" si="48"/>
        <v>0</v>
      </c>
      <c r="H418" s="233" t="str">
        <f t="shared" si="49"/>
        <v/>
      </c>
      <c r="I418" s="231" t="str">
        <f>IF(AND(F418&lt;&gt;"",N10&gt;0,M418&gt;N10),"Mot &gt; limite","")</f>
        <v/>
      </c>
      <c r="M418" s="126">
        <f>IF(OR(F418="",N10="",N10&lt;=0),"",IF(LEN(F418)&lt;=N10,LEN(F418),IFERROR(FIND("♦",SUBSTITUTE(LEFT(F418,N10)," ","♦",LEN(LEFT(F418,N10))-LEN(SUBSTITUTE(LEFT(F418,N10)," ","")))),FIND(" ",F418&amp;" ",N10+1)-1)))</f>
        <v>1</v>
      </c>
      <c r="N418" s="234">
        <f t="shared" si="50"/>
        <v>401</v>
      </c>
      <c r="O418" s="165" t="str">
        <f t="shared" si="51"/>
        <v>0</v>
      </c>
      <c r="P418" s="234">
        <f t="shared" si="52"/>
        <v>1</v>
      </c>
      <c r="Q418" s="234">
        <f t="shared" si="53"/>
        <v>1</v>
      </c>
      <c r="DE418" s="152"/>
      <c r="DF418" s="160" t="s">
        <v>1752</v>
      </c>
      <c r="DG418" s="160" t="s">
        <v>621</v>
      </c>
      <c r="DH418" s="160" t="s">
        <v>1182</v>
      </c>
      <c r="DI418" s="160" t="s">
        <v>1201</v>
      </c>
      <c r="DJ418" s="160" t="s">
        <v>1201</v>
      </c>
      <c r="DK418" s="160" t="s">
        <v>588</v>
      </c>
      <c r="DL418" s="160" t="s">
        <v>1741</v>
      </c>
      <c r="DM418" s="160" t="s">
        <v>590</v>
      </c>
      <c r="DN418" s="161" t="s">
        <v>591</v>
      </c>
      <c r="DP418" s="130">
        <v>1</v>
      </c>
    </row>
    <row r="419" spans="2:120" ht="15">
      <c r="B419" s="231"/>
      <c r="C419" s="231"/>
      <c r="D419" s="231"/>
      <c r="E419" s="231" cm="1">
        <f t="array" ref="E419">IF(H418&lt;&gt;"",E418,IF(E418="","",IFERROR(MATCH(TRUE(),INDEX(INDEX(K:K,E418+1):K203&lt;&gt;"",0),0)+E418,"")))</f>
        <v>511</v>
      </c>
      <c r="F419" s="232" cm="1">
        <f t="array" ref="F419">IF(E419="","",IF(H418&lt;&gt;"",H418,INDEX(D:D,E419)))</f>
        <v>0</v>
      </c>
      <c r="G419" s="232" t="str">
        <f t="shared" si="48"/>
        <v>0</v>
      </c>
      <c r="H419" s="233" t="str">
        <f t="shared" si="49"/>
        <v/>
      </c>
      <c r="I419" s="231" t="str">
        <f>IF(AND(F419&lt;&gt;"",N10&gt;0,M419&gt;N10),"Mot &gt; limite","")</f>
        <v/>
      </c>
      <c r="M419" s="126">
        <f>IF(OR(F419="",N10="",N10&lt;=0),"",IF(LEN(F419)&lt;=N10,LEN(F419),IFERROR(FIND("♦",SUBSTITUTE(LEFT(F419,N10)," ","♦",LEN(LEFT(F419,N10))-LEN(SUBSTITUTE(LEFT(F419,N10)," ","")))),FIND(" ",F419&amp;" ",N10+1)-1)))</f>
        <v>1</v>
      </c>
      <c r="N419" s="234">
        <f t="shared" si="50"/>
        <v>402</v>
      </c>
      <c r="O419" s="165" t="str">
        <f t="shared" si="51"/>
        <v>0</v>
      </c>
      <c r="P419" s="234">
        <f t="shared" si="52"/>
        <v>1</v>
      </c>
      <c r="Q419" s="234">
        <f t="shared" si="53"/>
        <v>1</v>
      </c>
      <c r="DE419" s="152"/>
      <c r="DF419" s="160" t="s">
        <v>1753</v>
      </c>
      <c r="DG419" s="160" t="s">
        <v>621</v>
      </c>
      <c r="DH419" s="160" t="s">
        <v>1182</v>
      </c>
      <c r="DI419" s="160" t="s">
        <v>1754</v>
      </c>
      <c r="DJ419" s="160" t="s">
        <v>1755</v>
      </c>
      <c r="DK419" s="160" t="s">
        <v>588</v>
      </c>
      <c r="DL419" s="160" t="s">
        <v>1741</v>
      </c>
      <c r="DM419" s="160" t="s">
        <v>590</v>
      </c>
      <c r="DN419" s="161" t="s">
        <v>591</v>
      </c>
      <c r="DP419" s="130">
        <v>1</v>
      </c>
    </row>
    <row r="420" spans="2:120" ht="15">
      <c r="B420" s="231"/>
      <c r="C420" s="231"/>
      <c r="D420" s="231"/>
      <c r="E420" s="231" cm="1">
        <f t="array" ref="E420">IF(H419&lt;&gt;"",E419,IF(E419="","",IFERROR(MATCH(TRUE(),INDEX(INDEX(K:K,E419+1):K203&lt;&gt;"",0),0)+E419,"")))</f>
        <v>512</v>
      </c>
      <c r="F420" s="232" cm="1">
        <f t="array" ref="F420">IF(E420="","",IF(H419&lt;&gt;"",H419,INDEX(D:D,E420)))</f>
        <v>0</v>
      </c>
      <c r="G420" s="232" t="str">
        <f t="shared" si="48"/>
        <v>0</v>
      </c>
      <c r="H420" s="233" t="str">
        <f t="shared" si="49"/>
        <v/>
      </c>
      <c r="I420" s="231" t="str">
        <f>IF(AND(F420&lt;&gt;"",N10&gt;0,M420&gt;N10),"Mot &gt; limite","")</f>
        <v/>
      </c>
      <c r="M420" s="126">
        <f>IF(OR(F420="",N10="",N10&lt;=0),"",IF(LEN(F420)&lt;=N10,LEN(F420),IFERROR(FIND("♦",SUBSTITUTE(LEFT(F420,N10)," ","♦",LEN(LEFT(F420,N10))-LEN(SUBSTITUTE(LEFT(F420,N10)," ","")))),FIND(" ",F420&amp;" ",N10+1)-1)))</f>
        <v>1</v>
      </c>
      <c r="N420" s="234">
        <f t="shared" si="50"/>
        <v>403</v>
      </c>
      <c r="O420" s="165" t="str">
        <f t="shared" si="51"/>
        <v>0</v>
      </c>
      <c r="P420" s="234">
        <f t="shared" si="52"/>
        <v>1</v>
      </c>
      <c r="Q420" s="234">
        <f t="shared" si="53"/>
        <v>1</v>
      </c>
      <c r="DE420" s="152"/>
      <c r="DF420" s="160" t="s">
        <v>1756</v>
      </c>
      <c r="DG420" s="160" t="s">
        <v>621</v>
      </c>
      <c r="DH420" s="160" t="s">
        <v>1182</v>
      </c>
      <c r="DI420" s="160" t="s">
        <v>1757</v>
      </c>
      <c r="DJ420" s="160" t="s">
        <v>1757</v>
      </c>
      <c r="DK420" s="160" t="s">
        <v>588</v>
      </c>
      <c r="DL420" s="160" t="s">
        <v>1741</v>
      </c>
      <c r="DM420" s="160" t="s">
        <v>590</v>
      </c>
      <c r="DN420" s="161" t="s">
        <v>591</v>
      </c>
      <c r="DP420" s="130">
        <v>1</v>
      </c>
    </row>
    <row r="421" spans="2:120" ht="15">
      <c r="B421" s="231"/>
      <c r="C421" s="231"/>
      <c r="D421" s="231"/>
      <c r="E421" s="231" cm="1">
        <f t="array" ref="E421">IF(H420&lt;&gt;"",E420,IF(E420="","",IFERROR(MATCH(TRUE(),INDEX(INDEX(K:K,E420+1):K203&lt;&gt;"",0),0)+E420,"")))</f>
        <v>513</v>
      </c>
      <c r="F421" s="232" cm="1">
        <f t="array" ref="F421">IF(E421="","",IF(H420&lt;&gt;"",H420,INDEX(D:D,E421)))</f>
        <v>0</v>
      </c>
      <c r="G421" s="232" t="str">
        <f t="shared" si="48"/>
        <v>0</v>
      </c>
      <c r="H421" s="233" t="str">
        <f t="shared" si="49"/>
        <v/>
      </c>
      <c r="I421" s="231" t="str">
        <f>IF(AND(F421&lt;&gt;"",N10&gt;0,M421&gt;N10),"Mot &gt; limite","")</f>
        <v/>
      </c>
      <c r="M421" s="126">
        <f>IF(OR(F421="",N10="",N10&lt;=0),"",IF(LEN(F421)&lt;=N10,LEN(F421),IFERROR(FIND("♦",SUBSTITUTE(LEFT(F421,N10)," ","♦",LEN(LEFT(F421,N10))-LEN(SUBSTITUTE(LEFT(F421,N10)," ","")))),FIND(" ",F421&amp;" ",N10+1)-1)))</f>
        <v>1</v>
      </c>
      <c r="N421" s="234">
        <f t="shared" si="50"/>
        <v>404</v>
      </c>
      <c r="O421" s="165" t="str">
        <f t="shared" si="51"/>
        <v>0</v>
      </c>
      <c r="P421" s="234">
        <f t="shared" si="52"/>
        <v>1</v>
      </c>
      <c r="Q421" s="234">
        <f t="shared" si="53"/>
        <v>1</v>
      </c>
      <c r="DE421" s="152"/>
      <c r="DF421" s="160" t="s">
        <v>1758</v>
      </c>
      <c r="DG421" s="160" t="s">
        <v>621</v>
      </c>
      <c r="DH421" s="160" t="s">
        <v>1182</v>
      </c>
      <c r="DI421" s="160" t="s">
        <v>1759</v>
      </c>
      <c r="DJ421" s="160" t="s">
        <v>1759</v>
      </c>
      <c r="DK421" s="160" t="s">
        <v>588</v>
      </c>
      <c r="DL421" s="160" t="s">
        <v>1741</v>
      </c>
      <c r="DM421" s="160" t="s">
        <v>590</v>
      </c>
      <c r="DN421" s="161" t="s">
        <v>591</v>
      </c>
      <c r="DP421" s="130">
        <v>1</v>
      </c>
    </row>
    <row r="422" spans="2:120" ht="15">
      <c r="B422" s="231"/>
      <c r="C422" s="231"/>
      <c r="D422" s="231"/>
      <c r="E422" s="231" cm="1">
        <f t="array" ref="E422">IF(H421&lt;&gt;"",E421,IF(E421="","",IFERROR(MATCH(TRUE(),INDEX(INDEX(K:K,E421+1):K203&lt;&gt;"",0),0)+E421,"")))</f>
        <v>514</v>
      </c>
      <c r="F422" s="232" cm="1">
        <f t="array" ref="F422">IF(E422="","",IF(H421&lt;&gt;"",H421,INDEX(D:D,E422)))</f>
        <v>0</v>
      </c>
      <c r="G422" s="232" t="str">
        <f t="shared" si="48"/>
        <v>0</v>
      </c>
      <c r="H422" s="233" t="str">
        <f t="shared" si="49"/>
        <v/>
      </c>
      <c r="I422" s="231" t="str">
        <f>IF(AND(F422&lt;&gt;"",N10&gt;0,M422&gt;N10),"Mot &gt; limite","")</f>
        <v/>
      </c>
      <c r="M422" s="126">
        <f>IF(OR(F422="",N10="",N10&lt;=0),"",IF(LEN(F422)&lt;=N10,LEN(F422),IFERROR(FIND("♦",SUBSTITUTE(LEFT(F422,N10)," ","♦",LEN(LEFT(F422,N10))-LEN(SUBSTITUTE(LEFT(F422,N10)," ","")))),FIND(" ",F422&amp;" ",N10+1)-1)))</f>
        <v>1</v>
      </c>
      <c r="N422" s="234">
        <f t="shared" si="50"/>
        <v>405</v>
      </c>
      <c r="O422" s="165" t="str">
        <f t="shared" si="51"/>
        <v>0</v>
      </c>
      <c r="P422" s="234">
        <f t="shared" si="52"/>
        <v>1</v>
      </c>
      <c r="Q422" s="234">
        <f t="shared" si="53"/>
        <v>1</v>
      </c>
      <c r="DE422" s="152"/>
      <c r="DF422" s="160" t="s">
        <v>1760</v>
      </c>
      <c r="DG422" s="160" t="s">
        <v>621</v>
      </c>
      <c r="DH422" s="160" t="s">
        <v>1182</v>
      </c>
      <c r="DI422" s="160" t="s">
        <v>1761</v>
      </c>
      <c r="DJ422" s="160" t="s">
        <v>1761</v>
      </c>
      <c r="DK422" s="160" t="s">
        <v>588</v>
      </c>
      <c r="DL422" s="160" t="s">
        <v>1741</v>
      </c>
      <c r="DM422" s="160" t="s">
        <v>590</v>
      </c>
      <c r="DN422" s="161" t="s">
        <v>591</v>
      </c>
      <c r="DP422" s="130">
        <v>1</v>
      </c>
    </row>
    <row r="423" spans="2:120" ht="15">
      <c r="B423" s="231"/>
      <c r="C423" s="231"/>
      <c r="D423" s="231"/>
      <c r="E423" s="231" cm="1">
        <f t="array" ref="E423">IF(H422&lt;&gt;"",E422,IF(E422="","",IFERROR(MATCH(TRUE(),INDEX(INDEX(K:K,E422+1):K203&lt;&gt;"",0),0)+E422,"")))</f>
        <v>515</v>
      </c>
      <c r="F423" s="232" cm="1">
        <f t="array" ref="F423">IF(E423="","",IF(H422&lt;&gt;"",H422,INDEX(D:D,E423)))</f>
        <v>0</v>
      </c>
      <c r="G423" s="232" t="str">
        <f t="shared" si="48"/>
        <v>0</v>
      </c>
      <c r="H423" s="233" t="str">
        <f t="shared" si="49"/>
        <v/>
      </c>
      <c r="I423" s="231" t="str">
        <f>IF(AND(F423&lt;&gt;"",N10&gt;0,M423&gt;N10),"Mot &gt; limite","")</f>
        <v/>
      </c>
      <c r="M423" s="126">
        <f>IF(OR(F423="",N10="",N10&lt;=0),"",IF(LEN(F423)&lt;=N10,LEN(F423),IFERROR(FIND("♦",SUBSTITUTE(LEFT(F423,N10)," ","♦",LEN(LEFT(F423,N10))-LEN(SUBSTITUTE(LEFT(F423,N10)," ","")))),FIND(" ",F423&amp;" ",N10+1)-1)))</f>
        <v>1</v>
      </c>
      <c r="N423" s="234">
        <f t="shared" si="50"/>
        <v>406</v>
      </c>
      <c r="O423" s="165" t="str">
        <f t="shared" si="51"/>
        <v>0</v>
      </c>
      <c r="P423" s="234">
        <f t="shared" si="52"/>
        <v>1</v>
      </c>
      <c r="Q423" s="234">
        <f t="shared" si="53"/>
        <v>1</v>
      </c>
      <c r="DE423" s="152"/>
      <c r="DF423" s="160" t="s">
        <v>1762</v>
      </c>
      <c r="DG423" s="160" t="s">
        <v>621</v>
      </c>
      <c r="DH423" s="160" t="s">
        <v>1182</v>
      </c>
      <c r="DI423" s="160" t="s">
        <v>1763</v>
      </c>
      <c r="DJ423" s="160" t="s">
        <v>1763</v>
      </c>
      <c r="DK423" s="160" t="s">
        <v>588</v>
      </c>
      <c r="DL423" s="160" t="s">
        <v>1741</v>
      </c>
      <c r="DM423" s="160" t="s">
        <v>590</v>
      </c>
      <c r="DN423" s="161" t="s">
        <v>591</v>
      </c>
      <c r="DP423" s="130">
        <v>1</v>
      </c>
    </row>
    <row r="424" spans="2:120" ht="15">
      <c r="B424" s="231"/>
      <c r="C424" s="231"/>
      <c r="D424" s="231"/>
      <c r="E424" s="231" cm="1">
        <f t="array" ref="E424">IF(H423&lt;&gt;"",E423,IF(E423="","",IFERROR(MATCH(TRUE(),INDEX(INDEX(K:K,E423+1):K203&lt;&gt;"",0),0)+E423,"")))</f>
        <v>516</v>
      </c>
      <c r="F424" s="232" cm="1">
        <f t="array" ref="F424">IF(E424="","",IF(H423&lt;&gt;"",H423,INDEX(D:D,E424)))</f>
        <v>0</v>
      </c>
      <c r="G424" s="232" t="str">
        <f t="shared" si="48"/>
        <v>0</v>
      </c>
      <c r="H424" s="233" t="str">
        <f t="shared" si="49"/>
        <v/>
      </c>
      <c r="I424" s="231" t="str">
        <f>IF(AND(F424&lt;&gt;"",N10&gt;0,M424&gt;N10),"Mot &gt; limite","")</f>
        <v/>
      </c>
      <c r="M424" s="126">
        <f>IF(OR(F424="",N10="",N10&lt;=0),"",IF(LEN(F424)&lt;=N10,LEN(F424),IFERROR(FIND("♦",SUBSTITUTE(LEFT(F424,N10)," ","♦",LEN(LEFT(F424,N10))-LEN(SUBSTITUTE(LEFT(F424,N10)," ","")))),FIND(" ",F424&amp;" ",N10+1)-1)))</f>
        <v>1</v>
      </c>
      <c r="N424" s="234">
        <f t="shared" si="50"/>
        <v>407</v>
      </c>
      <c r="O424" s="165" t="str">
        <f t="shared" si="51"/>
        <v>0</v>
      </c>
      <c r="P424" s="234">
        <f t="shared" si="52"/>
        <v>1</v>
      </c>
      <c r="Q424" s="234">
        <f t="shared" si="53"/>
        <v>1</v>
      </c>
      <c r="DE424" s="152"/>
      <c r="DF424" s="160" t="s">
        <v>1764</v>
      </c>
      <c r="DG424" s="160" t="s">
        <v>621</v>
      </c>
      <c r="DH424" s="160" t="s">
        <v>1182</v>
      </c>
      <c r="DI424" s="160" t="s">
        <v>1765</v>
      </c>
      <c r="DJ424" s="160" t="s">
        <v>1766</v>
      </c>
      <c r="DK424" s="160" t="s">
        <v>588</v>
      </c>
      <c r="DL424" s="160" t="s">
        <v>1741</v>
      </c>
      <c r="DM424" s="160" t="s">
        <v>590</v>
      </c>
      <c r="DN424" s="161" t="s">
        <v>591</v>
      </c>
      <c r="DP424" s="130">
        <v>1</v>
      </c>
    </row>
    <row r="425" spans="2:120" ht="15">
      <c r="B425" s="231"/>
      <c r="C425" s="231"/>
      <c r="D425" s="231"/>
      <c r="E425" s="231" cm="1">
        <f t="array" ref="E425">IF(H424&lt;&gt;"",E424,IF(E424="","",IFERROR(MATCH(TRUE(),INDEX(INDEX(K:K,E424+1):K203&lt;&gt;"",0),0)+E424,"")))</f>
        <v>517</v>
      </c>
      <c r="F425" s="232" cm="1">
        <f t="array" ref="F425">IF(E425="","",IF(H424&lt;&gt;"",H424,INDEX(D:D,E425)))</f>
        <v>0</v>
      </c>
      <c r="G425" s="232" t="str">
        <f t="shared" si="48"/>
        <v>0</v>
      </c>
      <c r="H425" s="233" t="str">
        <f t="shared" si="49"/>
        <v/>
      </c>
      <c r="I425" s="231" t="str">
        <f>IF(AND(F425&lt;&gt;"",N10&gt;0,M425&gt;N10),"Mot &gt; limite","")</f>
        <v/>
      </c>
      <c r="M425" s="126">
        <f>IF(OR(F425="",N10="",N10&lt;=0),"",IF(LEN(F425)&lt;=N10,LEN(F425),IFERROR(FIND("♦",SUBSTITUTE(LEFT(F425,N10)," ","♦",LEN(LEFT(F425,N10))-LEN(SUBSTITUTE(LEFT(F425,N10)," ","")))),FIND(" ",F425&amp;" ",N10+1)-1)))</f>
        <v>1</v>
      </c>
      <c r="N425" s="234">
        <f t="shared" si="50"/>
        <v>408</v>
      </c>
      <c r="O425" s="165" t="str">
        <f t="shared" si="51"/>
        <v>0</v>
      </c>
      <c r="P425" s="234">
        <f t="shared" si="52"/>
        <v>1</v>
      </c>
      <c r="Q425" s="234">
        <f t="shared" si="53"/>
        <v>1</v>
      </c>
      <c r="DE425" s="152"/>
      <c r="DF425" s="160" t="s">
        <v>1767</v>
      </c>
      <c r="DG425" s="160" t="s">
        <v>621</v>
      </c>
      <c r="DH425" s="160" t="s">
        <v>1182</v>
      </c>
      <c r="DI425" s="160" t="s">
        <v>1768</v>
      </c>
      <c r="DJ425" s="160" t="s">
        <v>1769</v>
      </c>
      <c r="DK425" s="160" t="s">
        <v>588</v>
      </c>
      <c r="DL425" s="160" t="s">
        <v>1741</v>
      </c>
      <c r="DM425" s="160" t="s">
        <v>590</v>
      </c>
      <c r="DN425" s="161" t="s">
        <v>591</v>
      </c>
      <c r="DP425" s="130">
        <v>1</v>
      </c>
    </row>
    <row r="426" spans="2:120" ht="15">
      <c r="B426" s="231"/>
      <c r="C426" s="231"/>
      <c r="D426" s="231"/>
      <c r="E426" s="231" cm="1">
        <f t="array" ref="E426">IF(H425&lt;&gt;"",E425,IF(E425="","",IFERROR(MATCH(TRUE(),INDEX(INDEX(K:K,E425+1):K203&lt;&gt;"",0),0)+E425,"")))</f>
        <v>518</v>
      </c>
      <c r="F426" s="232" cm="1">
        <f t="array" ref="F426">IF(E426="","",IF(H425&lt;&gt;"",H425,INDEX(D:D,E426)))</f>
        <v>0</v>
      </c>
      <c r="G426" s="232" t="str">
        <f t="shared" si="48"/>
        <v>0</v>
      </c>
      <c r="H426" s="233" t="str">
        <f t="shared" si="49"/>
        <v/>
      </c>
      <c r="I426" s="231" t="str">
        <f>IF(AND(F426&lt;&gt;"",N10&gt;0,M426&gt;N10),"Mot &gt; limite","")</f>
        <v/>
      </c>
      <c r="M426" s="126">
        <f>IF(OR(F426="",N10="",N10&lt;=0),"",IF(LEN(F426)&lt;=N10,LEN(F426),IFERROR(FIND("♦",SUBSTITUTE(LEFT(F426,N10)," ","♦",LEN(LEFT(F426,N10))-LEN(SUBSTITUTE(LEFT(F426,N10)," ","")))),FIND(" ",F426&amp;" ",N10+1)-1)))</f>
        <v>1</v>
      </c>
      <c r="N426" s="234">
        <f t="shared" si="50"/>
        <v>409</v>
      </c>
      <c r="O426" s="165" t="str">
        <f t="shared" si="51"/>
        <v>0</v>
      </c>
      <c r="P426" s="234">
        <f t="shared" si="52"/>
        <v>1</v>
      </c>
      <c r="Q426" s="234">
        <f t="shared" si="53"/>
        <v>1</v>
      </c>
      <c r="DE426" s="152"/>
      <c r="DF426" s="160" t="s">
        <v>1770</v>
      </c>
      <c r="DG426" s="160" t="s">
        <v>621</v>
      </c>
      <c r="DH426" s="160" t="s">
        <v>1182</v>
      </c>
      <c r="DI426" s="160" t="s">
        <v>194</v>
      </c>
      <c r="DJ426" s="160" t="s">
        <v>194</v>
      </c>
      <c r="DK426" s="160" t="s">
        <v>588</v>
      </c>
      <c r="DL426" s="160" t="s">
        <v>1741</v>
      </c>
      <c r="DM426" s="160" t="s">
        <v>590</v>
      </c>
      <c r="DN426" s="161" t="s">
        <v>591</v>
      </c>
      <c r="DP426" s="130">
        <v>1</v>
      </c>
    </row>
    <row r="427" spans="2:120" ht="15">
      <c r="B427" s="231"/>
      <c r="C427" s="231"/>
      <c r="D427" s="231"/>
      <c r="E427" s="231" cm="1">
        <f t="array" ref="E427">IF(H426&lt;&gt;"",E426,IF(E426="","",IFERROR(MATCH(TRUE(),INDEX(INDEX(K:K,E426+1):K203&lt;&gt;"",0),0)+E426,"")))</f>
        <v>519</v>
      </c>
      <c r="F427" s="232" cm="1">
        <f t="array" ref="F427">IF(E427="","",IF(H426&lt;&gt;"",H426,INDEX(D:D,E427)))</f>
        <v>0</v>
      </c>
      <c r="G427" s="232" t="str">
        <f t="shared" si="48"/>
        <v>0</v>
      </c>
      <c r="H427" s="233" t="str">
        <f t="shared" si="49"/>
        <v/>
      </c>
      <c r="I427" s="231" t="str">
        <f>IF(AND(F427&lt;&gt;"",N10&gt;0,M427&gt;N10),"Mot &gt; limite","")</f>
        <v/>
      </c>
      <c r="M427" s="126">
        <f>IF(OR(F427="",N10="",N10&lt;=0),"",IF(LEN(F427)&lt;=N10,LEN(F427),IFERROR(FIND("♦",SUBSTITUTE(LEFT(F427,N10)," ","♦",LEN(LEFT(F427,N10))-LEN(SUBSTITUTE(LEFT(F427,N10)," ","")))),FIND(" ",F427&amp;" ",N10+1)-1)))</f>
        <v>1</v>
      </c>
      <c r="N427" s="234">
        <f t="shared" si="50"/>
        <v>410</v>
      </c>
      <c r="O427" s="165" t="str">
        <f t="shared" si="51"/>
        <v>0</v>
      </c>
      <c r="P427" s="234">
        <f t="shared" si="52"/>
        <v>1</v>
      </c>
      <c r="Q427" s="234">
        <f t="shared" si="53"/>
        <v>1</v>
      </c>
      <c r="DE427" s="152"/>
      <c r="DF427" s="160" t="s">
        <v>1771</v>
      </c>
      <c r="DG427" s="160" t="s">
        <v>621</v>
      </c>
      <c r="DH427" s="160" t="s">
        <v>1182</v>
      </c>
      <c r="DI427" s="160" t="s">
        <v>1772</v>
      </c>
      <c r="DJ427" s="160" t="s">
        <v>1773</v>
      </c>
      <c r="DK427" s="160" t="s">
        <v>588</v>
      </c>
      <c r="DL427" s="160" t="s">
        <v>1741</v>
      </c>
      <c r="DM427" s="160" t="s">
        <v>590</v>
      </c>
      <c r="DN427" s="161" t="s">
        <v>591</v>
      </c>
      <c r="DP427" s="130">
        <v>1</v>
      </c>
    </row>
    <row r="428" spans="2:120" ht="15">
      <c r="B428" s="231"/>
      <c r="C428" s="231"/>
      <c r="D428" s="231"/>
      <c r="E428" s="231" cm="1">
        <f t="array" ref="E428">IF(H427&lt;&gt;"",E427,IF(E427="","",IFERROR(MATCH(TRUE(),INDEX(INDEX(K:K,E427+1):K203&lt;&gt;"",0),0)+E427,"")))</f>
        <v>520</v>
      </c>
      <c r="F428" s="232" cm="1">
        <f t="array" ref="F428">IF(E428="","",IF(H427&lt;&gt;"",H427,INDEX(D:D,E428)))</f>
        <v>0</v>
      </c>
      <c r="G428" s="232" t="str">
        <f t="shared" si="48"/>
        <v>0</v>
      </c>
      <c r="H428" s="233" t="str">
        <f t="shared" si="49"/>
        <v/>
      </c>
      <c r="I428" s="231" t="str">
        <f>IF(AND(F428&lt;&gt;"",N10&gt;0,M428&gt;N10),"Mot &gt; limite","")</f>
        <v/>
      </c>
      <c r="M428" s="126">
        <f>IF(OR(F428="",N10="",N10&lt;=0),"",IF(LEN(F428)&lt;=N10,LEN(F428),IFERROR(FIND("♦",SUBSTITUTE(LEFT(F428,N10)," ","♦",LEN(LEFT(F428,N10))-LEN(SUBSTITUTE(LEFT(F428,N10)," ","")))),FIND(" ",F428&amp;" ",N10+1)-1)))</f>
        <v>1</v>
      </c>
      <c r="N428" s="234">
        <f t="shared" si="50"/>
        <v>411</v>
      </c>
      <c r="O428" s="165" t="str">
        <f t="shared" si="51"/>
        <v>0</v>
      </c>
      <c r="P428" s="234">
        <f t="shared" si="52"/>
        <v>1</v>
      </c>
      <c r="Q428" s="234">
        <f t="shared" si="53"/>
        <v>1</v>
      </c>
      <c r="DE428" s="152"/>
      <c r="DF428" s="160" t="s">
        <v>1774</v>
      </c>
      <c r="DG428" s="160" t="s">
        <v>621</v>
      </c>
      <c r="DH428" s="160" t="s">
        <v>1182</v>
      </c>
      <c r="DI428" s="160" t="s">
        <v>1775</v>
      </c>
      <c r="DJ428" s="160" t="s">
        <v>472</v>
      </c>
      <c r="DK428" s="160" t="s">
        <v>588</v>
      </c>
      <c r="DL428" s="160" t="s">
        <v>1741</v>
      </c>
      <c r="DM428" s="160" t="s">
        <v>590</v>
      </c>
      <c r="DN428" s="161" t="s">
        <v>591</v>
      </c>
      <c r="DP428" s="130">
        <v>1</v>
      </c>
    </row>
    <row r="429" spans="2:120" ht="15">
      <c r="B429" s="231"/>
      <c r="C429" s="231"/>
      <c r="D429" s="231"/>
      <c r="E429" s="231" cm="1">
        <f t="array" ref="E429">IF(H428&lt;&gt;"",E428,IF(E428="","",IFERROR(MATCH(TRUE(),INDEX(INDEX(K:K,E428+1):K203&lt;&gt;"",0),0)+E428,"")))</f>
        <v>521</v>
      </c>
      <c r="F429" s="232" cm="1">
        <f t="array" ref="F429">IF(E429="","",IF(H428&lt;&gt;"",H428,INDEX(D:D,E429)))</f>
        <v>0</v>
      </c>
      <c r="G429" s="232" t="str">
        <f t="shared" si="48"/>
        <v>0</v>
      </c>
      <c r="H429" s="233" t="str">
        <f t="shared" si="49"/>
        <v/>
      </c>
      <c r="I429" s="231" t="str">
        <f>IF(AND(F429&lt;&gt;"",N10&gt;0,M429&gt;N10),"Mot &gt; limite","")</f>
        <v/>
      </c>
      <c r="M429" s="126">
        <f>IF(OR(F429="",N10="",N10&lt;=0),"",IF(LEN(F429)&lt;=N10,LEN(F429),IFERROR(FIND("♦",SUBSTITUTE(LEFT(F429,N10)," ","♦",LEN(LEFT(F429,N10))-LEN(SUBSTITUTE(LEFT(F429,N10)," ","")))),FIND(" ",F429&amp;" ",N10+1)-1)))</f>
        <v>1</v>
      </c>
      <c r="N429" s="234">
        <f t="shared" si="50"/>
        <v>412</v>
      </c>
      <c r="O429" s="165" t="str">
        <f t="shared" si="51"/>
        <v>0</v>
      </c>
      <c r="P429" s="234">
        <f t="shared" si="52"/>
        <v>1</v>
      </c>
      <c r="Q429" s="234">
        <f t="shared" si="53"/>
        <v>1</v>
      </c>
      <c r="DE429" s="152"/>
      <c r="DF429" s="160" t="s">
        <v>1776</v>
      </c>
      <c r="DG429" s="160" t="s">
        <v>621</v>
      </c>
      <c r="DH429" s="160" t="s">
        <v>1182</v>
      </c>
      <c r="DI429" s="160" t="s">
        <v>1777</v>
      </c>
      <c r="DJ429" s="160" t="s">
        <v>1777</v>
      </c>
      <c r="DK429" s="160" t="s">
        <v>588</v>
      </c>
      <c r="DL429" s="160" t="s">
        <v>1741</v>
      </c>
      <c r="DM429" s="160" t="s">
        <v>590</v>
      </c>
      <c r="DN429" s="161" t="s">
        <v>591</v>
      </c>
      <c r="DP429" s="130">
        <v>1</v>
      </c>
    </row>
    <row r="430" spans="2:120" ht="15">
      <c r="B430" s="231"/>
      <c r="C430" s="231"/>
      <c r="D430" s="231"/>
      <c r="E430" s="231" cm="1">
        <f t="array" ref="E430">IF(H429&lt;&gt;"",E429,IF(E429="","",IFERROR(MATCH(TRUE(),INDEX(INDEX(K:K,E429+1):K203&lt;&gt;"",0),0)+E429,"")))</f>
        <v>522</v>
      </c>
      <c r="F430" s="232" cm="1">
        <f t="array" ref="F430">IF(E430="","",IF(H429&lt;&gt;"",H429,INDEX(D:D,E430)))</f>
        <v>0</v>
      </c>
      <c r="G430" s="232" t="str">
        <f t="shared" si="48"/>
        <v>0</v>
      </c>
      <c r="H430" s="233" t="str">
        <f t="shared" si="49"/>
        <v/>
      </c>
      <c r="I430" s="231" t="str">
        <f>IF(AND(F430&lt;&gt;"",N10&gt;0,M430&gt;N10),"Mot &gt; limite","")</f>
        <v/>
      </c>
      <c r="M430" s="126">
        <f>IF(OR(F430="",N10="",N10&lt;=0),"",IF(LEN(F430)&lt;=N10,LEN(F430),IFERROR(FIND("♦",SUBSTITUTE(LEFT(F430,N10)," ","♦",LEN(LEFT(F430,N10))-LEN(SUBSTITUTE(LEFT(F430,N10)," ","")))),FIND(" ",F430&amp;" ",N10+1)-1)))</f>
        <v>1</v>
      </c>
      <c r="N430" s="234">
        <f t="shared" si="50"/>
        <v>413</v>
      </c>
      <c r="O430" s="165" t="str">
        <f t="shared" si="51"/>
        <v>0</v>
      </c>
      <c r="P430" s="234">
        <f t="shared" si="52"/>
        <v>1</v>
      </c>
      <c r="Q430" s="234">
        <f t="shared" si="53"/>
        <v>1</v>
      </c>
      <c r="DE430" s="152"/>
      <c r="DF430" s="160" t="s">
        <v>1778</v>
      </c>
      <c r="DG430" s="160" t="s">
        <v>621</v>
      </c>
      <c r="DH430" s="160" t="s">
        <v>1182</v>
      </c>
      <c r="DI430" s="160" t="s">
        <v>1220</v>
      </c>
      <c r="DJ430" s="160" t="s">
        <v>1220</v>
      </c>
      <c r="DK430" s="160" t="s">
        <v>588</v>
      </c>
      <c r="DL430" s="160" t="s">
        <v>1741</v>
      </c>
      <c r="DM430" s="160" t="s">
        <v>590</v>
      </c>
      <c r="DN430" s="161" t="s">
        <v>591</v>
      </c>
      <c r="DP430" s="130">
        <v>1</v>
      </c>
    </row>
    <row r="431" spans="2:120" ht="15">
      <c r="B431" s="231"/>
      <c r="C431" s="231"/>
      <c r="D431" s="231"/>
      <c r="E431" s="231" cm="1">
        <f t="array" ref="E431">IF(H430&lt;&gt;"",E430,IF(E430="","",IFERROR(MATCH(TRUE(),INDEX(INDEX(K:K,E430+1):K203&lt;&gt;"",0),0)+E430,"")))</f>
        <v>523</v>
      </c>
      <c r="F431" s="232" cm="1">
        <f t="array" ref="F431">IF(E431="","",IF(H430&lt;&gt;"",H430,INDEX(D:D,E431)))</f>
        <v>0</v>
      </c>
      <c r="G431" s="232" t="str">
        <f t="shared" si="48"/>
        <v>0</v>
      </c>
      <c r="H431" s="233" t="str">
        <f t="shared" si="49"/>
        <v/>
      </c>
      <c r="I431" s="231" t="str">
        <f>IF(AND(F431&lt;&gt;"",N10&gt;0,M431&gt;N10),"Mot &gt; limite","")</f>
        <v/>
      </c>
      <c r="M431" s="126">
        <f>IF(OR(F431="",N10="",N10&lt;=0),"",IF(LEN(F431)&lt;=N10,LEN(F431),IFERROR(FIND("♦",SUBSTITUTE(LEFT(F431,N10)," ","♦",LEN(LEFT(F431,N10))-LEN(SUBSTITUTE(LEFT(F431,N10)," ","")))),FIND(" ",F431&amp;" ",N10+1)-1)))</f>
        <v>1</v>
      </c>
      <c r="N431" s="234">
        <f t="shared" si="50"/>
        <v>414</v>
      </c>
      <c r="O431" s="165" t="str">
        <f t="shared" si="51"/>
        <v>0</v>
      </c>
      <c r="P431" s="234">
        <f t="shared" si="52"/>
        <v>1</v>
      </c>
      <c r="Q431" s="234">
        <f t="shared" si="53"/>
        <v>1</v>
      </c>
      <c r="DE431" s="152"/>
      <c r="DF431" s="160" t="s">
        <v>1779</v>
      </c>
      <c r="DG431" s="160" t="s">
        <v>621</v>
      </c>
      <c r="DH431" s="160" t="s">
        <v>1182</v>
      </c>
      <c r="DI431" s="160" t="s">
        <v>1780</v>
      </c>
      <c r="DJ431" s="160" t="s">
        <v>1780</v>
      </c>
      <c r="DK431" s="160" t="s">
        <v>588</v>
      </c>
      <c r="DL431" s="160" t="s">
        <v>1741</v>
      </c>
      <c r="DM431" s="160" t="s">
        <v>590</v>
      </c>
      <c r="DN431" s="161" t="s">
        <v>591</v>
      </c>
      <c r="DP431" s="130">
        <v>1</v>
      </c>
    </row>
    <row r="432" spans="2:120" ht="15">
      <c r="B432" s="231"/>
      <c r="C432" s="231"/>
      <c r="D432" s="231"/>
      <c r="E432" s="231" cm="1">
        <f t="array" ref="E432">IF(H431&lt;&gt;"",E431,IF(E431="","",IFERROR(MATCH(TRUE(),INDEX(INDEX(K:K,E431+1):K203&lt;&gt;"",0),0)+E431,"")))</f>
        <v>524</v>
      </c>
      <c r="F432" s="232" cm="1">
        <f t="array" ref="F432">IF(E432="","",IF(H431&lt;&gt;"",H431,INDEX(D:D,E432)))</f>
        <v>0</v>
      </c>
      <c r="G432" s="232" t="str">
        <f t="shared" si="48"/>
        <v>0</v>
      </c>
      <c r="H432" s="233" t="str">
        <f t="shared" si="49"/>
        <v/>
      </c>
      <c r="I432" s="231" t="str">
        <f>IF(AND(F432&lt;&gt;"",N10&gt;0,M432&gt;N10),"Mot &gt; limite","")</f>
        <v/>
      </c>
      <c r="M432" s="126">
        <f>IF(OR(F432="",N10="",N10&lt;=0),"",IF(LEN(F432)&lt;=N10,LEN(F432),IFERROR(FIND("♦",SUBSTITUTE(LEFT(F432,N10)," ","♦",LEN(LEFT(F432,N10))-LEN(SUBSTITUTE(LEFT(F432,N10)," ","")))),FIND(" ",F432&amp;" ",N10+1)-1)))</f>
        <v>1</v>
      </c>
      <c r="N432" s="234">
        <f t="shared" si="50"/>
        <v>415</v>
      </c>
      <c r="O432" s="165" t="str">
        <f t="shared" si="51"/>
        <v>0</v>
      </c>
      <c r="P432" s="234">
        <f t="shared" si="52"/>
        <v>1</v>
      </c>
      <c r="Q432" s="234">
        <f t="shared" si="53"/>
        <v>1</v>
      </c>
      <c r="DE432" s="152"/>
      <c r="DF432" s="160" t="s">
        <v>1781</v>
      </c>
      <c r="DG432" s="160" t="s">
        <v>621</v>
      </c>
      <c r="DH432" s="160" t="s">
        <v>1182</v>
      </c>
      <c r="DI432" s="160" t="s">
        <v>1223</v>
      </c>
      <c r="DJ432" s="160" t="s">
        <v>1224</v>
      </c>
      <c r="DK432" s="160" t="s">
        <v>666</v>
      </c>
      <c r="DL432" s="160" t="s">
        <v>1192</v>
      </c>
      <c r="DM432" s="160" t="s">
        <v>590</v>
      </c>
      <c r="DN432" s="161" t="s">
        <v>668</v>
      </c>
      <c r="DP432" s="130">
        <v>1</v>
      </c>
    </row>
    <row r="433" spans="2:120" ht="15">
      <c r="B433" s="231"/>
      <c r="C433" s="231"/>
      <c r="D433" s="231"/>
      <c r="E433" s="231" cm="1">
        <f t="array" ref="E433">IF(H432&lt;&gt;"",E432,IF(E432="","",IFERROR(MATCH(TRUE(),INDEX(INDEX(K:K,E432+1):K203&lt;&gt;"",0),0)+E432,"")))</f>
        <v>525</v>
      </c>
      <c r="F433" s="232" cm="1">
        <f t="array" ref="F433">IF(E433="","",IF(H432&lt;&gt;"",H432,INDEX(D:D,E433)))</f>
        <v>0</v>
      </c>
      <c r="G433" s="232" t="str">
        <f t="shared" si="48"/>
        <v>0</v>
      </c>
      <c r="H433" s="233" t="str">
        <f t="shared" si="49"/>
        <v/>
      </c>
      <c r="I433" s="231" t="str">
        <f>IF(AND(F433&lt;&gt;"",N10&gt;0,M433&gt;N10),"Mot &gt; limite","")</f>
        <v/>
      </c>
      <c r="M433" s="126">
        <f>IF(OR(F433="",N10="",N10&lt;=0),"",IF(LEN(F433)&lt;=N10,LEN(F433),IFERROR(FIND("♦",SUBSTITUTE(LEFT(F433,N10)," ","♦",LEN(LEFT(F433,N10))-LEN(SUBSTITUTE(LEFT(F433,N10)," ","")))),FIND(" ",F433&amp;" ",N10+1)-1)))</f>
        <v>1</v>
      </c>
      <c r="N433" s="234">
        <f t="shared" si="50"/>
        <v>416</v>
      </c>
      <c r="O433" s="165" t="str">
        <f t="shared" si="51"/>
        <v>0</v>
      </c>
      <c r="P433" s="234">
        <f t="shared" si="52"/>
        <v>1</v>
      </c>
      <c r="Q433" s="234">
        <f t="shared" si="53"/>
        <v>1</v>
      </c>
      <c r="DE433" s="152"/>
      <c r="DF433" s="160" t="s">
        <v>1782</v>
      </c>
      <c r="DG433" s="160" t="s">
        <v>621</v>
      </c>
      <c r="DH433" s="160" t="s">
        <v>1182</v>
      </c>
      <c r="DI433" s="160" t="s">
        <v>1783</v>
      </c>
      <c r="DJ433" s="160" t="s">
        <v>1783</v>
      </c>
      <c r="DK433" s="160" t="s">
        <v>588</v>
      </c>
      <c r="DL433" s="160" t="s">
        <v>1741</v>
      </c>
      <c r="DM433" s="160" t="s">
        <v>590</v>
      </c>
      <c r="DN433" s="161" t="s">
        <v>591</v>
      </c>
      <c r="DP433" s="130">
        <v>1</v>
      </c>
    </row>
    <row r="434" spans="2:120" ht="15">
      <c r="B434" s="231"/>
      <c r="C434" s="231"/>
      <c r="D434" s="231"/>
      <c r="E434" s="231" cm="1">
        <f t="array" ref="E434">IF(H433&lt;&gt;"",E433,IF(E433="","",IFERROR(MATCH(TRUE(),INDEX(INDEX(K:K,E433+1):K203&lt;&gt;"",0),0)+E433,"")))</f>
        <v>526</v>
      </c>
      <c r="F434" s="232" cm="1">
        <f t="array" ref="F434">IF(E434="","",IF(H433&lt;&gt;"",H433,INDEX(D:D,E434)))</f>
        <v>0</v>
      </c>
      <c r="G434" s="232" t="str">
        <f t="shared" si="48"/>
        <v>0</v>
      </c>
      <c r="H434" s="233" t="str">
        <f t="shared" si="49"/>
        <v/>
      </c>
      <c r="I434" s="231" t="str">
        <f>IF(AND(F434&lt;&gt;"",N10&gt;0,M434&gt;N10),"Mot &gt; limite","")</f>
        <v/>
      </c>
      <c r="M434" s="126">
        <f>IF(OR(F434="",N10="",N10&lt;=0),"",IF(LEN(F434)&lt;=N10,LEN(F434),IFERROR(FIND("♦",SUBSTITUTE(LEFT(F434,N10)," ","♦",LEN(LEFT(F434,N10))-LEN(SUBSTITUTE(LEFT(F434,N10)," ","")))),FIND(" ",F434&amp;" ",N10+1)-1)))</f>
        <v>1</v>
      </c>
      <c r="N434" s="234">
        <f t="shared" si="50"/>
        <v>417</v>
      </c>
      <c r="O434" s="165" t="str">
        <f t="shared" si="51"/>
        <v>0</v>
      </c>
      <c r="P434" s="234">
        <f t="shared" si="52"/>
        <v>1</v>
      </c>
      <c r="Q434" s="234">
        <f t="shared" si="53"/>
        <v>1</v>
      </c>
      <c r="DE434" s="152"/>
      <c r="DF434" s="160" t="s">
        <v>1784</v>
      </c>
      <c r="DG434" s="160" t="s">
        <v>621</v>
      </c>
      <c r="DH434" s="160" t="s">
        <v>1182</v>
      </c>
      <c r="DI434" s="160" t="s">
        <v>1052</v>
      </c>
      <c r="DJ434" s="160" t="s">
        <v>1052</v>
      </c>
      <c r="DK434" s="160" t="s">
        <v>588</v>
      </c>
      <c r="DL434" s="160" t="s">
        <v>1741</v>
      </c>
      <c r="DM434" s="160" t="s">
        <v>590</v>
      </c>
      <c r="DN434" s="161" t="s">
        <v>591</v>
      </c>
      <c r="DP434" s="130">
        <v>1</v>
      </c>
    </row>
    <row r="435" spans="2:120" ht="15">
      <c r="B435" s="231"/>
      <c r="C435" s="231"/>
      <c r="D435" s="231"/>
      <c r="E435" s="231" cm="1">
        <f t="array" ref="E435">IF(H434&lt;&gt;"",E434,IF(E434="","",IFERROR(MATCH(TRUE(),INDEX(INDEX(K:K,E434+1):K203&lt;&gt;"",0),0)+E434,"")))</f>
        <v>527</v>
      </c>
      <c r="F435" s="232" cm="1">
        <f t="array" ref="F435">IF(E435="","",IF(H434&lt;&gt;"",H434,INDEX(D:D,E435)))</f>
        <v>0</v>
      </c>
      <c r="G435" s="232" t="str">
        <f t="shared" si="48"/>
        <v>0</v>
      </c>
      <c r="H435" s="233" t="str">
        <f t="shared" si="49"/>
        <v/>
      </c>
      <c r="I435" s="231" t="str">
        <f>IF(AND(F435&lt;&gt;"",N10&gt;0,M435&gt;N10),"Mot &gt; limite","")</f>
        <v/>
      </c>
      <c r="M435" s="126">
        <f>IF(OR(F435="",N10="",N10&lt;=0),"",IF(LEN(F435)&lt;=N10,LEN(F435),IFERROR(FIND("♦",SUBSTITUTE(LEFT(F435,N10)," ","♦",LEN(LEFT(F435,N10))-LEN(SUBSTITUTE(LEFT(F435,N10)," ","")))),FIND(" ",F435&amp;" ",N10+1)-1)))</f>
        <v>1</v>
      </c>
      <c r="N435" s="234">
        <f t="shared" si="50"/>
        <v>418</v>
      </c>
      <c r="O435" s="165" t="str">
        <f t="shared" si="51"/>
        <v>0</v>
      </c>
      <c r="P435" s="234">
        <f t="shared" si="52"/>
        <v>1</v>
      </c>
      <c r="Q435" s="234">
        <f t="shared" si="53"/>
        <v>1</v>
      </c>
      <c r="DE435" s="152"/>
      <c r="DF435" s="160" t="s">
        <v>1785</v>
      </c>
      <c r="DG435" s="160" t="s">
        <v>621</v>
      </c>
      <c r="DH435" s="160" t="s">
        <v>1182</v>
      </c>
      <c r="DI435" s="160" t="s">
        <v>1786</v>
      </c>
      <c r="DJ435" s="160" t="s">
        <v>1786</v>
      </c>
      <c r="DK435" s="160" t="s">
        <v>588</v>
      </c>
      <c r="DL435" s="160" t="s">
        <v>1741</v>
      </c>
      <c r="DM435" s="160" t="s">
        <v>590</v>
      </c>
      <c r="DN435" s="161" t="s">
        <v>591</v>
      </c>
      <c r="DP435" s="130">
        <v>1</v>
      </c>
    </row>
    <row r="436" spans="2:120" ht="15">
      <c r="B436" s="231"/>
      <c r="C436" s="231"/>
      <c r="D436" s="231"/>
      <c r="E436" s="231" cm="1">
        <f t="array" ref="E436">IF(H435&lt;&gt;"",E435,IF(E435="","",IFERROR(MATCH(TRUE(),INDEX(INDEX(K:K,E435+1):K203&lt;&gt;"",0),0)+E435,"")))</f>
        <v>528</v>
      </c>
      <c r="F436" s="232" cm="1">
        <f t="array" ref="F436">IF(E436="","",IF(H435&lt;&gt;"",H435,INDEX(D:D,E436)))</f>
        <v>0</v>
      </c>
      <c r="G436" s="232" t="str">
        <f t="shared" si="48"/>
        <v>0</v>
      </c>
      <c r="H436" s="233" t="str">
        <f t="shared" si="49"/>
        <v/>
      </c>
      <c r="I436" s="231" t="str">
        <f>IF(AND(F436&lt;&gt;"",N10&gt;0,M436&gt;N10),"Mot &gt; limite","")</f>
        <v/>
      </c>
      <c r="M436" s="126">
        <f>IF(OR(F436="",N10="",N10&lt;=0),"",IF(LEN(F436)&lt;=N10,LEN(F436),IFERROR(FIND("♦",SUBSTITUTE(LEFT(F436,N10)," ","♦",LEN(LEFT(F436,N10))-LEN(SUBSTITUTE(LEFT(F436,N10)," ","")))),FIND(" ",F436&amp;" ",N10+1)-1)))</f>
        <v>1</v>
      </c>
      <c r="N436" s="234">
        <f t="shared" si="50"/>
        <v>419</v>
      </c>
      <c r="O436" s="165" t="str">
        <f t="shared" si="51"/>
        <v>0</v>
      </c>
      <c r="P436" s="234">
        <f t="shared" si="52"/>
        <v>1</v>
      </c>
      <c r="Q436" s="234">
        <f t="shared" si="53"/>
        <v>1</v>
      </c>
      <c r="DE436" s="152"/>
      <c r="DF436" s="160" t="s">
        <v>1787</v>
      </c>
      <c r="DG436" s="160" t="s">
        <v>621</v>
      </c>
      <c r="DH436" s="160" t="s">
        <v>1182</v>
      </c>
      <c r="DI436" s="160" t="s">
        <v>1076</v>
      </c>
      <c r="DJ436" s="160" t="s">
        <v>1076</v>
      </c>
      <c r="DK436" s="160" t="s">
        <v>588</v>
      </c>
      <c r="DL436" s="160" t="s">
        <v>1741</v>
      </c>
      <c r="DM436" s="160" t="s">
        <v>590</v>
      </c>
      <c r="DN436" s="161" t="s">
        <v>591</v>
      </c>
      <c r="DP436" s="130">
        <v>1</v>
      </c>
    </row>
    <row r="437" spans="2:120" ht="15">
      <c r="B437" s="231"/>
      <c r="C437" s="231"/>
      <c r="D437" s="231"/>
      <c r="E437" s="231" cm="1">
        <f t="array" ref="E437">IF(H436&lt;&gt;"",E436,IF(E436="","",IFERROR(MATCH(TRUE(),INDEX(INDEX(K:K,E436+1):K203&lt;&gt;"",0),0)+E436,"")))</f>
        <v>529</v>
      </c>
      <c r="F437" s="232" cm="1">
        <f t="array" ref="F437">IF(E437="","",IF(H436&lt;&gt;"",H436,INDEX(D:D,E437)))</f>
        <v>0</v>
      </c>
      <c r="G437" s="232" t="str">
        <f t="shared" si="48"/>
        <v>0</v>
      </c>
      <c r="H437" s="233" t="str">
        <f t="shared" si="49"/>
        <v/>
      </c>
      <c r="I437" s="231" t="str">
        <f>IF(AND(F437&lt;&gt;"",N10&gt;0,M437&gt;N10),"Mot &gt; limite","")</f>
        <v/>
      </c>
      <c r="M437" s="126">
        <f>IF(OR(F437="",N10="",N10&lt;=0),"",IF(LEN(F437)&lt;=N10,LEN(F437),IFERROR(FIND("♦",SUBSTITUTE(LEFT(F437,N10)," ","♦",LEN(LEFT(F437,N10))-LEN(SUBSTITUTE(LEFT(F437,N10)," ","")))),FIND(" ",F437&amp;" ",N10+1)-1)))</f>
        <v>1</v>
      </c>
      <c r="N437" s="234">
        <f t="shared" si="50"/>
        <v>420</v>
      </c>
      <c r="O437" s="165" t="str">
        <f t="shared" si="51"/>
        <v>0</v>
      </c>
      <c r="P437" s="234">
        <f t="shared" si="52"/>
        <v>1</v>
      </c>
      <c r="Q437" s="234">
        <f t="shared" si="53"/>
        <v>1</v>
      </c>
      <c r="DE437" s="152"/>
      <c r="DF437" s="160" t="s">
        <v>1788</v>
      </c>
      <c r="DG437" s="160" t="s">
        <v>621</v>
      </c>
      <c r="DH437" s="160" t="s">
        <v>1182</v>
      </c>
      <c r="DI437" s="160" t="s">
        <v>1789</v>
      </c>
      <c r="DJ437" s="160" t="s">
        <v>1789</v>
      </c>
      <c r="DK437" s="160" t="s">
        <v>588</v>
      </c>
      <c r="DL437" s="160" t="s">
        <v>1741</v>
      </c>
      <c r="DM437" s="160" t="s">
        <v>590</v>
      </c>
      <c r="DN437" s="161" t="s">
        <v>591</v>
      </c>
      <c r="DP437" s="130">
        <v>1</v>
      </c>
    </row>
    <row r="438" spans="2:120" ht="15">
      <c r="B438" s="231"/>
      <c r="C438" s="231"/>
      <c r="D438" s="231"/>
      <c r="E438" s="231" cm="1">
        <f t="array" ref="E438">IF(H437&lt;&gt;"",E437,IF(E437="","",IFERROR(MATCH(TRUE(),INDEX(INDEX(K:K,E437+1):K203&lt;&gt;"",0),0)+E437,"")))</f>
        <v>530</v>
      </c>
      <c r="F438" s="232" cm="1">
        <f t="array" ref="F438">IF(E438="","",IF(H437&lt;&gt;"",H437,INDEX(D:D,E438)))</f>
        <v>0</v>
      </c>
      <c r="G438" s="232" t="str">
        <f t="shared" si="48"/>
        <v>0</v>
      </c>
      <c r="H438" s="233" t="str">
        <f t="shared" si="49"/>
        <v/>
      </c>
      <c r="I438" s="231" t="str">
        <f>IF(AND(F438&lt;&gt;"",N10&gt;0,M438&gt;N10),"Mot &gt; limite","")</f>
        <v/>
      </c>
      <c r="M438" s="126">
        <f>IF(OR(F438="",N10="",N10&lt;=0),"",IF(LEN(F438)&lt;=N10,LEN(F438),IFERROR(FIND("♦",SUBSTITUTE(LEFT(F438,N10)," ","♦",LEN(LEFT(F438,N10))-LEN(SUBSTITUTE(LEFT(F438,N10)," ","")))),FIND(" ",F438&amp;" ",N10+1)-1)))</f>
        <v>1</v>
      </c>
      <c r="N438" s="234">
        <f t="shared" si="50"/>
        <v>421</v>
      </c>
      <c r="O438" s="165" t="str">
        <f t="shared" si="51"/>
        <v>0</v>
      </c>
      <c r="P438" s="234">
        <f t="shared" si="52"/>
        <v>1</v>
      </c>
      <c r="Q438" s="234">
        <f t="shared" si="53"/>
        <v>1</v>
      </c>
      <c r="DE438" s="152"/>
      <c r="DF438" s="160" t="s">
        <v>1790</v>
      </c>
      <c r="DG438" s="160" t="s">
        <v>621</v>
      </c>
      <c r="DH438" s="160" t="s">
        <v>1791</v>
      </c>
      <c r="DI438" s="160" t="s">
        <v>1792</v>
      </c>
      <c r="DJ438" s="160" t="s">
        <v>1792</v>
      </c>
      <c r="DK438" s="160" t="s">
        <v>666</v>
      </c>
      <c r="DL438" s="160" t="s">
        <v>1793</v>
      </c>
      <c r="DM438" s="160" t="s">
        <v>590</v>
      </c>
      <c r="DN438" s="161" t="s">
        <v>668</v>
      </c>
      <c r="DP438" s="130">
        <v>1</v>
      </c>
    </row>
    <row r="439" spans="2:120" ht="15">
      <c r="B439" s="231"/>
      <c r="C439" s="231"/>
      <c r="D439" s="231"/>
      <c r="E439" s="231" cm="1">
        <f t="array" ref="E439">IF(H438&lt;&gt;"",E438,IF(E438="","",IFERROR(MATCH(TRUE(),INDEX(INDEX(K:K,E438+1):K203&lt;&gt;"",0),0)+E438,"")))</f>
        <v>531</v>
      </c>
      <c r="F439" s="232" cm="1">
        <f t="array" ref="F439">IF(E439="","",IF(H438&lt;&gt;"",H438,INDEX(D:D,E439)))</f>
        <v>0</v>
      </c>
      <c r="G439" s="232" t="str">
        <f t="shared" si="48"/>
        <v>0</v>
      </c>
      <c r="H439" s="233" t="str">
        <f t="shared" si="49"/>
        <v/>
      </c>
      <c r="I439" s="231" t="str">
        <f>IF(AND(F439&lt;&gt;"",N10&gt;0,M439&gt;N10),"Mot &gt; limite","")</f>
        <v/>
      </c>
      <c r="M439" s="126">
        <f>IF(OR(F439="",N10="",N10&lt;=0),"",IF(LEN(F439)&lt;=N10,LEN(F439),IFERROR(FIND("♦",SUBSTITUTE(LEFT(F439,N10)," ","♦",LEN(LEFT(F439,N10))-LEN(SUBSTITUTE(LEFT(F439,N10)," ","")))),FIND(" ",F439&amp;" ",N10+1)-1)))</f>
        <v>1</v>
      </c>
      <c r="N439" s="234">
        <f t="shared" si="50"/>
        <v>422</v>
      </c>
      <c r="O439" s="165" t="str">
        <f t="shared" si="51"/>
        <v>0</v>
      </c>
      <c r="P439" s="234">
        <f t="shared" si="52"/>
        <v>1</v>
      </c>
      <c r="Q439" s="234">
        <f t="shared" si="53"/>
        <v>1</v>
      </c>
      <c r="DE439" s="152"/>
      <c r="DF439" s="160" t="s">
        <v>1794</v>
      </c>
      <c r="DG439" s="160" t="s">
        <v>621</v>
      </c>
      <c r="DH439" s="160" t="s">
        <v>1791</v>
      </c>
      <c r="DI439" s="160" t="s">
        <v>1795</v>
      </c>
      <c r="DJ439" s="160" t="s">
        <v>1796</v>
      </c>
      <c r="DK439" s="160" t="s">
        <v>666</v>
      </c>
      <c r="DL439" s="160" t="s">
        <v>1793</v>
      </c>
      <c r="DM439" s="160" t="s">
        <v>590</v>
      </c>
      <c r="DN439" s="161" t="s">
        <v>668</v>
      </c>
      <c r="DP439" s="130">
        <v>1</v>
      </c>
    </row>
    <row r="440" spans="2:120" ht="15">
      <c r="B440" s="231"/>
      <c r="C440" s="231"/>
      <c r="D440" s="231"/>
      <c r="E440" s="231" cm="1">
        <f t="array" ref="E440">IF(H439&lt;&gt;"",E439,IF(E439="","",IFERROR(MATCH(TRUE(),INDEX(INDEX(K:K,E439+1):K203&lt;&gt;"",0),0)+E439,"")))</f>
        <v>532</v>
      </c>
      <c r="F440" s="232" cm="1">
        <f t="array" ref="F440">IF(E440="","",IF(H439&lt;&gt;"",H439,INDEX(D:D,E440)))</f>
        <v>0</v>
      </c>
      <c r="G440" s="232" t="str">
        <f t="shared" si="48"/>
        <v>0</v>
      </c>
      <c r="H440" s="233" t="str">
        <f t="shared" si="49"/>
        <v/>
      </c>
      <c r="I440" s="231" t="str">
        <f>IF(AND(F440&lt;&gt;"",N10&gt;0,M440&gt;N10),"Mot &gt; limite","")</f>
        <v/>
      </c>
      <c r="M440" s="126">
        <f>IF(OR(F440="",N10="",N10&lt;=0),"",IF(LEN(F440)&lt;=N10,LEN(F440),IFERROR(FIND("♦",SUBSTITUTE(LEFT(F440,N10)," ","♦",LEN(LEFT(F440,N10))-LEN(SUBSTITUTE(LEFT(F440,N10)," ","")))),FIND(" ",F440&amp;" ",N10+1)-1)))</f>
        <v>1</v>
      </c>
      <c r="N440" s="234">
        <f t="shared" si="50"/>
        <v>423</v>
      </c>
      <c r="O440" s="165" t="str">
        <f t="shared" si="51"/>
        <v>0</v>
      </c>
      <c r="P440" s="234">
        <f t="shared" si="52"/>
        <v>1</v>
      </c>
      <c r="Q440" s="234">
        <f t="shared" si="53"/>
        <v>1</v>
      </c>
      <c r="DE440" s="152"/>
      <c r="DF440" s="160" t="s">
        <v>1797</v>
      </c>
      <c r="DG440" s="160" t="s">
        <v>621</v>
      </c>
      <c r="DH440" s="160" t="s">
        <v>1791</v>
      </c>
      <c r="DI440" s="160" t="s">
        <v>1798</v>
      </c>
      <c r="DJ440" s="160" t="s">
        <v>1799</v>
      </c>
      <c r="DK440" s="160" t="s">
        <v>666</v>
      </c>
      <c r="DL440" s="160" t="s">
        <v>1793</v>
      </c>
      <c r="DM440" s="160" t="s">
        <v>590</v>
      </c>
      <c r="DN440" s="161" t="s">
        <v>668</v>
      </c>
      <c r="DP440" s="130">
        <v>1</v>
      </c>
    </row>
    <row r="441" spans="2:120" ht="15">
      <c r="B441" s="231"/>
      <c r="C441" s="231"/>
      <c r="D441" s="231"/>
      <c r="E441" s="231" cm="1">
        <f t="array" ref="E441">IF(H440&lt;&gt;"",E440,IF(E440="","",IFERROR(MATCH(TRUE(),INDEX(INDEX(K:K,E440+1):K203&lt;&gt;"",0),0)+E440,"")))</f>
        <v>533</v>
      </c>
      <c r="F441" s="232" cm="1">
        <f t="array" ref="F441">IF(E441="","",IF(H440&lt;&gt;"",H440,INDEX(D:D,E441)))</f>
        <v>0</v>
      </c>
      <c r="G441" s="232" t="str">
        <f t="shared" si="48"/>
        <v>0</v>
      </c>
      <c r="H441" s="233" t="str">
        <f t="shared" si="49"/>
        <v/>
      </c>
      <c r="I441" s="231" t="str">
        <f>IF(AND(F441&lt;&gt;"",N10&gt;0,M441&gt;N10),"Mot &gt; limite","")</f>
        <v/>
      </c>
      <c r="M441" s="126">
        <f>IF(OR(F441="",N10="",N10&lt;=0),"",IF(LEN(F441)&lt;=N10,LEN(F441),IFERROR(FIND("♦",SUBSTITUTE(LEFT(F441,N10)," ","♦",LEN(LEFT(F441,N10))-LEN(SUBSTITUTE(LEFT(F441,N10)," ","")))),FIND(" ",F441&amp;" ",N10+1)-1)))</f>
        <v>1</v>
      </c>
      <c r="N441" s="234">
        <f t="shared" si="50"/>
        <v>424</v>
      </c>
      <c r="O441" s="165" t="str">
        <f t="shared" si="51"/>
        <v>0</v>
      </c>
      <c r="P441" s="234">
        <f t="shared" si="52"/>
        <v>1</v>
      </c>
      <c r="Q441" s="234">
        <f t="shared" si="53"/>
        <v>1</v>
      </c>
      <c r="DE441" s="152"/>
      <c r="DF441" s="160" t="s">
        <v>1800</v>
      </c>
      <c r="DG441" s="160" t="s">
        <v>621</v>
      </c>
      <c r="DH441" s="160" t="s">
        <v>1791</v>
      </c>
      <c r="DI441" s="160" t="s">
        <v>1801</v>
      </c>
      <c r="DJ441" s="160" t="s">
        <v>1802</v>
      </c>
      <c r="DK441" s="160" t="s">
        <v>666</v>
      </c>
      <c r="DL441" s="160" t="s">
        <v>1793</v>
      </c>
      <c r="DM441" s="160" t="s">
        <v>590</v>
      </c>
      <c r="DN441" s="161" t="s">
        <v>668</v>
      </c>
      <c r="DP441" s="130">
        <v>1</v>
      </c>
    </row>
    <row r="442" spans="2:120" ht="15">
      <c r="B442" s="231"/>
      <c r="C442" s="231"/>
      <c r="D442" s="231"/>
      <c r="E442" s="231" cm="1">
        <f t="array" ref="E442">IF(H441&lt;&gt;"",E441,IF(E441="","",IFERROR(MATCH(TRUE(),INDEX(INDEX(K:K,E441+1):K203&lt;&gt;"",0),0)+E441,"")))</f>
        <v>534</v>
      </c>
      <c r="F442" s="232" cm="1">
        <f t="array" ref="F442">IF(E442="","",IF(H441&lt;&gt;"",H441,INDEX(D:D,E442)))</f>
        <v>0</v>
      </c>
      <c r="G442" s="232" t="str">
        <f t="shared" si="48"/>
        <v>0</v>
      </c>
      <c r="H442" s="233" t="str">
        <f t="shared" si="49"/>
        <v/>
      </c>
      <c r="I442" s="231" t="str">
        <f>IF(AND(F442&lt;&gt;"",N10&gt;0,M442&gt;N10),"Mot &gt; limite","")</f>
        <v/>
      </c>
      <c r="M442" s="126">
        <f>IF(OR(F442="",N10="",N10&lt;=0),"",IF(LEN(F442)&lt;=N10,LEN(F442),IFERROR(FIND("♦",SUBSTITUTE(LEFT(F442,N10)," ","♦",LEN(LEFT(F442,N10))-LEN(SUBSTITUTE(LEFT(F442,N10)," ","")))),FIND(" ",F442&amp;" ",N10+1)-1)))</f>
        <v>1</v>
      </c>
      <c r="N442" s="234">
        <f t="shared" si="50"/>
        <v>425</v>
      </c>
      <c r="O442" s="165" t="str">
        <f t="shared" si="51"/>
        <v>0</v>
      </c>
      <c r="P442" s="234">
        <f t="shared" si="52"/>
        <v>1</v>
      </c>
      <c r="Q442" s="234">
        <f t="shared" si="53"/>
        <v>1</v>
      </c>
      <c r="DE442" s="152"/>
      <c r="DF442" s="160" t="s">
        <v>1803</v>
      </c>
      <c r="DG442" s="160" t="s">
        <v>621</v>
      </c>
      <c r="DH442" s="160" t="s">
        <v>1791</v>
      </c>
      <c r="DI442" s="160" t="s">
        <v>1131</v>
      </c>
      <c r="DJ442" s="160" t="s">
        <v>550</v>
      </c>
      <c r="DK442" s="160" t="s">
        <v>666</v>
      </c>
      <c r="DL442" s="160" t="s">
        <v>1793</v>
      </c>
      <c r="DM442" s="160" t="s">
        <v>590</v>
      </c>
      <c r="DN442" s="161" t="s">
        <v>668</v>
      </c>
      <c r="DP442" s="130">
        <v>1</v>
      </c>
    </row>
    <row r="443" spans="2:120" ht="15">
      <c r="B443" s="231"/>
      <c r="C443" s="231"/>
      <c r="D443" s="231"/>
      <c r="E443" s="231" cm="1">
        <f t="array" ref="E443">IF(H442&lt;&gt;"",E442,IF(E442="","",IFERROR(MATCH(TRUE(),INDEX(INDEX(K:K,E442+1):K203&lt;&gt;"",0),0)+E442,"")))</f>
        <v>535</v>
      </c>
      <c r="F443" s="232" cm="1">
        <f t="array" ref="F443">IF(E443="","",IF(H442&lt;&gt;"",H442,INDEX(D:D,E443)))</f>
        <v>0</v>
      </c>
      <c r="G443" s="232" t="str">
        <f t="shared" si="48"/>
        <v>0</v>
      </c>
      <c r="H443" s="233" t="str">
        <f t="shared" si="49"/>
        <v/>
      </c>
      <c r="I443" s="231" t="str">
        <f>IF(AND(F443&lt;&gt;"",N10&gt;0,M443&gt;N10),"Mot &gt; limite","")</f>
        <v/>
      </c>
      <c r="M443" s="126">
        <f>IF(OR(F443="",N10="",N10&lt;=0),"",IF(LEN(F443)&lt;=N10,LEN(F443),IFERROR(FIND("♦",SUBSTITUTE(LEFT(F443,N10)," ","♦",LEN(LEFT(F443,N10))-LEN(SUBSTITUTE(LEFT(F443,N10)," ","")))),FIND(" ",F443&amp;" ",N10+1)-1)))</f>
        <v>1</v>
      </c>
      <c r="N443" s="234">
        <f t="shared" si="50"/>
        <v>426</v>
      </c>
      <c r="O443" s="165" t="str">
        <f t="shared" si="51"/>
        <v>0</v>
      </c>
      <c r="P443" s="234">
        <f t="shared" si="52"/>
        <v>1</v>
      </c>
      <c r="Q443" s="234">
        <f t="shared" si="53"/>
        <v>1</v>
      </c>
      <c r="DE443" s="152"/>
      <c r="DF443" s="160" t="s">
        <v>1804</v>
      </c>
      <c r="DG443" s="160" t="s">
        <v>621</v>
      </c>
      <c r="DH443" s="160" t="s">
        <v>1791</v>
      </c>
      <c r="DI443" s="160" t="s">
        <v>1134</v>
      </c>
      <c r="DJ443" s="160" t="s">
        <v>551</v>
      </c>
      <c r="DK443" s="160" t="s">
        <v>666</v>
      </c>
      <c r="DL443" s="160" t="s">
        <v>1793</v>
      </c>
      <c r="DM443" s="160" t="s">
        <v>590</v>
      </c>
      <c r="DN443" s="161" t="s">
        <v>668</v>
      </c>
      <c r="DP443" s="130">
        <v>1</v>
      </c>
    </row>
    <row r="444" spans="2:120" ht="15">
      <c r="B444" s="231"/>
      <c r="C444" s="231"/>
      <c r="D444" s="231"/>
      <c r="E444" s="231" cm="1">
        <f t="array" ref="E444">IF(H443&lt;&gt;"",E443,IF(E443="","",IFERROR(MATCH(TRUE(),INDEX(INDEX(K:K,E443+1):K203&lt;&gt;"",0),0)+E443,"")))</f>
        <v>536</v>
      </c>
      <c r="F444" s="232" cm="1">
        <f t="array" ref="F444">IF(E444="","",IF(H443&lt;&gt;"",H443,INDEX(D:D,E444)))</f>
        <v>0</v>
      </c>
      <c r="G444" s="232" t="str">
        <f t="shared" si="48"/>
        <v>0</v>
      </c>
      <c r="H444" s="233" t="str">
        <f t="shared" si="49"/>
        <v/>
      </c>
      <c r="I444" s="231" t="str">
        <f>IF(AND(F444&lt;&gt;"",N10&gt;0,M444&gt;N10),"Mot &gt; limite","")</f>
        <v/>
      </c>
      <c r="M444" s="126">
        <f>IF(OR(F444="",N10="",N10&lt;=0),"",IF(LEN(F444)&lt;=N10,LEN(F444),IFERROR(FIND("♦",SUBSTITUTE(LEFT(F444,N10)," ","♦",LEN(LEFT(F444,N10))-LEN(SUBSTITUTE(LEFT(F444,N10)," ","")))),FIND(" ",F444&amp;" ",N10+1)-1)))</f>
        <v>1</v>
      </c>
      <c r="N444" s="234">
        <f t="shared" si="50"/>
        <v>427</v>
      </c>
      <c r="O444" s="165" t="str">
        <f t="shared" si="51"/>
        <v>0</v>
      </c>
      <c r="P444" s="234">
        <f t="shared" si="52"/>
        <v>1</v>
      </c>
      <c r="Q444" s="234">
        <f t="shared" si="53"/>
        <v>1</v>
      </c>
      <c r="DE444" s="152"/>
      <c r="DF444" s="160" t="s">
        <v>1805</v>
      </c>
      <c r="DG444" s="160" t="s">
        <v>621</v>
      </c>
      <c r="DH444" s="160" t="s">
        <v>1791</v>
      </c>
      <c r="DI444" s="160" t="s">
        <v>1145</v>
      </c>
      <c r="DJ444" s="160" t="s">
        <v>552</v>
      </c>
      <c r="DK444" s="160" t="s">
        <v>666</v>
      </c>
      <c r="DL444" s="160" t="s">
        <v>1793</v>
      </c>
      <c r="DM444" s="160" t="s">
        <v>590</v>
      </c>
      <c r="DN444" s="161" t="s">
        <v>668</v>
      </c>
      <c r="DP444" s="130">
        <v>1</v>
      </c>
    </row>
    <row r="445" spans="2:120" ht="15">
      <c r="B445" s="231"/>
      <c r="C445" s="231"/>
      <c r="D445" s="231"/>
      <c r="E445" s="231" cm="1">
        <f t="array" ref="E445">IF(H444&lt;&gt;"",E444,IF(E444="","",IFERROR(MATCH(TRUE(),INDEX(INDEX(K:K,E444+1):K203&lt;&gt;"",0),0)+E444,"")))</f>
        <v>537</v>
      </c>
      <c r="F445" s="232" cm="1">
        <f t="array" ref="F445">IF(E445="","",IF(H444&lt;&gt;"",H444,INDEX(D:D,E445)))</f>
        <v>0</v>
      </c>
      <c r="G445" s="232" t="str">
        <f t="shared" si="48"/>
        <v>0</v>
      </c>
      <c r="H445" s="233" t="str">
        <f t="shared" si="49"/>
        <v/>
      </c>
      <c r="I445" s="231" t="str">
        <f>IF(AND(F445&lt;&gt;"",N10&gt;0,M445&gt;N10),"Mot &gt; limite","")</f>
        <v/>
      </c>
      <c r="M445" s="126">
        <f>IF(OR(F445="",N10="",N10&lt;=0),"",IF(LEN(F445)&lt;=N10,LEN(F445),IFERROR(FIND("♦",SUBSTITUTE(LEFT(F445,N10)," ","♦",LEN(LEFT(F445,N10))-LEN(SUBSTITUTE(LEFT(F445,N10)," ","")))),FIND(" ",F445&amp;" ",N10+1)-1)))</f>
        <v>1</v>
      </c>
      <c r="N445" s="234">
        <f t="shared" si="50"/>
        <v>428</v>
      </c>
      <c r="O445" s="165" t="str">
        <f t="shared" si="51"/>
        <v>0</v>
      </c>
      <c r="P445" s="234">
        <f t="shared" si="52"/>
        <v>1</v>
      </c>
      <c r="Q445" s="234">
        <f t="shared" si="53"/>
        <v>1</v>
      </c>
      <c r="DE445" s="152"/>
      <c r="DF445" s="160" t="s">
        <v>1806</v>
      </c>
      <c r="DG445" s="160" t="s">
        <v>621</v>
      </c>
      <c r="DH445" s="160" t="s">
        <v>1791</v>
      </c>
      <c r="DI445" s="160" t="s">
        <v>1807</v>
      </c>
      <c r="DJ445" s="160" t="s">
        <v>1807</v>
      </c>
      <c r="DK445" s="160" t="s">
        <v>666</v>
      </c>
      <c r="DL445" s="160" t="s">
        <v>1793</v>
      </c>
      <c r="DM445" s="160" t="s">
        <v>590</v>
      </c>
      <c r="DN445" s="161" t="s">
        <v>668</v>
      </c>
      <c r="DP445" s="130">
        <v>1</v>
      </c>
    </row>
    <row r="446" spans="2:120" ht="15">
      <c r="B446" s="231"/>
      <c r="C446" s="231"/>
      <c r="D446" s="231"/>
      <c r="E446" s="231" cm="1">
        <f t="array" ref="E446">IF(H445&lt;&gt;"",E445,IF(E445="","",IFERROR(MATCH(TRUE(),INDEX(INDEX(K:K,E445+1):K203&lt;&gt;"",0),0)+E445,"")))</f>
        <v>538</v>
      </c>
      <c r="F446" s="232" cm="1">
        <f t="array" ref="F446">IF(E446="","",IF(H445&lt;&gt;"",H445,INDEX(D:D,E446)))</f>
        <v>0</v>
      </c>
      <c r="G446" s="232" t="str">
        <f t="shared" si="48"/>
        <v>0</v>
      </c>
      <c r="H446" s="233" t="str">
        <f t="shared" si="49"/>
        <v/>
      </c>
      <c r="I446" s="231" t="str">
        <f>IF(AND(F446&lt;&gt;"",N10&gt;0,M446&gt;N10),"Mot &gt; limite","")</f>
        <v/>
      </c>
      <c r="M446" s="126">
        <f>IF(OR(F446="",N10="",N10&lt;=0),"",IF(LEN(F446)&lt;=N10,LEN(F446),IFERROR(FIND("♦",SUBSTITUTE(LEFT(F446,N10)," ","♦",LEN(LEFT(F446,N10))-LEN(SUBSTITUTE(LEFT(F446,N10)," ","")))),FIND(" ",F446&amp;" ",N10+1)-1)))</f>
        <v>1</v>
      </c>
      <c r="N446" s="234">
        <f t="shared" si="50"/>
        <v>429</v>
      </c>
      <c r="O446" s="165" t="str">
        <f t="shared" si="51"/>
        <v>0</v>
      </c>
      <c r="P446" s="234">
        <f t="shared" si="52"/>
        <v>1</v>
      </c>
      <c r="Q446" s="234">
        <f t="shared" si="53"/>
        <v>1</v>
      </c>
      <c r="DE446" s="152"/>
      <c r="DF446" s="160" t="s">
        <v>1808</v>
      </c>
      <c r="DG446" s="160" t="s">
        <v>621</v>
      </c>
      <c r="DH446" s="160" t="s">
        <v>1791</v>
      </c>
      <c r="DI446" s="160" t="s">
        <v>1809</v>
      </c>
      <c r="DJ446" s="160" t="s">
        <v>1809</v>
      </c>
      <c r="DK446" s="160" t="s">
        <v>666</v>
      </c>
      <c r="DL446" s="160" t="s">
        <v>1793</v>
      </c>
      <c r="DM446" s="160" t="s">
        <v>590</v>
      </c>
      <c r="DN446" s="161" t="s">
        <v>668</v>
      </c>
      <c r="DP446" s="130">
        <v>1</v>
      </c>
    </row>
    <row r="447" spans="2:120" ht="15">
      <c r="B447" s="231"/>
      <c r="C447" s="231"/>
      <c r="D447" s="231"/>
      <c r="E447" s="231" cm="1">
        <f t="array" ref="E447">IF(H446&lt;&gt;"",E446,IF(E446="","",IFERROR(MATCH(TRUE(),INDEX(INDEX(K:K,E446+1):K203&lt;&gt;"",0),0)+E446,"")))</f>
        <v>539</v>
      </c>
      <c r="F447" s="232" cm="1">
        <f t="array" ref="F447">IF(E447="","",IF(H446&lt;&gt;"",H446,INDEX(D:D,E447)))</f>
        <v>0</v>
      </c>
      <c r="G447" s="232" t="str">
        <f t="shared" si="48"/>
        <v>0</v>
      </c>
      <c r="H447" s="233" t="str">
        <f t="shared" si="49"/>
        <v/>
      </c>
      <c r="I447" s="231" t="str">
        <f>IF(AND(F447&lt;&gt;"",N10&gt;0,M447&gt;N10),"Mot &gt; limite","")</f>
        <v/>
      </c>
      <c r="M447" s="126">
        <f>IF(OR(F447="",N10="",N10&lt;=0),"",IF(LEN(F447)&lt;=N10,LEN(F447),IFERROR(FIND("♦",SUBSTITUTE(LEFT(F447,N10)," ","♦",LEN(LEFT(F447,N10))-LEN(SUBSTITUTE(LEFT(F447,N10)," ","")))),FIND(" ",F447&amp;" ",N10+1)-1)))</f>
        <v>1</v>
      </c>
      <c r="N447" s="234">
        <f t="shared" si="50"/>
        <v>430</v>
      </c>
      <c r="O447" s="165" t="str">
        <f t="shared" si="51"/>
        <v>0</v>
      </c>
      <c r="P447" s="234">
        <f t="shared" si="52"/>
        <v>1</v>
      </c>
      <c r="Q447" s="234">
        <f t="shared" si="53"/>
        <v>1</v>
      </c>
      <c r="DE447" s="152"/>
      <c r="DF447" s="160" t="s">
        <v>1810</v>
      </c>
      <c r="DG447" s="160" t="s">
        <v>122</v>
      </c>
      <c r="DH447" s="160" t="s">
        <v>125</v>
      </c>
      <c r="DI447" s="160" t="s">
        <v>1811</v>
      </c>
      <c r="DJ447" s="160" t="s">
        <v>1811</v>
      </c>
      <c r="DK447" s="160" t="s">
        <v>1259</v>
      </c>
      <c r="DL447" s="160" t="s">
        <v>1260</v>
      </c>
      <c r="DM447" s="160" t="s">
        <v>1812</v>
      </c>
      <c r="DN447" s="161" t="s">
        <v>1813</v>
      </c>
      <c r="DP447" s="130">
        <v>1</v>
      </c>
    </row>
    <row r="448" spans="2:120" ht="15">
      <c r="B448" s="231"/>
      <c r="C448" s="231"/>
      <c r="D448" s="231"/>
      <c r="E448" s="231" cm="1">
        <f t="array" ref="E448">IF(H447&lt;&gt;"",E447,IF(E447="","",IFERROR(MATCH(TRUE(),INDEX(INDEX(K:K,E447+1):K203&lt;&gt;"",0),0)+E447,"")))</f>
        <v>540</v>
      </c>
      <c r="F448" s="232" cm="1">
        <f t="array" ref="F448">IF(E448="","",IF(H447&lt;&gt;"",H447,INDEX(D:D,E448)))</f>
        <v>0</v>
      </c>
      <c r="G448" s="232" t="str">
        <f t="shared" si="48"/>
        <v>0</v>
      </c>
      <c r="H448" s="233" t="str">
        <f t="shared" si="49"/>
        <v/>
      </c>
      <c r="I448" s="231" t="str">
        <f>IF(AND(F448&lt;&gt;"",N10&gt;0,M448&gt;N10),"Mot &gt; limite","")</f>
        <v/>
      </c>
      <c r="M448" s="126">
        <f>IF(OR(F448="",N10="",N10&lt;=0),"",IF(LEN(F448)&lt;=N10,LEN(F448),IFERROR(FIND("♦",SUBSTITUTE(LEFT(F448,N10)," ","♦",LEN(LEFT(F448,N10))-LEN(SUBSTITUTE(LEFT(F448,N10)," ","")))),FIND(" ",F448&amp;" ",N10+1)-1)))</f>
        <v>1</v>
      </c>
      <c r="N448" s="234">
        <f t="shared" si="50"/>
        <v>431</v>
      </c>
      <c r="O448" s="165" t="str">
        <f t="shared" si="51"/>
        <v>0</v>
      </c>
      <c r="P448" s="234">
        <f t="shared" si="52"/>
        <v>1</v>
      </c>
      <c r="Q448" s="234">
        <f t="shared" si="53"/>
        <v>1</v>
      </c>
      <c r="DE448" s="152"/>
      <c r="DF448" s="160" t="s">
        <v>1814</v>
      </c>
      <c r="DG448" s="160" t="s">
        <v>122</v>
      </c>
      <c r="DH448" s="160" t="s">
        <v>125</v>
      </c>
      <c r="DI448" s="160" t="s">
        <v>1815</v>
      </c>
      <c r="DJ448" s="160" t="s">
        <v>1815</v>
      </c>
      <c r="DK448" s="160" t="s">
        <v>1259</v>
      </c>
      <c r="DL448" s="160" t="s">
        <v>1260</v>
      </c>
      <c r="DM448" s="160" t="s">
        <v>1812</v>
      </c>
      <c r="DN448" s="161" t="s">
        <v>1813</v>
      </c>
      <c r="DP448" s="130">
        <v>1</v>
      </c>
    </row>
    <row r="449" spans="2:120" ht="15">
      <c r="B449" s="231"/>
      <c r="C449" s="231"/>
      <c r="D449" s="231"/>
      <c r="E449" s="231" cm="1">
        <f t="array" ref="E449">IF(H448&lt;&gt;"",E448,IF(E448="","",IFERROR(MATCH(TRUE(),INDEX(INDEX(K:K,E448+1):K203&lt;&gt;"",0),0)+E448,"")))</f>
        <v>541</v>
      </c>
      <c r="F449" s="232" cm="1">
        <f t="array" ref="F449">IF(E449="","",IF(H448&lt;&gt;"",H448,INDEX(D:D,E449)))</f>
        <v>0</v>
      </c>
      <c r="G449" s="232" t="str">
        <f t="shared" si="48"/>
        <v>0</v>
      </c>
      <c r="H449" s="233" t="str">
        <f t="shared" si="49"/>
        <v/>
      </c>
      <c r="I449" s="231" t="str">
        <f>IF(AND(F449&lt;&gt;"",N10&gt;0,M449&gt;N10),"Mot &gt; limite","")</f>
        <v/>
      </c>
      <c r="M449" s="126">
        <f>IF(OR(F449="",N10="",N10&lt;=0),"",IF(LEN(F449)&lt;=N10,LEN(F449),IFERROR(FIND("♦",SUBSTITUTE(LEFT(F449,N10)," ","♦",LEN(LEFT(F449,N10))-LEN(SUBSTITUTE(LEFT(F449,N10)," ","")))),FIND(" ",F449&amp;" ",N10+1)-1)))</f>
        <v>1</v>
      </c>
      <c r="N449" s="234">
        <f t="shared" si="50"/>
        <v>432</v>
      </c>
      <c r="O449" s="165" t="str">
        <f t="shared" si="51"/>
        <v>0</v>
      </c>
      <c r="P449" s="234">
        <f t="shared" si="52"/>
        <v>1</v>
      </c>
      <c r="Q449" s="234">
        <f t="shared" si="53"/>
        <v>1</v>
      </c>
      <c r="DE449" s="152"/>
      <c r="DF449" s="160" t="s">
        <v>1816</v>
      </c>
      <c r="DG449" s="160" t="s">
        <v>122</v>
      </c>
      <c r="DH449" s="160" t="s">
        <v>125</v>
      </c>
      <c r="DI449" s="160" t="s">
        <v>1817</v>
      </c>
      <c r="DJ449" s="160" t="s">
        <v>1817</v>
      </c>
      <c r="DK449" s="160" t="s">
        <v>1259</v>
      </c>
      <c r="DL449" s="160" t="s">
        <v>1260</v>
      </c>
      <c r="DM449" s="160" t="s">
        <v>1812</v>
      </c>
      <c r="DN449" s="161" t="s">
        <v>1813</v>
      </c>
      <c r="DP449" s="130">
        <v>1</v>
      </c>
    </row>
    <row r="450" spans="2:120" ht="15">
      <c r="B450" s="231"/>
      <c r="C450" s="231"/>
      <c r="D450" s="231"/>
      <c r="E450" s="231" cm="1">
        <f t="array" ref="E450">IF(H449&lt;&gt;"",E449,IF(E449="","",IFERROR(MATCH(TRUE(),INDEX(INDEX(K:K,E449+1):K203&lt;&gt;"",0),0)+E449,"")))</f>
        <v>542</v>
      </c>
      <c r="F450" s="232" cm="1">
        <f t="array" ref="F450">IF(E450="","",IF(H449&lt;&gt;"",H449,INDEX(D:D,E450)))</f>
        <v>0</v>
      </c>
      <c r="G450" s="232" t="str">
        <f t="shared" si="48"/>
        <v>0</v>
      </c>
      <c r="H450" s="233" t="str">
        <f t="shared" si="49"/>
        <v/>
      </c>
      <c r="I450" s="231" t="str">
        <f>IF(AND(F450&lt;&gt;"",N10&gt;0,M450&gt;N10),"Mot &gt; limite","")</f>
        <v/>
      </c>
      <c r="M450" s="126">
        <f>IF(OR(F450="",N10="",N10&lt;=0),"",IF(LEN(F450)&lt;=N10,LEN(F450),IFERROR(FIND("♦",SUBSTITUTE(LEFT(F450,N10)," ","♦",LEN(LEFT(F450,N10))-LEN(SUBSTITUTE(LEFT(F450,N10)," ","")))),FIND(" ",F450&amp;" ",N10+1)-1)))</f>
        <v>1</v>
      </c>
      <c r="N450" s="234">
        <f t="shared" si="50"/>
        <v>433</v>
      </c>
      <c r="O450" s="165" t="str">
        <f t="shared" si="51"/>
        <v>0</v>
      </c>
      <c r="P450" s="234">
        <f t="shared" si="52"/>
        <v>1</v>
      </c>
      <c r="Q450" s="234">
        <f t="shared" si="53"/>
        <v>1</v>
      </c>
      <c r="DE450" s="152"/>
      <c r="DF450" s="160" t="s">
        <v>1818</v>
      </c>
      <c r="DG450" s="160" t="s">
        <v>122</v>
      </c>
      <c r="DH450" s="160" t="s">
        <v>125</v>
      </c>
      <c r="DI450" s="160" t="s">
        <v>1819</v>
      </c>
      <c r="DJ450" s="160" t="s">
        <v>1819</v>
      </c>
      <c r="DK450" s="160" t="s">
        <v>1259</v>
      </c>
      <c r="DL450" s="160" t="s">
        <v>1260</v>
      </c>
      <c r="DM450" s="160" t="s">
        <v>1812</v>
      </c>
      <c r="DN450" s="161" t="s">
        <v>1813</v>
      </c>
      <c r="DP450" s="130">
        <v>1</v>
      </c>
    </row>
    <row r="451" spans="2:120" ht="15">
      <c r="B451" s="231"/>
      <c r="C451" s="231"/>
      <c r="D451" s="231"/>
      <c r="E451" s="231" cm="1">
        <f t="array" ref="E451">IF(H450&lt;&gt;"",E450,IF(E450="","",IFERROR(MATCH(TRUE(),INDEX(INDEX(K:K,E450+1):K203&lt;&gt;"",0),0)+E450,"")))</f>
        <v>543</v>
      </c>
      <c r="F451" s="232" cm="1">
        <f t="array" ref="F451">IF(E451="","",IF(H450&lt;&gt;"",H450,INDEX(D:D,E451)))</f>
        <v>0</v>
      </c>
      <c r="G451" s="232" t="str">
        <f t="shared" si="48"/>
        <v>0</v>
      </c>
      <c r="H451" s="233" t="str">
        <f t="shared" si="49"/>
        <v/>
      </c>
      <c r="I451" s="231" t="str">
        <f>IF(AND(F451&lt;&gt;"",N10&gt;0,M451&gt;N10),"Mot &gt; limite","")</f>
        <v/>
      </c>
      <c r="M451" s="126">
        <f>IF(OR(F451="",N10="",N10&lt;=0),"",IF(LEN(F451)&lt;=N10,LEN(F451),IFERROR(FIND("♦",SUBSTITUTE(LEFT(F451,N10)," ","♦",LEN(LEFT(F451,N10))-LEN(SUBSTITUTE(LEFT(F451,N10)," ","")))),FIND(" ",F451&amp;" ",N10+1)-1)))</f>
        <v>1</v>
      </c>
      <c r="N451" s="234">
        <f t="shared" si="50"/>
        <v>434</v>
      </c>
      <c r="O451" s="165" t="str">
        <f t="shared" si="51"/>
        <v>0</v>
      </c>
      <c r="P451" s="234">
        <f t="shared" si="52"/>
        <v>1</v>
      </c>
      <c r="Q451" s="234">
        <f t="shared" si="53"/>
        <v>1</v>
      </c>
      <c r="DE451" s="152"/>
      <c r="DF451" s="160" t="s">
        <v>1820</v>
      </c>
      <c r="DG451" s="160" t="s">
        <v>122</v>
      </c>
      <c r="DH451" s="160" t="s">
        <v>125</v>
      </c>
      <c r="DI451" s="160" t="s">
        <v>1821</v>
      </c>
      <c r="DJ451" s="160" t="s">
        <v>1821</v>
      </c>
      <c r="DK451" s="160" t="s">
        <v>1259</v>
      </c>
      <c r="DL451" s="160" t="s">
        <v>1260</v>
      </c>
      <c r="DM451" s="160" t="s">
        <v>1812</v>
      </c>
      <c r="DN451" s="161" t="s">
        <v>1813</v>
      </c>
      <c r="DP451" s="130">
        <v>1</v>
      </c>
    </row>
    <row r="452" spans="2:120" ht="15">
      <c r="B452" s="231"/>
      <c r="C452" s="231"/>
      <c r="D452" s="231"/>
      <c r="E452" s="231" cm="1">
        <f t="array" ref="E452">IF(H451&lt;&gt;"",E451,IF(E451="","",IFERROR(MATCH(TRUE(),INDEX(INDEX(K:K,E451+1):K203&lt;&gt;"",0),0)+E451,"")))</f>
        <v>544</v>
      </c>
      <c r="F452" s="232" cm="1">
        <f t="array" ref="F452">IF(E452="","",IF(H451&lt;&gt;"",H451,INDEX(D:D,E452)))</f>
        <v>0</v>
      </c>
      <c r="G452" s="232" t="str">
        <f t="shared" si="48"/>
        <v>0</v>
      </c>
      <c r="H452" s="233" t="str">
        <f t="shared" si="49"/>
        <v/>
      </c>
      <c r="I452" s="231" t="str">
        <f>IF(AND(F452&lt;&gt;"",N10&gt;0,M452&gt;N10),"Mot &gt; limite","")</f>
        <v/>
      </c>
      <c r="M452" s="126">
        <f>IF(OR(F452="",N10="",N10&lt;=0),"",IF(LEN(F452)&lt;=N10,LEN(F452),IFERROR(FIND("♦",SUBSTITUTE(LEFT(F452,N10)," ","♦",LEN(LEFT(F452,N10))-LEN(SUBSTITUTE(LEFT(F452,N10)," ","")))),FIND(" ",F452&amp;" ",N10+1)-1)))</f>
        <v>1</v>
      </c>
      <c r="N452" s="234">
        <f t="shared" si="50"/>
        <v>435</v>
      </c>
      <c r="O452" s="165" t="str">
        <f t="shared" si="51"/>
        <v>0</v>
      </c>
      <c r="P452" s="234">
        <f t="shared" si="52"/>
        <v>1</v>
      </c>
      <c r="Q452" s="234">
        <f t="shared" si="53"/>
        <v>1</v>
      </c>
      <c r="DE452" s="152"/>
      <c r="DF452" s="160" t="s">
        <v>1822</v>
      </c>
      <c r="DG452" s="160" t="s">
        <v>122</v>
      </c>
      <c r="DH452" s="160" t="s">
        <v>125</v>
      </c>
      <c r="DI452" s="160" t="s">
        <v>1823</v>
      </c>
      <c r="DJ452" s="160" t="s">
        <v>1823</v>
      </c>
      <c r="DK452" s="160" t="s">
        <v>1259</v>
      </c>
      <c r="DL452" s="160" t="s">
        <v>1260</v>
      </c>
      <c r="DM452" s="160" t="s">
        <v>1812</v>
      </c>
      <c r="DN452" s="161" t="s">
        <v>1813</v>
      </c>
      <c r="DP452" s="130">
        <v>1</v>
      </c>
    </row>
    <row r="453" spans="2:120" ht="15">
      <c r="B453" s="231"/>
      <c r="C453" s="231"/>
      <c r="D453" s="231"/>
      <c r="E453" s="231" cm="1">
        <f t="array" ref="E453">IF(H452&lt;&gt;"",E452,IF(E452="","",IFERROR(MATCH(TRUE(),INDEX(INDEX(K:K,E452+1):K203&lt;&gt;"",0),0)+E452,"")))</f>
        <v>545</v>
      </c>
      <c r="F453" s="232" cm="1">
        <f t="array" ref="F453">IF(E453="","",IF(H452&lt;&gt;"",H452,INDEX(D:D,E453)))</f>
        <v>0</v>
      </c>
      <c r="G453" s="232" t="str">
        <f t="shared" si="48"/>
        <v>0</v>
      </c>
      <c r="H453" s="233" t="str">
        <f t="shared" si="49"/>
        <v/>
      </c>
      <c r="I453" s="231" t="str">
        <f>IF(AND(F453&lt;&gt;"",N10&gt;0,M453&gt;N10),"Mot &gt; limite","")</f>
        <v/>
      </c>
      <c r="M453" s="126">
        <f>IF(OR(F453="",N10="",N10&lt;=0),"",IF(LEN(F453)&lt;=N10,LEN(F453),IFERROR(FIND("♦",SUBSTITUTE(LEFT(F453,N10)," ","♦",LEN(LEFT(F453,N10))-LEN(SUBSTITUTE(LEFT(F453,N10)," ","")))),FIND(" ",F453&amp;" ",N10+1)-1)))</f>
        <v>1</v>
      </c>
      <c r="N453" s="234">
        <f t="shared" si="50"/>
        <v>436</v>
      </c>
      <c r="O453" s="165" t="str">
        <f t="shared" si="51"/>
        <v>0</v>
      </c>
      <c r="P453" s="234">
        <f t="shared" si="52"/>
        <v>1</v>
      </c>
      <c r="Q453" s="234">
        <f t="shared" si="53"/>
        <v>1</v>
      </c>
      <c r="DE453" s="152"/>
      <c r="DF453" s="160" t="s">
        <v>1824</v>
      </c>
      <c r="DG453" s="160" t="s">
        <v>122</v>
      </c>
      <c r="DH453" s="160" t="s">
        <v>125</v>
      </c>
      <c r="DI453" s="160" t="s">
        <v>1825</v>
      </c>
      <c r="DJ453" s="160" t="s">
        <v>1825</v>
      </c>
      <c r="DK453" s="160" t="s">
        <v>1259</v>
      </c>
      <c r="DL453" s="160" t="s">
        <v>1260</v>
      </c>
      <c r="DM453" s="160" t="s">
        <v>1812</v>
      </c>
      <c r="DN453" s="161" t="s">
        <v>1813</v>
      </c>
      <c r="DP453" s="130">
        <v>1</v>
      </c>
    </row>
    <row r="454" spans="2:120" ht="15">
      <c r="B454" s="231"/>
      <c r="C454" s="231"/>
      <c r="D454" s="231"/>
      <c r="E454" s="231" cm="1">
        <f t="array" ref="E454">IF(H453&lt;&gt;"",E453,IF(E453="","",IFERROR(MATCH(TRUE(),INDEX(INDEX(K:K,E453+1):K203&lt;&gt;"",0),0)+E453,"")))</f>
        <v>546</v>
      </c>
      <c r="F454" s="232" cm="1">
        <f t="array" ref="F454">IF(E454="","",IF(H453&lt;&gt;"",H453,INDEX(D:D,E454)))</f>
        <v>0</v>
      </c>
      <c r="G454" s="232" t="str">
        <f t="shared" si="48"/>
        <v>0</v>
      </c>
      <c r="H454" s="233" t="str">
        <f t="shared" si="49"/>
        <v/>
      </c>
      <c r="I454" s="231" t="str">
        <f>IF(AND(F454&lt;&gt;"",N10&gt;0,M454&gt;N10),"Mot &gt; limite","")</f>
        <v/>
      </c>
      <c r="M454" s="126">
        <f>IF(OR(F454="",N10="",N10&lt;=0),"",IF(LEN(F454)&lt;=N10,LEN(F454),IFERROR(FIND("♦",SUBSTITUTE(LEFT(F454,N10)," ","♦",LEN(LEFT(F454,N10))-LEN(SUBSTITUTE(LEFT(F454,N10)," ","")))),FIND(" ",F454&amp;" ",N10+1)-1)))</f>
        <v>1</v>
      </c>
      <c r="N454" s="234">
        <f t="shared" si="50"/>
        <v>437</v>
      </c>
      <c r="O454" s="165" t="str">
        <f t="shared" si="51"/>
        <v>0</v>
      </c>
      <c r="P454" s="234">
        <f t="shared" si="52"/>
        <v>1</v>
      </c>
      <c r="Q454" s="234">
        <f t="shared" si="53"/>
        <v>1</v>
      </c>
      <c r="DE454" s="152"/>
      <c r="DF454" s="160" t="s">
        <v>1826</v>
      </c>
      <c r="DG454" s="160" t="s">
        <v>122</v>
      </c>
      <c r="DH454" s="160" t="s">
        <v>125</v>
      </c>
      <c r="DI454" s="160" t="s">
        <v>1827</v>
      </c>
      <c r="DJ454" s="160" t="s">
        <v>1827</v>
      </c>
      <c r="DK454" s="160" t="s">
        <v>1259</v>
      </c>
      <c r="DL454" s="160" t="s">
        <v>1260</v>
      </c>
      <c r="DM454" s="160" t="s">
        <v>1812</v>
      </c>
      <c r="DN454" s="161" t="s">
        <v>1813</v>
      </c>
      <c r="DP454" s="130">
        <v>1</v>
      </c>
    </row>
    <row r="455" spans="2:120" ht="15">
      <c r="B455" s="231"/>
      <c r="C455" s="231"/>
      <c r="D455" s="231"/>
      <c r="E455" s="231" cm="1">
        <f t="array" ref="E455">IF(H454&lt;&gt;"",E454,IF(E454="","",IFERROR(MATCH(TRUE(),INDEX(INDEX(K:K,E454+1):K203&lt;&gt;"",0),0)+E454,"")))</f>
        <v>547</v>
      </c>
      <c r="F455" s="232" cm="1">
        <f t="array" ref="F455">IF(E455="","",IF(H454&lt;&gt;"",H454,INDEX(D:D,E455)))</f>
        <v>0</v>
      </c>
      <c r="G455" s="232" t="str">
        <f t="shared" si="48"/>
        <v>0</v>
      </c>
      <c r="H455" s="233" t="str">
        <f t="shared" si="49"/>
        <v/>
      </c>
      <c r="I455" s="231" t="str">
        <f>IF(AND(F455&lt;&gt;"",N10&gt;0,M455&gt;N10),"Mot &gt; limite","")</f>
        <v/>
      </c>
      <c r="M455" s="126">
        <f>IF(OR(F455="",N10="",N10&lt;=0),"",IF(LEN(F455)&lt;=N10,LEN(F455),IFERROR(FIND("♦",SUBSTITUTE(LEFT(F455,N10)," ","♦",LEN(LEFT(F455,N10))-LEN(SUBSTITUTE(LEFT(F455,N10)," ","")))),FIND(" ",F455&amp;" ",N10+1)-1)))</f>
        <v>1</v>
      </c>
      <c r="N455" s="234">
        <f t="shared" si="50"/>
        <v>438</v>
      </c>
      <c r="O455" s="165" t="str">
        <f t="shared" si="51"/>
        <v>0</v>
      </c>
      <c r="P455" s="234">
        <f t="shared" si="52"/>
        <v>1</v>
      </c>
      <c r="Q455" s="234">
        <f t="shared" si="53"/>
        <v>1</v>
      </c>
      <c r="DE455" s="152"/>
      <c r="DF455" s="160" t="s">
        <v>1828</v>
      </c>
      <c r="DG455" s="160" t="s">
        <v>122</v>
      </c>
      <c r="DH455" s="160" t="s">
        <v>125</v>
      </c>
      <c r="DI455" s="160" t="s">
        <v>1829</v>
      </c>
      <c r="DJ455" s="160" t="s">
        <v>1829</v>
      </c>
      <c r="DK455" s="160" t="s">
        <v>1259</v>
      </c>
      <c r="DL455" s="160" t="s">
        <v>1260</v>
      </c>
      <c r="DM455" s="160" t="s">
        <v>1812</v>
      </c>
      <c r="DN455" s="161" t="s">
        <v>1813</v>
      </c>
      <c r="DP455" s="130">
        <v>1</v>
      </c>
    </row>
    <row r="456" spans="2:120" ht="15">
      <c r="B456" s="231"/>
      <c r="C456" s="231"/>
      <c r="D456" s="231"/>
      <c r="E456" s="231" cm="1">
        <f t="array" ref="E456">IF(H455&lt;&gt;"",E455,IF(E455="","",IFERROR(MATCH(TRUE(),INDEX(INDEX(K:K,E455+1):K203&lt;&gt;"",0),0)+E455,"")))</f>
        <v>548</v>
      </c>
      <c r="F456" s="232" cm="1">
        <f t="array" ref="F456">IF(E456="","",IF(H455&lt;&gt;"",H455,INDEX(D:D,E456)))</f>
        <v>0</v>
      </c>
      <c r="G456" s="232" t="str">
        <f t="shared" si="48"/>
        <v>0</v>
      </c>
      <c r="H456" s="233" t="str">
        <f t="shared" si="49"/>
        <v/>
      </c>
      <c r="I456" s="231" t="str">
        <f>IF(AND(F456&lt;&gt;"",N10&gt;0,M456&gt;N10),"Mot &gt; limite","")</f>
        <v/>
      </c>
      <c r="M456" s="126">
        <f>IF(OR(F456="",N10="",N10&lt;=0),"",IF(LEN(F456)&lt;=N10,LEN(F456),IFERROR(FIND("♦",SUBSTITUTE(LEFT(F456,N10)," ","♦",LEN(LEFT(F456,N10))-LEN(SUBSTITUTE(LEFT(F456,N10)," ","")))),FIND(" ",F456&amp;" ",N10+1)-1)))</f>
        <v>1</v>
      </c>
      <c r="N456" s="234">
        <f t="shared" si="50"/>
        <v>439</v>
      </c>
      <c r="O456" s="165" t="str">
        <f t="shared" si="51"/>
        <v>0</v>
      </c>
      <c r="P456" s="234">
        <f t="shared" si="52"/>
        <v>1</v>
      </c>
      <c r="Q456" s="234">
        <f t="shared" si="53"/>
        <v>1</v>
      </c>
      <c r="DE456" s="152"/>
      <c r="DF456" s="160" t="s">
        <v>1830</v>
      </c>
      <c r="DG456" s="160" t="s">
        <v>122</v>
      </c>
      <c r="DH456" s="160" t="s">
        <v>125</v>
      </c>
      <c r="DI456" s="160" t="s">
        <v>1831</v>
      </c>
      <c r="DJ456" s="160" t="s">
        <v>1831</v>
      </c>
      <c r="DK456" s="160" t="s">
        <v>1259</v>
      </c>
      <c r="DL456" s="160" t="s">
        <v>1260</v>
      </c>
      <c r="DM456" s="160" t="s">
        <v>1812</v>
      </c>
      <c r="DN456" s="161" t="s">
        <v>1813</v>
      </c>
      <c r="DP456" s="130">
        <v>1</v>
      </c>
    </row>
    <row r="457" spans="2:120" ht="15">
      <c r="B457" s="231"/>
      <c r="C457" s="231"/>
      <c r="D457" s="231"/>
      <c r="E457" s="231" cm="1">
        <f t="array" ref="E457">IF(H456&lt;&gt;"",E456,IF(E456="","",IFERROR(MATCH(TRUE(),INDEX(INDEX(K:K,E456+1):K203&lt;&gt;"",0),0)+E456,"")))</f>
        <v>549</v>
      </c>
      <c r="F457" s="232" cm="1">
        <f t="array" ref="F457">IF(E457="","",IF(H456&lt;&gt;"",H456,INDEX(D:D,E457)))</f>
        <v>0</v>
      </c>
      <c r="G457" s="232" t="str">
        <f t="shared" si="48"/>
        <v>0</v>
      </c>
      <c r="H457" s="233" t="str">
        <f t="shared" si="49"/>
        <v/>
      </c>
      <c r="I457" s="231" t="str">
        <f>IF(AND(F457&lt;&gt;"",N10&gt;0,M457&gt;N10),"Mot &gt; limite","")</f>
        <v/>
      </c>
      <c r="M457" s="126">
        <f>IF(OR(F457="",N10="",N10&lt;=0),"",IF(LEN(F457)&lt;=N10,LEN(F457),IFERROR(FIND("♦",SUBSTITUTE(LEFT(F457,N10)," ","♦",LEN(LEFT(F457,N10))-LEN(SUBSTITUTE(LEFT(F457,N10)," ","")))),FIND(" ",F457&amp;" ",N10+1)-1)))</f>
        <v>1</v>
      </c>
      <c r="N457" s="234">
        <f t="shared" si="50"/>
        <v>440</v>
      </c>
      <c r="O457" s="165" t="str">
        <f t="shared" si="51"/>
        <v>0</v>
      </c>
      <c r="P457" s="234">
        <f t="shared" si="52"/>
        <v>1</v>
      </c>
      <c r="Q457" s="234">
        <f t="shared" si="53"/>
        <v>1</v>
      </c>
      <c r="DE457" s="152"/>
      <c r="DF457" s="160" t="s">
        <v>1832</v>
      </c>
      <c r="DG457" s="160" t="s">
        <v>122</v>
      </c>
      <c r="DH457" s="160" t="s">
        <v>125</v>
      </c>
      <c r="DI457" s="160" t="s">
        <v>1833</v>
      </c>
      <c r="DJ457" s="160" t="s">
        <v>1833</v>
      </c>
      <c r="DK457" s="160" t="s">
        <v>1259</v>
      </c>
      <c r="DL457" s="160" t="s">
        <v>1260</v>
      </c>
      <c r="DM457" s="160" t="s">
        <v>1812</v>
      </c>
      <c r="DN457" s="161" t="s">
        <v>1813</v>
      </c>
      <c r="DP457" s="130">
        <v>1</v>
      </c>
    </row>
    <row r="458" spans="2:120" ht="15">
      <c r="B458" s="231"/>
      <c r="C458" s="231"/>
      <c r="D458" s="231"/>
      <c r="E458" s="231" cm="1">
        <f t="array" ref="E458">IF(H457&lt;&gt;"",E457,IF(E457="","",IFERROR(MATCH(TRUE(),INDEX(INDEX(K:K,E457+1):K203&lt;&gt;"",0),0)+E457,"")))</f>
        <v>550</v>
      </c>
      <c r="F458" s="232" cm="1">
        <f t="array" ref="F458">IF(E458="","",IF(H457&lt;&gt;"",H457,INDEX(D:D,E458)))</f>
        <v>0</v>
      </c>
      <c r="G458" s="232" t="str">
        <f t="shared" si="48"/>
        <v>0</v>
      </c>
      <c r="H458" s="233" t="str">
        <f t="shared" si="49"/>
        <v/>
      </c>
      <c r="I458" s="231" t="str">
        <f>IF(AND(F458&lt;&gt;"",N10&gt;0,M458&gt;N10),"Mot &gt; limite","")</f>
        <v/>
      </c>
      <c r="M458" s="126">
        <f>IF(OR(F458="",N10="",N10&lt;=0),"",IF(LEN(F458)&lt;=N10,LEN(F458),IFERROR(FIND("♦",SUBSTITUTE(LEFT(F458,N10)," ","♦",LEN(LEFT(F458,N10))-LEN(SUBSTITUTE(LEFT(F458,N10)," ","")))),FIND(" ",F458&amp;" ",N10+1)-1)))</f>
        <v>1</v>
      </c>
      <c r="N458" s="234">
        <f t="shared" si="50"/>
        <v>441</v>
      </c>
      <c r="O458" s="165" t="str">
        <f t="shared" si="51"/>
        <v>0</v>
      </c>
      <c r="P458" s="234">
        <f t="shared" si="52"/>
        <v>1</v>
      </c>
      <c r="Q458" s="234">
        <f t="shared" si="53"/>
        <v>1</v>
      </c>
      <c r="DE458" s="152"/>
      <c r="DF458" s="160" t="s">
        <v>1834</v>
      </c>
      <c r="DG458" s="160" t="s">
        <v>122</v>
      </c>
      <c r="DH458" s="160" t="s">
        <v>125</v>
      </c>
      <c r="DI458" s="160" t="s">
        <v>1835</v>
      </c>
      <c r="DJ458" s="160" t="s">
        <v>1835</v>
      </c>
      <c r="DK458" s="160" t="s">
        <v>1259</v>
      </c>
      <c r="DL458" s="160" t="s">
        <v>1260</v>
      </c>
      <c r="DM458" s="160" t="s">
        <v>1812</v>
      </c>
      <c r="DN458" s="161" t="s">
        <v>1813</v>
      </c>
      <c r="DP458" s="130">
        <v>1</v>
      </c>
    </row>
    <row r="459" spans="2:120" ht="15">
      <c r="B459" s="231"/>
      <c r="C459" s="231"/>
      <c r="D459" s="231"/>
      <c r="E459" s="231" cm="1">
        <f t="array" ref="E459">IF(H458&lt;&gt;"",E458,IF(E458="","",IFERROR(MATCH(TRUE(),INDEX(INDEX(K:K,E458+1):K203&lt;&gt;"",0),0)+E458,"")))</f>
        <v>551</v>
      </c>
      <c r="F459" s="232" cm="1">
        <f t="array" ref="F459">IF(E459="","",IF(H458&lt;&gt;"",H458,INDEX(D:D,E459)))</f>
        <v>0</v>
      </c>
      <c r="G459" s="232" t="str">
        <f t="shared" si="48"/>
        <v>0</v>
      </c>
      <c r="H459" s="233" t="str">
        <f t="shared" si="49"/>
        <v/>
      </c>
      <c r="I459" s="231" t="str">
        <f>IF(AND(F459&lt;&gt;"",N10&gt;0,M459&gt;N10),"Mot &gt; limite","")</f>
        <v/>
      </c>
      <c r="M459" s="126">
        <f>IF(OR(F459="",N10="",N10&lt;=0),"",IF(LEN(F459)&lt;=N10,LEN(F459),IFERROR(FIND("♦",SUBSTITUTE(LEFT(F459,N10)," ","♦",LEN(LEFT(F459,N10))-LEN(SUBSTITUTE(LEFT(F459,N10)," ","")))),FIND(" ",F459&amp;" ",N10+1)-1)))</f>
        <v>1</v>
      </c>
      <c r="N459" s="234">
        <f t="shared" si="50"/>
        <v>442</v>
      </c>
      <c r="O459" s="165" t="str">
        <f t="shared" si="51"/>
        <v>0</v>
      </c>
      <c r="P459" s="234">
        <f t="shared" si="52"/>
        <v>1</v>
      </c>
      <c r="Q459" s="234">
        <f t="shared" si="53"/>
        <v>1</v>
      </c>
      <c r="DE459" s="152"/>
      <c r="DF459" s="160" t="s">
        <v>1836</v>
      </c>
      <c r="DG459" s="160" t="s">
        <v>122</v>
      </c>
      <c r="DH459" s="160" t="s">
        <v>125</v>
      </c>
      <c r="DI459" s="160" t="s">
        <v>1837</v>
      </c>
      <c r="DJ459" s="160" t="s">
        <v>1837</v>
      </c>
      <c r="DK459" s="160" t="s">
        <v>1259</v>
      </c>
      <c r="DL459" s="160" t="s">
        <v>1260</v>
      </c>
      <c r="DM459" s="160" t="s">
        <v>1812</v>
      </c>
      <c r="DN459" s="161" t="s">
        <v>1813</v>
      </c>
      <c r="DP459" s="130">
        <v>1</v>
      </c>
    </row>
    <row r="460" spans="2:120" ht="15">
      <c r="B460" s="231"/>
      <c r="C460" s="231"/>
      <c r="D460" s="231"/>
      <c r="E460" s="231" cm="1">
        <f t="array" ref="E460">IF(H459&lt;&gt;"",E459,IF(E459="","",IFERROR(MATCH(TRUE(),INDEX(INDEX(K:K,E459+1):K203&lt;&gt;"",0),0)+E459,"")))</f>
        <v>552</v>
      </c>
      <c r="F460" s="232" cm="1">
        <f t="array" ref="F460">IF(E460="","",IF(H459&lt;&gt;"",H459,INDEX(D:D,E460)))</f>
        <v>0</v>
      </c>
      <c r="G460" s="232" t="str">
        <f t="shared" si="48"/>
        <v>0</v>
      </c>
      <c r="H460" s="233" t="str">
        <f t="shared" si="49"/>
        <v/>
      </c>
      <c r="I460" s="231" t="str">
        <f>IF(AND(F460&lt;&gt;"",N10&gt;0,M460&gt;N10),"Mot &gt; limite","")</f>
        <v/>
      </c>
      <c r="M460" s="126">
        <f>IF(OR(F460="",N10="",N10&lt;=0),"",IF(LEN(F460)&lt;=N10,LEN(F460),IFERROR(FIND("♦",SUBSTITUTE(LEFT(F460,N10)," ","♦",LEN(LEFT(F460,N10))-LEN(SUBSTITUTE(LEFT(F460,N10)," ","")))),FIND(" ",F460&amp;" ",N10+1)-1)))</f>
        <v>1</v>
      </c>
      <c r="N460" s="234">
        <f t="shared" si="50"/>
        <v>443</v>
      </c>
      <c r="O460" s="165" t="str">
        <f t="shared" si="51"/>
        <v>0</v>
      </c>
      <c r="P460" s="234">
        <f t="shared" si="52"/>
        <v>1</v>
      </c>
      <c r="Q460" s="234">
        <f t="shared" si="53"/>
        <v>1</v>
      </c>
      <c r="DE460" s="152"/>
      <c r="DF460" s="160" t="s">
        <v>1838</v>
      </c>
      <c r="DG460" s="160" t="s">
        <v>122</v>
      </c>
      <c r="DH460" s="160" t="s">
        <v>125</v>
      </c>
      <c r="DI460" s="160" t="s">
        <v>1839</v>
      </c>
      <c r="DJ460" s="160" t="s">
        <v>1839</v>
      </c>
      <c r="DK460" s="160" t="s">
        <v>1259</v>
      </c>
      <c r="DL460" s="160" t="s">
        <v>1260</v>
      </c>
      <c r="DM460" s="160" t="s">
        <v>1812</v>
      </c>
      <c r="DN460" s="161" t="s">
        <v>1813</v>
      </c>
      <c r="DP460" s="130">
        <v>1</v>
      </c>
    </row>
    <row r="461" spans="2:120" ht="15">
      <c r="B461" s="231"/>
      <c r="C461" s="231"/>
      <c r="D461" s="231"/>
      <c r="E461" s="231" cm="1">
        <f t="array" ref="E461">IF(H460&lt;&gt;"",E460,IF(E460="","",IFERROR(MATCH(TRUE(),INDEX(INDEX(K:K,E460+1):K203&lt;&gt;"",0),0)+E460,"")))</f>
        <v>553</v>
      </c>
      <c r="F461" s="232" cm="1">
        <f t="array" ref="F461">IF(E461="","",IF(H460&lt;&gt;"",H460,INDEX(D:D,E461)))</f>
        <v>0</v>
      </c>
      <c r="G461" s="232" t="str">
        <f t="shared" si="48"/>
        <v>0</v>
      </c>
      <c r="H461" s="233" t="str">
        <f t="shared" si="49"/>
        <v/>
      </c>
      <c r="I461" s="231" t="str">
        <f>IF(AND(F461&lt;&gt;"",N10&gt;0,M461&gt;N10),"Mot &gt; limite","")</f>
        <v/>
      </c>
      <c r="M461" s="126">
        <f>IF(OR(F461="",N10="",N10&lt;=0),"",IF(LEN(F461)&lt;=N10,LEN(F461),IFERROR(FIND("♦",SUBSTITUTE(LEFT(F461,N10)," ","♦",LEN(LEFT(F461,N10))-LEN(SUBSTITUTE(LEFT(F461,N10)," ","")))),FIND(" ",F461&amp;" ",N10+1)-1)))</f>
        <v>1</v>
      </c>
      <c r="N461" s="234">
        <f t="shared" si="50"/>
        <v>444</v>
      </c>
      <c r="O461" s="165" t="str">
        <f t="shared" si="51"/>
        <v>0</v>
      </c>
      <c r="P461" s="234">
        <f t="shared" si="52"/>
        <v>1</v>
      </c>
      <c r="Q461" s="234">
        <f t="shared" si="53"/>
        <v>1</v>
      </c>
      <c r="DE461" s="152"/>
      <c r="DF461" s="160" t="s">
        <v>1840</v>
      </c>
      <c r="DG461" s="160" t="s">
        <v>122</v>
      </c>
      <c r="DH461" s="160" t="s">
        <v>125</v>
      </c>
      <c r="DI461" s="160" t="s">
        <v>1841</v>
      </c>
      <c r="DJ461" s="160" t="s">
        <v>1841</v>
      </c>
      <c r="DK461" s="160" t="s">
        <v>1259</v>
      </c>
      <c r="DL461" s="160" t="s">
        <v>1260</v>
      </c>
      <c r="DM461" s="160" t="s">
        <v>1812</v>
      </c>
      <c r="DN461" s="161" t="s">
        <v>1813</v>
      </c>
      <c r="DP461" s="130">
        <v>1</v>
      </c>
    </row>
    <row r="462" spans="2:120" ht="15">
      <c r="B462" s="231"/>
      <c r="C462" s="231"/>
      <c r="D462" s="231"/>
      <c r="E462" s="231" cm="1">
        <f t="array" ref="E462">IF(H461&lt;&gt;"",E461,IF(E461="","",IFERROR(MATCH(TRUE(),INDEX(INDEX(K:K,E461+1):K203&lt;&gt;"",0),0)+E461,"")))</f>
        <v>554</v>
      </c>
      <c r="F462" s="232" cm="1">
        <f t="array" ref="F462">IF(E462="","",IF(H461&lt;&gt;"",H461,INDEX(D:D,E462)))</f>
        <v>0</v>
      </c>
      <c r="G462" s="232" t="str">
        <f t="shared" si="48"/>
        <v>0</v>
      </c>
      <c r="H462" s="233" t="str">
        <f t="shared" si="49"/>
        <v/>
      </c>
      <c r="I462" s="231" t="str">
        <f>IF(AND(F462&lt;&gt;"",N10&gt;0,M462&gt;N10),"Mot &gt; limite","")</f>
        <v/>
      </c>
      <c r="M462" s="126">
        <f>IF(OR(F462="",N10="",N10&lt;=0),"",IF(LEN(F462)&lt;=N10,LEN(F462),IFERROR(FIND("♦",SUBSTITUTE(LEFT(F462,N10)," ","♦",LEN(LEFT(F462,N10))-LEN(SUBSTITUTE(LEFT(F462,N10)," ","")))),FIND(" ",F462&amp;" ",N10+1)-1)))</f>
        <v>1</v>
      </c>
      <c r="N462" s="234">
        <f t="shared" si="50"/>
        <v>445</v>
      </c>
      <c r="O462" s="165" t="str">
        <f t="shared" si="51"/>
        <v>0</v>
      </c>
      <c r="P462" s="234">
        <f t="shared" si="52"/>
        <v>1</v>
      </c>
      <c r="Q462" s="234">
        <f t="shared" si="53"/>
        <v>1</v>
      </c>
      <c r="DE462" s="152"/>
      <c r="DF462" s="160" t="s">
        <v>1842</v>
      </c>
      <c r="DG462" s="160" t="s">
        <v>122</v>
      </c>
      <c r="DH462" s="160" t="s">
        <v>125</v>
      </c>
      <c r="DI462" s="160" t="s">
        <v>1843</v>
      </c>
      <c r="DJ462" s="160" t="s">
        <v>1843</v>
      </c>
      <c r="DK462" s="160" t="s">
        <v>1259</v>
      </c>
      <c r="DL462" s="160" t="s">
        <v>1260</v>
      </c>
      <c r="DM462" s="160" t="s">
        <v>1812</v>
      </c>
      <c r="DN462" s="161" t="s">
        <v>1813</v>
      </c>
      <c r="DP462" s="130">
        <v>1</v>
      </c>
    </row>
    <row r="463" spans="2:120" ht="15">
      <c r="B463" s="231"/>
      <c r="C463" s="231"/>
      <c r="D463" s="231"/>
      <c r="E463" s="231" cm="1">
        <f t="array" ref="E463">IF(H462&lt;&gt;"",E462,IF(E462="","",IFERROR(MATCH(TRUE(),INDEX(INDEX(K:K,E462+1):K203&lt;&gt;"",0),0)+E462,"")))</f>
        <v>555</v>
      </c>
      <c r="F463" s="232" cm="1">
        <f t="array" ref="F463">IF(E463="","",IF(H462&lt;&gt;"",H462,INDEX(D:D,E463)))</f>
        <v>0</v>
      </c>
      <c r="G463" s="232" t="str">
        <f t="shared" si="48"/>
        <v>0</v>
      </c>
      <c r="H463" s="233" t="str">
        <f t="shared" si="49"/>
        <v/>
      </c>
      <c r="I463" s="231" t="str">
        <f>IF(AND(F463&lt;&gt;"",N10&gt;0,M463&gt;N10),"Mot &gt; limite","")</f>
        <v/>
      </c>
      <c r="M463" s="126">
        <f>IF(OR(F463="",N10="",N10&lt;=0),"",IF(LEN(F463)&lt;=N10,LEN(F463),IFERROR(FIND("♦",SUBSTITUTE(LEFT(F463,N10)," ","♦",LEN(LEFT(F463,N10))-LEN(SUBSTITUTE(LEFT(F463,N10)," ","")))),FIND(" ",F463&amp;" ",N10+1)-1)))</f>
        <v>1</v>
      </c>
      <c r="N463" s="234">
        <f t="shared" si="50"/>
        <v>446</v>
      </c>
      <c r="O463" s="165" t="str">
        <f t="shared" si="51"/>
        <v>0</v>
      </c>
      <c r="P463" s="234">
        <f t="shared" si="52"/>
        <v>1</v>
      </c>
      <c r="Q463" s="234">
        <f t="shared" si="53"/>
        <v>1</v>
      </c>
      <c r="DE463" s="152"/>
      <c r="DF463" s="160" t="s">
        <v>1844</v>
      </c>
      <c r="DG463" s="160" t="s">
        <v>122</v>
      </c>
      <c r="DH463" s="160" t="s">
        <v>125</v>
      </c>
      <c r="DI463" s="160" t="s">
        <v>1845</v>
      </c>
      <c r="DJ463" s="160" t="s">
        <v>1845</v>
      </c>
      <c r="DK463" s="160" t="s">
        <v>1259</v>
      </c>
      <c r="DL463" s="160" t="s">
        <v>1260</v>
      </c>
      <c r="DM463" s="160" t="s">
        <v>1812</v>
      </c>
      <c r="DN463" s="161" t="s">
        <v>1813</v>
      </c>
      <c r="DP463" s="130">
        <v>1</v>
      </c>
    </row>
    <row r="464" spans="2:120" ht="15">
      <c r="B464" s="231"/>
      <c r="C464" s="231"/>
      <c r="D464" s="231"/>
      <c r="E464" s="231" cm="1">
        <f t="array" ref="E464">IF(H463&lt;&gt;"",E463,IF(E463="","",IFERROR(MATCH(TRUE(),INDEX(INDEX(K:K,E463+1):K203&lt;&gt;"",0),0)+E463,"")))</f>
        <v>556</v>
      </c>
      <c r="F464" s="232" cm="1">
        <f t="array" ref="F464">IF(E464="","",IF(H463&lt;&gt;"",H463,INDEX(D:D,E464)))</f>
        <v>0</v>
      </c>
      <c r="G464" s="232" t="str">
        <f t="shared" si="48"/>
        <v>0</v>
      </c>
      <c r="H464" s="233" t="str">
        <f t="shared" si="49"/>
        <v/>
      </c>
      <c r="I464" s="231" t="str">
        <f>IF(AND(F464&lt;&gt;"",N10&gt;0,M464&gt;N10),"Mot &gt; limite","")</f>
        <v/>
      </c>
      <c r="M464" s="126">
        <f>IF(OR(F464="",N10="",N10&lt;=0),"",IF(LEN(F464)&lt;=N10,LEN(F464),IFERROR(FIND("♦",SUBSTITUTE(LEFT(F464,N10)," ","♦",LEN(LEFT(F464,N10))-LEN(SUBSTITUTE(LEFT(F464,N10)," ","")))),FIND(" ",F464&amp;" ",N10+1)-1)))</f>
        <v>1</v>
      </c>
      <c r="N464" s="234">
        <f t="shared" si="50"/>
        <v>447</v>
      </c>
      <c r="O464" s="165" t="str">
        <f t="shared" si="51"/>
        <v>0</v>
      </c>
      <c r="P464" s="234">
        <f t="shared" si="52"/>
        <v>1</v>
      </c>
      <c r="Q464" s="234">
        <f t="shared" si="53"/>
        <v>1</v>
      </c>
      <c r="DE464" s="152"/>
      <c r="DF464" s="160" t="s">
        <v>1846</v>
      </c>
      <c r="DG464" s="160" t="s">
        <v>122</v>
      </c>
      <c r="DH464" s="160" t="s">
        <v>125</v>
      </c>
      <c r="DI464" s="160" t="s">
        <v>1847</v>
      </c>
      <c r="DJ464" s="160" t="s">
        <v>1847</v>
      </c>
      <c r="DK464" s="160" t="s">
        <v>1259</v>
      </c>
      <c r="DL464" s="160" t="s">
        <v>1260</v>
      </c>
      <c r="DM464" s="160" t="s">
        <v>1812</v>
      </c>
      <c r="DN464" s="161" t="s">
        <v>1813</v>
      </c>
      <c r="DP464" s="130">
        <v>1</v>
      </c>
    </row>
    <row r="465" spans="2:120" ht="15">
      <c r="B465" s="231"/>
      <c r="C465" s="231"/>
      <c r="D465" s="231"/>
      <c r="E465" s="231" cm="1">
        <f t="array" ref="E465">IF(H464&lt;&gt;"",E464,IF(E464="","",IFERROR(MATCH(TRUE(),INDEX(INDEX(K:K,E464+1):K203&lt;&gt;"",0),0)+E464,"")))</f>
        <v>557</v>
      </c>
      <c r="F465" s="232" cm="1">
        <f t="array" ref="F465">IF(E465="","",IF(H464&lt;&gt;"",H464,INDEX(D:D,E465)))</f>
        <v>0</v>
      </c>
      <c r="G465" s="232" t="str">
        <f t="shared" si="48"/>
        <v>0</v>
      </c>
      <c r="H465" s="233" t="str">
        <f t="shared" si="49"/>
        <v/>
      </c>
      <c r="I465" s="231" t="str">
        <f>IF(AND(F465&lt;&gt;"",N10&gt;0,M465&gt;N10),"Mot &gt; limite","")</f>
        <v/>
      </c>
      <c r="M465" s="126">
        <f>IF(OR(F465="",N10="",N10&lt;=0),"",IF(LEN(F465)&lt;=N10,LEN(F465),IFERROR(FIND("♦",SUBSTITUTE(LEFT(F465,N10)," ","♦",LEN(LEFT(F465,N10))-LEN(SUBSTITUTE(LEFT(F465,N10)," ","")))),FIND(" ",F465&amp;" ",N10+1)-1)))</f>
        <v>1</v>
      </c>
      <c r="N465" s="234">
        <f t="shared" si="50"/>
        <v>448</v>
      </c>
      <c r="O465" s="165" t="str">
        <f t="shared" si="51"/>
        <v>0</v>
      </c>
      <c r="P465" s="234">
        <f t="shared" si="52"/>
        <v>1</v>
      </c>
      <c r="Q465" s="234">
        <f t="shared" si="53"/>
        <v>1</v>
      </c>
      <c r="DE465" s="152"/>
      <c r="DF465" s="160" t="s">
        <v>1848</v>
      </c>
      <c r="DG465" s="160" t="s">
        <v>122</v>
      </c>
      <c r="DH465" s="160" t="s">
        <v>125</v>
      </c>
      <c r="DI465" s="160" t="s">
        <v>1849</v>
      </c>
      <c r="DJ465" s="160" t="s">
        <v>1849</v>
      </c>
      <c r="DK465" s="160" t="s">
        <v>1259</v>
      </c>
      <c r="DL465" s="160" t="s">
        <v>1260</v>
      </c>
      <c r="DM465" s="160" t="s">
        <v>1812</v>
      </c>
      <c r="DN465" s="161" t="s">
        <v>1813</v>
      </c>
      <c r="DP465" s="130">
        <v>1</v>
      </c>
    </row>
    <row r="466" spans="2:120" ht="15">
      <c r="B466" s="231"/>
      <c r="C466" s="231"/>
      <c r="D466" s="231"/>
      <c r="E466" s="231" cm="1">
        <f t="array" ref="E466">IF(H465&lt;&gt;"",E465,IF(E465="","",IFERROR(MATCH(TRUE(),INDEX(INDEX(K:K,E465+1):K203&lt;&gt;"",0),0)+E465,"")))</f>
        <v>558</v>
      </c>
      <c r="F466" s="232" cm="1">
        <f t="array" ref="F466">IF(E466="","",IF(H465&lt;&gt;"",H465,INDEX(D:D,E466)))</f>
        <v>0</v>
      </c>
      <c r="G466" s="232" t="str">
        <f t="shared" ref="G466:G529" si="54">IF(OR(F466="",M466=""),"",LEFT(F466,M466))</f>
        <v>0</v>
      </c>
      <c r="H466" s="233" t="str">
        <f t="shared" ref="H466:H529" si="55">IF(OR(F466="",M466=""),"",TRIM(MID(F466,M466+1,99999)))</f>
        <v/>
      </c>
      <c r="I466" s="231" t="str">
        <f>IF(AND(F466&lt;&gt;"",N10&gt;0,M466&gt;N10),"Mot &gt; limite","")</f>
        <v/>
      </c>
      <c r="M466" s="126">
        <f>IF(OR(F466="",N10="",N10&lt;=0),"",IF(LEN(F466)&lt;=N10,LEN(F466),IFERROR(FIND("♦",SUBSTITUTE(LEFT(F466,N10)," ","♦",LEN(LEFT(F466,N10))-LEN(SUBSTITUTE(LEFT(F466,N10)," ","")))),FIND(" ",F466&amp;" ",N10+1)-1)))</f>
        <v>1</v>
      </c>
      <c r="N466" s="234">
        <f t="shared" ref="N466:N529" si="56">IF(O466="","",ROW()-17)</f>
        <v>449</v>
      </c>
      <c r="O466" s="165" t="str">
        <f t="shared" ref="O466:O529" si="57">G466</f>
        <v>0</v>
      </c>
      <c r="P466" s="234">
        <f t="shared" ref="P466:P529" si="58">IF(O466="","",LEN(TRIM(O466))-LEN(SUBSTITUTE(TRIM(O466)," ",""))+1)</f>
        <v>1</v>
      </c>
      <c r="Q466" s="234">
        <f t="shared" ref="Q466:Q529" si="59">IF(O466="","",LEN(O466))</f>
        <v>1</v>
      </c>
      <c r="DE466" s="152"/>
      <c r="DF466" s="160" t="s">
        <v>1850</v>
      </c>
      <c r="DG466" s="160" t="s">
        <v>122</v>
      </c>
      <c r="DH466" s="160" t="s">
        <v>125</v>
      </c>
      <c r="DI466" s="160" t="s">
        <v>1851</v>
      </c>
      <c r="DJ466" s="160" t="s">
        <v>1851</v>
      </c>
      <c r="DK466" s="160" t="s">
        <v>1259</v>
      </c>
      <c r="DL466" s="160" t="s">
        <v>1260</v>
      </c>
      <c r="DM466" s="160" t="s">
        <v>1812</v>
      </c>
      <c r="DN466" s="161" t="s">
        <v>1813</v>
      </c>
      <c r="DP466" s="130">
        <v>1</v>
      </c>
    </row>
    <row r="467" spans="2:120" ht="15">
      <c r="B467" s="231"/>
      <c r="C467" s="231"/>
      <c r="D467" s="231"/>
      <c r="E467" s="231" cm="1">
        <f t="array" ref="E467">IF(H466&lt;&gt;"",E466,IF(E466="","",IFERROR(MATCH(TRUE(),INDEX(INDEX(K:K,E466+1):K203&lt;&gt;"",0),0)+E466,"")))</f>
        <v>559</v>
      </c>
      <c r="F467" s="232" cm="1">
        <f t="array" ref="F467">IF(E467="","",IF(H466&lt;&gt;"",H466,INDEX(D:D,E467)))</f>
        <v>0</v>
      </c>
      <c r="G467" s="232" t="str">
        <f t="shared" si="54"/>
        <v>0</v>
      </c>
      <c r="H467" s="233" t="str">
        <f t="shared" si="55"/>
        <v/>
      </c>
      <c r="I467" s="231" t="str">
        <f>IF(AND(F467&lt;&gt;"",N10&gt;0,M467&gt;N10),"Mot &gt; limite","")</f>
        <v/>
      </c>
      <c r="M467" s="126">
        <f>IF(OR(F467="",N10="",N10&lt;=0),"",IF(LEN(F467)&lt;=N10,LEN(F467),IFERROR(FIND("♦",SUBSTITUTE(LEFT(F467,N10)," ","♦",LEN(LEFT(F467,N10))-LEN(SUBSTITUTE(LEFT(F467,N10)," ","")))),FIND(" ",F467&amp;" ",N10+1)-1)))</f>
        <v>1</v>
      </c>
      <c r="N467" s="234">
        <f t="shared" si="56"/>
        <v>450</v>
      </c>
      <c r="O467" s="165" t="str">
        <f t="shared" si="57"/>
        <v>0</v>
      </c>
      <c r="P467" s="234">
        <f t="shared" si="58"/>
        <v>1</v>
      </c>
      <c r="Q467" s="234">
        <f t="shared" si="59"/>
        <v>1</v>
      </c>
      <c r="DE467" s="152"/>
      <c r="DF467" s="160" t="s">
        <v>1852</v>
      </c>
      <c r="DG467" s="160" t="s">
        <v>122</v>
      </c>
      <c r="DH467" s="160" t="s">
        <v>125</v>
      </c>
      <c r="DI467" s="160" t="s">
        <v>1853</v>
      </c>
      <c r="DJ467" s="160" t="s">
        <v>1853</v>
      </c>
      <c r="DK467" s="160" t="s">
        <v>1259</v>
      </c>
      <c r="DL467" s="160" t="s">
        <v>1260</v>
      </c>
      <c r="DM467" s="160" t="s">
        <v>1812</v>
      </c>
      <c r="DN467" s="161" t="s">
        <v>1813</v>
      </c>
      <c r="DP467" s="130">
        <v>1</v>
      </c>
    </row>
    <row r="468" spans="2:120" ht="15">
      <c r="B468" s="231"/>
      <c r="C468" s="231"/>
      <c r="D468" s="231"/>
      <c r="E468" s="231" cm="1">
        <f t="array" ref="E468">IF(H467&lt;&gt;"",E467,IF(E467="","",IFERROR(MATCH(TRUE(),INDEX(INDEX(K:K,E467+1):K203&lt;&gt;"",0),0)+E467,"")))</f>
        <v>560</v>
      </c>
      <c r="F468" s="232" cm="1">
        <f t="array" ref="F468">IF(E468="","",IF(H467&lt;&gt;"",H467,INDEX(D:D,E468)))</f>
        <v>0</v>
      </c>
      <c r="G468" s="232" t="str">
        <f t="shared" si="54"/>
        <v>0</v>
      </c>
      <c r="H468" s="233" t="str">
        <f t="shared" si="55"/>
        <v/>
      </c>
      <c r="I468" s="231" t="str">
        <f>IF(AND(F468&lt;&gt;"",N10&gt;0,M468&gt;N10),"Mot &gt; limite","")</f>
        <v/>
      </c>
      <c r="M468" s="126">
        <f>IF(OR(F468="",N10="",N10&lt;=0),"",IF(LEN(F468)&lt;=N10,LEN(F468),IFERROR(FIND("♦",SUBSTITUTE(LEFT(F468,N10)," ","♦",LEN(LEFT(F468,N10))-LEN(SUBSTITUTE(LEFT(F468,N10)," ","")))),FIND(" ",F468&amp;" ",N10+1)-1)))</f>
        <v>1</v>
      </c>
      <c r="N468" s="234">
        <f t="shared" si="56"/>
        <v>451</v>
      </c>
      <c r="O468" s="165" t="str">
        <f t="shared" si="57"/>
        <v>0</v>
      </c>
      <c r="P468" s="234">
        <f t="shared" si="58"/>
        <v>1</v>
      </c>
      <c r="Q468" s="234">
        <f t="shared" si="59"/>
        <v>1</v>
      </c>
      <c r="DE468" s="152"/>
      <c r="DF468" s="160" t="s">
        <v>1854</v>
      </c>
      <c r="DG468" s="160" t="s">
        <v>122</v>
      </c>
      <c r="DH468" s="160" t="s">
        <v>125</v>
      </c>
      <c r="DI468" s="160" t="s">
        <v>1855</v>
      </c>
      <c r="DJ468" s="160" t="s">
        <v>1855</v>
      </c>
      <c r="DK468" s="160" t="s">
        <v>1259</v>
      </c>
      <c r="DL468" s="160" t="s">
        <v>1260</v>
      </c>
      <c r="DM468" s="160" t="s">
        <v>1812</v>
      </c>
      <c r="DN468" s="161" t="s">
        <v>1813</v>
      </c>
      <c r="DP468" s="130">
        <v>1</v>
      </c>
    </row>
    <row r="469" spans="2:120" ht="15">
      <c r="B469" s="231"/>
      <c r="C469" s="231"/>
      <c r="D469" s="231"/>
      <c r="E469" s="231" cm="1">
        <f t="array" ref="E469">IF(H468&lt;&gt;"",E468,IF(E468="","",IFERROR(MATCH(TRUE(),INDEX(INDEX(K:K,E468+1):K203&lt;&gt;"",0),0)+E468,"")))</f>
        <v>561</v>
      </c>
      <c r="F469" s="232" cm="1">
        <f t="array" ref="F469">IF(E469="","",IF(H468&lt;&gt;"",H468,INDEX(D:D,E469)))</f>
        <v>0</v>
      </c>
      <c r="G469" s="232" t="str">
        <f t="shared" si="54"/>
        <v>0</v>
      </c>
      <c r="H469" s="233" t="str">
        <f t="shared" si="55"/>
        <v/>
      </c>
      <c r="I469" s="231" t="str">
        <f>IF(AND(F469&lt;&gt;"",N10&gt;0,M469&gt;N10),"Mot &gt; limite","")</f>
        <v/>
      </c>
      <c r="M469" s="126">
        <f>IF(OR(F469="",N10="",N10&lt;=0),"",IF(LEN(F469)&lt;=N10,LEN(F469),IFERROR(FIND("♦",SUBSTITUTE(LEFT(F469,N10)," ","♦",LEN(LEFT(F469,N10))-LEN(SUBSTITUTE(LEFT(F469,N10)," ","")))),FIND(" ",F469&amp;" ",N10+1)-1)))</f>
        <v>1</v>
      </c>
      <c r="N469" s="234">
        <f t="shared" si="56"/>
        <v>452</v>
      </c>
      <c r="O469" s="165" t="str">
        <f t="shared" si="57"/>
        <v>0</v>
      </c>
      <c r="P469" s="234">
        <f t="shared" si="58"/>
        <v>1</v>
      </c>
      <c r="Q469" s="234">
        <f t="shared" si="59"/>
        <v>1</v>
      </c>
      <c r="DE469" s="152"/>
      <c r="DF469" s="160" t="s">
        <v>1856</v>
      </c>
      <c r="DG469" s="160" t="s">
        <v>122</v>
      </c>
      <c r="DH469" s="160" t="s">
        <v>125</v>
      </c>
      <c r="DI469" s="160" t="s">
        <v>1857</v>
      </c>
      <c r="DJ469" s="160" t="s">
        <v>1857</v>
      </c>
      <c r="DK469" s="160" t="s">
        <v>1259</v>
      </c>
      <c r="DL469" s="160" t="s">
        <v>1260</v>
      </c>
      <c r="DM469" s="160" t="s">
        <v>1812</v>
      </c>
      <c r="DN469" s="161" t="s">
        <v>1813</v>
      </c>
      <c r="DP469" s="130">
        <v>1</v>
      </c>
    </row>
    <row r="470" spans="2:120" ht="15">
      <c r="B470" s="231"/>
      <c r="C470" s="231"/>
      <c r="D470" s="231"/>
      <c r="E470" s="231" cm="1">
        <f t="array" ref="E470">IF(H469&lt;&gt;"",E469,IF(E469="","",IFERROR(MATCH(TRUE(),INDEX(INDEX(K:K,E469+1):K203&lt;&gt;"",0),0)+E469,"")))</f>
        <v>562</v>
      </c>
      <c r="F470" s="232" cm="1">
        <f t="array" ref="F470">IF(E470="","",IF(H469&lt;&gt;"",H469,INDEX(D:D,E470)))</f>
        <v>0</v>
      </c>
      <c r="G470" s="232" t="str">
        <f t="shared" si="54"/>
        <v>0</v>
      </c>
      <c r="H470" s="233" t="str">
        <f t="shared" si="55"/>
        <v/>
      </c>
      <c r="I470" s="231" t="str">
        <f>IF(AND(F470&lt;&gt;"",N10&gt;0,M470&gt;N10),"Mot &gt; limite","")</f>
        <v/>
      </c>
      <c r="M470" s="126">
        <f>IF(OR(F470="",N10="",N10&lt;=0),"",IF(LEN(F470)&lt;=N10,LEN(F470),IFERROR(FIND("♦",SUBSTITUTE(LEFT(F470,N10)," ","♦",LEN(LEFT(F470,N10))-LEN(SUBSTITUTE(LEFT(F470,N10)," ","")))),FIND(" ",F470&amp;" ",N10+1)-1)))</f>
        <v>1</v>
      </c>
      <c r="N470" s="234">
        <f t="shared" si="56"/>
        <v>453</v>
      </c>
      <c r="O470" s="165" t="str">
        <f t="shared" si="57"/>
        <v>0</v>
      </c>
      <c r="P470" s="234">
        <f t="shared" si="58"/>
        <v>1</v>
      </c>
      <c r="Q470" s="234">
        <f t="shared" si="59"/>
        <v>1</v>
      </c>
      <c r="DE470" s="152"/>
      <c r="DF470" s="160" t="s">
        <v>1858</v>
      </c>
      <c r="DG470" s="160" t="s">
        <v>122</v>
      </c>
      <c r="DH470" s="160" t="s">
        <v>125</v>
      </c>
      <c r="DI470" s="160" t="s">
        <v>1859</v>
      </c>
      <c r="DJ470" s="160" t="s">
        <v>1859</v>
      </c>
      <c r="DK470" s="160" t="s">
        <v>1259</v>
      </c>
      <c r="DL470" s="160" t="s">
        <v>1260</v>
      </c>
      <c r="DM470" s="160" t="s">
        <v>1812</v>
      </c>
      <c r="DN470" s="161" t="s">
        <v>1813</v>
      </c>
      <c r="DP470" s="130">
        <v>1</v>
      </c>
    </row>
    <row r="471" spans="2:120" ht="15">
      <c r="B471" s="231"/>
      <c r="C471" s="231"/>
      <c r="D471" s="231"/>
      <c r="E471" s="231" cm="1">
        <f t="array" ref="E471">IF(H470&lt;&gt;"",E470,IF(E470="","",IFERROR(MATCH(TRUE(),INDEX(INDEX(K:K,E470+1):K203&lt;&gt;"",0),0)+E470,"")))</f>
        <v>563</v>
      </c>
      <c r="F471" s="232" cm="1">
        <f t="array" ref="F471">IF(E471="","",IF(H470&lt;&gt;"",H470,INDEX(D:D,E471)))</f>
        <v>0</v>
      </c>
      <c r="G471" s="232" t="str">
        <f t="shared" si="54"/>
        <v>0</v>
      </c>
      <c r="H471" s="233" t="str">
        <f t="shared" si="55"/>
        <v/>
      </c>
      <c r="I471" s="231" t="str">
        <f>IF(AND(F471&lt;&gt;"",N10&gt;0,M471&gt;N10),"Mot &gt; limite","")</f>
        <v/>
      </c>
      <c r="M471" s="126">
        <f>IF(OR(F471="",N10="",N10&lt;=0),"",IF(LEN(F471)&lt;=N10,LEN(F471),IFERROR(FIND("♦",SUBSTITUTE(LEFT(F471,N10)," ","♦",LEN(LEFT(F471,N10))-LEN(SUBSTITUTE(LEFT(F471,N10)," ","")))),FIND(" ",F471&amp;" ",N10+1)-1)))</f>
        <v>1</v>
      </c>
      <c r="N471" s="234">
        <f t="shared" si="56"/>
        <v>454</v>
      </c>
      <c r="O471" s="165" t="str">
        <f t="shared" si="57"/>
        <v>0</v>
      </c>
      <c r="P471" s="234">
        <f t="shared" si="58"/>
        <v>1</v>
      </c>
      <c r="Q471" s="234">
        <f t="shared" si="59"/>
        <v>1</v>
      </c>
      <c r="DE471" s="152"/>
      <c r="DF471" s="160" t="s">
        <v>1860</v>
      </c>
      <c r="DG471" s="160" t="s">
        <v>122</v>
      </c>
      <c r="DH471" s="160" t="s">
        <v>125</v>
      </c>
      <c r="DI471" s="160" t="s">
        <v>1861</v>
      </c>
      <c r="DJ471" s="160" t="s">
        <v>1861</v>
      </c>
      <c r="DK471" s="160" t="s">
        <v>1259</v>
      </c>
      <c r="DL471" s="160" t="s">
        <v>1260</v>
      </c>
      <c r="DM471" s="160" t="s">
        <v>1812</v>
      </c>
      <c r="DN471" s="161" t="s">
        <v>1813</v>
      </c>
      <c r="DP471" s="130">
        <v>1</v>
      </c>
    </row>
    <row r="472" spans="2:120" ht="15">
      <c r="B472" s="231"/>
      <c r="C472" s="231"/>
      <c r="D472" s="231"/>
      <c r="E472" s="231" cm="1">
        <f t="array" ref="E472">IF(H471&lt;&gt;"",E471,IF(E471="","",IFERROR(MATCH(TRUE(),INDEX(INDEX(K:K,E471+1):K203&lt;&gt;"",0),0)+E471,"")))</f>
        <v>564</v>
      </c>
      <c r="F472" s="232" cm="1">
        <f t="array" ref="F472">IF(E472="","",IF(H471&lt;&gt;"",H471,INDEX(D:D,E472)))</f>
        <v>0</v>
      </c>
      <c r="G472" s="232" t="str">
        <f t="shared" si="54"/>
        <v>0</v>
      </c>
      <c r="H472" s="233" t="str">
        <f t="shared" si="55"/>
        <v/>
      </c>
      <c r="I472" s="231" t="str">
        <f>IF(AND(F472&lt;&gt;"",N10&gt;0,M472&gt;N10),"Mot &gt; limite","")</f>
        <v/>
      </c>
      <c r="M472" s="126">
        <f>IF(OR(F472="",N10="",N10&lt;=0),"",IF(LEN(F472)&lt;=N10,LEN(F472),IFERROR(FIND("♦",SUBSTITUTE(LEFT(F472,N10)," ","♦",LEN(LEFT(F472,N10))-LEN(SUBSTITUTE(LEFT(F472,N10)," ","")))),FIND(" ",F472&amp;" ",N10+1)-1)))</f>
        <v>1</v>
      </c>
      <c r="N472" s="234">
        <f t="shared" si="56"/>
        <v>455</v>
      </c>
      <c r="O472" s="165" t="str">
        <f t="shared" si="57"/>
        <v>0</v>
      </c>
      <c r="P472" s="234">
        <f t="shared" si="58"/>
        <v>1</v>
      </c>
      <c r="Q472" s="234">
        <f t="shared" si="59"/>
        <v>1</v>
      </c>
      <c r="DE472" s="152"/>
      <c r="DF472" s="160" t="s">
        <v>1862</v>
      </c>
      <c r="DG472" s="160" t="s">
        <v>122</v>
      </c>
      <c r="DH472" s="160" t="s">
        <v>125</v>
      </c>
      <c r="DI472" s="160" t="s">
        <v>1863</v>
      </c>
      <c r="DJ472" s="160" t="s">
        <v>1863</v>
      </c>
      <c r="DK472" s="160" t="s">
        <v>1259</v>
      </c>
      <c r="DL472" s="160" t="s">
        <v>1260</v>
      </c>
      <c r="DM472" s="160" t="s">
        <v>1812</v>
      </c>
      <c r="DN472" s="161" t="s">
        <v>1813</v>
      </c>
      <c r="DP472" s="130">
        <v>1</v>
      </c>
    </row>
    <row r="473" spans="2:120" ht="15">
      <c r="B473" s="231"/>
      <c r="C473" s="231"/>
      <c r="D473" s="231"/>
      <c r="E473" s="231" cm="1">
        <f t="array" ref="E473">IF(H472&lt;&gt;"",E472,IF(E472="","",IFERROR(MATCH(TRUE(),INDEX(INDEX(K:K,E472+1):K203&lt;&gt;"",0),0)+E472,"")))</f>
        <v>565</v>
      </c>
      <c r="F473" s="232" cm="1">
        <f t="array" ref="F473">IF(E473="","",IF(H472&lt;&gt;"",H472,INDEX(D:D,E473)))</f>
        <v>0</v>
      </c>
      <c r="G473" s="232" t="str">
        <f t="shared" si="54"/>
        <v>0</v>
      </c>
      <c r="H473" s="233" t="str">
        <f t="shared" si="55"/>
        <v/>
      </c>
      <c r="I473" s="231" t="str">
        <f>IF(AND(F473&lt;&gt;"",N10&gt;0,M473&gt;N10),"Mot &gt; limite","")</f>
        <v/>
      </c>
      <c r="M473" s="126">
        <f>IF(OR(F473="",N10="",N10&lt;=0),"",IF(LEN(F473)&lt;=N10,LEN(F473),IFERROR(FIND("♦",SUBSTITUTE(LEFT(F473,N10)," ","♦",LEN(LEFT(F473,N10))-LEN(SUBSTITUTE(LEFT(F473,N10)," ","")))),FIND(" ",F473&amp;" ",N10+1)-1)))</f>
        <v>1</v>
      </c>
      <c r="N473" s="234">
        <f t="shared" si="56"/>
        <v>456</v>
      </c>
      <c r="O473" s="165" t="str">
        <f t="shared" si="57"/>
        <v>0</v>
      </c>
      <c r="P473" s="234">
        <f t="shared" si="58"/>
        <v>1</v>
      </c>
      <c r="Q473" s="234">
        <f t="shared" si="59"/>
        <v>1</v>
      </c>
      <c r="DE473" s="152"/>
      <c r="DF473" s="160" t="s">
        <v>1864</v>
      </c>
      <c r="DG473" s="160" t="s">
        <v>122</v>
      </c>
      <c r="DH473" s="160" t="s">
        <v>125</v>
      </c>
      <c r="DI473" s="160" t="s">
        <v>1865</v>
      </c>
      <c r="DJ473" s="160" t="s">
        <v>1865</v>
      </c>
      <c r="DK473" s="160" t="s">
        <v>1259</v>
      </c>
      <c r="DL473" s="160" t="s">
        <v>1260</v>
      </c>
      <c r="DM473" s="160" t="s">
        <v>1812</v>
      </c>
      <c r="DN473" s="161" t="s">
        <v>1813</v>
      </c>
      <c r="DP473" s="130">
        <v>1</v>
      </c>
    </row>
    <row r="474" spans="2:120" ht="15">
      <c r="B474" s="231"/>
      <c r="C474" s="231"/>
      <c r="D474" s="231"/>
      <c r="E474" s="231" cm="1">
        <f t="array" ref="E474">IF(H473&lt;&gt;"",E473,IF(E473="","",IFERROR(MATCH(TRUE(),INDEX(INDEX(K:K,E473+1):K203&lt;&gt;"",0),0)+E473,"")))</f>
        <v>566</v>
      </c>
      <c r="F474" s="232" cm="1">
        <f t="array" ref="F474">IF(E474="","",IF(H473&lt;&gt;"",H473,INDEX(D:D,E474)))</f>
        <v>0</v>
      </c>
      <c r="G474" s="232" t="str">
        <f t="shared" si="54"/>
        <v>0</v>
      </c>
      <c r="H474" s="233" t="str">
        <f t="shared" si="55"/>
        <v/>
      </c>
      <c r="I474" s="231" t="str">
        <f>IF(AND(F474&lt;&gt;"",N10&gt;0,M474&gt;N10),"Mot &gt; limite","")</f>
        <v/>
      </c>
      <c r="M474" s="126">
        <f>IF(OR(F474="",N10="",N10&lt;=0),"",IF(LEN(F474)&lt;=N10,LEN(F474),IFERROR(FIND("♦",SUBSTITUTE(LEFT(F474,N10)," ","♦",LEN(LEFT(F474,N10))-LEN(SUBSTITUTE(LEFT(F474,N10)," ","")))),FIND(" ",F474&amp;" ",N10+1)-1)))</f>
        <v>1</v>
      </c>
      <c r="N474" s="234">
        <f t="shared" si="56"/>
        <v>457</v>
      </c>
      <c r="O474" s="165" t="str">
        <f t="shared" si="57"/>
        <v>0</v>
      </c>
      <c r="P474" s="234">
        <f t="shared" si="58"/>
        <v>1</v>
      </c>
      <c r="Q474" s="234">
        <f t="shared" si="59"/>
        <v>1</v>
      </c>
      <c r="DE474" s="152"/>
      <c r="DF474" s="160" t="s">
        <v>1866</v>
      </c>
      <c r="DG474" s="160" t="s">
        <v>122</v>
      </c>
      <c r="DH474" s="160" t="s">
        <v>125</v>
      </c>
      <c r="DI474" s="160" t="s">
        <v>1867</v>
      </c>
      <c r="DJ474" s="160" t="s">
        <v>1867</v>
      </c>
      <c r="DK474" s="160" t="s">
        <v>1259</v>
      </c>
      <c r="DL474" s="160" t="s">
        <v>1260</v>
      </c>
      <c r="DM474" s="160" t="s">
        <v>1812</v>
      </c>
      <c r="DN474" s="161" t="s">
        <v>1813</v>
      </c>
      <c r="DP474" s="130">
        <v>1</v>
      </c>
    </row>
    <row r="475" spans="2:120" ht="15">
      <c r="B475" s="231"/>
      <c r="C475" s="231"/>
      <c r="D475" s="231"/>
      <c r="E475" s="231" cm="1">
        <f t="array" ref="E475">IF(H474&lt;&gt;"",E474,IF(E474="","",IFERROR(MATCH(TRUE(),INDEX(INDEX(K:K,E474+1):K203&lt;&gt;"",0),0)+E474,"")))</f>
        <v>567</v>
      </c>
      <c r="F475" s="232" cm="1">
        <f t="array" ref="F475">IF(E475="","",IF(H474&lt;&gt;"",H474,INDEX(D:D,E475)))</f>
        <v>0</v>
      </c>
      <c r="G475" s="232" t="str">
        <f t="shared" si="54"/>
        <v>0</v>
      </c>
      <c r="H475" s="233" t="str">
        <f t="shared" si="55"/>
        <v/>
      </c>
      <c r="I475" s="231" t="str">
        <f>IF(AND(F475&lt;&gt;"",N10&gt;0,M475&gt;N10),"Mot &gt; limite","")</f>
        <v/>
      </c>
      <c r="M475" s="126">
        <f>IF(OR(F475="",N10="",N10&lt;=0),"",IF(LEN(F475)&lt;=N10,LEN(F475),IFERROR(FIND("♦",SUBSTITUTE(LEFT(F475,N10)," ","♦",LEN(LEFT(F475,N10))-LEN(SUBSTITUTE(LEFT(F475,N10)," ","")))),FIND(" ",F475&amp;" ",N10+1)-1)))</f>
        <v>1</v>
      </c>
      <c r="N475" s="234">
        <f t="shared" si="56"/>
        <v>458</v>
      </c>
      <c r="O475" s="165" t="str">
        <f t="shared" si="57"/>
        <v>0</v>
      </c>
      <c r="P475" s="234">
        <f t="shared" si="58"/>
        <v>1</v>
      </c>
      <c r="Q475" s="234">
        <f t="shared" si="59"/>
        <v>1</v>
      </c>
      <c r="DE475" s="152"/>
      <c r="DF475" s="160" t="s">
        <v>1868</v>
      </c>
      <c r="DG475" s="160" t="s">
        <v>122</v>
      </c>
      <c r="DH475" s="160" t="s">
        <v>125</v>
      </c>
      <c r="DI475" s="160" t="s">
        <v>1869</v>
      </c>
      <c r="DJ475" s="160" t="s">
        <v>1869</v>
      </c>
      <c r="DK475" s="160" t="s">
        <v>1259</v>
      </c>
      <c r="DL475" s="160" t="s">
        <v>1260</v>
      </c>
      <c r="DM475" s="160" t="s">
        <v>1812</v>
      </c>
      <c r="DN475" s="161" t="s">
        <v>1813</v>
      </c>
      <c r="DP475" s="130">
        <v>1</v>
      </c>
    </row>
    <row r="476" spans="2:120" ht="15">
      <c r="B476" s="231"/>
      <c r="C476" s="231"/>
      <c r="D476" s="231"/>
      <c r="E476" s="231" cm="1">
        <f t="array" ref="E476">IF(H475&lt;&gt;"",E475,IF(E475="","",IFERROR(MATCH(TRUE(),INDEX(INDEX(K:K,E475+1):K203&lt;&gt;"",0),0)+E475,"")))</f>
        <v>568</v>
      </c>
      <c r="F476" s="232" cm="1">
        <f t="array" ref="F476">IF(E476="","",IF(H475&lt;&gt;"",H475,INDEX(D:D,E476)))</f>
        <v>0</v>
      </c>
      <c r="G476" s="232" t="str">
        <f t="shared" si="54"/>
        <v>0</v>
      </c>
      <c r="H476" s="233" t="str">
        <f t="shared" si="55"/>
        <v/>
      </c>
      <c r="I476" s="231" t="str">
        <f>IF(AND(F476&lt;&gt;"",N10&gt;0,M476&gt;N10),"Mot &gt; limite","")</f>
        <v/>
      </c>
      <c r="M476" s="126">
        <f>IF(OR(F476="",N10="",N10&lt;=0),"",IF(LEN(F476)&lt;=N10,LEN(F476),IFERROR(FIND("♦",SUBSTITUTE(LEFT(F476,N10)," ","♦",LEN(LEFT(F476,N10))-LEN(SUBSTITUTE(LEFT(F476,N10)," ","")))),FIND(" ",F476&amp;" ",N10+1)-1)))</f>
        <v>1</v>
      </c>
      <c r="N476" s="234">
        <f t="shared" si="56"/>
        <v>459</v>
      </c>
      <c r="O476" s="165" t="str">
        <f t="shared" si="57"/>
        <v>0</v>
      </c>
      <c r="P476" s="234">
        <f t="shared" si="58"/>
        <v>1</v>
      </c>
      <c r="Q476" s="234">
        <f t="shared" si="59"/>
        <v>1</v>
      </c>
      <c r="DE476" s="152"/>
      <c r="DF476" s="160" t="s">
        <v>1870</v>
      </c>
      <c r="DG476" s="160" t="s">
        <v>122</v>
      </c>
      <c r="DH476" s="160" t="s">
        <v>125</v>
      </c>
      <c r="DI476" s="160" t="s">
        <v>1871</v>
      </c>
      <c r="DJ476" s="160" t="s">
        <v>1871</v>
      </c>
      <c r="DK476" s="160" t="s">
        <v>1259</v>
      </c>
      <c r="DL476" s="160" t="s">
        <v>1260</v>
      </c>
      <c r="DM476" s="160" t="s">
        <v>1812</v>
      </c>
      <c r="DN476" s="161" t="s">
        <v>1813</v>
      </c>
      <c r="DP476" s="130">
        <v>1</v>
      </c>
    </row>
    <row r="477" spans="2:120" ht="15">
      <c r="B477" s="231"/>
      <c r="C477" s="231"/>
      <c r="D477" s="231"/>
      <c r="E477" s="231" cm="1">
        <f t="array" ref="E477">IF(H476&lt;&gt;"",E476,IF(E476="","",IFERROR(MATCH(TRUE(),INDEX(INDEX(K:K,E476+1):K203&lt;&gt;"",0),0)+E476,"")))</f>
        <v>569</v>
      </c>
      <c r="F477" s="232" cm="1">
        <f t="array" ref="F477">IF(E477="","",IF(H476&lt;&gt;"",H476,INDEX(D:D,E477)))</f>
        <v>0</v>
      </c>
      <c r="G477" s="232" t="str">
        <f t="shared" si="54"/>
        <v>0</v>
      </c>
      <c r="H477" s="233" t="str">
        <f t="shared" si="55"/>
        <v/>
      </c>
      <c r="I477" s="231" t="str">
        <f>IF(AND(F477&lt;&gt;"",N10&gt;0,M477&gt;N10),"Mot &gt; limite","")</f>
        <v/>
      </c>
      <c r="M477" s="126">
        <f>IF(OR(F477="",N10="",N10&lt;=0),"",IF(LEN(F477)&lt;=N10,LEN(F477),IFERROR(FIND("♦",SUBSTITUTE(LEFT(F477,N10)," ","♦",LEN(LEFT(F477,N10))-LEN(SUBSTITUTE(LEFT(F477,N10)," ","")))),FIND(" ",F477&amp;" ",N10+1)-1)))</f>
        <v>1</v>
      </c>
      <c r="N477" s="234">
        <f t="shared" si="56"/>
        <v>460</v>
      </c>
      <c r="O477" s="165" t="str">
        <f t="shared" si="57"/>
        <v>0</v>
      </c>
      <c r="P477" s="234">
        <f t="shared" si="58"/>
        <v>1</v>
      </c>
      <c r="Q477" s="234">
        <f t="shared" si="59"/>
        <v>1</v>
      </c>
      <c r="DE477" s="152"/>
      <c r="DF477" s="160" t="s">
        <v>1872</v>
      </c>
      <c r="DG477" s="160" t="s">
        <v>122</v>
      </c>
      <c r="DH477" s="160" t="s">
        <v>125</v>
      </c>
      <c r="DI477" s="160" t="s">
        <v>1873</v>
      </c>
      <c r="DJ477" s="160" t="s">
        <v>1873</v>
      </c>
      <c r="DK477" s="160" t="s">
        <v>1259</v>
      </c>
      <c r="DL477" s="160" t="s">
        <v>1260</v>
      </c>
      <c r="DM477" s="160" t="s">
        <v>1812</v>
      </c>
      <c r="DN477" s="161" t="s">
        <v>1813</v>
      </c>
      <c r="DP477" s="130">
        <v>1</v>
      </c>
    </row>
    <row r="478" spans="2:120" ht="15">
      <c r="B478" s="231"/>
      <c r="C478" s="231"/>
      <c r="D478" s="231"/>
      <c r="E478" s="231" cm="1">
        <f t="array" ref="E478">IF(H477&lt;&gt;"",E477,IF(E477="","",IFERROR(MATCH(TRUE(),INDEX(INDEX(K:K,E477+1):K203&lt;&gt;"",0),0)+E477,"")))</f>
        <v>570</v>
      </c>
      <c r="F478" s="232" cm="1">
        <f t="array" ref="F478">IF(E478="","",IF(H477&lt;&gt;"",H477,INDEX(D:D,E478)))</f>
        <v>0</v>
      </c>
      <c r="G478" s="232" t="str">
        <f t="shared" si="54"/>
        <v>0</v>
      </c>
      <c r="H478" s="233" t="str">
        <f t="shared" si="55"/>
        <v/>
      </c>
      <c r="I478" s="231" t="str">
        <f>IF(AND(F478&lt;&gt;"",N10&gt;0,M478&gt;N10),"Mot &gt; limite","")</f>
        <v/>
      </c>
      <c r="M478" s="126">
        <f>IF(OR(F478="",N10="",N10&lt;=0),"",IF(LEN(F478)&lt;=N10,LEN(F478),IFERROR(FIND("♦",SUBSTITUTE(LEFT(F478,N10)," ","♦",LEN(LEFT(F478,N10))-LEN(SUBSTITUTE(LEFT(F478,N10)," ","")))),FIND(" ",F478&amp;" ",N10+1)-1)))</f>
        <v>1</v>
      </c>
      <c r="N478" s="234">
        <f t="shared" si="56"/>
        <v>461</v>
      </c>
      <c r="O478" s="165" t="str">
        <f t="shared" si="57"/>
        <v>0</v>
      </c>
      <c r="P478" s="234">
        <f t="shared" si="58"/>
        <v>1</v>
      </c>
      <c r="Q478" s="234">
        <f t="shared" si="59"/>
        <v>1</v>
      </c>
      <c r="DE478" s="152"/>
      <c r="DF478" s="160" t="s">
        <v>1874</v>
      </c>
      <c r="DG478" s="160" t="s">
        <v>122</v>
      </c>
      <c r="DH478" s="160" t="s">
        <v>125</v>
      </c>
      <c r="DI478" s="160" t="s">
        <v>1875</v>
      </c>
      <c r="DJ478" s="160" t="s">
        <v>1875</v>
      </c>
      <c r="DK478" s="160" t="s">
        <v>1259</v>
      </c>
      <c r="DL478" s="160" t="s">
        <v>1260</v>
      </c>
      <c r="DM478" s="160" t="s">
        <v>1812</v>
      </c>
      <c r="DN478" s="161" t="s">
        <v>1813</v>
      </c>
      <c r="DP478" s="130">
        <v>1</v>
      </c>
    </row>
    <row r="479" spans="2:120" ht="15">
      <c r="B479" s="231"/>
      <c r="C479" s="231"/>
      <c r="D479" s="231"/>
      <c r="E479" s="231" cm="1">
        <f t="array" ref="E479">IF(H478&lt;&gt;"",E478,IF(E478="","",IFERROR(MATCH(TRUE(),INDEX(INDEX(K:K,E478+1):K203&lt;&gt;"",0),0)+E478,"")))</f>
        <v>571</v>
      </c>
      <c r="F479" s="232" cm="1">
        <f t="array" ref="F479">IF(E479="","",IF(H478&lt;&gt;"",H478,INDEX(D:D,E479)))</f>
        <v>0</v>
      </c>
      <c r="G479" s="232" t="str">
        <f t="shared" si="54"/>
        <v>0</v>
      </c>
      <c r="H479" s="233" t="str">
        <f t="shared" si="55"/>
        <v/>
      </c>
      <c r="I479" s="231" t="str">
        <f>IF(AND(F479&lt;&gt;"",N10&gt;0,M479&gt;N10),"Mot &gt; limite","")</f>
        <v/>
      </c>
      <c r="M479" s="126">
        <f>IF(OR(F479="",N10="",N10&lt;=0),"",IF(LEN(F479)&lt;=N10,LEN(F479),IFERROR(FIND("♦",SUBSTITUTE(LEFT(F479,N10)," ","♦",LEN(LEFT(F479,N10))-LEN(SUBSTITUTE(LEFT(F479,N10)," ","")))),FIND(" ",F479&amp;" ",N10+1)-1)))</f>
        <v>1</v>
      </c>
      <c r="N479" s="234">
        <f t="shared" si="56"/>
        <v>462</v>
      </c>
      <c r="O479" s="165" t="str">
        <f t="shared" si="57"/>
        <v>0</v>
      </c>
      <c r="P479" s="234">
        <f t="shared" si="58"/>
        <v>1</v>
      </c>
      <c r="Q479" s="234">
        <f t="shared" si="59"/>
        <v>1</v>
      </c>
      <c r="DE479" s="152"/>
      <c r="DF479" s="160" t="s">
        <v>1876</v>
      </c>
      <c r="DG479" s="160" t="s">
        <v>122</v>
      </c>
      <c r="DH479" s="160" t="s">
        <v>125</v>
      </c>
      <c r="DI479" s="160" t="s">
        <v>1877</v>
      </c>
      <c r="DJ479" s="160" t="s">
        <v>1877</v>
      </c>
      <c r="DK479" s="160" t="s">
        <v>1259</v>
      </c>
      <c r="DL479" s="160" t="s">
        <v>1260</v>
      </c>
      <c r="DM479" s="160" t="s">
        <v>1812</v>
      </c>
      <c r="DN479" s="161" t="s">
        <v>1813</v>
      </c>
      <c r="DP479" s="130">
        <v>1</v>
      </c>
    </row>
    <row r="480" spans="2:120" ht="15">
      <c r="B480" s="231"/>
      <c r="C480" s="231"/>
      <c r="D480" s="231"/>
      <c r="E480" s="231" cm="1">
        <f t="array" ref="E480">IF(H479&lt;&gt;"",E479,IF(E479="","",IFERROR(MATCH(TRUE(),INDEX(INDEX(K:K,E479+1):K203&lt;&gt;"",0),0)+E479,"")))</f>
        <v>572</v>
      </c>
      <c r="F480" s="232" cm="1">
        <f t="array" ref="F480">IF(E480="","",IF(H479&lt;&gt;"",H479,INDEX(D:D,E480)))</f>
        <v>0</v>
      </c>
      <c r="G480" s="232" t="str">
        <f t="shared" si="54"/>
        <v>0</v>
      </c>
      <c r="H480" s="233" t="str">
        <f t="shared" si="55"/>
        <v/>
      </c>
      <c r="I480" s="231" t="str">
        <f>IF(AND(F480&lt;&gt;"",N10&gt;0,M480&gt;N10),"Mot &gt; limite","")</f>
        <v/>
      </c>
      <c r="M480" s="126">
        <f>IF(OR(F480="",N10="",N10&lt;=0),"",IF(LEN(F480)&lt;=N10,LEN(F480),IFERROR(FIND("♦",SUBSTITUTE(LEFT(F480,N10)," ","♦",LEN(LEFT(F480,N10))-LEN(SUBSTITUTE(LEFT(F480,N10)," ","")))),FIND(" ",F480&amp;" ",N10+1)-1)))</f>
        <v>1</v>
      </c>
      <c r="N480" s="234">
        <f t="shared" si="56"/>
        <v>463</v>
      </c>
      <c r="O480" s="165" t="str">
        <f t="shared" si="57"/>
        <v>0</v>
      </c>
      <c r="P480" s="234">
        <f t="shared" si="58"/>
        <v>1</v>
      </c>
      <c r="Q480" s="234">
        <f t="shared" si="59"/>
        <v>1</v>
      </c>
      <c r="DE480" s="152"/>
      <c r="DF480" s="160" t="s">
        <v>1878</v>
      </c>
      <c r="DG480" s="160" t="s">
        <v>122</v>
      </c>
      <c r="DH480" s="160" t="s">
        <v>125</v>
      </c>
      <c r="DI480" s="160" t="s">
        <v>1879</v>
      </c>
      <c r="DJ480" s="160" t="s">
        <v>1879</v>
      </c>
      <c r="DK480" s="160" t="s">
        <v>1259</v>
      </c>
      <c r="DL480" s="160" t="s">
        <v>1260</v>
      </c>
      <c r="DM480" s="160" t="s">
        <v>1812</v>
      </c>
      <c r="DN480" s="161" t="s">
        <v>1813</v>
      </c>
      <c r="DP480" s="130">
        <v>1</v>
      </c>
    </row>
    <row r="481" spans="2:120" ht="15">
      <c r="B481" s="231"/>
      <c r="C481" s="231"/>
      <c r="D481" s="231"/>
      <c r="E481" s="231" cm="1">
        <f t="array" ref="E481">IF(H480&lt;&gt;"",E480,IF(E480="","",IFERROR(MATCH(TRUE(),INDEX(INDEX(K:K,E480+1):K203&lt;&gt;"",0),0)+E480,"")))</f>
        <v>573</v>
      </c>
      <c r="F481" s="232" cm="1">
        <f t="array" ref="F481">IF(E481="","",IF(H480&lt;&gt;"",H480,INDEX(D:D,E481)))</f>
        <v>0</v>
      </c>
      <c r="G481" s="232" t="str">
        <f t="shared" si="54"/>
        <v>0</v>
      </c>
      <c r="H481" s="233" t="str">
        <f t="shared" si="55"/>
        <v/>
      </c>
      <c r="I481" s="231" t="str">
        <f>IF(AND(F481&lt;&gt;"",N10&gt;0,M481&gt;N10),"Mot &gt; limite","")</f>
        <v/>
      </c>
      <c r="M481" s="126">
        <f>IF(OR(F481="",N10="",N10&lt;=0),"",IF(LEN(F481)&lt;=N10,LEN(F481),IFERROR(FIND("♦",SUBSTITUTE(LEFT(F481,N10)," ","♦",LEN(LEFT(F481,N10))-LEN(SUBSTITUTE(LEFT(F481,N10)," ","")))),FIND(" ",F481&amp;" ",N10+1)-1)))</f>
        <v>1</v>
      </c>
      <c r="N481" s="234">
        <f t="shared" si="56"/>
        <v>464</v>
      </c>
      <c r="O481" s="165" t="str">
        <f t="shared" si="57"/>
        <v>0</v>
      </c>
      <c r="P481" s="234">
        <f t="shared" si="58"/>
        <v>1</v>
      </c>
      <c r="Q481" s="234">
        <f t="shared" si="59"/>
        <v>1</v>
      </c>
      <c r="DE481" s="152"/>
      <c r="DF481" s="160" t="s">
        <v>1880</v>
      </c>
      <c r="DG481" s="160" t="s">
        <v>122</v>
      </c>
      <c r="DH481" s="160" t="s">
        <v>125</v>
      </c>
      <c r="DI481" s="160" t="s">
        <v>1881</v>
      </c>
      <c r="DJ481" s="160" t="s">
        <v>1881</v>
      </c>
      <c r="DK481" s="160" t="s">
        <v>1259</v>
      </c>
      <c r="DL481" s="160" t="s">
        <v>1260</v>
      </c>
      <c r="DM481" s="160" t="s">
        <v>1812</v>
      </c>
      <c r="DN481" s="161" t="s">
        <v>1813</v>
      </c>
      <c r="DP481" s="130">
        <v>1</v>
      </c>
    </row>
    <row r="482" spans="2:120" ht="15">
      <c r="B482" s="231"/>
      <c r="C482" s="231"/>
      <c r="D482" s="231"/>
      <c r="E482" s="231" cm="1">
        <f t="array" ref="E482">IF(H481&lt;&gt;"",E481,IF(E481="","",IFERROR(MATCH(TRUE(),INDEX(INDEX(K:K,E481+1):K203&lt;&gt;"",0),0)+E481,"")))</f>
        <v>574</v>
      </c>
      <c r="F482" s="232" cm="1">
        <f t="array" ref="F482">IF(E482="","",IF(H481&lt;&gt;"",H481,INDEX(D:D,E482)))</f>
        <v>0</v>
      </c>
      <c r="G482" s="232" t="str">
        <f t="shared" si="54"/>
        <v>0</v>
      </c>
      <c r="H482" s="233" t="str">
        <f t="shared" si="55"/>
        <v/>
      </c>
      <c r="I482" s="231" t="str">
        <f>IF(AND(F482&lt;&gt;"",N10&gt;0,M482&gt;N10),"Mot &gt; limite","")</f>
        <v/>
      </c>
      <c r="M482" s="126">
        <f>IF(OR(F482="",N10="",N10&lt;=0),"",IF(LEN(F482)&lt;=N10,LEN(F482),IFERROR(FIND("♦",SUBSTITUTE(LEFT(F482,N10)," ","♦",LEN(LEFT(F482,N10))-LEN(SUBSTITUTE(LEFT(F482,N10)," ","")))),FIND(" ",F482&amp;" ",N10+1)-1)))</f>
        <v>1</v>
      </c>
      <c r="N482" s="234">
        <f t="shared" si="56"/>
        <v>465</v>
      </c>
      <c r="O482" s="165" t="str">
        <f t="shared" si="57"/>
        <v>0</v>
      </c>
      <c r="P482" s="234">
        <f t="shared" si="58"/>
        <v>1</v>
      </c>
      <c r="Q482" s="234">
        <f t="shared" si="59"/>
        <v>1</v>
      </c>
      <c r="DE482" s="152"/>
      <c r="DF482" s="160" t="s">
        <v>1882</v>
      </c>
      <c r="DG482" s="160" t="s">
        <v>122</v>
      </c>
      <c r="DH482" s="160" t="s">
        <v>125</v>
      </c>
      <c r="DI482" s="160" t="s">
        <v>1883</v>
      </c>
      <c r="DJ482" s="160" t="s">
        <v>1883</v>
      </c>
      <c r="DK482" s="160" t="s">
        <v>1259</v>
      </c>
      <c r="DL482" s="160" t="s">
        <v>1260</v>
      </c>
      <c r="DM482" s="160" t="s">
        <v>1812</v>
      </c>
      <c r="DN482" s="161" t="s">
        <v>1813</v>
      </c>
      <c r="DP482" s="130">
        <v>1</v>
      </c>
    </row>
    <row r="483" spans="2:120" ht="15">
      <c r="B483" s="231"/>
      <c r="C483" s="231"/>
      <c r="D483" s="231"/>
      <c r="E483" s="231" cm="1">
        <f t="array" ref="E483">IF(H482&lt;&gt;"",E482,IF(E482="","",IFERROR(MATCH(TRUE(),INDEX(INDEX(K:K,E482+1):K203&lt;&gt;"",0),0)+E482,"")))</f>
        <v>575</v>
      </c>
      <c r="F483" s="232" cm="1">
        <f t="array" ref="F483">IF(E483="","",IF(H482&lt;&gt;"",H482,INDEX(D:D,E483)))</f>
        <v>0</v>
      </c>
      <c r="G483" s="232" t="str">
        <f t="shared" si="54"/>
        <v>0</v>
      </c>
      <c r="H483" s="233" t="str">
        <f t="shared" si="55"/>
        <v/>
      </c>
      <c r="I483" s="231" t="str">
        <f>IF(AND(F483&lt;&gt;"",N10&gt;0,M483&gt;N10),"Mot &gt; limite","")</f>
        <v/>
      </c>
      <c r="M483" s="126">
        <f>IF(OR(F483="",N10="",N10&lt;=0),"",IF(LEN(F483)&lt;=N10,LEN(F483),IFERROR(FIND("♦",SUBSTITUTE(LEFT(F483,N10)," ","♦",LEN(LEFT(F483,N10))-LEN(SUBSTITUTE(LEFT(F483,N10)," ","")))),FIND(" ",F483&amp;" ",N10+1)-1)))</f>
        <v>1</v>
      </c>
      <c r="N483" s="234">
        <f t="shared" si="56"/>
        <v>466</v>
      </c>
      <c r="O483" s="165" t="str">
        <f t="shared" si="57"/>
        <v>0</v>
      </c>
      <c r="P483" s="234">
        <f t="shared" si="58"/>
        <v>1</v>
      </c>
      <c r="Q483" s="234">
        <f t="shared" si="59"/>
        <v>1</v>
      </c>
      <c r="DE483" s="152"/>
      <c r="DF483" s="160" t="s">
        <v>1884</v>
      </c>
      <c r="DG483" s="160" t="s">
        <v>122</v>
      </c>
      <c r="DH483" s="160" t="s">
        <v>125</v>
      </c>
      <c r="DI483" s="160" t="s">
        <v>1885</v>
      </c>
      <c r="DJ483" s="160" t="s">
        <v>1885</v>
      </c>
      <c r="DK483" s="160" t="s">
        <v>1259</v>
      </c>
      <c r="DL483" s="160" t="s">
        <v>1260</v>
      </c>
      <c r="DM483" s="160" t="s">
        <v>1812</v>
      </c>
      <c r="DN483" s="161" t="s">
        <v>1813</v>
      </c>
      <c r="DP483" s="130">
        <v>1</v>
      </c>
    </row>
    <row r="484" spans="2:120" ht="15">
      <c r="B484" s="231"/>
      <c r="C484" s="231"/>
      <c r="D484" s="231"/>
      <c r="E484" s="231" cm="1">
        <f t="array" ref="E484">IF(H483&lt;&gt;"",E483,IF(E483="","",IFERROR(MATCH(TRUE(),INDEX(INDEX(K:K,E483+1):K203&lt;&gt;"",0),0)+E483,"")))</f>
        <v>576</v>
      </c>
      <c r="F484" s="232" cm="1">
        <f t="array" ref="F484">IF(E484="","",IF(H483&lt;&gt;"",H483,INDEX(D:D,E484)))</f>
        <v>0</v>
      </c>
      <c r="G484" s="232" t="str">
        <f t="shared" si="54"/>
        <v>0</v>
      </c>
      <c r="H484" s="233" t="str">
        <f t="shared" si="55"/>
        <v/>
      </c>
      <c r="I484" s="231" t="str">
        <f>IF(AND(F484&lt;&gt;"",N10&gt;0,M484&gt;N10),"Mot &gt; limite","")</f>
        <v/>
      </c>
      <c r="M484" s="126">
        <f>IF(OR(F484="",N10="",N10&lt;=0),"",IF(LEN(F484)&lt;=N10,LEN(F484),IFERROR(FIND("♦",SUBSTITUTE(LEFT(F484,N10)," ","♦",LEN(LEFT(F484,N10))-LEN(SUBSTITUTE(LEFT(F484,N10)," ","")))),FIND(" ",F484&amp;" ",N10+1)-1)))</f>
        <v>1</v>
      </c>
      <c r="N484" s="234">
        <f t="shared" si="56"/>
        <v>467</v>
      </c>
      <c r="O484" s="165" t="str">
        <f t="shared" si="57"/>
        <v>0</v>
      </c>
      <c r="P484" s="234">
        <f t="shared" si="58"/>
        <v>1</v>
      </c>
      <c r="Q484" s="234">
        <f t="shared" si="59"/>
        <v>1</v>
      </c>
      <c r="DE484" s="152"/>
      <c r="DF484" s="160" t="s">
        <v>1886</v>
      </c>
      <c r="DG484" s="160" t="s">
        <v>122</v>
      </c>
      <c r="DH484" s="160" t="s">
        <v>125</v>
      </c>
      <c r="DI484" s="160" t="s">
        <v>1887</v>
      </c>
      <c r="DJ484" s="160" t="s">
        <v>1887</v>
      </c>
      <c r="DK484" s="160" t="s">
        <v>1259</v>
      </c>
      <c r="DL484" s="160" t="s">
        <v>1260</v>
      </c>
      <c r="DM484" s="160" t="s">
        <v>1812</v>
      </c>
      <c r="DN484" s="161" t="s">
        <v>1813</v>
      </c>
      <c r="DP484" s="130">
        <v>1</v>
      </c>
    </row>
    <row r="485" spans="2:120" ht="15">
      <c r="B485" s="231"/>
      <c r="C485" s="231"/>
      <c r="D485" s="231"/>
      <c r="E485" s="231" cm="1">
        <f t="array" ref="E485">IF(H484&lt;&gt;"",E484,IF(E484="","",IFERROR(MATCH(TRUE(),INDEX(INDEX(K:K,E484+1):K203&lt;&gt;"",0),0)+E484,"")))</f>
        <v>577</v>
      </c>
      <c r="F485" s="232" cm="1">
        <f t="array" ref="F485">IF(E485="","",IF(H484&lt;&gt;"",H484,INDEX(D:D,E485)))</f>
        <v>0</v>
      </c>
      <c r="G485" s="232" t="str">
        <f t="shared" si="54"/>
        <v>0</v>
      </c>
      <c r="H485" s="233" t="str">
        <f t="shared" si="55"/>
        <v/>
      </c>
      <c r="I485" s="231" t="str">
        <f>IF(AND(F485&lt;&gt;"",N10&gt;0,M485&gt;N10),"Mot &gt; limite","")</f>
        <v/>
      </c>
      <c r="M485" s="126">
        <f>IF(OR(F485="",N10="",N10&lt;=0),"",IF(LEN(F485)&lt;=N10,LEN(F485),IFERROR(FIND("♦",SUBSTITUTE(LEFT(F485,N10)," ","♦",LEN(LEFT(F485,N10))-LEN(SUBSTITUTE(LEFT(F485,N10)," ","")))),FIND(" ",F485&amp;" ",N10+1)-1)))</f>
        <v>1</v>
      </c>
      <c r="N485" s="234">
        <f t="shared" si="56"/>
        <v>468</v>
      </c>
      <c r="O485" s="165" t="str">
        <f t="shared" si="57"/>
        <v>0</v>
      </c>
      <c r="P485" s="234">
        <f t="shared" si="58"/>
        <v>1</v>
      </c>
      <c r="Q485" s="234">
        <f t="shared" si="59"/>
        <v>1</v>
      </c>
      <c r="DE485" s="152"/>
      <c r="DF485" s="160" t="s">
        <v>1888</v>
      </c>
      <c r="DG485" s="160" t="s">
        <v>122</v>
      </c>
      <c r="DH485" s="160" t="s">
        <v>125</v>
      </c>
      <c r="DI485" s="160" t="s">
        <v>1889</v>
      </c>
      <c r="DJ485" s="160" t="s">
        <v>1889</v>
      </c>
      <c r="DK485" s="160" t="s">
        <v>1259</v>
      </c>
      <c r="DL485" s="160" t="s">
        <v>1260</v>
      </c>
      <c r="DM485" s="160" t="s">
        <v>1812</v>
      </c>
      <c r="DN485" s="161" t="s">
        <v>1813</v>
      </c>
      <c r="DP485" s="130">
        <v>1</v>
      </c>
    </row>
    <row r="486" spans="2:120" ht="15">
      <c r="B486" s="231"/>
      <c r="C486" s="231"/>
      <c r="D486" s="231"/>
      <c r="E486" s="231" cm="1">
        <f t="array" ref="E486">IF(H485&lt;&gt;"",E485,IF(E485="","",IFERROR(MATCH(TRUE(),INDEX(INDEX(K:K,E485+1):K203&lt;&gt;"",0),0)+E485,"")))</f>
        <v>578</v>
      </c>
      <c r="F486" s="232" cm="1">
        <f t="array" ref="F486">IF(E486="","",IF(H485&lt;&gt;"",H485,INDEX(D:D,E486)))</f>
        <v>0</v>
      </c>
      <c r="G486" s="232" t="str">
        <f t="shared" si="54"/>
        <v>0</v>
      </c>
      <c r="H486" s="233" t="str">
        <f t="shared" si="55"/>
        <v/>
      </c>
      <c r="I486" s="231" t="str">
        <f>IF(AND(F486&lt;&gt;"",N10&gt;0,M486&gt;N10),"Mot &gt; limite","")</f>
        <v/>
      </c>
      <c r="M486" s="126">
        <f>IF(OR(F486="",N10="",N10&lt;=0),"",IF(LEN(F486)&lt;=N10,LEN(F486),IFERROR(FIND("♦",SUBSTITUTE(LEFT(F486,N10)," ","♦",LEN(LEFT(F486,N10))-LEN(SUBSTITUTE(LEFT(F486,N10)," ","")))),FIND(" ",F486&amp;" ",N10+1)-1)))</f>
        <v>1</v>
      </c>
      <c r="N486" s="234">
        <f t="shared" si="56"/>
        <v>469</v>
      </c>
      <c r="O486" s="165" t="str">
        <f t="shared" si="57"/>
        <v>0</v>
      </c>
      <c r="P486" s="234">
        <f t="shared" si="58"/>
        <v>1</v>
      </c>
      <c r="Q486" s="234">
        <f t="shared" si="59"/>
        <v>1</v>
      </c>
      <c r="DE486" s="152"/>
      <c r="DF486" s="160" t="s">
        <v>1890</v>
      </c>
      <c r="DG486" s="160" t="s">
        <v>122</v>
      </c>
      <c r="DH486" s="160" t="s">
        <v>125</v>
      </c>
      <c r="DI486" s="160" t="s">
        <v>1891</v>
      </c>
      <c r="DJ486" s="160" t="s">
        <v>1891</v>
      </c>
      <c r="DK486" s="160" t="s">
        <v>1259</v>
      </c>
      <c r="DL486" s="160" t="s">
        <v>1260</v>
      </c>
      <c r="DM486" s="160" t="s">
        <v>1812</v>
      </c>
      <c r="DN486" s="161" t="s">
        <v>1813</v>
      </c>
      <c r="DP486" s="130">
        <v>1</v>
      </c>
    </row>
    <row r="487" spans="2:120" ht="15">
      <c r="B487" s="231"/>
      <c r="C487" s="231"/>
      <c r="D487" s="231"/>
      <c r="E487" s="231" cm="1">
        <f t="array" ref="E487">IF(H486&lt;&gt;"",E486,IF(E486="","",IFERROR(MATCH(TRUE(),INDEX(INDEX(K:K,E486+1):K203&lt;&gt;"",0),0)+E486,"")))</f>
        <v>579</v>
      </c>
      <c r="F487" s="232" cm="1">
        <f t="array" ref="F487">IF(E487="","",IF(H486&lt;&gt;"",H486,INDEX(D:D,E487)))</f>
        <v>0</v>
      </c>
      <c r="G487" s="232" t="str">
        <f t="shared" si="54"/>
        <v>0</v>
      </c>
      <c r="H487" s="233" t="str">
        <f t="shared" si="55"/>
        <v/>
      </c>
      <c r="I487" s="231" t="str">
        <f>IF(AND(F487&lt;&gt;"",N10&gt;0,M487&gt;N10),"Mot &gt; limite","")</f>
        <v/>
      </c>
      <c r="M487" s="126">
        <f>IF(OR(F487="",N10="",N10&lt;=0),"",IF(LEN(F487)&lt;=N10,LEN(F487),IFERROR(FIND("♦",SUBSTITUTE(LEFT(F487,N10)," ","♦",LEN(LEFT(F487,N10))-LEN(SUBSTITUTE(LEFT(F487,N10)," ","")))),FIND(" ",F487&amp;" ",N10+1)-1)))</f>
        <v>1</v>
      </c>
      <c r="N487" s="234">
        <f t="shared" si="56"/>
        <v>470</v>
      </c>
      <c r="O487" s="165" t="str">
        <f t="shared" si="57"/>
        <v>0</v>
      </c>
      <c r="P487" s="234">
        <f t="shared" si="58"/>
        <v>1</v>
      </c>
      <c r="Q487" s="234">
        <f t="shared" si="59"/>
        <v>1</v>
      </c>
      <c r="DE487" s="152"/>
      <c r="DF487" s="160" t="s">
        <v>1892</v>
      </c>
      <c r="DG487" s="160" t="s">
        <v>122</v>
      </c>
      <c r="DH487" s="160" t="s">
        <v>125</v>
      </c>
      <c r="DI487" s="160" t="s">
        <v>1893</v>
      </c>
      <c r="DJ487" s="160" t="s">
        <v>1894</v>
      </c>
      <c r="DK487" s="160" t="s">
        <v>588</v>
      </c>
      <c r="DL487" s="160" t="s">
        <v>1895</v>
      </c>
      <c r="DM487" s="160" t="s">
        <v>590</v>
      </c>
      <c r="DN487" s="161" t="s">
        <v>591</v>
      </c>
      <c r="DP487" s="130">
        <v>1</v>
      </c>
    </row>
    <row r="488" spans="2:120" ht="15">
      <c r="B488" s="231"/>
      <c r="C488" s="231"/>
      <c r="D488" s="231"/>
      <c r="E488" s="231" cm="1">
        <f t="array" ref="E488">IF(H487&lt;&gt;"",E487,IF(E487="","",IFERROR(MATCH(TRUE(),INDEX(INDEX(K:K,E487+1):K203&lt;&gt;"",0),0)+E487,"")))</f>
        <v>580</v>
      </c>
      <c r="F488" s="232" cm="1">
        <f t="array" ref="F488">IF(E488="","",IF(H487&lt;&gt;"",H487,INDEX(D:D,E488)))</f>
        <v>0</v>
      </c>
      <c r="G488" s="232" t="str">
        <f t="shared" si="54"/>
        <v>0</v>
      </c>
      <c r="H488" s="233" t="str">
        <f t="shared" si="55"/>
        <v/>
      </c>
      <c r="I488" s="231" t="str">
        <f>IF(AND(F488&lt;&gt;"",N10&gt;0,M488&gt;N10),"Mot &gt; limite","")</f>
        <v/>
      </c>
      <c r="M488" s="126">
        <f>IF(OR(F488="",N10="",N10&lt;=0),"",IF(LEN(F488)&lt;=N10,LEN(F488),IFERROR(FIND("♦",SUBSTITUTE(LEFT(F488,N10)," ","♦",LEN(LEFT(F488,N10))-LEN(SUBSTITUTE(LEFT(F488,N10)," ","")))),FIND(" ",F488&amp;" ",N10+1)-1)))</f>
        <v>1</v>
      </c>
      <c r="N488" s="234">
        <f t="shared" si="56"/>
        <v>471</v>
      </c>
      <c r="O488" s="165" t="str">
        <f t="shared" si="57"/>
        <v>0</v>
      </c>
      <c r="P488" s="234">
        <f t="shared" si="58"/>
        <v>1</v>
      </c>
      <c r="Q488" s="234">
        <f t="shared" si="59"/>
        <v>1</v>
      </c>
      <c r="DE488" s="152"/>
      <c r="DF488" s="160" t="s">
        <v>1896</v>
      </c>
      <c r="DG488" s="160" t="s">
        <v>122</v>
      </c>
      <c r="DH488" s="160" t="s">
        <v>125</v>
      </c>
      <c r="DI488" s="160" t="s">
        <v>284</v>
      </c>
      <c r="DJ488" s="160" t="s">
        <v>284</v>
      </c>
      <c r="DK488" s="160" t="s">
        <v>1259</v>
      </c>
      <c r="DL488" s="160" t="s">
        <v>1260</v>
      </c>
      <c r="DM488" s="160" t="s">
        <v>1812</v>
      </c>
      <c r="DN488" s="161" t="s">
        <v>1813</v>
      </c>
      <c r="DP488" s="130">
        <v>1</v>
      </c>
    </row>
    <row r="489" spans="2:120" ht="15">
      <c r="B489" s="231"/>
      <c r="C489" s="231"/>
      <c r="D489" s="231"/>
      <c r="E489" s="231" cm="1">
        <f t="array" ref="E489">IF(H488&lt;&gt;"",E488,IF(E488="","",IFERROR(MATCH(TRUE(),INDEX(INDEX(K:K,E488+1):K203&lt;&gt;"",0),0)+E488,"")))</f>
        <v>581</v>
      </c>
      <c r="F489" s="232" cm="1">
        <f t="array" ref="F489">IF(E489="","",IF(H488&lt;&gt;"",H488,INDEX(D:D,E489)))</f>
        <v>0</v>
      </c>
      <c r="G489" s="232" t="str">
        <f t="shared" si="54"/>
        <v>0</v>
      </c>
      <c r="H489" s="233" t="str">
        <f t="shared" si="55"/>
        <v/>
      </c>
      <c r="I489" s="231" t="str">
        <f>IF(AND(F489&lt;&gt;"",N10&gt;0,M489&gt;N10),"Mot &gt; limite","")</f>
        <v/>
      </c>
      <c r="M489" s="126">
        <f>IF(OR(F489="",N10="",N10&lt;=0),"",IF(LEN(F489)&lt;=N10,LEN(F489),IFERROR(FIND("♦",SUBSTITUTE(LEFT(F489,N10)," ","♦",LEN(LEFT(F489,N10))-LEN(SUBSTITUTE(LEFT(F489,N10)," ","")))),FIND(" ",F489&amp;" ",N10+1)-1)))</f>
        <v>1</v>
      </c>
      <c r="N489" s="234">
        <f t="shared" si="56"/>
        <v>472</v>
      </c>
      <c r="O489" s="165" t="str">
        <f t="shared" si="57"/>
        <v>0</v>
      </c>
      <c r="P489" s="234">
        <f t="shared" si="58"/>
        <v>1</v>
      </c>
      <c r="Q489" s="234">
        <f t="shared" si="59"/>
        <v>1</v>
      </c>
      <c r="DE489" s="152"/>
      <c r="DF489" s="160" t="s">
        <v>1897</v>
      </c>
      <c r="DG489" s="160" t="s">
        <v>122</v>
      </c>
      <c r="DH489" s="160" t="s">
        <v>125</v>
      </c>
      <c r="DI489" s="160" t="s">
        <v>1898</v>
      </c>
      <c r="DJ489" s="160" t="s">
        <v>1898</v>
      </c>
      <c r="DK489" s="160" t="s">
        <v>1259</v>
      </c>
      <c r="DL489" s="160" t="s">
        <v>1260</v>
      </c>
      <c r="DM489" s="160" t="s">
        <v>1812</v>
      </c>
      <c r="DN489" s="161" t="s">
        <v>1813</v>
      </c>
      <c r="DP489" s="130">
        <v>1</v>
      </c>
    </row>
    <row r="490" spans="2:120" ht="15">
      <c r="B490" s="231"/>
      <c r="C490" s="231"/>
      <c r="D490" s="231"/>
      <c r="E490" s="231" cm="1">
        <f t="array" ref="E490">IF(H489&lt;&gt;"",E489,IF(E489="","",IFERROR(MATCH(TRUE(),INDEX(INDEX(K:K,E489+1):K203&lt;&gt;"",0),0)+E489,"")))</f>
        <v>582</v>
      </c>
      <c r="F490" s="232" cm="1">
        <f t="array" ref="F490">IF(E490="","",IF(H489&lt;&gt;"",H489,INDEX(D:D,E490)))</f>
        <v>0</v>
      </c>
      <c r="G490" s="232" t="str">
        <f t="shared" si="54"/>
        <v>0</v>
      </c>
      <c r="H490" s="233" t="str">
        <f t="shared" si="55"/>
        <v/>
      </c>
      <c r="I490" s="231" t="str">
        <f>IF(AND(F490&lt;&gt;"",N10&gt;0,M490&gt;N10),"Mot &gt; limite","")</f>
        <v/>
      </c>
      <c r="M490" s="126">
        <f>IF(OR(F490="",N10="",N10&lt;=0),"",IF(LEN(F490)&lt;=N10,LEN(F490),IFERROR(FIND("♦",SUBSTITUTE(LEFT(F490,N10)," ","♦",LEN(LEFT(F490,N10))-LEN(SUBSTITUTE(LEFT(F490,N10)," ","")))),FIND(" ",F490&amp;" ",N10+1)-1)))</f>
        <v>1</v>
      </c>
      <c r="N490" s="234">
        <f t="shared" si="56"/>
        <v>473</v>
      </c>
      <c r="O490" s="165" t="str">
        <f t="shared" si="57"/>
        <v>0</v>
      </c>
      <c r="P490" s="234">
        <f t="shared" si="58"/>
        <v>1</v>
      </c>
      <c r="Q490" s="234">
        <f t="shared" si="59"/>
        <v>1</v>
      </c>
      <c r="DE490" s="152"/>
      <c r="DF490" s="160" t="s">
        <v>1899</v>
      </c>
      <c r="DG490" s="160" t="s">
        <v>122</v>
      </c>
      <c r="DH490" s="160" t="s">
        <v>125</v>
      </c>
      <c r="DI490" s="160" t="s">
        <v>1900</v>
      </c>
      <c r="DJ490" s="160" t="s">
        <v>1900</v>
      </c>
      <c r="DK490" s="160" t="s">
        <v>1259</v>
      </c>
      <c r="DL490" s="160" t="s">
        <v>1260</v>
      </c>
      <c r="DM490" s="160" t="s">
        <v>1812</v>
      </c>
      <c r="DN490" s="161" t="s">
        <v>1813</v>
      </c>
      <c r="DP490" s="130">
        <v>1</v>
      </c>
    </row>
    <row r="491" spans="2:120" ht="15">
      <c r="B491" s="231"/>
      <c r="C491" s="231"/>
      <c r="D491" s="231"/>
      <c r="E491" s="231" cm="1">
        <f t="array" ref="E491">IF(H490&lt;&gt;"",E490,IF(E490="","",IFERROR(MATCH(TRUE(),INDEX(INDEX(K:K,E490+1):K203&lt;&gt;"",0),0)+E490,"")))</f>
        <v>583</v>
      </c>
      <c r="F491" s="232" cm="1">
        <f t="array" ref="F491">IF(E491="","",IF(H490&lt;&gt;"",H490,INDEX(D:D,E491)))</f>
        <v>0</v>
      </c>
      <c r="G491" s="232" t="str">
        <f t="shared" si="54"/>
        <v>0</v>
      </c>
      <c r="H491" s="233" t="str">
        <f t="shared" si="55"/>
        <v/>
      </c>
      <c r="I491" s="231" t="str">
        <f>IF(AND(F491&lt;&gt;"",N10&gt;0,M491&gt;N10),"Mot &gt; limite","")</f>
        <v/>
      </c>
      <c r="M491" s="126">
        <f>IF(OR(F491="",N10="",N10&lt;=0),"",IF(LEN(F491)&lt;=N10,LEN(F491),IFERROR(FIND("♦",SUBSTITUTE(LEFT(F491,N10)," ","♦",LEN(LEFT(F491,N10))-LEN(SUBSTITUTE(LEFT(F491,N10)," ","")))),FIND(" ",F491&amp;" ",N10+1)-1)))</f>
        <v>1</v>
      </c>
      <c r="N491" s="234">
        <f t="shared" si="56"/>
        <v>474</v>
      </c>
      <c r="O491" s="165" t="str">
        <f t="shared" si="57"/>
        <v>0</v>
      </c>
      <c r="P491" s="234">
        <f t="shared" si="58"/>
        <v>1</v>
      </c>
      <c r="Q491" s="234">
        <f t="shared" si="59"/>
        <v>1</v>
      </c>
      <c r="DE491" s="152"/>
      <c r="DF491" s="160" t="s">
        <v>1901</v>
      </c>
      <c r="DG491" s="160" t="s">
        <v>122</v>
      </c>
      <c r="DH491" s="160" t="s">
        <v>125</v>
      </c>
      <c r="DI491" s="160" t="s">
        <v>1902</v>
      </c>
      <c r="DJ491" s="160" t="s">
        <v>1902</v>
      </c>
      <c r="DK491" s="160" t="s">
        <v>1259</v>
      </c>
      <c r="DL491" s="160" t="s">
        <v>1260</v>
      </c>
      <c r="DM491" s="160" t="s">
        <v>1812</v>
      </c>
      <c r="DN491" s="161" t="s">
        <v>1813</v>
      </c>
      <c r="DP491" s="130">
        <v>1</v>
      </c>
    </row>
    <row r="492" spans="2:120" ht="15">
      <c r="B492" s="231"/>
      <c r="C492" s="231"/>
      <c r="D492" s="231"/>
      <c r="E492" s="231" cm="1">
        <f t="array" ref="E492">IF(H491&lt;&gt;"",E491,IF(E491="","",IFERROR(MATCH(TRUE(),INDEX(INDEX(K:K,E491+1):K203&lt;&gt;"",0),0)+E491,"")))</f>
        <v>584</v>
      </c>
      <c r="F492" s="232" cm="1">
        <f t="array" ref="F492">IF(E492="","",IF(H491&lt;&gt;"",H491,INDEX(D:D,E492)))</f>
        <v>0</v>
      </c>
      <c r="G492" s="232" t="str">
        <f t="shared" si="54"/>
        <v>0</v>
      </c>
      <c r="H492" s="233" t="str">
        <f t="shared" si="55"/>
        <v/>
      </c>
      <c r="I492" s="231" t="str">
        <f>IF(AND(F492&lt;&gt;"",N10&gt;0,M492&gt;N10),"Mot &gt; limite","")</f>
        <v/>
      </c>
      <c r="M492" s="126">
        <f>IF(OR(F492="",N10="",N10&lt;=0),"",IF(LEN(F492)&lt;=N10,LEN(F492),IFERROR(FIND("♦",SUBSTITUTE(LEFT(F492,N10)," ","♦",LEN(LEFT(F492,N10))-LEN(SUBSTITUTE(LEFT(F492,N10)," ","")))),FIND(" ",F492&amp;" ",N10+1)-1)))</f>
        <v>1</v>
      </c>
      <c r="N492" s="234">
        <f t="shared" si="56"/>
        <v>475</v>
      </c>
      <c r="O492" s="165" t="str">
        <f t="shared" si="57"/>
        <v>0</v>
      </c>
      <c r="P492" s="234">
        <f t="shared" si="58"/>
        <v>1</v>
      </c>
      <c r="Q492" s="234">
        <f t="shared" si="59"/>
        <v>1</v>
      </c>
      <c r="DE492" s="152"/>
      <c r="DF492" s="160" t="s">
        <v>1903</v>
      </c>
      <c r="DG492" s="160" t="s">
        <v>122</v>
      </c>
      <c r="DH492" s="160" t="s">
        <v>125</v>
      </c>
      <c r="DI492" s="160" t="s">
        <v>1904</v>
      </c>
      <c r="DJ492" s="160" t="s">
        <v>1904</v>
      </c>
      <c r="DK492" s="160" t="s">
        <v>1259</v>
      </c>
      <c r="DL492" s="160" t="s">
        <v>1260</v>
      </c>
      <c r="DM492" s="160" t="s">
        <v>1812</v>
      </c>
      <c r="DN492" s="161" t="s">
        <v>1813</v>
      </c>
      <c r="DP492" s="130">
        <v>1</v>
      </c>
    </row>
    <row r="493" spans="2:120" ht="15">
      <c r="B493" s="231"/>
      <c r="C493" s="231"/>
      <c r="D493" s="231"/>
      <c r="E493" s="231" cm="1">
        <f t="array" ref="E493">IF(H492&lt;&gt;"",E492,IF(E492="","",IFERROR(MATCH(TRUE(),INDEX(INDEX(K:K,E492+1):K203&lt;&gt;"",0),0)+E492,"")))</f>
        <v>585</v>
      </c>
      <c r="F493" s="232" cm="1">
        <f t="array" ref="F493">IF(E493="","",IF(H492&lt;&gt;"",H492,INDEX(D:D,E493)))</f>
        <v>0</v>
      </c>
      <c r="G493" s="232" t="str">
        <f t="shared" si="54"/>
        <v>0</v>
      </c>
      <c r="H493" s="233" t="str">
        <f t="shared" si="55"/>
        <v/>
      </c>
      <c r="I493" s="231" t="str">
        <f>IF(AND(F493&lt;&gt;"",N10&gt;0,M493&gt;N10),"Mot &gt; limite","")</f>
        <v/>
      </c>
      <c r="M493" s="126">
        <f>IF(OR(F493="",N10="",N10&lt;=0),"",IF(LEN(F493)&lt;=N10,LEN(F493),IFERROR(FIND("♦",SUBSTITUTE(LEFT(F493,N10)," ","♦",LEN(LEFT(F493,N10))-LEN(SUBSTITUTE(LEFT(F493,N10)," ","")))),FIND(" ",F493&amp;" ",N10+1)-1)))</f>
        <v>1</v>
      </c>
      <c r="N493" s="234">
        <f t="shared" si="56"/>
        <v>476</v>
      </c>
      <c r="O493" s="165" t="str">
        <f t="shared" si="57"/>
        <v>0</v>
      </c>
      <c r="P493" s="234">
        <f t="shared" si="58"/>
        <v>1</v>
      </c>
      <c r="Q493" s="234">
        <f t="shared" si="59"/>
        <v>1</v>
      </c>
      <c r="DE493" s="152"/>
      <c r="DF493" s="160" t="s">
        <v>1905</v>
      </c>
      <c r="DG493" s="160" t="s">
        <v>122</v>
      </c>
      <c r="DH493" s="160" t="s">
        <v>125</v>
      </c>
      <c r="DI493" s="160" t="s">
        <v>1906</v>
      </c>
      <c r="DJ493" s="160" t="s">
        <v>1906</v>
      </c>
      <c r="DK493" s="160" t="s">
        <v>1259</v>
      </c>
      <c r="DL493" s="160" t="s">
        <v>1260</v>
      </c>
      <c r="DM493" s="160" t="s">
        <v>1812</v>
      </c>
      <c r="DN493" s="161" t="s">
        <v>1813</v>
      </c>
      <c r="DP493" s="130">
        <v>1</v>
      </c>
    </row>
    <row r="494" spans="2:120" ht="15">
      <c r="B494" s="231"/>
      <c r="C494" s="231"/>
      <c r="D494" s="231"/>
      <c r="E494" s="231" cm="1">
        <f t="array" ref="E494">IF(H493&lt;&gt;"",E493,IF(E493="","",IFERROR(MATCH(TRUE(),INDEX(INDEX(K:K,E493+1):K203&lt;&gt;"",0),0)+E493,"")))</f>
        <v>586</v>
      </c>
      <c r="F494" s="232" cm="1">
        <f t="array" ref="F494">IF(E494="","",IF(H493&lt;&gt;"",H493,INDEX(D:D,E494)))</f>
        <v>0</v>
      </c>
      <c r="G494" s="232" t="str">
        <f t="shared" si="54"/>
        <v>0</v>
      </c>
      <c r="H494" s="233" t="str">
        <f t="shared" si="55"/>
        <v/>
      </c>
      <c r="I494" s="231" t="str">
        <f>IF(AND(F494&lt;&gt;"",N10&gt;0,M494&gt;N10),"Mot &gt; limite","")</f>
        <v/>
      </c>
      <c r="M494" s="126">
        <f>IF(OR(F494="",N10="",N10&lt;=0),"",IF(LEN(F494)&lt;=N10,LEN(F494),IFERROR(FIND("♦",SUBSTITUTE(LEFT(F494,N10)," ","♦",LEN(LEFT(F494,N10))-LEN(SUBSTITUTE(LEFT(F494,N10)," ","")))),FIND(" ",F494&amp;" ",N10+1)-1)))</f>
        <v>1</v>
      </c>
      <c r="N494" s="234">
        <f t="shared" si="56"/>
        <v>477</v>
      </c>
      <c r="O494" s="165" t="str">
        <f t="shared" si="57"/>
        <v>0</v>
      </c>
      <c r="P494" s="234">
        <f t="shared" si="58"/>
        <v>1</v>
      </c>
      <c r="Q494" s="234">
        <f t="shared" si="59"/>
        <v>1</v>
      </c>
      <c r="DE494" s="152"/>
      <c r="DF494" s="160" t="s">
        <v>1907</v>
      </c>
      <c r="DG494" s="160" t="s">
        <v>122</v>
      </c>
      <c r="DH494" s="160" t="s">
        <v>125</v>
      </c>
      <c r="DI494" s="160" t="s">
        <v>1908</v>
      </c>
      <c r="DJ494" s="160" t="s">
        <v>1908</v>
      </c>
      <c r="DK494" s="160" t="s">
        <v>1259</v>
      </c>
      <c r="DL494" s="160" t="s">
        <v>1260</v>
      </c>
      <c r="DM494" s="160" t="s">
        <v>1812</v>
      </c>
      <c r="DN494" s="161" t="s">
        <v>1813</v>
      </c>
      <c r="DP494" s="130">
        <v>1</v>
      </c>
    </row>
    <row r="495" spans="2:120" ht="15">
      <c r="B495" s="231"/>
      <c r="C495" s="231"/>
      <c r="D495" s="231"/>
      <c r="E495" s="231" cm="1">
        <f t="array" ref="E495">IF(H494&lt;&gt;"",E494,IF(E494="","",IFERROR(MATCH(TRUE(),INDEX(INDEX(K:K,E494+1):K203&lt;&gt;"",0),0)+E494,"")))</f>
        <v>587</v>
      </c>
      <c r="F495" s="232" cm="1">
        <f t="array" ref="F495">IF(E495="","",IF(H494&lt;&gt;"",H494,INDEX(D:D,E495)))</f>
        <v>0</v>
      </c>
      <c r="G495" s="232" t="str">
        <f t="shared" si="54"/>
        <v>0</v>
      </c>
      <c r="H495" s="233" t="str">
        <f t="shared" si="55"/>
        <v/>
      </c>
      <c r="I495" s="231" t="str">
        <f>IF(AND(F495&lt;&gt;"",N10&gt;0,M495&gt;N10),"Mot &gt; limite","")</f>
        <v/>
      </c>
      <c r="M495" s="126">
        <f>IF(OR(F495="",N10="",N10&lt;=0),"",IF(LEN(F495)&lt;=N10,LEN(F495),IFERROR(FIND("♦",SUBSTITUTE(LEFT(F495,N10)," ","♦",LEN(LEFT(F495,N10))-LEN(SUBSTITUTE(LEFT(F495,N10)," ","")))),FIND(" ",F495&amp;" ",N10+1)-1)))</f>
        <v>1</v>
      </c>
      <c r="N495" s="234">
        <f t="shared" si="56"/>
        <v>478</v>
      </c>
      <c r="O495" s="165" t="str">
        <f t="shared" si="57"/>
        <v>0</v>
      </c>
      <c r="P495" s="234">
        <f t="shared" si="58"/>
        <v>1</v>
      </c>
      <c r="Q495" s="234">
        <f t="shared" si="59"/>
        <v>1</v>
      </c>
      <c r="DE495" s="152"/>
      <c r="DF495" s="160" t="s">
        <v>1909</v>
      </c>
      <c r="DG495" s="160" t="s">
        <v>122</v>
      </c>
      <c r="DH495" s="160" t="s">
        <v>125</v>
      </c>
      <c r="DI495" s="160" t="s">
        <v>1910</v>
      </c>
      <c r="DJ495" s="160" t="s">
        <v>1910</v>
      </c>
      <c r="DK495" s="160" t="s">
        <v>666</v>
      </c>
      <c r="DL495" s="160" t="s">
        <v>667</v>
      </c>
      <c r="DM495" s="160" t="s">
        <v>590</v>
      </c>
      <c r="DN495" s="161" t="s">
        <v>668</v>
      </c>
      <c r="DP495" s="130">
        <v>1</v>
      </c>
    </row>
    <row r="496" spans="2:120" ht="15">
      <c r="B496" s="231"/>
      <c r="C496" s="231"/>
      <c r="D496" s="231"/>
      <c r="E496" s="231" cm="1">
        <f t="array" ref="E496">IF(H495&lt;&gt;"",E495,IF(E495="","",IFERROR(MATCH(TRUE(),INDEX(INDEX(K:K,E495+1):K203&lt;&gt;"",0),0)+E495,"")))</f>
        <v>588</v>
      </c>
      <c r="F496" s="232" cm="1">
        <f t="array" ref="F496">IF(E496="","",IF(H495&lt;&gt;"",H495,INDEX(D:D,E496)))</f>
        <v>0</v>
      </c>
      <c r="G496" s="232" t="str">
        <f t="shared" si="54"/>
        <v>0</v>
      </c>
      <c r="H496" s="233" t="str">
        <f t="shared" si="55"/>
        <v/>
      </c>
      <c r="I496" s="231" t="str">
        <f>IF(AND(F496&lt;&gt;"",N10&gt;0,M496&gt;N10),"Mot &gt; limite","")</f>
        <v/>
      </c>
      <c r="M496" s="126">
        <f>IF(OR(F496="",N10="",N10&lt;=0),"",IF(LEN(F496)&lt;=N10,LEN(F496),IFERROR(FIND("♦",SUBSTITUTE(LEFT(F496,N10)," ","♦",LEN(LEFT(F496,N10))-LEN(SUBSTITUTE(LEFT(F496,N10)," ","")))),FIND(" ",F496&amp;" ",N10+1)-1)))</f>
        <v>1</v>
      </c>
      <c r="N496" s="234">
        <f t="shared" si="56"/>
        <v>479</v>
      </c>
      <c r="O496" s="165" t="str">
        <f t="shared" si="57"/>
        <v>0</v>
      </c>
      <c r="P496" s="234">
        <f t="shared" si="58"/>
        <v>1</v>
      </c>
      <c r="Q496" s="234">
        <f t="shared" si="59"/>
        <v>1</v>
      </c>
      <c r="DE496" s="152"/>
      <c r="DF496" s="160" t="s">
        <v>1911</v>
      </c>
      <c r="DG496" s="160" t="s">
        <v>122</v>
      </c>
      <c r="DH496" s="160" t="s">
        <v>125</v>
      </c>
      <c r="DI496" s="160" t="s">
        <v>1912</v>
      </c>
      <c r="DJ496" s="160" t="s">
        <v>1912</v>
      </c>
      <c r="DK496" s="160" t="s">
        <v>666</v>
      </c>
      <c r="DL496" s="160" t="s">
        <v>667</v>
      </c>
      <c r="DM496" s="160" t="s">
        <v>590</v>
      </c>
      <c r="DN496" s="161" t="s">
        <v>668</v>
      </c>
      <c r="DP496" s="130">
        <v>1</v>
      </c>
    </row>
    <row r="497" spans="2:120" ht="15">
      <c r="B497" s="231"/>
      <c r="C497" s="231"/>
      <c r="D497" s="231"/>
      <c r="E497" s="231" cm="1">
        <f t="array" ref="E497">IF(H496&lt;&gt;"",E496,IF(E496="","",IFERROR(MATCH(TRUE(),INDEX(INDEX(K:K,E496+1):K203&lt;&gt;"",0),0)+E496,"")))</f>
        <v>589</v>
      </c>
      <c r="F497" s="232" cm="1">
        <f t="array" ref="F497">IF(E497="","",IF(H496&lt;&gt;"",H496,INDEX(D:D,E497)))</f>
        <v>0</v>
      </c>
      <c r="G497" s="232" t="str">
        <f t="shared" si="54"/>
        <v>0</v>
      </c>
      <c r="H497" s="233" t="str">
        <f t="shared" si="55"/>
        <v/>
      </c>
      <c r="I497" s="231" t="str">
        <f>IF(AND(F497&lt;&gt;"",N10&gt;0,M497&gt;N10),"Mot &gt; limite","")</f>
        <v/>
      </c>
      <c r="M497" s="126">
        <f>IF(OR(F497="",N10="",N10&lt;=0),"",IF(LEN(F497)&lt;=N10,LEN(F497),IFERROR(FIND("♦",SUBSTITUTE(LEFT(F497,N10)," ","♦",LEN(LEFT(F497,N10))-LEN(SUBSTITUTE(LEFT(F497,N10)," ","")))),FIND(" ",F497&amp;" ",N10+1)-1)))</f>
        <v>1</v>
      </c>
      <c r="N497" s="234">
        <f t="shared" si="56"/>
        <v>480</v>
      </c>
      <c r="O497" s="165" t="str">
        <f t="shared" si="57"/>
        <v>0</v>
      </c>
      <c r="P497" s="234">
        <f t="shared" si="58"/>
        <v>1</v>
      </c>
      <c r="Q497" s="234">
        <f t="shared" si="59"/>
        <v>1</v>
      </c>
      <c r="DE497" s="152"/>
      <c r="DF497" s="160" t="s">
        <v>1913</v>
      </c>
      <c r="DG497" s="160" t="s">
        <v>122</v>
      </c>
      <c r="DH497" s="160" t="s">
        <v>125</v>
      </c>
      <c r="DI497" s="160" t="s">
        <v>1914</v>
      </c>
      <c r="DJ497" s="160" t="s">
        <v>1914</v>
      </c>
      <c r="DK497" s="160" t="s">
        <v>1259</v>
      </c>
      <c r="DL497" s="160" t="s">
        <v>1260</v>
      </c>
      <c r="DM497" s="160" t="s">
        <v>1812</v>
      </c>
      <c r="DN497" s="161" t="s">
        <v>1813</v>
      </c>
      <c r="DP497" s="130">
        <v>1</v>
      </c>
    </row>
    <row r="498" spans="2:120" ht="15">
      <c r="B498" s="231"/>
      <c r="C498" s="231"/>
      <c r="D498" s="231"/>
      <c r="E498" s="231" cm="1">
        <f t="array" ref="E498">IF(H497&lt;&gt;"",E497,IF(E497="","",IFERROR(MATCH(TRUE(),INDEX(INDEX(K:K,E497+1):K203&lt;&gt;"",0),0)+E497,"")))</f>
        <v>590</v>
      </c>
      <c r="F498" s="232" cm="1">
        <f t="array" ref="F498">IF(E498="","",IF(H497&lt;&gt;"",H497,INDEX(D:D,E498)))</f>
        <v>0</v>
      </c>
      <c r="G498" s="232" t="str">
        <f t="shared" si="54"/>
        <v>0</v>
      </c>
      <c r="H498" s="233" t="str">
        <f t="shared" si="55"/>
        <v/>
      </c>
      <c r="I498" s="231" t="str">
        <f>IF(AND(F498&lt;&gt;"",N10&gt;0,M498&gt;N10),"Mot &gt; limite","")</f>
        <v/>
      </c>
      <c r="M498" s="126">
        <f>IF(OR(F498="",N10="",N10&lt;=0),"",IF(LEN(F498)&lt;=N10,LEN(F498),IFERROR(FIND("♦",SUBSTITUTE(LEFT(F498,N10)," ","♦",LEN(LEFT(F498,N10))-LEN(SUBSTITUTE(LEFT(F498,N10)," ","")))),FIND(" ",F498&amp;" ",N10+1)-1)))</f>
        <v>1</v>
      </c>
      <c r="N498" s="234">
        <f t="shared" si="56"/>
        <v>481</v>
      </c>
      <c r="O498" s="165" t="str">
        <f t="shared" si="57"/>
        <v>0</v>
      </c>
      <c r="P498" s="234">
        <f t="shared" si="58"/>
        <v>1</v>
      </c>
      <c r="Q498" s="234">
        <f t="shared" si="59"/>
        <v>1</v>
      </c>
      <c r="DE498" s="152"/>
      <c r="DF498" s="160" t="s">
        <v>1915</v>
      </c>
      <c r="DG498" s="160" t="s">
        <v>122</v>
      </c>
      <c r="DH498" s="160" t="s">
        <v>125</v>
      </c>
      <c r="DI498" s="160" t="s">
        <v>1916</v>
      </c>
      <c r="DJ498" s="160" t="s">
        <v>1916</v>
      </c>
      <c r="DK498" s="160" t="s">
        <v>1259</v>
      </c>
      <c r="DL498" s="160" t="s">
        <v>1260</v>
      </c>
      <c r="DM498" s="160" t="s">
        <v>1812</v>
      </c>
      <c r="DN498" s="161" t="s">
        <v>1813</v>
      </c>
      <c r="DP498" s="130">
        <v>1</v>
      </c>
    </row>
    <row r="499" spans="2:120" ht="15">
      <c r="B499" s="231"/>
      <c r="C499" s="231"/>
      <c r="D499" s="231"/>
      <c r="E499" s="231" cm="1">
        <f t="array" ref="E499">IF(H498&lt;&gt;"",E498,IF(E498="","",IFERROR(MATCH(TRUE(),INDEX(INDEX(K:K,E498+1):K203&lt;&gt;"",0),0)+E498,"")))</f>
        <v>591</v>
      </c>
      <c r="F499" s="232" cm="1">
        <f t="array" ref="F499">IF(E499="","",IF(H498&lt;&gt;"",H498,INDEX(D:D,E499)))</f>
        <v>0</v>
      </c>
      <c r="G499" s="232" t="str">
        <f t="shared" si="54"/>
        <v>0</v>
      </c>
      <c r="H499" s="233" t="str">
        <f t="shared" si="55"/>
        <v/>
      </c>
      <c r="I499" s="231" t="str">
        <f>IF(AND(F499&lt;&gt;"",N10&gt;0,M499&gt;N10),"Mot &gt; limite","")</f>
        <v/>
      </c>
      <c r="M499" s="126">
        <f>IF(OR(F499="",N10="",N10&lt;=0),"",IF(LEN(F499)&lt;=N10,LEN(F499),IFERROR(FIND("♦",SUBSTITUTE(LEFT(F499,N10)," ","♦",LEN(LEFT(F499,N10))-LEN(SUBSTITUTE(LEFT(F499,N10)," ","")))),FIND(" ",F499&amp;" ",N10+1)-1)))</f>
        <v>1</v>
      </c>
      <c r="N499" s="234">
        <f t="shared" si="56"/>
        <v>482</v>
      </c>
      <c r="O499" s="165" t="str">
        <f t="shared" si="57"/>
        <v>0</v>
      </c>
      <c r="P499" s="234">
        <f t="shared" si="58"/>
        <v>1</v>
      </c>
      <c r="Q499" s="234">
        <f t="shared" si="59"/>
        <v>1</v>
      </c>
      <c r="DE499" s="152"/>
      <c r="DF499" s="160" t="s">
        <v>1917</v>
      </c>
      <c r="DG499" s="160" t="s">
        <v>122</v>
      </c>
      <c r="DH499" s="160" t="s">
        <v>125</v>
      </c>
      <c r="DI499" s="160" t="s">
        <v>1918</v>
      </c>
      <c r="DJ499" s="160" t="s">
        <v>1918</v>
      </c>
      <c r="DK499" s="160" t="s">
        <v>1259</v>
      </c>
      <c r="DL499" s="160" t="s">
        <v>1260</v>
      </c>
      <c r="DM499" s="160" t="s">
        <v>1812</v>
      </c>
      <c r="DN499" s="161" t="s">
        <v>1813</v>
      </c>
      <c r="DP499" s="130">
        <v>1</v>
      </c>
    </row>
    <row r="500" spans="2:120" ht="15">
      <c r="B500" s="231"/>
      <c r="C500" s="231"/>
      <c r="D500" s="231"/>
      <c r="E500" s="231" cm="1">
        <f t="array" ref="E500">IF(H499&lt;&gt;"",E499,IF(E499="","",IFERROR(MATCH(TRUE(),INDEX(INDEX(K:K,E499+1):K203&lt;&gt;"",0),0)+E499,"")))</f>
        <v>592</v>
      </c>
      <c r="F500" s="232" cm="1">
        <f t="array" ref="F500">IF(E500="","",IF(H499&lt;&gt;"",H499,INDEX(D:D,E500)))</f>
        <v>0</v>
      </c>
      <c r="G500" s="232" t="str">
        <f t="shared" si="54"/>
        <v>0</v>
      </c>
      <c r="H500" s="233" t="str">
        <f t="shared" si="55"/>
        <v/>
      </c>
      <c r="I500" s="231" t="str">
        <f>IF(AND(F500&lt;&gt;"",N10&gt;0,M500&gt;N10),"Mot &gt; limite","")</f>
        <v/>
      </c>
      <c r="M500" s="126">
        <f>IF(OR(F500="",N10="",N10&lt;=0),"",IF(LEN(F500)&lt;=N10,LEN(F500),IFERROR(FIND("♦",SUBSTITUTE(LEFT(F500,N10)," ","♦",LEN(LEFT(F500,N10))-LEN(SUBSTITUTE(LEFT(F500,N10)," ","")))),FIND(" ",F500&amp;" ",N10+1)-1)))</f>
        <v>1</v>
      </c>
      <c r="N500" s="234">
        <f t="shared" si="56"/>
        <v>483</v>
      </c>
      <c r="O500" s="165" t="str">
        <f t="shared" si="57"/>
        <v>0</v>
      </c>
      <c r="P500" s="234">
        <f t="shared" si="58"/>
        <v>1</v>
      </c>
      <c r="Q500" s="234">
        <f t="shared" si="59"/>
        <v>1</v>
      </c>
      <c r="DE500" s="152"/>
      <c r="DF500" s="160" t="s">
        <v>1919</v>
      </c>
      <c r="DG500" s="160" t="s">
        <v>122</v>
      </c>
      <c r="DH500" s="160" t="s">
        <v>125</v>
      </c>
      <c r="DI500" s="160" t="s">
        <v>1920</v>
      </c>
      <c r="DJ500" s="160" t="s">
        <v>1920</v>
      </c>
      <c r="DK500" s="160" t="s">
        <v>1259</v>
      </c>
      <c r="DL500" s="160" t="s">
        <v>1260</v>
      </c>
      <c r="DM500" s="160" t="s">
        <v>1812</v>
      </c>
      <c r="DN500" s="161" t="s">
        <v>1813</v>
      </c>
      <c r="DP500" s="130">
        <v>1</v>
      </c>
    </row>
    <row r="501" spans="2:120" ht="15">
      <c r="B501" s="231"/>
      <c r="C501" s="231"/>
      <c r="D501" s="231"/>
      <c r="E501" s="231" cm="1">
        <f t="array" ref="E501">IF(H500&lt;&gt;"",E500,IF(E500="","",IFERROR(MATCH(TRUE(),INDEX(INDEX(K:K,E500+1):K203&lt;&gt;"",0),0)+E500,"")))</f>
        <v>593</v>
      </c>
      <c r="F501" s="232" cm="1">
        <f t="array" ref="F501">IF(E501="","",IF(H500&lt;&gt;"",H500,INDEX(D:D,E501)))</f>
        <v>0</v>
      </c>
      <c r="G501" s="232" t="str">
        <f t="shared" si="54"/>
        <v>0</v>
      </c>
      <c r="H501" s="233" t="str">
        <f t="shared" si="55"/>
        <v/>
      </c>
      <c r="I501" s="231" t="str">
        <f>IF(AND(F501&lt;&gt;"",N10&gt;0,M501&gt;N10),"Mot &gt; limite","")</f>
        <v/>
      </c>
      <c r="M501" s="126">
        <f>IF(OR(F501="",N10="",N10&lt;=0),"",IF(LEN(F501)&lt;=N10,LEN(F501),IFERROR(FIND("♦",SUBSTITUTE(LEFT(F501,N10)," ","♦",LEN(LEFT(F501,N10))-LEN(SUBSTITUTE(LEFT(F501,N10)," ","")))),FIND(" ",F501&amp;" ",N10+1)-1)))</f>
        <v>1</v>
      </c>
      <c r="N501" s="234">
        <f t="shared" si="56"/>
        <v>484</v>
      </c>
      <c r="O501" s="165" t="str">
        <f t="shared" si="57"/>
        <v>0</v>
      </c>
      <c r="P501" s="234">
        <f t="shared" si="58"/>
        <v>1</v>
      </c>
      <c r="Q501" s="234">
        <f t="shared" si="59"/>
        <v>1</v>
      </c>
      <c r="DE501" s="152"/>
      <c r="DF501" s="160" t="s">
        <v>1921</v>
      </c>
      <c r="DG501" s="160" t="s">
        <v>122</v>
      </c>
      <c r="DH501" s="160" t="s">
        <v>125</v>
      </c>
      <c r="DI501" s="160" t="s">
        <v>1922</v>
      </c>
      <c r="DJ501" s="160" t="s">
        <v>1922</v>
      </c>
      <c r="DK501" s="160" t="s">
        <v>1259</v>
      </c>
      <c r="DL501" s="160" t="s">
        <v>1260</v>
      </c>
      <c r="DM501" s="160" t="s">
        <v>1812</v>
      </c>
      <c r="DN501" s="161" t="s">
        <v>1813</v>
      </c>
      <c r="DP501" s="130">
        <v>1</v>
      </c>
    </row>
    <row r="502" spans="2:120" ht="15">
      <c r="B502" s="231"/>
      <c r="C502" s="231"/>
      <c r="D502" s="231"/>
      <c r="E502" s="231" cm="1">
        <f t="array" ref="E502">IF(H501&lt;&gt;"",E501,IF(E501="","",IFERROR(MATCH(TRUE(),INDEX(INDEX(K:K,E501+1):K203&lt;&gt;"",0),0)+E501,"")))</f>
        <v>594</v>
      </c>
      <c r="F502" s="232" cm="1">
        <f t="array" ref="F502">IF(E502="","",IF(H501&lt;&gt;"",H501,INDEX(D:D,E502)))</f>
        <v>0</v>
      </c>
      <c r="G502" s="232" t="str">
        <f t="shared" si="54"/>
        <v>0</v>
      </c>
      <c r="H502" s="233" t="str">
        <f t="shared" si="55"/>
        <v/>
      </c>
      <c r="I502" s="231" t="str">
        <f>IF(AND(F502&lt;&gt;"",N10&gt;0,M502&gt;N10),"Mot &gt; limite","")</f>
        <v/>
      </c>
      <c r="M502" s="126">
        <f>IF(OR(F502="",N10="",N10&lt;=0),"",IF(LEN(F502)&lt;=N10,LEN(F502),IFERROR(FIND("♦",SUBSTITUTE(LEFT(F502,N10)," ","♦",LEN(LEFT(F502,N10))-LEN(SUBSTITUTE(LEFT(F502,N10)," ","")))),FIND(" ",F502&amp;" ",N10+1)-1)))</f>
        <v>1</v>
      </c>
      <c r="N502" s="234">
        <f t="shared" si="56"/>
        <v>485</v>
      </c>
      <c r="O502" s="165" t="str">
        <f t="shared" si="57"/>
        <v>0</v>
      </c>
      <c r="P502" s="234">
        <f t="shared" si="58"/>
        <v>1</v>
      </c>
      <c r="Q502" s="234">
        <f t="shared" si="59"/>
        <v>1</v>
      </c>
      <c r="DE502" s="152"/>
      <c r="DF502" s="160" t="s">
        <v>1923</v>
      </c>
      <c r="DG502" s="160" t="s">
        <v>122</v>
      </c>
      <c r="DH502" s="160" t="s">
        <v>125</v>
      </c>
      <c r="DI502" s="160" t="s">
        <v>1924</v>
      </c>
      <c r="DJ502" s="160" t="s">
        <v>1924</v>
      </c>
      <c r="DK502" s="160" t="s">
        <v>1259</v>
      </c>
      <c r="DL502" s="160" t="s">
        <v>1260</v>
      </c>
      <c r="DM502" s="160" t="s">
        <v>1812</v>
      </c>
      <c r="DN502" s="161" t="s">
        <v>1813</v>
      </c>
      <c r="DP502" s="130">
        <v>1</v>
      </c>
    </row>
    <row r="503" spans="2:120" ht="15">
      <c r="B503" s="231"/>
      <c r="C503" s="231"/>
      <c r="D503" s="231"/>
      <c r="E503" s="231" cm="1">
        <f t="array" ref="E503">IF(H502&lt;&gt;"",E502,IF(E502="","",IFERROR(MATCH(TRUE(),INDEX(INDEX(K:K,E502+1):K203&lt;&gt;"",0),0)+E502,"")))</f>
        <v>595</v>
      </c>
      <c r="F503" s="232" cm="1">
        <f t="array" ref="F503">IF(E503="","",IF(H502&lt;&gt;"",H502,INDEX(D:D,E503)))</f>
        <v>0</v>
      </c>
      <c r="G503" s="232" t="str">
        <f t="shared" si="54"/>
        <v>0</v>
      </c>
      <c r="H503" s="233" t="str">
        <f t="shared" si="55"/>
        <v/>
      </c>
      <c r="I503" s="231" t="str">
        <f>IF(AND(F503&lt;&gt;"",N10&gt;0,M503&gt;N10),"Mot &gt; limite","")</f>
        <v/>
      </c>
      <c r="M503" s="126">
        <f>IF(OR(F503="",N10="",N10&lt;=0),"",IF(LEN(F503)&lt;=N10,LEN(F503),IFERROR(FIND("♦",SUBSTITUTE(LEFT(F503,N10)," ","♦",LEN(LEFT(F503,N10))-LEN(SUBSTITUTE(LEFT(F503,N10)," ","")))),FIND(" ",F503&amp;" ",N10+1)-1)))</f>
        <v>1</v>
      </c>
      <c r="N503" s="234">
        <f t="shared" si="56"/>
        <v>486</v>
      </c>
      <c r="O503" s="165" t="str">
        <f t="shared" si="57"/>
        <v>0</v>
      </c>
      <c r="P503" s="234">
        <f t="shared" si="58"/>
        <v>1</v>
      </c>
      <c r="Q503" s="234">
        <f t="shared" si="59"/>
        <v>1</v>
      </c>
      <c r="DE503" s="152"/>
      <c r="DF503" s="160" t="s">
        <v>1925</v>
      </c>
      <c r="DG503" s="160" t="s">
        <v>122</v>
      </c>
      <c r="DH503" s="160" t="s">
        <v>125</v>
      </c>
      <c r="DI503" s="160" t="s">
        <v>1926</v>
      </c>
      <c r="DJ503" s="160" t="s">
        <v>1926</v>
      </c>
      <c r="DK503" s="160" t="s">
        <v>1259</v>
      </c>
      <c r="DL503" s="160" t="s">
        <v>1260</v>
      </c>
      <c r="DM503" s="160" t="s">
        <v>1812</v>
      </c>
      <c r="DN503" s="161" t="s">
        <v>1813</v>
      </c>
      <c r="DP503" s="130">
        <v>1</v>
      </c>
    </row>
    <row r="504" spans="2:120" ht="15">
      <c r="B504" s="231"/>
      <c r="C504" s="231"/>
      <c r="D504" s="231"/>
      <c r="E504" s="231" cm="1">
        <f t="array" ref="E504">IF(H503&lt;&gt;"",E503,IF(E503="","",IFERROR(MATCH(TRUE(),INDEX(INDEX(K:K,E503+1):K203&lt;&gt;"",0),0)+E503,"")))</f>
        <v>596</v>
      </c>
      <c r="F504" s="232" cm="1">
        <f t="array" ref="F504">IF(E504="","",IF(H503&lt;&gt;"",H503,INDEX(D:D,E504)))</f>
        <v>0</v>
      </c>
      <c r="G504" s="232" t="str">
        <f t="shared" si="54"/>
        <v>0</v>
      </c>
      <c r="H504" s="233" t="str">
        <f t="shared" si="55"/>
        <v/>
      </c>
      <c r="I504" s="231" t="str">
        <f>IF(AND(F504&lt;&gt;"",N10&gt;0,M504&gt;N10),"Mot &gt; limite","")</f>
        <v/>
      </c>
      <c r="M504" s="126">
        <f>IF(OR(F504="",N10="",N10&lt;=0),"",IF(LEN(F504)&lt;=N10,LEN(F504),IFERROR(FIND("♦",SUBSTITUTE(LEFT(F504,N10)," ","♦",LEN(LEFT(F504,N10))-LEN(SUBSTITUTE(LEFT(F504,N10)," ","")))),FIND(" ",F504&amp;" ",N10+1)-1)))</f>
        <v>1</v>
      </c>
      <c r="N504" s="234">
        <f t="shared" si="56"/>
        <v>487</v>
      </c>
      <c r="O504" s="165" t="str">
        <f t="shared" si="57"/>
        <v>0</v>
      </c>
      <c r="P504" s="234">
        <f t="shared" si="58"/>
        <v>1</v>
      </c>
      <c r="Q504" s="234">
        <f t="shared" si="59"/>
        <v>1</v>
      </c>
      <c r="DE504" s="152"/>
      <c r="DF504" s="160" t="s">
        <v>1927</v>
      </c>
      <c r="DG504" s="160" t="s">
        <v>122</v>
      </c>
      <c r="DH504" s="160" t="s">
        <v>125</v>
      </c>
      <c r="DI504" s="160" t="s">
        <v>1928</v>
      </c>
      <c r="DJ504" s="160" t="s">
        <v>1928</v>
      </c>
      <c r="DK504" s="160" t="s">
        <v>1259</v>
      </c>
      <c r="DL504" s="160" t="s">
        <v>1260</v>
      </c>
      <c r="DM504" s="160" t="s">
        <v>1812</v>
      </c>
      <c r="DN504" s="161" t="s">
        <v>1813</v>
      </c>
      <c r="DP504" s="130">
        <v>1</v>
      </c>
    </row>
    <row r="505" spans="2:120" ht="15">
      <c r="B505" s="231"/>
      <c r="C505" s="231"/>
      <c r="D505" s="231"/>
      <c r="E505" s="231" cm="1">
        <f t="array" ref="E505">IF(H504&lt;&gt;"",E504,IF(E504="","",IFERROR(MATCH(TRUE(),INDEX(INDEX(K:K,E504+1):K203&lt;&gt;"",0),0)+E504,"")))</f>
        <v>597</v>
      </c>
      <c r="F505" s="232" cm="1">
        <f t="array" ref="F505">IF(E505="","",IF(H504&lt;&gt;"",H504,INDEX(D:D,E505)))</f>
        <v>0</v>
      </c>
      <c r="G505" s="232" t="str">
        <f t="shared" si="54"/>
        <v>0</v>
      </c>
      <c r="H505" s="233" t="str">
        <f t="shared" si="55"/>
        <v/>
      </c>
      <c r="I505" s="231" t="str">
        <f>IF(AND(F505&lt;&gt;"",N10&gt;0,M505&gt;N10),"Mot &gt; limite","")</f>
        <v/>
      </c>
      <c r="M505" s="126">
        <f>IF(OR(F505="",N10="",N10&lt;=0),"",IF(LEN(F505)&lt;=N10,LEN(F505),IFERROR(FIND("♦",SUBSTITUTE(LEFT(F505,N10)," ","♦",LEN(LEFT(F505,N10))-LEN(SUBSTITUTE(LEFT(F505,N10)," ","")))),FIND(" ",F505&amp;" ",N10+1)-1)))</f>
        <v>1</v>
      </c>
      <c r="N505" s="234">
        <f t="shared" si="56"/>
        <v>488</v>
      </c>
      <c r="O505" s="165" t="str">
        <f t="shared" si="57"/>
        <v>0</v>
      </c>
      <c r="P505" s="234">
        <f t="shared" si="58"/>
        <v>1</v>
      </c>
      <c r="Q505" s="234">
        <f t="shared" si="59"/>
        <v>1</v>
      </c>
      <c r="DE505" s="152"/>
      <c r="DF505" s="160" t="s">
        <v>1929</v>
      </c>
      <c r="DG505" s="160" t="s">
        <v>122</v>
      </c>
      <c r="DH505" s="160" t="s">
        <v>125</v>
      </c>
      <c r="DI505" s="160" t="s">
        <v>1930</v>
      </c>
      <c r="DJ505" s="160" t="s">
        <v>1930</v>
      </c>
      <c r="DK505" s="160" t="s">
        <v>1259</v>
      </c>
      <c r="DL505" s="160" t="s">
        <v>1260</v>
      </c>
      <c r="DM505" s="160" t="s">
        <v>1812</v>
      </c>
      <c r="DN505" s="161" t="s">
        <v>1813</v>
      </c>
      <c r="DP505" s="130">
        <v>1</v>
      </c>
    </row>
    <row r="506" spans="2:120" ht="15">
      <c r="B506" s="231"/>
      <c r="C506" s="231"/>
      <c r="D506" s="231"/>
      <c r="E506" s="231" cm="1">
        <f t="array" ref="E506">IF(H505&lt;&gt;"",E505,IF(E505="","",IFERROR(MATCH(TRUE(),INDEX(INDEX(K:K,E505+1):K203&lt;&gt;"",0),0)+E505,"")))</f>
        <v>598</v>
      </c>
      <c r="F506" s="232" cm="1">
        <f t="array" ref="F506">IF(E506="","",IF(H505&lt;&gt;"",H505,INDEX(D:D,E506)))</f>
        <v>0</v>
      </c>
      <c r="G506" s="232" t="str">
        <f t="shared" si="54"/>
        <v>0</v>
      </c>
      <c r="H506" s="233" t="str">
        <f t="shared" si="55"/>
        <v/>
      </c>
      <c r="I506" s="231" t="str">
        <f>IF(AND(F506&lt;&gt;"",N10&gt;0,M506&gt;N10),"Mot &gt; limite","")</f>
        <v/>
      </c>
      <c r="M506" s="126">
        <f>IF(OR(F506="",N10="",N10&lt;=0),"",IF(LEN(F506)&lt;=N10,LEN(F506),IFERROR(FIND("♦",SUBSTITUTE(LEFT(F506,N10)," ","♦",LEN(LEFT(F506,N10))-LEN(SUBSTITUTE(LEFT(F506,N10)," ","")))),FIND(" ",F506&amp;" ",N10+1)-1)))</f>
        <v>1</v>
      </c>
      <c r="N506" s="234">
        <f t="shared" si="56"/>
        <v>489</v>
      </c>
      <c r="O506" s="165" t="str">
        <f t="shared" si="57"/>
        <v>0</v>
      </c>
      <c r="P506" s="234">
        <f t="shared" si="58"/>
        <v>1</v>
      </c>
      <c r="Q506" s="234">
        <f t="shared" si="59"/>
        <v>1</v>
      </c>
      <c r="DE506" s="152"/>
      <c r="DF506" s="160" t="s">
        <v>1931</v>
      </c>
      <c r="DG506" s="160" t="s">
        <v>122</v>
      </c>
      <c r="DH506" s="160" t="s">
        <v>125</v>
      </c>
      <c r="DI506" s="160" t="s">
        <v>1932</v>
      </c>
      <c r="DJ506" s="160" t="s">
        <v>1932</v>
      </c>
      <c r="DK506" s="160" t="s">
        <v>1259</v>
      </c>
      <c r="DL506" s="160" t="s">
        <v>1260</v>
      </c>
      <c r="DM506" s="160" t="s">
        <v>1812</v>
      </c>
      <c r="DN506" s="161" t="s">
        <v>1813</v>
      </c>
      <c r="DP506" s="130">
        <v>1</v>
      </c>
    </row>
    <row r="507" spans="2:120" ht="15">
      <c r="B507" s="231"/>
      <c r="C507" s="231"/>
      <c r="D507" s="231"/>
      <c r="E507" s="231" cm="1">
        <f t="array" ref="E507">IF(H506&lt;&gt;"",E506,IF(E506="","",IFERROR(MATCH(TRUE(),INDEX(INDEX(K:K,E506+1):K203&lt;&gt;"",0),0)+E506,"")))</f>
        <v>599</v>
      </c>
      <c r="F507" s="232" cm="1">
        <f t="array" ref="F507">IF(E507="","",IF(H506&lt;&gt;"",H506,INDEX(D:D,E507)))</f>
        <v>0</v>
      </c>
      <c r="G507" s="232" t="str">
        <f t="shared" si="54"/>
        <v>0</v>
      </c>
      <c r="H507" s="233" t="str">
        <f t="shared" si="55"/>
        <v/>
      </c>
      <c r="I507" s="231" t="str">
        <f>IF(AND(F507&lt;&gt;"",N10&gt;0,M507&gt;N10),"Mot &gt; limite","")</f>
        <v/>
      </c>
      <c r="M507" s="126">
        <f>IF(OR(F507="",N10="",N10&lt;=0),"",IF(LEN(F507)&lt;=N10,LEN(F507),IFERROR(FIND("♦",SUBSTITUTE(LEFT(F507,N10)," ","♦",LEN(LEFT(F507,N10))-LEN(SUBSTITUTE(LEFT(F507,N10)," ","")))),FIND(" ",F507&amp;" ",N10+1)-1)))</f>
        <v>1</v>
      </c>
      <c r="N507" s="234">
        <f t="shared" si="56"/>
        <v>490</v>
      </c>
      <c r="O507" s="165" t="str">
        <f t="shared" si="57"/>
        <v>0</v>
      </c>
      <c r="P507" s="234">
        <f t="shared" si="58"/>
        <v>1</v>
      </c>
      <c r="Q507" s="234">
        <f t="shared" si="59"/>
        <v>1</v>
      </c>
      <c r="DE507" s="152"/>
      <c r="DF507" s="160" t="s">
        <v>1933</v>
      </c>
      <c r="DG507" s="160" t="s">
        <v>122</v>
      </c>
      <c r="DH507" s="160" t="s">
        <v>125</v>
      </c>
      <c r="DI507" s="160" t="s">
        <v>1934</v>
      </c>
      <c r="DJ507" s="160" t="s">
        <v>1934</v>
      </c>
      <c r="DK507" s="160" t="s">
        <v>1259</v>
      </c>
      <c r="DL507" s="160" t="s">
        <v>1260</v>
      </c>
      <c r="DM507" s="160" t="s">
        <v>1812</v>
      </c>
      <c r="DN507" s="161" t="s">
        <v>1813</v>
      </c>
      <c r="DP507" s="130">
        <v>1</v>
      </c>
    </row>
    <row r="508" spans="2:120" ht="15">
      <c r="B508" s="231"/>
      <c r="C508" s="231"/>
      <c r="D508" s="231"/>
      <c r="E508" s="231" cm="1">
        <f t="array" ref="E508">IF(H507&lt;&gt;"",E507,IF(E507="","",IFERROR(MATCH(TRUE(),INDEX(INDEX(K:K,E507+1):K203&lt;&gt;"",0),0)+E507,"")))</f>
        <v>600</v>
      </c>
      <c r="F508" s="232" cm="1">
        <f t="array" ref="F508">IF(E508="","",IF(H507&lt;&gt;"",H507,INDEX(D:D,E508)))</f>
        <v>0</v>
      </c>
      <c r="G508" s="232" t="str">
        <f t="shared" si="54"/>
        <v>0</v>
      </c>
      <c r="H508" s="233" t="str">
        <f t="shared" si="55"/>
        <v/>
      </c>
      <c r="I508" s="231" t="str">
        <f>IF(AND(F508&lt;&gt;"",N10&gt;0,M508&gt;N10),"Mot &gt; limite","")</f>
        <v/>
      </c>
      <c r="M508" s="126">
        <f>IF(OR(F508="",N10="",N10&lt;=0),"",IF(LEN(F508)&lt;=N10,LEN(F508),IFERROR(FIND("♦",SUBSTITUTE(LEFT(F508,N10)," ","♦",LEN(LEFT(F508,N10))-LEN(SUBSTITUTE(LEFT(F508,N10)," ","")))),FIND(" ",F508&amp;" ",N10+1)-1)))</f>
        <v>1</v>
      </c>
      <c r="N508" s="234">
        <f t="shared" si="56"/>
        <v>491</v>
      </c>
      <c r="O508" s="165" t="str">
        <f t="shared" si="57"/>
        <v>0</v>
      </c>
      <c r="P508" s="234">
        <f t="shared" si="58"/>
        <v>1</v>
      </c>
      <c r="Q508" s="234">
        <f t="shared" si="59"/>
        <v>1</v>
      </c>
      <c r="DE508" s="152"/>
      <c r="DF508" s="160" t="s">
        <v>1935</v>
      </c>
      <c r="DG508" s="160" t="s">
        <v>122</v>
      </c>
      <c r="DH508" s="160" t="s">
        <v>125</v>
      </c>
      <c r="DI508" s="160" t="s">
        <v>1936</v>
      </c>
      <c r="DJ508" s="160" t="s">
        <v>1936</v>
      </c>
      <c r="DK508" s="160" t="s">
        <v>1259</v>
      </c>
      <c r="DL508" s="160" t="s">
        <v>1260</v>
      </c>
      <c r="DM508" s="160" t="s">
        <v>1812</v>
      </c>
      <c r="DN508" s="161" t="s">
        <v>1813</v>
      </c>
      <c r="DP508" s="130">
        <v>1</v>
      </c>
    </row>
    <row r="509" spans="2:120" ht="15">
      <c r="B509" s="231"/>
      <c r="C509" s="231"/>
      <c r="D509" s="231"/>
      <c r="E509" s="231" cm="1">
        <f t="array" ref="E509">IF(H508&lt;&gt;"",E508,IF(E508="","",IFERROR(MATCH(TRUE(),INDEX(INDEX(K:K,E508+1):K203&lt;&gt;"",0),0)+E508,"")))</f>
        <v>601</v>
      </c>
      <c r="F509" s="232" cm="1">
        <f t="array" ref="F509">IF(E509="","",IF(H508&lt;&gt;"",H508,INDEX(D:D,E509)))</f>
        <v>0</v>
      </c>
      <c r="G509" s="232" t="str">
        <f t="shared" si="54"/>
        <v>0</v>
      </c>
      <c r="H509" s="233" t="str">
        <f t="shared" si="55"/>
        <v/>
      </c>
      <c r="I509" s="231" t="str">
        <f>IF(AND(F509&lt;&gt;"",N10&gt;0,M509&gt;N10),"Mot &gt; limite","")</f>
        <v/>
      </c>
      <c r="M509" s="126">
        <f>IF(OR(F509="",N10="",N10&lt;=0),"",IF(LEN(F509)&lt;=N10,LEN(F509),IFERROR(FIND("♦",SUBSTITUTE(LEFT(F509,N10)," ","♦",LEN(LEFT(F509,N10))-LEN(SUBSTITUTE(LEFT(F509,N10)," ","")))),FIND(" ",F509&amp;" ",N10+1)-1)))</f>
        <v>1</v>
      </c>
      <c r="N509" s="234">
        <f t="shared" si="56"/>
        <v>492</v>
      </c>
      <c r="O509" s="165" t="str">
        <f t="shared" si="57"/>
        <v>0</v>
      </c>
      <c r="P509" s="234">
        <f t="shared" si="58"/>
        <v>1</v>
      </c>
      <c r="Q509" s="234">
        <f t="shared" si="59"/>
        <v>1</v>
      </c>
      <c r="DE509" s="152"/>
      <c r="DF509" s="160" t="s">
        <v>1937</v>
      </c>
      <c r="DG509" s="160" t="s">
        <v>122</v>
      </c>
      <c r="DH509" s="160" t="s">
        <v>125</v>
      </c>
      <c r="DI509" s="160" t="s">
        <v>1938</v>
      </c>
      <c r="DJ509" s="160" t="s">
        <v>1938</v>
      </c>
      <c r="DK509" s="160" t="s">
        <v>1259</v>
      </c>
      <c r="DL509" s="160" t="s">
        <v>1260</v>
      </c>
      <c r="DM509" s="160" t="s">
        <v>1812</v>
      </c>
      <c r="DN509" s="161" t="s">
        <v>1813</v>
      </c>
      <c r="DP509" s="130">
        <v>1</v>
      </c>
    </row>
    <row r="510" spans="2:120" ht="15">
      <c r="B510" s="231"/>
      <c r="C510" s="231"/>
      <c r="D510" s="231"/>
      <c r="E510" s="231" cm="1">
        <f t="array" ref="E510">IF(H509&lt;&gt;"",E509,IF(E509="","",IFERROR(MATCH(TRUE(),INDEX(INDEX(K:K,E509+1):K203&lt;&gt;"",0),0)+E509,"")))</f>
        <v>602</v>
      </c>
      <c r="F510" s="232" cm="1">
        <f t="array" ref="F510">IF(E510="","",IF(H509&lt;&gt;"",H509,INDEX(D:D,E510)))</f>
        <v>0</v>
      </c>
      <c r="G510" s="232" t="str">
        <f t="shared" si="54"/>
        <v>0</v>
      </c>
      <c r="H510" s="233" t="str">
        <f t="shared" si="55"/>
        <v/>
      </c>
      <c r="I510" s="231" t="str">
        <f>IF(AND(F510&lt;&gt;"",N10&gt;0,M510&gt;N10),"Mot &gt; limite","")</f>
        <v/>
      </c>
      <c r="M510" s="126">
        <f>IF(OR(F510="",N10="",N10&lt;=0),"",IF(LEN(F510)&lt;=N10,LEN(F510),IFERROR(FIND("♦",SUBSTITUTE(LEFT(F510,N10)," ","♦",LEN(LEFT(F510,N10))-LEN(SUBSTITUTE(LEFT(F510,N10)," ","")))),FIND(" ",F510&amp;" ",N10+1)-1)))</f>
        <v>1</v>
      </c>
      <c r="N510" s="234">
        <f t="shared" si="56"/>
        <v>493</v>
      </c>
      <c r="O510" s="165" t="str">
        <f t="shared" si="57"/>
        <v>0</v>
      </c>
      <c r="P510" s="234">
        <f t="shared" si="58"/>
        <v>1</v>
      </c>
      <c r="Q510" s="234">
        <f t="shared" si="59"/>
        <v>1</v>
      </c>
      <c r="DE510" s="152"/>
      <c r="DF510" s="160" t="s">
        <v>1939</v>
      </c>
      <c r="DG510" s="160" t="s">
        <v>122</v>
      </c>
      <c r="DH510" s="160" t="s">
        <v>125</v>
      </c>
      <c r="DI510" s="160" t="s">
        <v>1940</v>
      </c>
      <c r="DJ510" s="160" t="s">
        <v>1940</v>
      </c>
      <c r="DK510" s="160" t="s">
        <v>1259</v>
      </c>
      <c r="DL510" s="160" t="s">
        <v>1260</v>
      </c>
      <c r="DM510" s="160" t="s">
        <v>1812</v>
      </c>
      <c r="DN510" s="161" t="s">
        <v>1813</v>
      </c>
      <c r="DP510" s="130">
        <v>1</v>
      </c>
    </row>
    <row r="511" spans="2:120" ht="15">
      <c r="B511" s="231"/>
      <c r="C511" s="231"/>
      <c r="D511" s="231"/>
      <c r="E511" s="231" cm="1">
        <f t="array" ref="E511">IF(H510&lt;&gt;"",E510,IF(E510="","",IFERROR(MATCH(TRUE(),INDEX(INDEX(K:K,E510+1):K203&lt;&gt;"",0),0)+E510,"")))</f>
        <v>603</v>
      </c>
      <c r="F511" s="232" cm="1">
        <f t="array" ref="F511">IF(E511="","",IF(H510&lt;&gt;"",H510,INDEX(D:D,E511)))</f>
        <v>0</v>
      </c>
      <c r="G511" s="232" t="str">
        <f t="shared" si="54"/>
        <v>0</v>
      </c>
      <c r="H511" s="233" t="str">
        <f t="shared" si="55"/>
        <v/>
      </c>
      <c r="I511" s="231" t="str">
        <f>IF(AND(F511&lt;&gt;"",N10&gt;0,M511&gt;N10),"Mot &gt; limite","")</f>
        <v/>
      </c>
      <c r="M511" s="126">
        <f>IF(OR(F511="",N10="",N10&lt;=0),"",IF(LEN(F511)&lt;=N10,LEN(F511),IFERROR(FIND("♦",SUBSTITUTE(LEFT(F511,N10)," ","♦",LEN(LEFT(F511,N10))-LEN(SUBSTITUTE(LEFT(F511,N10)," ","")))),FIND(" ",F511&amp;" ",N10+1)-1)))</f>
        <v>1</v>
      </c>
      <c r="N511" s="234">
        <f t="shared" si="56"/>
        <v>494</v>
      </c>
      <c r="O511" s="165" t="str">
        <f t="shared" si="57"/>
        <v>0</v>
      </c>
      <c r="P511" s="234">
        <f t="shared" si="58"/>
        <v>1</v>
      </c>
      <c r="Q511" s="234">
        <f t="shared" si="59"/>
        <v>1</v>
      </c>
      <c r="DE511" s="152"/>
      <c r="DF511" s="160" t="s">
        <v>1941</v>
      </c>
      <c r="DG511" s="160" t="s">
        <v>122</v>
      </c>
      <c r="DH511" s="160" t="s">
        <v>125</v>
      </c>
      <c r="DI511" s="160" t="s">
        <v>1942</v>
      </c>
      <c r="DJ511" s="160" t="s">
        <v>1942</v>
      </c>
      <c r="DK511" s="160" t="s">
        <v>1259</v>
      </c>
      <c r="DL511" s="160" t="s">
        <v>1260</v>
      </c>
      <c r="DM511" s="160" t="s">
        <v>1812</v>
      </c>
      <c r="DN511" s="161" t="s">
        <v>1813</v>
      </c>
      <c r="DP511" s="130">
        <v>1</v>
      </c>
    </row>
    <row r="512" spans="2:120" ht="15">
      <c r="B512" s="231"/>
      <c r="C512" s="231"/>
      <c r="D512" s="231"/>
      <c r="E512" s="231" cm="1">
        <f t="array" ref="E512">IF(H511&lt;&gt;"",E511,IF(E511="","",IFERROR(MATCH(TRUE(),INDEX(INDEX(K:K,E511+1):K203&lt;&gt;"",0),0)+E511,"")))</f>
        <v>604</v>
      </c>
      <c r="F512" s="232" cm="1">
        <f t="array" ref="F512">IF(E512="","",IF(H511&lt;&gt;"",H511,INDEX(D:D,E512)))</f>
        <v>0</v>
      </c>
      <c r="G512" s="232" t="str">
        <f t="shared" si="54"/>
        <v>0</v>
      </c>
      <c r="H512" s="233" t="str">
        <f t="shared" si="55"/>
        <v/>
      </c>
      <c r="I512" s="231" t="str">
        <f>IF(AND(F512&lt;&gt;"",N10&gt;0,M512&gt;N10),"Mot &gt; limite","")</f>
        <v/>
      </c>
      <c r="M512" s="126">
        <f>IF(OR(F512="",N10="",N10&lt;=0),"",IF(LEN(F512)&lt;=N10,LEN(F512),IFERROR(FIND("♦",SUBSTITUTE(LEFT(F512,N10)," ","♦",LEN(LEFT(F512,N10))-LEN(SUBSTITUTE(LEFT(F512,N10)," ","")))),FIND(" ",F512&amp;" ",N10+1)-1)))</f>
        <v>1</v>
      </c>
      <c r="N512" s="234">
        <f t="shared" si="56"/>
        <v>495</v>
      </c>
      <c r="O512" s="165" t="str">
        <f t="shared" si="57"/>
        <v>0</v>
      </c>
      <c r="P512" s="234">
        <f t="shared" si="58"/>
        <v>1</v>
      </c>
      <c r="Q512" s="234">
        <f t="shared" si="59"/>
        <v>1</v>
      </c>
      <c r="DE512" s="152"/>
      <c r="DF512" s="160" t="s">
        <v>1943</v>
      </c>
      <c r="DG512" s="160" t="s">
        <v>122</v>
      </c>
      <c r="DH512" s="160" t="s">
        <v>125</v>
      </c>
      <c r="DI512" s="160" t="s">
        <v>1944</v>
      </c>
      <c r="DJ512" s="160" t="s">
        <v>1944</v>
      </c>
      <c r="DK512" s="160" t="s">
        <v>1259</v>
      </c>
      <c r="DL512" s="160" t="s">
        <v>1260</v>
      </c>
      <c r="DM512" s="160" t="s">
        <v>1812</v>
      </c>
      <c r="DN512" s="161" t="s">
        <v>1813</v>
      </c>
      <c r="DP512" s="130">
        <v>1</v>
      </c>
    </row>
    <row r="513" spans="2:120" ht="15">
      <c r="B513" s="231"/>
      <c r="C513" s="231"/>
      <c r="D513" s="231"/>
      <c r="E513" s="231" cm="1">
        <f t="array" ref="E513">IF(H512&lt;&gt;"",E512,IF(E512="","",IFERROR(MATCH(TRUE(),INDEX(INDEX(K:K,E512+1):K203&lt;&gt;"",0),0)+E512,"")))</f>
        <v>605</v>
      </c>
      <c r="F513" s="232" cm="1">
        <f t="array" ref="F513">IF(E513="","",IF(H512&lt;&gt;"",H512,INDEX(D:D,E513)))</f>
        <v>0</v>
      </c>
      <c r="G513" s="232" t="str">
        <f t="shared" si="54"/>
        <v>0</v>
      </c>
      <c r="H513" s="233" t="str">
        <f t="shared" si="55"/>
        <v/>
      </c>
      <c r="I513" s="231" t="str">
        <f>IF(AND(F513&lt;&gt;"",N10&gt;0,M513&gt;N10),"Mot &gt; limite","")</f>
        <v/>
      </c>
      <c r="M513" s="126">
        <f>IF(OR(F513="",N10="",N10&lt;=0),"",IF(LEN(F513)&lt;=N10,LEN(F513),IFERROR(FIND("♦",SUBSTITUTE(LEFT(F513,N10)," ","♦",LEN(LEFT(F513,N10))-LEN(SUBSTITUTE(LEFT(F513,N10)," ","")))),FIND(" ",F513&amp;" ",N10+1)-1)))</f>
        <v>1</v>
      </c>
      <c r="N513" s="234">
        <f t="shared" si="56"/>
        <v>496</v>
      </c>
      <c r="O513" s="165" t="str">
        <f t="shared" si="57"/>
        <v>0</v>
      </c>
      <c r="P513" s="234">
        <f t="shared" si="58"/>
        <v>1</v>
      </c>
      <c r="Q513" s="234">
        <f t="shared" si="59"/>
        <v>1</v>
      </c>
      <c r="DE513" s="152"/>
      <c r="DF513" s="160" t="s">
        <v>1945</v>
      </c>
      <c r="DG513" s="160" t="s">
        <v>122</v>
      </c>
      <c r="DH513" s="160" t="s">
        <v>125</v>
      </c>
      <c r="DI513" s="160" t="s">
        <v>1946</v>
      </c>
      <c r="DJ513" s="160" t="s">
        <v>1946</v>
      </c>
      <c r="DK513" s="160" t="s">
        <v>1259</v>
      </c>
      <c r="DL513" s="160" t="s">
        <v>1260</v>
      </c>
      <c r="DM513" s="160" t="s">
        <v>1812</v>
      </c>
      <c r="DN513" s="161" t="s">
        <v>1813</v>
      </c>
      <c r="DP513" s="130">
        <v>1</v>
      </c>
    </row>
    <row r="514" spans="2:120" ht="15">
      <c r="B514" s="231"/>
      <c r="C514" s="231"/>
      <c r="D514" s="231"/>
      <c r="E514" s="231" cm="1">
        <f t="array" ref="E514">IF(H513&lt;&gt;"",E513,IF(E513="","",IFERROR(MATCH(TRUE(),INDEX(INDEX(K:K,E513+1):K203&lt;&gt;"",0),0)+E513,"")))</f>
        <v>606</v>
      </c>
      <c r="F514" s="232" cm="1">
        <f t="array" ref="F514">IF(E514="","",IF(H513&lt;&gt;"",H513,INDEX(D:D,E514)))</f>
        <v>0</v>
      </c>
      <c r="G514" s="232" t="str">
        <f t="shared" si="54"/>
        <v>0</v>
      </c>
      <c r="H514" s="233" t="str">
        <f t="shared" si="55"/>
        <v/>
      </c>
      <c r="I514" s="231" t="str">
        <f>IF(AND(F514&lt;&gt;"",N10&gt;0,M514&gt;N10),"Mot &gt; limite","")</f>
        <v/>
      </c>
      <c r="M514" s="126">
        <f>IF(OR(F514="",N10="",N10&lt;=0),"",IF(LEN(F514)&lt;=N10,LEN(F514),IFERROR(FIND("♦",SUBSTITUTE(LEFT(F514,N10)," ","♦",LEN(LEFT(F514,N10))-LEN(SUBSTITUTE(LEFT(F514,N10)," ","")))),FIND(" ",F514&amp;" ",N10+1)-1)))</f>
        <v>1</v>
      </c>
      <c r="N514" s="234">
        <f t="shared" si="56"/>
        <v>497</v>
      </c>
      <c r="O514" s="165" t="str">
        <f t="shared" si="57"/>
        <v>0</v>
      </c>
      <c r="P514" s="234">
        <f t="shared" si="58"/>
        <v>1</v>
      </c>
      <c r="Q514" s="234">
        <f t="shared" si="59"/>
        <v>1</v>
      </c>
      <c r="DE514" s="152"/>
      <c r="DF514" s="160" t="s">
        <v>1947</v>
      </c>
      <c r="DG514" s="160" t="s">
        <v>122</v>
      </c>
      <c r="DH514" s="160" t="s">
        <v>125</v>
      </c>
      <c r="DI514" s="160" t="s">
        <v>285</v>
      </c>
      <c r="DJ514" s="160" t="s">
        <v>285</v>
      </c>
      <c r="DK514" s="160" t="s">
        <v>1259</v>
      </c>
      <c r="DL514" s="160" t="s">
        <v>1260</v>
      </c>
      <c r="DM514" s="160" t="s">
        <v>1812</v>
      </c>
      <c r="DN514" s="161" t="s">
        <v>1813</v>
      </c>
      <c r="DP514" s="130">
        <v>1</v>
      </c>
    </row>
    <row r="515" spans="2:120" ht="15">
      <c r="B515" s="231"/>
      <c r="C515" s="231"/>
      <c r="D515" s="231"/>
      <c r="E515" s="231" cm="1">
        <f t="array" ref="E515">IF(H514&lt;&gt;"",E514,IF(E514="","",IFERROR(MATCH(TRUE(),INDEX(INDEX(K:K,E514+1):K203&lt;&gt;"",0),0)+E514,"")))</f>
        <v>607</v>
      </c>
      <c r="F515" s="232" cm="1">
        <f t="array" ref="F515">IF(E515="","",IF(H514&lt;&gt;"",H514,INDEX(D:D,E515)))</f>
        <v>0</v>
      </c>
      <c r="G515" s="232" t="str">
        <f t="shared" si="54"/>
        <v>0</v>
      </c>
      <c r="H515" s="233" t="str">
        <f t="shared" si="55"/>
        <v/>
      </c>
      <c r="I515" s="231" t="str">
        <f>IF(AND(F515&lt;&gt;"",N10&gt;0,M515&gt;N10),"Mot &gt; limite","")</f>
        <v/>
      </c>
      <c r="M515" s="126">
        <f>IF(OR(F515="",N10="",N10&lt;=0),"",IF(LEN(F515)&lt;=N10,LEN(F515),IFERROR(FIND("♦",SUBSTITUTE(LEFT(F515,N10)," ","♦",LEN(LEFT(F515,N10))-LEN(SUBSTITUTE(LEFT(F515,N10)," ","")))),FIND(" ",F515&amp;" ",N10+1)-1)))</f>
        <v>1</v>
      </c>
      <c r="N515" s="234">
        <f t="shared" si="56"/>
        <v>498</v>
      </c>
      <c r="O515" s="165" t="str">
        <f t="shared" si="57"/>
        <v>0</v>
      </c>
      <c r="P515" s="234">
        <f t="shared" si="58"/>
        <v>1</v>
      </c>
      <c r="Q515" s="234">
        <f t="shared" si="59"/>
        <v>1</v>
      </c>
      <c r="DE515" s="152"/>
      <c r="DF515" s="160" t="s">
        <v>1948</v>
      </c>
      <c r="DG515" s="160" t="s">
        <v>122</v>
      </c>
      <c r="DH515" s="160" t="s">
        <v>125</v>
      </c>
      <c r="DI515" s="160" t="s">
        <v>1949</v>
      </c>
      <c r="DJ515" s="160" t="s">
        <v>1949</v>
      </c>
      <c r="DK515" s="160" t="s">
        <v>1259</v>
      </c>
      <c r="DL515" s="160" t="s">
        <v>1260</v>
      </c>
      <c r="DM515" s="160" t="s">
        <v>1812</v>
      </c>
      <c r="DN515" s="161" t="s">
        <v>1813</v>
      </c>
      <c r="DP515" s="130">
        <v>1</v>
      </c>
    </row>
    <row r="516" spans="2:120" ht="15">
      <c r="B516" s="231"/>
      <c r="C516" s="231"/>
      <c r="D516" s="231"/>
      <c r="E516" s="231" cm="1">
        <f t="array" ref="E516">IF(H515&lt;&gt;"",E515,IF(E515="","",IFERROR(MATCH(TRUE(),INDEX(INDEX(K:K,E515+1):K203&lt;&gt;"",0),0)+E515,"")))</f>
        <v>608</v>
      </c>
      <c r="F516" s="232" cm="1">
        <f t="array" ref="F516">IF(E516="","",IF(H515&lt;&gt;"",H515,INDEX(D:D,E516)))</f>
        <v>0</v>
      </c>
      <c r="G516" s="232" t="str">
        <f t="shared" si="54"/>
        <v>0</v>
      </c>
      <c r="H516" s="233" t="str">
        <f t="shared" si="55"/>
        <v/>
      </c>
      <c r="I516" s="231" t="str">
        <f>IF(AND(F516&lt;&gt;"",N10&gt;0,M516&gt;N10),"Mot &gt; limite","")</f>
        <v/>
      </c>
      <c r="M516" s="126">
        <f>IF(OR(F516="",N10="",N10&lt;=0),"",IF(LEN(F516)&lt;=N10,LEN(F516),IFERROR(FIND("♦",SUBSTITUTE(LEFT(F516,N10)," ","♦",LEN(LEFT(F516,N10))-LEN(SUBSTITUTE(LEFT(F516,N10)," ","")))),FIND(" ",F516&amp;" ",N10+1)-1)))</f>
        <v>1</v>
      </c>
      <c r="N516" s="234">
        <f t="shared" si="56"/>
        <v>499</v>
      </c>
      <c r="O516" s="165" t="str">
        <f t="shared" si="57"/>
        <v>0</v>
      </c>
      <c r="P516" s="234">
        <f t="shared" si="58"/>
        <v>1</v>
      </c>
      <c r="Q516" s="234">
        <f t="shared" si="59"/>
        <v>1</v>
      </c>
      <c r="DE516" s="152"/>
      <c r="DF516" s="160" t="s">
        <v>1950</v>
      </c>
      <c r="DG516" s="160" t="s">
        <v>122</v>
      </c>
      <c r="DH516" s="160" t="s">
        <v>125</v>
      </c>
      <c r="DI516" s="160" t="s">
        <v>1951</v>
      </c>
      <c r="DJ516" s="160" t="s">
        <v>1951</v>
      </c>
      <c r="DK516" s="160" t="s">
        <v>1259</v>
      </c>
      <c r="DL516" s="160" t="s">
        <v>1260</v>
      </c>
      <c r="DM516" s="160" t="s">
        <v>1812</v>
      </c>
      <c r="DN516" s="161" t="s">
        <v>1813</v>
      </c>
      <c r="DP516" s="130">
        <v>1</v>
      </c>
    </row>
    <row r="517" spans="2:120" ht="15">
      <c r="B517" s="231"/>
      <c r="C517" s="231"/>
      <c r="D517" s="231"/>
      <c r="E517" s="231" cm="1">
        <f t="array" ref="E517">IF(H516&lt;&gt;"",E516,IF(E516="","",IFERROR(MATCH(TRUE(),INDEX(INDEX(K:K,E516+1):K203&lt;&gt;"",0),0)+E516,"")))</f>
        <v>609</v>
      </c>
      <c r="F517" s="232" cm="1">
        <f t="array" ref="F517">IF(E517="","",IF(H516&lt;&gt;"",H516,INDEX(D:D,E517)))</f>
        <v>0</v>
      </c>
      <c r="G517" s="232" t="str">
        <f t="shared" si="54"/>
        <v>0</v>
      </c>
      <c r="H517" s="233" t="str">
        <f t="shared" si="55"/>
        <v/>
      </c>
      <c r="I517" s="231" t="str">
        <f>IF(AND(F517&lt;&gt;"",N10&gt;0,M517&gt;N10),"Mot &gt; limite","")</f>
        <v/>
      </c>
      <c r="M517" s="126">
        <f>IF(OR(F517="",N10="",N10&lt;=0),"",IF(LEN(F517)&lt;=N10,LEN(F517),IFERROR(FIND("♦",SUBSTITUTE(LEFT(F517,N10)," ","♦",LEN(LEFT(F517,N10))-LEN(SUBSTITUTE(LEFT(F517,N10)," ","")))),FIND(" ",F517&amp;" ",N10+1)-1)))</f>
        <v>1</v>
      </c>
      <c r="N517" s="234">
        <f t="shared" si="56"/>
        <v>500</v>
      </c>
      <c r="O517" s="165" t="str">
        <f t="shared" si="57"/>
        <v>0</v>
      </c>
      <c r="P517" s="234">
        <f t="shared" si="58"/>
        <v>1</v>
      </c>
      <c r="Q517" s="234">
        <f t="shared" si="59"/>
        <v>1</v>
      </c>
      <c r="DE517" s="152"/>
      <c r="DF517" s="160" t="s">
        <v>1952</v>
      </c>
      <c r="DG517" s="160" t="s">
        <v>122</v>
      </c>
      <c r="DH517" s="160" t="s">
        <v>125</v>
      </c>
      <c r="DI517" s="160" t="s">
        <v>1953</v>
      </c>
      <c r="DJ517" s="160" t="s">
        <v>1953</v>
      </c>
      <c r="DK517" s="160" t="s">
        <v>1259</v>
      </c>
      <c r="DL517" s="160" t="s">
        <v>1260</v>
      </c>
      <c r="DM517" s="160" t="s">
        <v>1812</v>
      </c>
      <c r="DN517" s="161" t="s">
        <v>1813</v>
      </c>
      <c r="DP517" s="130">
        <v>1</v>
      </c>
    </row>
    <row r="518" spans="2:120" ht="15">
      <c r="B518" s="231"/>
      <c r="C518" s="231"/>
      <c r="D518" s="231"/>
      <c r="E518" s="231" cm="1">
        <f t="array" ref="E518">IF(H517&lt;&gt;"",E517,IF(E517="","",IFERROR(MATCH(TRUE(),INDEX(INDEX(K:K,E517+1):K203&lt;&gt;"",0),0)+E517,"")))</f>
        <v>610</v>
      </c>
      <c r="F518" s="232" cm="1">
        <f t="array" ref="F518">IF(E518="","",IF(H517&lt;&gt;"",H517,INDEX(D:D,E518)))</f>
        <v>0</v>
      </c>
      <c r="G518" s="232" t="str">
        <f t="shared" si="54"/>
        <v>0</v>
      </c>
      <c r="H518" s="233" t="str">
        <f t="shared" si="55"/>
        <v/>
      </c>
      <c r="I518" s="231" t="str">
        <f>IF(AND(F518&lt;&gt;"",N10&gt;0,M518&gt;N10),"Mot &gt; limite","")</f>
        <v/>
      </c>
      <c r="M518" s="126">
        <f>IF(OR(F518="",N10="",N10&lt;=0),"",IF(LEN(F518)&lt;=N10,LEN(F518),IFERROR(FIND("♦",SUBSTITUTE(LEFT(F518,N10)," ","♦",LEN(LEFT(F518,N10))-LEN(SUBSTITUTE(LEFT(F518,N10)," ","")))),FIND(" ",F518&amp;" ",N10+1)-1)))</f>
        <v>1</v>
      </c>
      <c r="N518" s="234">
        <f t="shared" si="56"/>
        <v>501</v>
      </c>
      <c r="O518" s="165" t="str">
        <f t="shared" si="57"/>
        <v>0</v>
      </c>
      <c r="P518" s="234">
        <f t="shared" si="58"/>
        <v>1</v>
      </c>
      <c r="Q518" s="234">
        <f t="shared" si="59"/>
        <v>1</v>
      </c>
      <c r="DE518" s="152"/>
      <c r="DF518" s="160" t="s">
        <v>1954</v>
      </c>
      <c r="DG518" s="160" t="s">
        <v>122</v>
      </c>
      <c r="DH518" s="160" t="s">
        <v>125</v>
      </c>
      <c r="DI518" s="160" t="s">
        <v>1955</v>
      </c>
      <c r="DJ518" s="160" t="s">
        <v>1955</v>
      </c>
      <c r="DK518" s="160" t="s">
        <v>1259</v>
      </c>
      <c r="DL518" s="160" t="s">
        <v>1260</v>
      </c>
      <c r="DM518" s="160" t="s">
        <v>1812</v>
      </c>
      <c r="DN518" s="161" t="s">
        <v>1813</v>
      </c>
      <c r="DP518" s="130">
        <v>1</v>
      </c>
    </row>
    <row r="519" spans="2:120" ht="15">
      <c r="B519" s="231"/>
      <c r="C519" s="231"/>
      <c r="D519" s="231"/>
      <c r="E519" s="231" cm="1">
        <f t="array" ref="E519">IF(H518&lt;&gt;"",E518,IF(E518="","",IFERROR(MATCH(TRUE(),INDEX(INDEX(K:K,E518+1):K203&lt;&gt;"",0),0)+E518,"")))</f>
        <v>611</v>
      </c>
      <c r="F519" s="232" cm="1">
        <f t="array" ref="F519">IF(E519="","",IF(H518&lt;&gt;"",H518,INDEX(D:D,E519)))</f>
        <v>0</v>
      </c>
      <c r="G519" s="232" t="str">
        <f t="shared" si="54"/>
        <v>0</v>
      </c>
      <c r="H519" s="233" t="str">
        <f t="shared" si="55"/>
        <v/>
      </c>
      <c r="I519" s="231" t="str">
        <f>IF(AND(F519&lt;&gt;"",N10&gt;0,M519&gt;N10),"Mot &gt; limite","")</f>
        <v/>
      </c>
      <c r="M519" s="126">
        <f>IF(OR(F519="",N10="",N10&lt;=0),"",IF(LEN(F519)&lt;=N10,LEN(F519),IFERROR(FIND("♦",SUBSTITUTE(LEFT(F519,N10)," ","♦",LEN(LEFT(F519,N10))-LEN(SUBSTITUTE(LEFT(F519,N10)," ","")))),FIND(" ",F519&amp;" ",N10+1)-1)))</f>
        <v>1</v>
      </c>
      <c r="N519" s="234">
        <f t="shared" si="56"/>
        <v>502</v>
      </c>
      <c r="O519" s="165" t="str">
        <f t="shared" si="57"/>
        <v>0</v>
      </c>
      <c r="P519" s="234">
        <f t="shared" si="58"/>
        <v>1</v>
      </c>
      <c r="Q519" s="234">
        <f t="shared" si="59"/>
        <v>1</v>
      </c>
      <c r="DE519" s="152"/>
      <c r="DF519" s="160" t="s">
        <v>1956</v>
      </c>
      <c r="DG519" s="160" t="s">
        <v>122</v>
      </c>
      <c r="DH519" s="160" t="s">
        <v>125</v>
      </c>
      <c r="DI519" s="160" t="s">
        <v>1957</v>
      </c>
      <c r="DJ519" s="160" t="s">
        <v>1957</v>
      </c>
      <c r="DK519" s="160" t="s">
        <v>1259</v>
      </c>
      <c r="DL519" s="160" t="s">
        <v>1260</v>
      </c>
      <c r="DM519" s="160" t="s">
        <v>1812</v>
      </c>
      <c r="DN519" s="161" t="s">
        <v>1813</v>
      </c>
      <c r="DP519" s="130">
        <v>1</v>
      </c>
    </row>
    <row r="520" spans="2:120" ht="15">
      <c r="B520" s="231"/>
      <c r="C520" s="231"/>
      <c r="D520" s="231"/>
      <c r="E520" s="231" cm="1">
        <f t="array" ref="E520">IF(H519&lt;&gt;"",E519,IF(E519="","",IFERROR(MATCH(TRUE(),INDEX(INDEX(K:K,E519+1):K203&lt;&gt;"",0),0)+E519,"")))</f>
        <v>612</v>
      </c>
      <c r="F520" s="232" cm="1">
        <f t="array" ref="F520">IF(E520="","",IF(H519&lt;&gt;"",H519,INDEX(D:D,E520)))</f>
        <v>0</v>
      </c>
      <c r="G520" s="232" t="str">
        <f t="shared" si="54"/>
        <v>0</v>
      </c>
      <c r="H520" s="233" t="str">
        <f t="shared" si="55"/>
        <v/>
      </c>
      <c r="I520" s="231" t="str">
        <f>IF(AND(F520&lt;&gt;"",N10&gt;0,M520&gt;N10),"Mot &gt; limite","")</f>
        <v/>
      </c>
      <c r="M520" s="126">
        <f>IF(OR(F520="",N10="",N10&lt;=0),"",IF(LEN(F520)&lt;=N10,LEN(F520),IFERROR(FIND("♦",SUBSTITUTE(LEFT(F520,N10)," ","♦",LEN(LEFT(F520,N10))-LEN(SUBSTITUTE(LEFT(F520,N10)," ","")))),FIND(" ",F520&amp;" ",N10+1)-1)))</f>
        <v>1</v>
      </c>
      <c r="N520" s="234">
        <f t="shared" si="56"/>
        <v>503</v>
      </c>
      <c r="O520" s="165" t="str">
        <f t="shared" si="57"/>
        <v>0</v>
      </c>
      <c r="P520" s="234">
        <f t="shared" si="58"/>
        <v>1</v>
      </c>
      <c r="Q520" s="234">
        <f t="shared" si="59"/>
        <v>1</v>
      </c>
      <c r="DE520" s="152"/>
      <c r="DF520" s="160" t="s">
        <v>1958</v>
      </c>
      <c r="DG520" s="160" t="s">
        <v>122</v>
      </c>
      <c r="DH520" s="160" t="s">
        <v>125</v>
      </c>
      <c r="DI520" s="160" t="s">
        <v>1959</v>
      </c>
      <c r="DJ520" s="160" t="s">
        <v>1959</v>
      </c>
      <c r="DK520" s="160" t="s">
        <v>1259</v>
      </c>
      <c r="DL520" s="160" t="s">
        <v>1260</v>
      </c>
      <c r="DM520" s="160" t="s">
        <v>1812</v>
      </c>
      <c r="DN520" s="161" t="s">
        <v>1813</v>
      </c>
      <c r="DP520" s="130">
        <v>1</v>
      </c>
    </row>
    <row r="521" spans="2:120" ht="15">
      <c r="B521" s="231"/>
      <c r="C521" s="231"/>
      <c r="D521" s="231"/>
      <c r="E521" s="231" cm="1">
        <f t="array" ref="E521">IF(H520&lt;&gt;"",E520,IF(E520="","",IFERROR(MATCH(TRUE(),INDEX(INDEX(K:K,E520+1):K203&lt;&gt;"",0),0)+E520,"")))</f>
        <v>613</v>
      </c>
      <c r="F521" s="232" cm="1">
        <f t="array" ref="F521">IF(E521="","",IF(H520&lt;&gt;"",H520,INDEX(D:D,E521)))</f>
        <v>0</v>
      </c>
      <c r="G521" s="232" t="str">
        <f t="shared" si="54"/>
        <v>0</v>
      </c>
      <c r="H521" s="233" t="str">
        <f t="shared" si="55"/>
        <v/>
      </c>
      <c r="I521" s="231" t="str">
        <f>IF(AND(F521&lt;&gt;"",N10&gt;0,M521&gt;N10),"Mot &gt; limite","")</f>
        <v/>
      </c>
      <c r="M521" s="126">
        <f>IF(OR(F521="",N10="",N10&lt;=0),"",IF(LEN(F521)&lt;=N10,LEN(F521),IFERROR(FIND("♦",SUBSTITUTE(LEFT(F521,N10)," ","♦",LEN(LEFT(F521,N10))-LEN(SUBSTITUTE(LEFT(F521,N10)," ","")))),FIND(" ",F521&amp;" ",N10+1)-1)))</f>
        <v>1</v>
      </c>
      <c r="N521" s="234">
        <f t="shared" si="56"/>
        <v>504</v>
      </c>
      <c r="O521" s="165" t="str">
        <f t="shared" si="57"/>
        <v>0</v>
      </c>
      <c r="P521" s="234">
        <f t="shared" si="58"/>
        <v>1</v>
      </c>
      <c r="Q521" s="234">
        <f t="shared" si="59"/>
        <v>1</v>
      </c>
      <c r="DE521" s="152"/>
      <c r="DF521" s="160" t="s">
        <v>1960</v>
      </c>
      <c r="DG521" s="160" t="s">
        <v>122</v>
      </c>
      <c r="DH521" s="160" t="s">
        <v>125</v>
      </c>
      <c r="DI521" s="160" t="s">
        <v>1961</v>
      </c>
      <c r="DJ521" s="160" t="s">
        <v>1961</v>
      </c>
      <c r="DK521" s="160" t="s">
        <v>1259</v>
      </c>
      <c r="DL521" s="160" t="s">
        <v>1260</v>
      </c>
      <c r="DM521" s="160" t="s">
        <v>1812</v>
      </c>
      <c r="DN521" s="161" t="s">
        <v>1813</v>
      </c>
      <c r="DP521" s="130">
        <v>1</v>
      </c>
    </row>
    <row r="522" spans="2:120" ht="15">
      <c r="B522" s="231"/>
      <c r="C522" s="231"/>
      <c r="D522" s="231"/>
      <c r="E522" s="231" cm="1">
        <f t="array" ref="E522">IF(H521&lt;&gt;"",E521,IF(E521="","",IFERROR(MATCH(TRUE(),INDEX(INDEX(K:K,E521+1):K203&lt;&gt;"",0),0)+E521,"")))</f>
        <v>614</v>
      </c>
      <c r="F522" s="232" cm="1">
        <f t="array" ref="F522">IF(E522="","",IF(H521&lt;&gt;"",H521,INDEX(D:D,E522)))</f>
        <v>0</v>
      </c>
      <c r="G522" s="232" t="str">
        <f t="shared" si="54"/>
        <v>0</v>
      </c>
      <c r="H522" s="233" t="str">
        <f t="shared" si="55"/>
        <v/>
      </c>
      <c r="I522" s="231" t="str">
        <f>IF(AND(F522&lt;&gt;"",N10&gt;0,M522&gt;N10),"Mot &gt; limite","")</f>
        <v/>
      </c>
      <c r="M522" s="126">
        <f>IF(OR(F522="",N10="",N10&lt;=0),"",IF(LEN(F522)&lt;=N10,LEN(F522),IFERROR(FIND("♦",SUBSTITUTE(LEFT(F522,N10)," ","♦",LEN(LEFT(F522,N10))-LEN(SUBSTITUTE(LEFT(F522,N10)," ","")))),FIND(" ",F522&amp;" ",N10+1)-1)))</f>
        <v>1</v>
      </c>
      <c r="N522" s="234">
        <f t="shared" si="56"/>
        <v>505</v>
      </c>
      <c r="O522" s="165" t="str">
        <f t="shared" si="57"/>
        <v>0</v>
      </c>
      <c r="P522" s="234">
        <f t="shared" si="58"/>
        <v>1</v>
      </c>
      <c r="Q522" s="234">
        <f t="shared" si="59"/>
        <v>1</v>
      </c>
      <c r="DE522" s="152"/>
      <c r="DF522" s="160" t="s">
        <v>1962</v>
      </c>
      <c r="DG522" s="160" t="s">
        <v>122</v>
      </c>
      <c r="DH522" s="160" t="s">
        <v>125</v>
      </c>
      <c r="DI522" s="160" t="s">
        <v>1963</v>
      </c>
      <c r="DJ522" s="160" t="s">
        <v>1963</v>
      </c>
      <c r="DK522" s="160" t="s">
        <v>1259</v>
      </c>
      <c r="DL522" s="160" t="s">
        <v>1260</v>
      </c>
      <c r="DM522" s="160" t="s">
        <v>1812</v>
      </c>
      <c r="DN522" s="161" t="s">
        <v>1813</v>
      </c>
      <c r="DP522" s="130">
        <v>1</v>
      </c>
    </row>
    <row r="523" spans="2:120" ht="15">
      <c r="B523" s="231"/>
      <c r="C523" s="231"/>
      <c r="D523" s="231"/>
      <c r="E523" s="231" cm="1">
        <f t="array" ref="E523">IF(H522&lt;&gt;"",E522,IF(E522="","",IFERROR(MATCH(TRUE(),INDEX(INDEX(K:K,E522+1):K203&lt;&gt;"",0),0)+E522,"")))</f>
        <v>615</v>
      </c>
      <c r="F523" s="232" cm="1">
        <f t="array" ref="F523">IF(E523="","",IF(H522&lt;&gt;"",H522,INDEX(D:D,E523)))</f>
        <v>0</v>
      </c>
      <c r="G523" s="232" t="str">
        <f t="shared" si="54"/>
        <v>0</v>
      </c>
      <c r="H523" s="233" t="str">
        <f t="shared" si="55"/>
        <v/>
      </c>
      <c r="I523" s="231" t="str">
        <f>IF(AND(F523&lt;&gt;"",N10&gt;0,M523&gt;N10),"Mot &gt; limite","")</f>
        <v/>
      </c>
      <c r="M523" s="126">
        <f>IF(OR(F523="",N10="",N10&lt;=0),"",IF(LEN(F523)&lt;=N10,LEN(F523),IFERROR(FIND("♦",SUBSTITUTE(LEFT(F523,N10)," ","♦",LEN(LEFT(F523,N10))-LEN(SUBSTITUTE(LEFT(F523,N10)," ","")))),FIND(" ",F523&amp;" ",N10+1)-1)))</f>
        <v>1</v>
      </c>
      <c r="N523" s="234">
        <f t="shared" si="56"/>
        <v>506</v>
      </c>
      <c r="O523" s="165" t="str">
        <f t="shared" si="57"/>
        <v>0</v>
      </c>
      <c r="P523" s="234">
        <f t="shared" si="58"/>
        <v>1</v>
      </c>
      <c r="Q523" s="234">
        <f t="shared" si="59"/>
        <v>1</v>
      </c>
      <c r="DE523" s="152"/>
      <c r="DF523" s="160" t="s">
        <v>1964</v>
      </c>
      <c r="DG523" s="160" t="s">
        <v>122</v>
      </c>
      <c r="DH523" s="160" t="s">
        <v>125</v>
      </c>
      <c r="DI523" s="160" t="s">
        <v>1965</v>
      </c>
      <c r="DJ523" s="160" t="s">
        <v>1965</v>
      </c>
      <c r="DK523" s="160" t="s">
        <v>1259</v>
      </c>
      <c r="DL523" s="160" t="s">
        <v>1260</v>
      </c>
      <c r="DM523" s="160" t="s">
        <v>1812</v>
      </c>
      <c r="DN523" s="161" t="s">
        <v>1813</v>
      </c>
      <c r="DP523" s="130">
        <v>1</v>
      </c>
    </row>
    <row r="524" spans="2:120" ht="15">
      <c r="B524" s="231"/>
      <c r="C524" s="231"/>
      <c r="D524" s="231"/>
      <c r="E524" s="231" cm="1">
        <f t="array" ref="E524">IF(H523&lt;&gt;"",E523,IF(E523="","",IFERROR(MATCH(TRUE(),INDEX(INDEX(K:K,E523+1):K203&lt;&gt;"",0),0)+E523,"")))</f>
        <v>616</v>
      </c>
      <c r="F524" s="232" cm="1">
        <f t="array" ref="F524">IF(E524="","",IF(H523&lt;&gt;"",H523,INDEX(D:D,E524)))</f>
        <v>0</v>
      </c>
      <c r="G524" s="232" t="str">
        <f t="shared" si="54"/>
        <v>0</v>
      </c>
      <c r="H524" s="233" t="str">
        <f t="shared" si="55"/>
        <v/>
      </c>
      <c r="I524" s="231" t="str">
        <f>IF(AND(F524&lt;&gt;"",N10&gt;0,M524&gt;N10),"Mot &gt; limite","")</f>
        <v/>
      </c>
      <c r="M524" s="126">
        <f>IF(OR(F524="",N10="",N10&lt;=0),"",IF(LEN(F524)&lt;=N10,LEN(F524),IFERROR(FIND("♦",SUBSTITUTE(LEFT(F524,N10)," ","♦",LEN(LEFT(F524,N10))-LEN(SUBSTITUTE(LEFT(F524,N10)," ","")))),FIND(" ",F524&amp;" ",N10+1)-1)))</f>
        <v>1</v>
      </c>
      <c r="N524" s="234">
        <f t="shared" si="56"/>
        <v>507</v>
      </c>
      <c r="O524" s="165" t="str">
        <f t="shared" si="57"/>
        <v>0</v>
      </c>
      <c r="P524" s="234">
        <f t="shared" si="58"/>
        <v>1</v>
      </c>
      <c r="Q524" s="234">
        <f t="shared" si="59"/>
        <v>1</v>
      </c>
      <c r="DE524" s="152"/>
      <c r="DF524" s="160" t="s">
        <v>1966</v>
      </c>
      <c r="DG524" s="160" t="s">
        <v>122</v>
      </c>
      <c r="DH524" s="160" t="s">
        <v>125</v>
      </c>
      <c r="DI524" s="160" t="s">
        <v>1967</v>
      </c>
      <c r="DJ524" s="160" t="s">
        <v>1967</v>
      </c>
      <c r="DK524" s="160" t="s">
        <v>1259</v>
      </c>
      <c r="DL524" s="160" t="s">
        <v>1260</v>
      </c>
      <c r="DM524" s="160" t="s">
        <v>1812</v>
      </c>
      <c r="DN524" s="161" t="s">
        <v>1813</v>
      </c>
      <c r="DP524" s="130">
        <v>1</v>
      </c>
    </row>
    <row r="525" spans="2:120" ht="15">
      <c r="B525" s="231"/>
      <c r="C525" s="231"/>
      <c r="D525" s="231"/>
      <c r="E525" s="231" cm="1">
        <f t="array" ref="E525">IF(H524&lt;&gt;"",E524,IF(E524="","",IFERROR(MATCH(TRUE(),INDEX(INDEX(K:K,E524+1):K203&lt;&gt;"",0),0)+E524,"")))</f>
        <v>617</v>
      </c>
      <c r="F525" s="232" cm="1">
        <f t="array" ref="F525">IF(E525="","",IF(H524&lt;&gt;"",H524,INDEX(D:D,E525)))</f>
        <v>0</v>
      </c>
      <c r="G525" s="232" t="str">
        <f t="shared" si="54"/>
        <v>0</v>
      </c>
      <c r="H525" s="233" t="str">
        <f t="shared" si="55"/>
        <v/>
      </c>
      <c r="I525" s="231" t="str">
        <f>IF(AND(F525&lt;&gt;"",N10&gt;0,M525&gt;N10),"Mot &gt; limite","")</f>
        <v/>
      </c>
      <c r="M525" s="126">
        <f>IF(OR(F525="",N10="",N10&lt;=0),"",IF(LEN(F525)&lt;=N10,LEN(F525),IFERROR(FIND("♦",SUBSTITUTE(LEFT(F525,N10)," ","♦",LEN(LEFT(F525,N10))-LEN(SUBSTITUTE(LEFT(F525,N10)," ","")))),FIND(" ",F525&amp;" ",N10+1)-1)))</f>
        <v>1</v>
      </c>
      <c r="N525" s="234">
        <f t="shared" si="56"/>
        <v>508</v>
      </c>
      <c r="O525" s="165" t="str">
        <f t="shared" si="57"/>
        <v>0</v>
      </c>
      <c r="P525" s="234">
        <f t="shared" si="58"/>
        <v>1</v>
      </c>
      <c r="Q525" s="234">
        <f t="shared" si="59"/>
        <v>1</v>
      </c>
      <c r="DE525" s="152"/>
      <c r="DF525" s="160" t="s">
        <v>1968</v>
      </c>
      <c r="DG525" s="160" t="s">
        <v>122</v>
      </c>
      <c r="DH525" s="160" t="s">
        <v>125</v>
      </c>
      <c r="DI525" s="160" t="s">
        <v>1969</v>
      </c>
      <c r="DJ525" s="160" t="s">
        <v>1969</v>
      </c>
      <c r="DK525" s="160" t="s">
        <v>1259</v>
      </c>
      <c r="DL525" s="160" t="s">
        <v>1260</v>
      </c>
      <c r="DM525" s="160" t="s">
        <v>1812</v>
      </c>
      <c r="DN525" s="161" t="s">
        <v>1813</v>
      </c>
      <c r="DP525" s="130">
        <v>1</v>
      </c>
    </row>
    <row r="526" spans="2:120" ht="15">
      <c r="B526" s="231"/>
      <c r="C526" s="231"/>
      <c r="D526" s="231"/>
      <c r="E526" s="231" cm="1">
        <f t="array" ref="E526">IF(H525&lt;&gt;"",E525,IF(E525="","",IFERROR(MATCH(TRUE(),INDEX(INDEX(K:K,E525+1):K203&lt;&gt;"",0),0)+E525,"")))</f>
        <v>618</v>
      </c>
      <c r="F526" s="232" cm="1">
        <f t="array" ref="F526">IF(E526="","",IF(H525&lt;&gt;"",H525,INDEX(D:D,E526)))</f>
        <v>0</v>
      </c>
      <c r="G526" s="232" t="str">
        <f t="shared" si="54"/>
        <v>0</v>
      </c>
      <c r="H526" s="233" t="str">
        <f t="shared" si="55"/>
        <v/>
      </c>
      <c r="I526" s="231" t="str">
        <f>IF(AND(F526&lt;&gt;"",N10&gt;0,M526&gt;N10),"Mot &gt; limite","")</f>
        <v/>
      </c>
      <c r="M526" s="126">
        <f>IF(OR(F526="",N10="",N10&lt;=0),"",IF(LEN(F526)&lt;=N10,LEN(F526),IFERROR(FIND("♦",SUBSTITUTE(LEFT(F526,N10)," ","♦",LEN(LEFT(F526,N10))-LEN(SUBSTITUTE(LEFT(F526,N10)," ","")))),FIND(" ",F526&amp;" ",N10+1)-1)))</f>
        <v>1</v>
      </c>
      <c r="N526" s="234">
        <f t="shared" si="56"/>
        <v>509</v>
      </c>
      <c r="O526" s="165" t="str">
        <f t="shared" si="57"/>
        <v>0</v>
      </c>
      <c r="P526" s="234">
        <f t="shared" si="58"/>
        <v>1</v>
      </c>
      <c r="Q526" s="234">
        <f t="shared" si="59"/>
        <v>1</v>
      </c>
      <c r="DE526" s="152"/>
      <c r="DF526" s="160" t="s">
        <v>1970</v>
      </c>
      <c r="DG526" s="160" t="s">
        <v>122</v>
      </c>
      <c r="DH526" s="160" t="s">
        <v>125</v>
      </c>
      <c r="DI526" s="160" t="s">
        <v>1971</v>
      </c>
      <c r="DJ526" s="160" t="s">
        <v>1971</v>
      </c>
      <c r="DK526" s="160" t="s">
        <v>1259</v>
      </c>
      <c r="DL526" s="160" t="s">
        <v>1260</v>
      </c>
      <c r="DM526" s="160" t="s">
        <v>1812</v>
      </c>
      <c r="DN526" s="161" t="s">
        <v>1813</v>
      </c>
      <c r="DP526" s="130">
        <v>1</v>
      </c>
    </row>
    <row r="527" spans="2:120" ht="15">
      <c r="B527" s="231"/>
      <c r="C527" s="231"/>
      <c r="D527" s="231"/>
      <c r="E527" s="231" cm="1">
        <f t="array" ref="E527">IF(H526&lt;&gt;"",E526,IF(E526="","",IFERROR(MATCH(TRUE(),INDEX(INDEX(K:K,E526+1):K203&lt;&gt;"",0),0)+E526,"")))</f>
        <v>619</v>
      </c>
      <c r="F527" s="232" cm="1">
        <f t="array" ref="F527">IF(E527="","",IF(H526&lt;&gt;"",H526,INDEX(D:D,E527)))</f>
        <v>0</v>
      </c>
      <c r="G527" s="232" t="str">
        <f t="shared" si="54"/>
        <v>0</v>
      </c>
      <c r="H527" s="233" t="str">
        <f t="shared" si="55"/>
        <v/>
      </c>
      <c r="I527" s="231" t="str">
        <f>IF(AND(F527&lt;&gt;"",N10&gt;0,M527&gt;N10),"Mot &gt; limite","")</f>
        <v/>
      </c>
      <c r="M527" s="126">
        <f>IF(OR(F527="",N10="",N10&lt;=0),"",IF(LEN(F527)&lt;=N10,LEN(F527),IFERROR(FIND("♦",SUBSTITUTE(LEFT(F527,N10)," ","♦",LEN(LEFT(F527,N10))-LEN(SUBSTITUTE(LEFT(F527,N10)," ","")))),FIND(" ",F527&amp;" ",N10+1)-1)))</f>
        <v>1</v>
      </c>
      <c r="N527" s="234">
        <f t="shared" si="56"/>
        <v>510</v>
      </c>
      <c r="O527" s="165" t="str">
        <f t="shared" si="57"/>
        <v>0</v>
      </c>
      <c r="P527" s="234">
        <f t="shared" si="58"/>
        <v>1</v>
      </c>
      <c r="Q527" s="234">
        <f t="shared" si="59"/>
        <v>1</v>
      </c>
      <c r="DE527" s="152"/>
      <c r="DF527" s="160" t="s">
        <v>1972</v>
      </c>
      <c r="DG527" s="160" t="s">
        <v>122</v>
      </c>
      <c r="DH527" s="160" t="s">
        <v>125</v>
      </c>
      <c r="DI527" s="160" t="s">
        <v>1973</v>
      </c>
      <c r="DJ527" s="160" t="s">
        <v>1973</v>
      </c>
      <c r="DK527" s="160" t="s">
        <v>1259</v>
      </c>
      <c r="DL527" s="160" t="s">
        <v>1260</v>
      </c>
      <c r="DM527" s="160" t="s">
        <v>1812</v>
      </c>
      <c r="DN527" s="161" t="s">
        <v>1813</v>
      </c>
      <c r="DP527" s="130">
        <v>1</v>
      </c>
    </row>
    <row r="528" spans="2:120" ht="15">
      <c r="B528" s="231"/>
      <c r="C528" s="231"/>
      <c r="D528" s="231"/>
      <c r="E528" s="231" cm="1">
        <f t="array" ref="E528">IF(H527&lt;&gt;"",E527,IF(E527="","",IFERROR(MATCH(TRUE(),INDEX(INDEX(K:K,E527+1):K203&lt;&gt;"",0),0)+E527,"")))</f>
        <v>620</v>
      </c>
      <c r="F528" s="232" cm="1">
        <f t="array" ref="F528">IF(E528="","",IF(H527&lt;&gt;"",H527,INDEX(D:D,E528)))</f>
        <v>0</v>
      </c>
      <c r="G528" s="232" t="str">
        <f t="shared" si="54"/>
        <v>0</v>
      </c>
      <c r="H528" s="233" t="str">
        <f t="shared" si="55"/>
        <v/>
      </c>
      <c r="I528" s="231" t="str">
        <f>IF(AND(F528&lt;&gt;"",N10&gt;0,M528&gt;N10),"Mot &gt; limite","")</f>
        <v/>
      </c>
      <c r="M528" s="126">
        <f>IF(OR(F528="",N10="",N10&lt;=0),"",IF(LEN(F528)&lt;=N10,LEN(F528),IFERROR(FIND("♦",SUBSTITUTE(LEFT(F528,N10)," ","♦",LEN(LEFT(F528,N10))-LEN(SUBSTITUTE(LEFT(F528,N10)," ","")))),FIND(" ",F528&amp;" ",N10+1)-1)))</f>
        <v>1</v>
      </c>
      <c r="N528" s="234">
        <f t="shared" si="56"/>
        <v>511</v>
      </c>
      <c r="O528" s="165" t="str">
        <f t="shared" si="57"/>
        <v>0</v>
      </c>
      <c r="P528" s="234">
        <f t="shared" si="58"/>
        <v>1</v>
      </c>
      <c r="Q528" s="234">
        <f t="shared" si="59"/>
        <v>1</v>
      </c>
      <c r="DE528" s="152"/>
      <c r="DF528" s="160" t="s">
        <v>1974</v>
      </c>
      <c r="DG528" s="160" t="s">
        <v>122</v>
      </c>
      <c r="DH528" s="160" t="s">
        <v>125</v>
      </c>
      <c r="DI528" s="160" t="s">
        <v>1975</v>
      </c>
      <c r="DJ528" s="160" t="s">
        <v>1975</v>
      </c>
      <c r="DK528" s="160" t="s">
        <v>1259</v>
      </c>
      <c r="DL528" s="160" t="s">
        <v>1260</v>
      </c>
      <c r="DM528" s="160" t="s">
        <v>1812</v>
      </c>
      <c r="DN528" s="161" t="s">
        <v>1813</v>
      </c>
      <c r="DP528" s="130">
        <v>1</v>
      </c>
    </row>
    <row r="529" spans="2:120" ht="15">
      <c r="B529" s="231"/>
      <c r="C529" s="231"/>
      <c r="D529" s="231"/>
      <c r="E529" s="231" cm="1">
        <f t="array" ref="E529">IF(H528&lt;&gt;"",E528,IF(E528="","",IFERROR(MATCH(TRUE(),INDEX(INDEX(K:K,E528+1):K203&lt;&gt;"",0),0)+E528,"")))</f>
        <v>621</v>
      </c>
      <c r="F529" s="232" cm="1">
        <f t="array" ref="F529">IF(E529="","",IF(H528&lt;&gt;"",H528,INDEX(D:D,E529)))</f>
        <v>0</v>
      </c>
      <c r="G529" s="232" t="str">
        <f t="shared" si="54"/>
        <v>0</v>
      </c>
      <c r="H529" s="233" t="str">
        <f t="shared" si="55"/>
        <v/>
      </c>
      <c r="I529" s="231" t="str">
        <f>IF(AND(F529&lt;&gt;"",N10&gt;0,M529&gt;N10),"Mot &gt; limite","")</f>
        <v/>
      </c>
      <c r="M529" s="126">
        <f>IF(OR(F529="",N10="",N10&lt;=0),"",IF(LEN(F529)&lt;=N10,LEN(F529),IFERROR(FIND("♦",SUBSTITUTE(LEFT(F529,N10)," ","♦",LEN(LEFT(F529,N10))-LEN(SUBSTITUTE(LEFT(F529,N10)," ","")))),FIND(" ",F529&amp;" ",N10+1)-1)))</f>
        <v>1</v>
      </c>
      <c r="N529" s="234">
        <f t="shared" si="56"/>
        <v>512</v>
      </c>
      <c r="O529" s="165" t="str">
        <f t="shared" si="57"/>
        <v>0</v>
      </c>
      <c r="P529" s="234">
        <f t="shared" si="58"/>
        <v>1</v>
      </c>
      <c r="Q529" s="234">
        <f t="shared" si="59"/>
        <v>1</v>
      </c>
      <c r="DE529" s="152"/>
      <c r="DF529" s="160" t="s">
        <v>1976</v>
      </c>
      <c r="DG529" s="160" t="s">
        <v>122</v>
      </c>
      <c r="DH529" s="160" t="s">
        <v>125</v>
      </c>
      <c r="DI529" s="160" t="s">
        <v>1977</v>
      </c>
      <c r="DJ529" s="160" t="s">
        <v>1977</v>
      </c>
      <c r="DK529" s="160" t="s">
        <v>1259</v>
      </c>
      <c r="DL529" s="160" t="s">
        <v>1260</v>
      </c>
      <c r="DM529" s="160" t="s">
        <v>1812</v>
      </c>
      <c r="DN529" s="161" t="s">
        <v>1813</v>
      </c>
      <c r="DP529" s="130">
        <v>1</v>
      </c>
    </row>
    <row r="530" spans="2:120" ht="15">
      <c r="B530" s="231"/>
      <c r="C530" s="231"/>
      <c r="D530" s="231"/>
      <c r="E530" s="231" cm="1">
        <f t="array" ref="E530">IF(H529&lt;&gt;"",E529,IF(E529="","",IFERROR(MATCH(TRUE(),INDEX(INDEX(K:K,E529+1):K203&lt;&gt;"",0),0)+E529,"")))</f>
        <v>622</v>
      </c>
      <c r="F530" s="232" cm="1">
        <f t="array" ref="F530">IF(E530="","",IF(H529&lt;&gt;"",H529,INDEX(D:D,E530)))</f>
        <v>0</v>
      </c>
      <c r="G530" s="232" t="str">
        <f t="shared" ref="G530:G593" si="60">IF(OR(F530="",M530=""),"",LEFT(F530,M530))</f>
        <v>0</v>
      </c>
      <c r="H530" s="233" t="str">
        <f t="shared" ref="H530:H593" si="61">IF(OR(F530="",M530=""),"",TRIM(MID(F530,M530+1,99999)))</f>
        <v/>
      </c>
      <c r="I530" s="231" t="str">
        <f>IF(AND(F530&lt;&gt;"",N10&gt;0,M530&gt;N10),"Mot &gt; limite","")</f>
        <v/>
      </c>
      <c r="M530" s="126">
        <f>IF(OR(F530="",N10="",N10&lt;=0),"",IF(LEN(F530)&lt;=N10,LEN(F530),IFERROR(FIND("♦",SUBSTITUTE(LEFT(F530,N10)," ","♦",LEN(LEFT(F530,N10))-LEN(SUBSTITUTE(LEFT(F530,N10)," ","")))),FIND(" ",F530&amp;" ",N10+1)-1)))</f>
        <v>1</v>
      </c>
      <c r="N530" s="234">
        <f t="shared" ref="N530:N593" si="62">IF(O530="","",ROW()-17)</f>
        <v>513</v>
      </c>
      <c r="O530" s="165" t="str">
        <f t="shared" ref="O530:O593" si="63">G530</f>
        <v>0</v>
      </c>
      <c r="P530" s="234">
        <f t="shared" ref="P530:P593" si="64">IF(O530="","",LEN(TRIM(O530))-LEN(SUBSTITUTE(TRIM(O530)," ",""))+1)</f>
        <v>1</v>
      </c>
      <c r="Q530" s="234">
        <f t="shared" ref="Q530:Q593" si="65">IF(O530="","",LEN(O530))</f>
        <v>1</v>
      </c>
      <c r="DE530" s="152"/>
      <c r="DF530" s="160" t="s">
        <v>1978</v>
      </c>
      <c r="DG530" s="160" t="s">
        <v>122</v>
      </c>
      <c r="DH530" s="160" t="s">
        <v>125</v>
      </c>
      <c r="DI530" s="160" t="s">
        <v>1979</v>
      </c>
      <c r="DJ530" s="160" t="s">
        <v>1979</v>
      </c>
      <c r="DK530" s="160" t="s">
        <v>1259</v>
      </c>
      <c r="DL530" s="160" t="s">
        <v>1260</v>
      </c>
      <c r="DM530" s="160" t="s">
        <v>1812</v>
      </c>
      <c r="DN530" s="161" t="s">
        <v>1813</v>
      </c>
      <c r="DP530" s="130">
        <v>1</v>
      </c>
    </row>
    <row r="531" spans="2:120" ht="15">
      <c r="B531" s="231"/>
      <c r="C531" s="231"/>
      <c r="D531" s="231"/>
      <c r="E531" s="231" cm="1">
        <f t="array" ref="E531">IF(H530&lt;&gt;"",E530,IF(E530="","",IFERROR(MATCH(TRUE(),INDEX(INDEX(K:K,E530+1):K203&lt;&gt;"",0),0)+E530,"")))</f>
        <v>623</v>
      </c>
      <c r="F531" s="232" cm="1">
        <f t="array" ref="F531">IF(E531="","",IF(H530&lt;&gt;"",H530,INDEX(D:D,E531)))</f>
        <v>0</v>
      </c>
      <c r="G531" s="232" t="str">
        <f t="shared" si="60"/>
        <v>0</v>
      </c>
      <c r="H531" s="233" t="str">
        <f t="shared" si="61"/>
        <v/>
      </c>
      <c r="I531" s="231" t="str">
        <f>IF(AND(F531&lt;&gt;"",N10&gt;0,M531&gt;N10),"Mot &gt; limite","")</f>
        <v/>
      </c>
      <c r="M531" s="126">
        <f>IF(OR(F531="",N10="",N10&lt;=0),"",IF(LEN(F531)&lt;=N10,LEN(F531),IFERROR(FIND("♦",SUBSTITUTE(LEFT(F531,N10)," ","♦",LEN(LEFT(F531,N10))-LEN(SUBSTITUTE(LEFT(F531,N10)," ","")))),FIND(" ",F531&amp;" ",N10+1)-1)))</f>
        <v>1</v>
      </c>
      <c r="N531" s="234">
        <f t="shared" si="62"/>
        <v>514</v>
      </c>
      <c r="O531" s="165" t="str">
        <f t="shared" si="63"/>
        <v>0</v>
      </c>
      <c r="P531" s="234">
        <f t="shared" si="64"/>
        <v>1</v>
      </c>
      <c r="Q531" s="234">
        <f t="shared" si="65"/>
        <v>1</v>
      </c>
      <c r="DE531" s="152"/>
      <c r="DF531" s="160" t="s">
        <v>1980</v>
      </c>
      <c r="DG531" s="160" t="s">
        <v>122</v>
      </c>
      <c r="DH531" s="160" t="s">
        <v>125</v>
      </c>
      <c r="DI531" s="160" t="s">
        <v>1981</v>
      </c>
      <c r="DJ531" s="160" t="s">
        <v>1981</v>
      </c>
      <c r="DK531" s="160" t="s">
        <v>1259</v>
      </c>
      <c r="DL531" s="160" t="s">
        <v>1260</v>
      </c>
      <c r="DM531" s="160" t="s">
        <v>1812</v>
      </c>
      <c r="DN531" s="161" t="s">
        <v>1813</v>
      </c>
      <c r="DP531" s="130">
        <v>1</v>
      </c>
    </row>
    <row r="532" spans="2:120" ht="15">
      <c r="B532" s="231"/>
      <c r="C532" s="231"/>
      <c r="D532" s="231"/>
      <c r="E532" s="231" cm="1">
        <f t="array" ref="E532">IF(H531&lt;&gt;"",E531,IF(E531="","",IFERROR(MATCH(TRUE(),INDEX(INDEX(K:K,E531+1):K203&lt;&gt;"",0),0)+E531,"")))</f>
        <v>624</v>
      </c>
      <c r="F532" s="232" cm="1">
        <f t="array" ref="F532">IF(E532="","",IF(H531&lt;&gt;"",H531,INDEX(D:D,E532)))</f>
        <v>0</v>
      </c>
      <c r="G532" s="232" t="str">
        <f t="shared" si="60"/>
        <v>0</v>
      </c>
      <c r="H532" s="233" t="str">
        <f t="shared" si="61"/>
        <v/>
      </c>
      <c r="I532" s="231" t="str">
        <f>IF(AND(F532&lt;&gt;"",N10&gt;0,M532&gt;N10),"Mot &gt; limite","")</f>
        <v/>
      </c>
      <c r="M532" s="126">
        <f>IF(OR(F532="",N10="",N10&lt;=0),"",IF(LEN(F532)&lt;=N10,LEN(F532),IFERROR(FIND("♦",SUBSTITUTE(LEFT(F532,N10)," ","♦",LEN(LEFT(F532,N10))-LEN(SUBSTITUTE(LEFT(F532,N10)," ","")))),FIND(" ",F532&amp;" ",N10+1)-1)))</f>
        <v>1</v>
      </c>
      <c r="N532" s="234">
        <f t="shared" si="62"/>
        <v>515</v>
      </c>
      <c r="O532" s="165" t="str">
        <f t="shared" si="63"/>
        <v>0</v>
      </c>
      <c r="P532" s="234">
        <f t="shared" si="64"/>
        <v>1</v>
      </c>
      <c r="Q532" s="234">
        <f t="shared" si="65"/>
        <v>1</v>
      </c>
      <c r="DE532" s="152"/>
      <c r="DF532" s="160" t="s">
        <v>1982</v>
      </c>
      <c r="DG532" s="160" t="s">
        <v>122</v>
      </c>
      <c r="DH532" s="160" t="s">
        <v>125</v>
      </c>
      <c r="DI532" s="160" t="s">
        <v>1983</v>
      </c>
      <c r="DJ532" s="160" t="s">
        <v>1983</v>
      </c>
      <c r="DK532" s="160" t="s">
        <v>1259</v>
      </c>
      <c r="DL532" s="160" t="s">
        <v>1260</v>
      </c>
      <c r="DM532" s="160" t="s">
        <v>1812</v>
      </c>
      <c r="DN532" s="161" t="s">
        <v>1813</v>
      </c>
      <c r="DP532" s="130">
        <v>1</v>
      </c>
    </row>
    <row r="533" spans="2:120" ht="15">
      <c r="B533" s="231"/>
      <c r="C533" s="231"/>
      <c r="D533" s="231"/>
      <c r="E533" s="231" cm="1">
        <f t="array" ref="E533">IF(H532&lt;&gt;"",E532,IF(E532="","",IFERROR(MATCH(TRUE(),INDEX(INDEX(K:K,E532+1):K203&lt;&gt;"",0),0)+E532,"")))</f>
        <v>625</v>
      </c>
      <c r="F533" s="232" cm="1">
        <f t="array" ref="F533">IF(E533="","",IF(H532&lt;&gt;"",H532,INDEX(D:D,E533)))</f>
        <v>0</v>
      </c>
      <c r="G533" s="232" t="str">
        <f t="shared" si="60"/>
        <v>0</v>
      </c>
      <c r="H533" s="233" t="str">
        <f t="shared" si="61"/>
        <v/>
      </c>
      <c r="I533" s="231" t="str">
        <f>IF(AND(F533&lt;&gt;"",N10&gt;0,M533&gt;N10),"Mot &gt; limite","")</f>
        <v/>
      </c>
      <c r="M533" s="126">
        <f>IF(OR(F533="",N10="",N10&lt;=0),"",IF(LEN(F533)&lt;=N10,LEN(F533),IFERROR(FIND("♦",SUBSTITUTE(LEFT(F533,N10)," ","♦",LEN(LEFT(F533,N10))-LEN(SUBSTITUTE(LEFT(F533,N10)," ","")))),FIND(" ",F533&amp;" ",N10+1)-1)))</f>
        <v>1</v>
      </c>
      <c r="N533" s="234">
        <f t="shared" si="62"/>
        <v>516</v>
      </c>
      <c r="O533" s="165" t="str">
        <f t="shared" si="63"/>
        <v>0</v>
      </c>
      <c r="P533" s="234">
        <f t="shared" si="64"/>
        <v>1</v>
      </c>
      <c r="Q533" s="234">
        <f t="shared" si="65"/>
        <v>1</v>
      </c>
      <c r="DE533" s="152"/>
      <c r="DF533" s="160" t="s">
        <v>1984</v>
      </c>
      <c r="DG533" s="160" t="s">
        <v>122</v>
      </c>
      <c r="DH533" s="160" t="s">
        <v>125</v>
      </c>
      <c r="DI533" s="160" t="s">
        <v>1985</v>
      </c>
      <c r="DJ533" s="160" t="s">
        <v>1985</v>
      </c>
      <c r="DK533" s="160" t="s">
        <v>1259</v>
      </c>
      <c r="DL533" s="160" t="s">
        <v>1260</v>
      </c>
      <c r="DM533" s="160" t="s">
        <v>1812</v>
      </c>
      <c r="DN533" s="161" t="s">
        <v>1813</v>
      </c>
      <c r="DP533" s="130">
        <v>1</v>
      </c>
    </row>
    <row r="534" spans="2:120" ht="15">
      <c r="B534" s="231"/>
      <c r="C534" s="231"/>
      <c r="D534" s="231"/>
      <c r="E534" s="231" cm="1">
        <f t="array" ref="E534">IF(H533&lt;&gt;"",E533,IF(E533="","",IFERROR(MATCH(TRUE(),INDEX(INDEX(K:K,E533+1):K203&lt;&gt;"",0),0)+E533,"")))</f>
        <v>626</v>
      </c>
      <c r="F534" s="232" cm="1">
        <f t="array" ref="F534">IF(E534="","",IF(H533&lt;&gt;"",H533,INDEX(D:D,E534)))</f>
        <v>0</v>
      </c>
      <c r="G534" s="232" t="str">
        <f t="shared" si="60"/>
        <v>0</v>
      </c>
      <c r="H534" s="233" t="str">
        <f t="shared" si="61"/>
        <v/>
      </c>
      <c r="I534" s="231" t="str">
        <f>IF(AND(F534&lt;&gt;"",N10&gt;0,M534&gt;N10),"Mot &gt; limite","")</f>
        <v/>
      </c>
      <c r="M534" s="126">
        <f>IF(OR(F534="",N10="",N10&lt;=0),"",IF(LEN(F534)&lt;=N10,LEN(F534),IFERROR(FIND("♦",SUBSTITUTE(LEFT(F534,N10)," ","♦",LEN(LEFT(F534,N10))-LEN(SUBSTITUTE(LEFT(F534,N10)," ","")))),FIND(" ",F534&amp;" ",N10+1)-1)))</f>
        <v>1</v>
      </c>
      <c r="N534" s="234">
        <f t="shared" si="62"/>
        <v>517</v>
      </c>
      <c r="O534" s="165" t="str">
        <f t="shared" si="63"/>
        <v>0</v>
      </c>
      <c r="P534" s="234">
        <f t="shared" si="64"/>
        <v>1</v>
      </c>
      <c r="Q534" s="234">
        <f t="shared" si="65"/>
        <v>1</v>
      </c>
      <c r="DE534" s="152"/>
      <c r="DF534" s="160" t="s">
        <v>1986</v>
      </c>
      <c r="DG534" s="160" t="s">
        <v>122</v>
      </c>
      <c r="DH534" s="160" t="s">
        <v>125</v>
      </c>
      <c r="DI534" s="160" t="s">
        <v>1987</v>
      </c>
      <c r="DJ534" s="160" t="s">
        <v>1987</v>
      </c>
      <c r="DK534" s="160" t="s">
        <v>1259</v>
      </c>
      <c r="DL534" s="160" t="s">
        <v>1260</v>
      </c>
      <c r="DM534" s="160" t="s">
        <v>1812</v>
      </c>
      <c r="DN534" s="161" t="s">
        <v>1813</v>
      </c>
      <c r="DP534" s="130">
        <v>1</v>
      </c>
    </row>
    <row r="535" spans="2:120" ht="15">
      <c r="B535" s="231"/>
      <c r="C535" s="231"/>
      <c r="D535" s="231"/>
      <c r="E535" s="231" cm="1">
        <f t="array" ref="E535">IF(H534&lt;&gt;"",E534,IF(E534="","",IFERROR(MATCH(TRUE(),INDEX(INDEX(K:K,E534+1):K203&lt;&gt;"",0),0)+E534,"")))</f>
        <v>627</v>
      </c>
      <c r="F535" s="232" cm="1">
        <f t="array" ref="F535">IF(E535="","",IF(H534&lt;&gt;"",H534,INDEX(D:D,E535)))</f>
        <v>0</v>
      </c>
      <c r="G535" s="232" t="str">
        <f t="shared" si="60"/>
        <v>0</v>
      </c>
      <c r="H535" s="233" t="str">
        <f t="shared" si="61"/>
        <v/>
      </c>
      <c r="I535" s="231" t="str">
        <f>IF(AND(F535&lt;&gt;"",N10&gt;0,M535&gt;N10),"Mot &gt; limite","")</f>
        <v/>
      </c>
      <c r="M535" s="126">
        <f>IF(OR(F535="",N10="",N10&lt;=0),"",IF(LEN(F535)&lt;=N10,LEN(F535),IFERROR(FIND("♦",SUBSTITUTE(LEFT(F535,N10)," ","♦",LEN(LEFT(F535,N10))-LEN(SUBSTITUTE(LEFT(F535,N10)," ","")))),FIND(" ",F535&amp;" ",N10+1)-1)))</f>
        <v>1</v>
      </c>
      <c r="N535" s="234">
        <f t="shared" si="62"/>
        <v>518</v>
      </c>
      <c r="O535" s="165" t="str">
        <f t="shared" si="63"/>
        <v>0</v>
      </c>
      <c r="P535" s="234">
        <f t="shared" si="64"/>
        <v>1</v>
      </c>
      <c r="Q535" s="234">
        <f t="shared" si="65"/>
        <v>1</v>
      </c>
      <c r="DE535" s="152"/>
      <c r="DF535" s="160" t="s">
        <v>1988</v>
      </c>
      <c r="DG535" s="160" t="s">
        <v>122</v>
      </c>
      <c r="DH535" s="160" t="s">
        <v>125</v>
      </c>
      <c r="DI535" s="160" t="s">
        <v>1989</v>
      </c>
      <c r="DJ535" s="160" t="s">
        <v>1989</v>
      </c>
      <c r="DK535" s="160" t="s">
        <v>1259</v>
      </c>
      <c r="DL535" s="160" t="s">
        <v>1260</v>
      </c>
      <c r="DM535" s="160" t="s">
        <v>1812</v>
      </c>
      <c r="DN535" s="161" t="s">
        <v>1813</v>
      </c>
      <c r="DP535" s="130">
        <v>1</v>
      </c>
    </row>
    <row r="536" spans="2:120" ht="15">
      <c r="B536" s="231"/>
      <c r="C536" s="231"/>
      <c r="D536" s="231"/>
      <c r="E536" s="231" cm="1">
        <f t="array" ref="E536">IF(H535&lt;&gt;"",E535,IF(E535="","",IFERROR(MATCH(TRUE(),INDEX(INDEX(K:K,E535+1):K203&lt;&gt;"",0),0)+E535,"")))</f>
        <v>628</v>
      </c>
      <c r="F536" s="232" cm="1">
        <f t="array" ref="F536">IF(E536="","",IF(H535&lt;&gt;"",H535,INDEX(D:D,E536)))</f>
        <v>0</v>
      </c>
      <c r="G536" s="232" t="str">
        <f t="shared" si="60"/>
        <v>0</v>
      </c>
      <c r="H536" s="233" t="str">
        <f t="shared" si="61"/>
        <v/>
      </c>
      <c r="I536" s="231" t="str">
        <f>IF(AND(F536&lt;&gt;"",N10&gt;0,M536&gt;N10),"Mot &gt; limite","")</f>
        <v/>
      </c>
      <c r="M536" s="126">
        <f>IF(OR(F536="",N10="",N10&lt;=0),"",IF(LEN(F536)&lt;=N10,LEN(F536),IFERROR(FIND("♦",SUBSTITUTE(LEFT(F536,N10)," ","♦",LEN(LEFT(F536,N10))-LEN(SUBSTITUTE(LEFT(F536,N10)," ","")))),FIND(" ",F536&amp;" ",N10+1)-1)))</f>
        <v>1</v>
      </c>
      <c r="N536" s="234">
        <f t="shared" si="62"/>
        <v>519</v>
      </c>
      <c r="O536" s="165" t="str">
        <f t="shared" si="63"/>
        <v>0</v>
      </c>
      <c r="P536" s="234">
        <f t="shared" si="64"/>
        <v>1</v>
      </c>
      <c r="Q536" s="234">
        <f t="shared" si="65"/>
        <v>1</v>
      </c>
      <c r="DE536" s="152"/>
      <c r="DF536" s="160" t="s">
        <v>1990</v>
      </c>
      <c r="DG536" s="160" t="s">
        <v>122</v>
      </c>
      <c r="DH536" s="160" t="s">
        <v>125</v>
      </c>
      <c r="DI536" s="160" t="s">
        <v>1991</v>
      </c>
      <c r="DJ536" s="160" t="s">
        <v>1991</v>
      </c>
      <c r="DK536" s="160" t="s">
        <v>1259</v>
      </c>
      <c r="DL536" s="160" t="s">
        <v>1260</v>
      </c>
      <c r="DM536" s="160" t="s">
        <v>1812</v>
      </c>
      <c r="DN536" s="161" t="s">
        <v>1813</v>
      </c>
      <c r="DP536" s="130">
        <v>1</v>
      </c>
    </row>
    <row r="537" spans="2:120" ht="15">
      <c r="B537" s="231"/>
      <c r="C537" s="231"/>
      <c r="D537" s="231"/>
      <c r="E537" s="231" cm="1">
        <f t="array" ref="E537">IF(H536&lt;&gt;"",E536,IF(E536="","",IFERROR(MATCH(TRUE(),INDEX(INDEX(K:K,E536+1):K203&lt;&gt;"",0),0)+E536,"")))</f>
        <v>629</v>
      </c>
      <c r="F537" s="232" cm="1">
        <f t="array" ref="F537">IF(E537="","",IF(H536&lt;&gt;"",H536,INDEX(D:D,E537)))</f>
        <v>0</v>
      </c>
      <c r="G537" s="232" t="str">
        <f t="shared" si="60"/>
        <v>0</v>
      </c>
      <c r="H537" s="233" t="str">
        <f t="shared" si="61"/>
        <v/>
      </c>
      <c r="I537" s="231" t="str">
        <f>IF(AND(F537&lt;&gt;"",N10&gt;0,M537&gt;N10),"Mot &gt; limite","")</f>
        <v/>
      </c>
      <c r="M537" s="126">
        <f>IF(OR(F537="",N10="",N10&lt;=0),"",IF(LEN(F537)&lt;=N10,LEN(F537),IFERROR(FIND("♦",SUBSTITUTE(LEFT(F537,N10)," ","♦",LEN(LEFT(F537,N10))-LEN(SUBSTITUTE(LEFT(F537,N10)," ","")))),FIND(" ",F537&amp;" ",N10+1)-1)))</f>
        <v>1</v>
      </c>
      <c r="N537" s="234">
        <f t="shared" si="62"/>
        <v>520</v>
      </c>
      <c r="O537" s="165" t="str">
        <f t="shared" si="63"/>
        <v>0</v>
      </c>
      <c r="P537" s="234">
        <f t="shared" si="64"/>
        <v>1</v>
      </c>
      <c r="Q537" s="234">
        <f t="shared" si="65"/>
        <v>1</v>
      </c>
      <c r="DE537" s="152"/>
      <c r="DF537" s="160" t="s">
        <v>1992</v>
      </c>
      <c r="DG537" s="160" t="s">
        <v>122</v>
      </c>
      <c r="DH537" s="160" t="s">
        <v>125</v>
      </c>
      <c r="DI537" s="160" t="s">
        <v>1993</v>
      </c>
      <c r="DJ537" s="160" t="s">
        <v>1993</v>
      </c>
      <c r="DK537" s="160" t="s">
        <v>1259</v>
      </c>
      <c r="DL537" s="160" t="s">
        <v>1260</v>
      </c>
      <c r="DM537" s="160" t="s">
        <v>1812</v>
      </c>
      <c r="DN537" s="161" t="s">
        <v>1813</v>
      </c>
      <c r="DP537" s="130">
        <v>1</v>
      </c>
    </row>
    <row r="538" spans="2:120" ht="15">
      <c r="B538" s="231"/>
      <c r="C538" s="231"/>
      <c r="D538" s="231"/>
      <c r="E538" s="231" cm="1">
        <f t="array" ref="E538">IF(H537&lt;&gt;"",E537,IF(E537="","",IFERROR(MATCH(TRUE(),INDEX(INDEX(K:K,E537+1):K203&lt;&gt;"",0),0)+E537,"")))</f>
        <v>630</v>
      </c>
      <c r="F538" s="232" cm="1">
        <f t="array" ref="F538">IF(E538="","",IF(H537&lt;&gt;"",H537,INDEX(D:D,E538)))</f>
        <v>0</v>
      </c>
      <c r="G538" s="232" t="str">
        <f t="shared" si="60"/>
        <v>0</v>
      </c>
      <c r="H538" s="233" t="str">
        <f t="shared" si="61"/>
        <v/>
      </c>
      <c r="I538" s="231" t="str">
        <f>IF(AND(F538&lt;&gt;"",N10&gt;0,M538&gt;N10),"Mot &gt; limite","")</f>
        <v/>
      </c>
      <c r="M538" s="126">
        <f>IF(OR(F538="",N10="",N10&lt;=0),"",IF(LEN(F538)&lt;=N10,LEN(F538),IFERROR(FIND("♦",SUBSTITUTE(LEFT(F538,N10)," ","♦",LEN(LEFT(F538,N10))-LEN(SUBSTITUTE(LEFT(F538,N10)," ","")))),FIND(" ",F538&amp;" ",N10+1)-1)))</f>
        <v>1</v>
      </c>
      <c r="N538" s="234">
        <f t="shared" si="62"/>
        <v>521</v>
      </c>
      <c r="O538" s="165" t="str">
        <f t="shared" si="63"/>
        <v>0</v>
      </c>
      <c r="P538" s="234">
        <f t="shared" si="64"/>
        <v>1</v>
      </c>
      <c r="Q538" s="234">
        <f t="shared" si="65"/>
        <v>1</v>
      </c>
      <c r="DE538" s="152"/>
      <c r="DF538" s="160" t="s">
        <v>1994</v>
      </c>
      <c r="DG538" s="160" t="s">
        <v>122</v>
      </c>
      <c r="DH538" s="160" t="s">
        <v>125</v>
      </c>
      <c r="DI538" s="160" t="s">
        <v>1995</v>
      </c>
      <c r="DJ538" s="160" t="s">
        <v>1995</v>
      </c>
      <c r="DK538" s="160" t="s">
        <v>1259</v>
      </c>
      <c r="DL538" s="160" t="s">
        <v>1260</v>
      </c>
      <c r="DM538" s="160" t="s">
        <v>1812</v>
      </c>
      <c r="DN538" s="161" t="s">
        <v>1813</v>
      </c>
      <c r="DP538" s="130">
        <v>1</v>
      </c>
    </row>
    <row r="539" spans="2:120" ht="15">
      <c r="B539" s="231"/>
      <c r="C539" s="231"/>
      <c r="D539" s="231"/>
      <c r="E539" s="231" cm="1">
        <f t="array" ref="E539">IF(H538&lt;&gt;"",E538,IF(E538="","",IFERROR(MATCH(TRUE(),INDEX(INDEX(K:K,E538+1):K203&lt;&gt;"",0),0)+E538,"")))</f>
        <v>631</v>
      </c>
      <c r="F539" s="232" cm="1">
        <f t="array" ref="F539">IF(E539="","",IF(H538&lt;&gt;"",H538,INDEX(D:D,E539)))</f>
        <v>0</v>
      </c>
      <c r="G539" s="232" t="str">
        <f t="shared" si="60"/>
        <v>0</v>
      </c>
      <c r="H539" s="233" t="str">
        <f t="shared" si="61"/>
        <v/>
      </c>
      <c r="I539" s="231" t="str">
        <f>IF(AND(F539&lt;&gt;"",N10&gt;0,M539&gt;N10),"Mot &gt; limite","")</f>
        <v/>
      </c>
      <c r="M539" s="126">
        <f>IF(OR(F539="",N10="",N10&lt;=0),"",IF(LEN(F539)&lt;=N10,LEN(F539),IFERROR(FIND("♦",SUBSTITUTE(LEFT(F539,N10)," ","♦",LEN(LEFT(F539,N10))-LEN(SUBSTITUTE(LEFT(F539,N10)," ","")))),FIND(" ",F539&amp;" ",N10+1)-1)))</f>
        <v>1</v>
      </c>
      <c r="N539" s="234">
        <f t="shared" si="62"/>
        <v>522</v>
      </c>
      <c r="O539" s="165" t="str">
        <f t="shared" si="63"/>
        <v>0</v>
      </c>
      <c r="P539" s="234">
        <f t="shared" si="64"/>
        <v>1</v>
      </c>
      <c r="Q539" s="234">
        <f t="shared" si="65"/>
        <v>1</v>
      </c>
      <c r="DE539" s="152"/>
      <c r="DF539" s="160" t="s">
        <v>1996</v>
      </c>
      <c r="DG539" s="160" t="s">
        <v>122</v>
      </c>
      <c r="DH539" s="160" t="s">
        <v>125</v>
      </c>
      <c r="DI539" s="160" t="s">
        <v>1997</v>
      </c>
      <c r="DJ539" s="160" t="s">
        <v>1997</v>
      </c>
      <c r="DK539" s="160" t="s">
        <v>1259</v>
      </c>
      <c r="DL539" s="160" t="s">
        <v>1260</v>
      </c>
      <c r="DM539" s="160" t="s">
        <v>1812</v>
      </c>
      <c r="DN539" s="161" t="s">
        <v>1813</v>
      </c>
      <c r="DP539" s="130">
        <v>1</v>
      </c>
    </row>
    <row r="540" spans="2:120" ht="15">
      <c r="B540" s="231"/>
      <c r="C540" s="231"/>
      <c r="D540" s="231"/>
      <c r="E540" s="231" cm="1">
        <f t="array" ref="E540">IF(H539&lt;&gt;"",E539,IF(E539="","",IFERROR(MATCH(TRUE(),INDEX(INDEX(K:K,E539+1):K203&lt;&gt;"",0),0)+E539,"")))</f>
        <v>632</v>
      </c>
      <c r="F540" s="232" cm="1">
        <f t="array" ref="F540">IF(E540="","",IF(H539&lt;&gt;"",H539,INDEX(D:D,E540)))</f>
        <v>0</v>
      </c>
      <c r="G540" s="232" t="str">
        <f t="shared" si="60"/>
        <v>0</v>
      </c>
      <c r="H540" s="233" t="str">
        <f t="shared" si="61"/>
        <v/>
      </c>
      <c r="I540" s="231" t="str">
        <f>IF(AND(F540&lt;&gt;"",N10&gt;0,M540&gt;N10),"Mot &gt; limite","")</f>
        <v/>
      </c>
      <c r="M540" s="126">
        <f>IF(OR(F540="",N10="",N10&lt;=0),"",IF(LEN(F540)&lt;=N10,LEN(F540),IFERROR(FIND("♦",SUBSTITUTE(LEFT(F540,N10)," ","♦",LEN(LEFT(F540,N10))-LEN(SUBSTITUTE(LEFT(F540,N10)," ","")))),FIND(" ",F540&amp;" ",N10+1)-1)))</f>
        <v>1</v>
      </c>
      <c r="N540" s="234">
        <f t="shared" si="62"/>
        <v>523</v>
      </c>
      <c r="O540" s="165" t="str">
        <f t="shared" si="63"/>
        <v>0</v>
      </c>
      <c r="P540" s="234">
        <f t="shared" si="64"/>
        <v>1</v>
      </c>
      <c r="Q540" s="234">
        <f t="shared" si="65"/>
        <v>1</v>
      </c>
      <c r="DE540" s="152"/>
      <c r="DF540" s="160" t="s">
        <v>1998</v>
      </c>
      <c r="DG540" s="160" t="s">
        <v>122</v>
      </c>
      <c r="DH540" s="160" t="s">
        <v>125</v>
      </c>
      <c r="DI540" s="160" t="s">
        <v>1999</v>
      </c>
      <c r="DJ540" s="160" t="s">
        <v>1999</v>
      </c>
      <c r="DK540" s="160" t="s">
        <v>1259</v>
      </c>
      <c r="DL540" s="160" t="s">
        <v>1260</v>
      </c>
      <c r="DM540" s="160" t="s">
        <v>1812</v>
      </c>
      <c r="DN540" s="161" t="s">
        <v>1813</v>
      </c>
      <c r="DP540" s="130">
        <v>1</v>
      </c>
    </row>
    <row r="541" spans="2:120" ht="15">
      <c r="B541" s="231"/>
      <c r="C541" s="231"/>
      <c r="D541" s="231"/>
      <c r="E541" s="231" cm="1">
        <f t="array" ref="E541">IF(H540&lt;&gt;"",E540,IF(E540="","",IFERROR(MATCH(TRUE(),INDEX(INDEX(K:K,E540+1):K203&lt;&gt;"",0),0)+E540,"")))</f>
        <v>633</v>
      </c>
      <c r="F541" s="232" cm="1">
        <f t="array" ref="F541">IF(E541="","",IF(H540&lt;&gt;"",H540,INDEX(D:D,E541)))</f>
        <v>0</v>
      </c>
      <c r="G541" s="232" t="str">
        <f t="shared" si="60"/>
        <v>0</v>
      </c>
      <c r="H541" s="233" t="str">
        <f t="shared" si="61"/>
        <v/>
      </c>
      <c r="I541" s="231" t="str">
        <f>IF(AND(F541&lt;&gt;"",N10&gt;0,M541&gt;N10),"Mot &gt; limite","")</f>
        <v/>
      </c>
      <c r="M541" s="126">
        <f>IF(OR(F541="",N10="",N10&lt;=0),"",IF(LEN(F541)&lt;=N10,LEN(F541),IFERROR(FIND("♦",SUBSTITUTE(LEFT(F541,N10)," ","♦",LEN(LEFT(F541,N10))-LEN(SUBSTITUTE(LEFT(F541,N10)," ","")))),FIND(" ",F541&amp;" ",N10+1)-1)))</f>
        <v>1</v>
      </c>
      <c r="N541" s="234">
        <f t="shared" si="62"/>
        <v>524</v>
      </c>
      <c r="O541" s="165" t="str">
        <f t="shared" si="63"/>
        <v>0</v>
      </c>
      <c r="P541" s="234">
        <f t="shared" si="64"/>
        <v>1</v>
      </c>
      <c r="Q541" s="234">
        <f t="shared" si="65"/>
        <v>1</v>
      </c>
      <c r="DE541" s="152"/>
      <c r="DF541" s="160" t="s">
        <v>2000</v>
      </c>
      <c r="DG541" s="160" t="s">
        <v>122</v>
      </c>
      <c r="DH541" s="160" t="s">
        <v>125</v>
      </c>
      <c r="DI541" s="160" t="s">
        <v>2001</v>
      </c>
      <c r="DJ541" s="160" t="s">
        <v>2001</v>
      </c>
      <c r="DK541" s="160" t="s">
        <v>1259</v>
      </c>
      <c r="DL541" s="160" t="s">
        <v>1260</v>
      </c>
      <c r="DM541" s="160" t="s">
        <v>1812</v>
      </c>
      <c r="DN541" s="161" t="s">
        <v>1813</v>
      </c>
      <c r="DP541" s="130">
        <v>1</v>
      </c>
    </row>
    <row r="542" spans="2:120" ht="15">
      <c r="B542" s="231"/>
      <c r="C542" s="231"/>
      <c r="D542" s="231"/>
      <c r="E542" s="231" cm="1">
        <f t="array" ref="E542">IF(H541&lt;&gt;"",E541,IF(E541="","",IFERROR(MATCH(TRUE(),INDEX(INDEX(K:K,E541+1):K203&lt;&gt;"",0),0)+E541,"")))</f>
        <v>634</v>
      </c>
      <c r="F542" s="232" cm="1">
        <f t="array" ref="F542">IF(E542="","",IF(H541&lt;&gt;"",H541,INDEX(D:D,E542)))</f>
        <v>0</v>
      </c>
      <c r="G542" s="232" t="str">
        <f t="shared" si="60"/>
        <v>0</v>
      </c>
      <c r="H542" s="233" t="str">
        <f t="shared" si="61"/>
        <v/>
      </c>
      <c r="I542" s="231" t="str">
        <f>IF(AND(F542&lt;&gt;"",N10&gt;0,M542&gt;N10),"Mot &gt; limite","")</f>
        <v/>
      </c>
      <c r="M542" s="126">
        <f>IF(OR(F542="",N10="",N10&lt;=0),"",IF(LEN(F542)&lt;=N10,LEN(F542),IFERROR(FIND("♦",SUBSTITUTE(LEFT(F542,N10)," ","♦",LEN(LEFT(F542,N10))-LEN(SUBSTITUTE(LEFT(F542,N10)," ","")))),FIND(" ",F542&amp;" ",N10+1)-1)))</f>
        <v>1</v>
      </c>
      <c r="N542" s="234">
        <f t="shared" si="62"/>
        <v>525</v>
      </c>
      <c r="O542" s="165" t="str">
        <f t="shared" si="63"/>
        <v>0</v>
      </c>
      <c r="P542" s="234">
        <f t="shared" si="64"/>
        <v>1</v>
      </c>
      <c r="Q542" s="234">
        <f t="shared" si="65"/>
        <v>1</v>
      </c>
      <c r="DE542" s="152"/>
      <c r="DF542" s="160" t="s">
        <v>2002</v>
      </c>
      <c r="DG542" s="160" t="s">
        <v>122</v>
      </c>
      <c r="DH542" s="160" t="s">
        <v>125</v>
      </c>
      <c r="DI542" s="160" t="s">
        <v>2003</v>
      </c>
      <c r="DJ542" s="160" t="s">
        <v>2003</v>
      </c>
      <c r="DK542" s="160" t="s">
        <v>1259</v>
      </c>
      <c r="DL542" s="160" t="s">
        <v>1260</v>
      </c>
      <c r="DM542" s="160" t="s">
        <v>1812</v>
      </c>
      <c r="DN542" s="161" t="s">
        <v>1813</v>
      </c>
      <c r="DP542" s="130">
        <v>1</v>
      </c>
    </row>
    <row r="543" spans="2:120" ht="15">
      <c r="B543" s="231"/>
      <c r="C543" s="231"/>
      <c r="D543" s="231"/>
      <c r="E543" s="231" cm="1">
        <f t="array" ref="E543">IF(H542&lt;&gt;"",E542,IF(E542="","",IFERROR(MATCH(TRUE(),INDEX(INDEX(K:K,E542+1):K203&lt;&gt;"",0),0)+E542,"")))</f>
        <v>635</v>
      </c>
      <c r="F543" s="232" cm="1">
        <f t="array" ref="F543">IF(E543="","",IF(H542&lt;&gt;"",H542,INDEX(D:D,E543)))</f>
        <v>0</v>
      </c>
      <c r="G543" s="232" t="str">
        <f t="shared" si="60"/>
        <v>0</v>
      </c>
      <c r="H543" s="233" t="str">
        <f t="shared" si="61"/>
        <v/>
      </c>
      <c r="I543" s="231" t="str">
        <f>IF(AND(F543&lt;&gt;"",N10&gt;0,M543&gt;N10),"Mot &gt; limite","")</f>
        <v/>
      </c>
      <c r="M543" s="126">
        <f>IF(OR(F543="",N10="",N10&lt;=0),"",IF(LEN(F543)&lt;=N10,LEN(F543),IFERROR(FIND("♦",SUBSTITUTE(LEFT(F543,N10)," ","♦",LEN(LEFT(F543,N10))-LEN(SUBSTITUTE(LEFT(F543,N10)," ","")))),FIND(" ",F543&amp;" ",N10+1)-1)))</f>
        <v>1</v>
      </c>
      <c r="N543" s="234">
        <f t="shared" si="62"/>
        <v>526</v>
      </c>
      <c r="O543" s="165" t="str">
        <f t="shared" si="63"/>
        <v>0</v>
      </c>
      <c r="P543" s="234">
        <f t="shared" si="64"/>
        <v>1</v>
      </c>
      <c r="Q543" s="234">
        <f t="shared" si="65"/>
        <v>1</v>
      </c>
      <c r="DE543" s="152"/>
      <c r="DF543" s="160" t="s">
        <v>2004</v>
      </c>
      <c r="DG543" s="160" t="s">
        <v>122</v>
      </c>
      <c r="DH543" s="160" t="s">
        <v>125</v>
      </c>
      <c r="DI543" s="160" t="s">
        <v>2005</v>
      </c>
      <c r="DJ543" s="160" t="s">
        <v>2005</v>
      </c>
      <c r="DK543" s="160" t="s">
        <v>1259</v>
      </c>
      <c r="DL543" s="160" t="s">
        <v>1260</v>
      </c>
      <c r="DM543" s="160" t="s">
        <v>1812</v>
      </c>
      <c r="DN543" s="161" t="s">
        <v>1813</v>
      </c>
      <c r="DP543" s="130">
        <v>1</v>
      </c>
    </row>
    <row r="544" spans="2:120" ht="15">
      <c r="B544" s="231"/>
      <c r="C544" s="231"/>
      <c r="D544" s="231"/>
      <c r="E544" s="231" cm="1">
        <f t="array" ref="E544">IF(H543&lt;&gt;"",E543,IF(E543="","",IFERROR(MATCH(TRUE(),INDEX(INDEX(K:K,E543+1):K203&lt;&gt;"",0),0)+E543,"")))</f>
        <v>636</v>
      </c>
      <c r="F544" s="232" cm="1">
        <f t="array" ref="F544">IF(E544="","",IF(H543&lt;&gt;"",H543,INDEX(D:D,E544)))</f>
        <v>0</v>
      </c>
      <c r="G544" s="232" t="str">
        <f t="shared" si="60"/>
        <v>0</v>
      </c>
      <c r="H544" s="233" t="str">
        <f t="shared" si="61"/>
        <v/>
      </c>
      <c r="I544" s="231" t="str">
        <f>IF(AND(F544&lt;&gt;"",N10&gt;0,M544&gt;N10),"Mot &gt; limite","")</f>
        <v/>
      </c>
      <c r="M544" s="126">
        <f>IF(OR(F544="",N10="",N10&lt;=0),"",IF(LEN(F544)&lt;=N10,LEN(F544),IFERROR(FIND("♦",SUBSTITUTE(LEFT(F544,N10)," ","♦",LEN(LEFT(F544,N10))-LEN(SUBSTITUTE(LEFT(F544,N10)," ","")))),FIND(" ",F544&amp;" ",N10+1)-1)))</f>
        <v>1</v>
      </c>
      <c r="N544" s="234">
        <f t="shared" si="62"/>
        <v>527</v>
      </c>
      <c r="O544" s="165" t="str">
        <f t="shared" si="63"/>
        <v>0</v>
      </c>
      <c r="P544" s="234">
        <f t="shared" si="64"/>
        <v>1</v>
      </c>
      <c r="Q544" s="234">
        <f t="shared" si="65"/>
        <v>1</v>
      </c>
      <c r="DE544" s="152"/>
      <c r="DF544" s="160" t="s">
        <v>2006</v>
      </c>
      <c r="DG544" s="160" t="s">
        <v>122</v>
      </c>
      <c r="DH544" s="160" t="s">
        <v>125</v>
      </c>
      <c r="DI544" s="160" t="s">
        <v>2007</v>
      </c>
      <c r="DJ544" s="160" t="s">
        <v>2007</v>
      </c>
      <c r="DK544" s="160" t="s">
        <v>1259</v>
      </c>
      <c r="DL544" s="160" t="s">
        <v>1260</v>
      </c>
      <c r="DM544" s="160" t="s">
        <v>1812</v>
      </c>
      <c r="DN544" s="161" t="s">
        <v>1813</v>
      </c>
      <c r="DP544" s="130">
        <v>1</v>
      </c>
    </row>
    <row r="545" spans="2:120" ht="15">
      <c r="B545" s="231"/>
      <c r="C545" s="231"/>
      <c r="D545" s="231"/>
      <c r="E545" s="231" cm="1">
        <f t="array" ref="E545">IF(H544&lt;&gt;"",E544,IF(E544="","",IFERROR(MATCH(TRUE(),INDEX(INDEX(K:K,E544+1):K203&lt;&gt;"",0),0)+E544,"")))</f>
        <v>637</v>
      </c>
      <c r="F545" s="232" cm="1">
        <f t="array" ref="F545">IF(E545="","",IF(H544&lt;&gt;"",H544,INDEX(D:D,E545)))</f>
        <v>0</v>
      </c>
      <c r="G545" s="232" t="str">
        <f t="shared" si="60"/>
        <v>0</v>
      </c>
      <c r="H545" s="233" t="str">
        <f t="shared" si="61"/>
        <v/>
      </c>
      <c r="I545" s="231" t="str">
        <f>IF(AND(F545&lt;&gt;"",N10&gt;0,M545&gt;N10),"Mot &gt; limite","")</f>
        <v/>
      </c>
      <c r="M545" s="126">
        <f>IF(OR(F545="",N10="",N10&lt;=0),"",IF(LEN(F545)&lt;=N10,LEN(F545),IFERROR(FIND("♦",SUBSTITUTE(LEFT(F545,N10)," ","♦",LEN(LEFT(F545,N10))-LEN(SUBSTITUTE(LEFT(F545,N10)," ","")))),FIND(" ",F545&amp;" ",N10+1)-1)))</f>
        <v>1</v>
      </c>
      <c r="N545" s="234">
        <f t="shared" si="62"/>
        <v>528</v>
      </c>
      <c r="O545" s="165" t="str">
        <f t="shared" si="63"/>
        <v>0</v>
      </c>
      <c r="P545" s="234">
        <f t="shared" si="64"/>
        <v>1</v>
      </c>
      <c r="Q545" s="234">
        <f t="shared" si="65"/>
        <v>1</v>
      </c>
      <c r="DE545" s="152"/>
      <c r="DF545" s="160" t="s">
        <v>2008</v>
      </c>
      <c r="DG545" s="160" t="s">
        <v>122</v>
      </c>
      <c r="DH545" s="160" t="s">
        <v>125</v>
      </c>
      <c r="DI545" s="160" t="s">
        <v>2009</v>
      </c>
      <c r="DJ545" s="160" t="s">
        <v>2009</v>
      </c>
      <c r="DK545" s="160" t="s">
        <v>1259</v>
      </c>
      <c r="DL545" s="160" t="s">
        <v>1260</v>
      </c>
      <c r="DM545" s="160" t="s">
        <v>1812</v>
      </c>
      <c r="DN545" s="161" t="s">
        <v>1813</v>
      </c>
      <c r="DP545" s="130">
        <v>1</v>
      </c>
    </row>
    <row r="546" spans="2:120" ht="15">
      <c r="B546" s="231"/>
      <c r="C546" s="231"/>
      <c r="D546" s="231"/>
      <c r="E546" s="231" cm="1">
        <f t="array" ref="E546">IF(H545&lt;&gt;"",E545,IF(E545="","",IFERROR(MATCH(TRUE(),INDEX(INDEX(K:K,E545+1):K203&lt;&gt;"",0),0)+E545,"")))</f>
        <v>638</v>
      </c>
      <c r="F546" s="232" cm="1">
        <f t="array" ref="F546">IF(E546="","",IF(H545&lt;&gt;"",H545,INDEX(D:D,E546)))</f>
        <v>0</v>
      </c>
      <c r="G546" s="232" t="str">
        <f t="shared" si="60"/>
        <v>0</v>
      </c>
      <c r="H546" s="233" t="str">
        <f t="shared" si="61"/>
        <v/>
      </c>
      <c r="I546" s="231" t="str">
        <f>IF(AND(F546&lt;&gt;"",N10&gt;0,M546&gt;N10),"Mot &gt; limite","")</f>
        <v/>
      </c>
      <c r="M546" s="126">
        <f>IF(OR(F546="",N10="",N10&lt;=0),"",IF(LEN(F546)&lt;=N10,LEN(F546),IFERROR(FIND("♦",SUBSTITUTE(LEFT(F546,N10)," ","♦",LEN(LEFT(F546,N10))-LEN(SUBSTITUTE(LEFT(F546,N10)," ","")))),FIND(" ",F546&amp;" ",N10+1)-1)))</f>
        <v>1</v>
      </c>
      <c r="N546" s="234">
        <f t="shared" si="62"/>
        <v>529</v>
      </c>
      <c r="O546" s="165" t="str">
        <f t="shared" si="63"/>
        <v>0</v>
      </c>
      <c r="P546" s="234">
        <f t="shared" si="64"/>
        <v>1</v>
      </c>
      <c r="Q546" s="234">
        <f t="shared" si="65"/>
        <v>1</v>
      </c>
      <c r="DE546" s="152"/>
      <c r="DF546" s="160" t="s">
        <v>2010</v>
      </c>
      <c r="DG546" s="160" t="s">
        <v>122</v>
      </c>
      <c r="DH546" s="160" t="s">
        <v>125</v>
      </c>
      <c r="DI546" s="160" t="s">
        <v>2011</v>
      </c>
      <c r="DJ546" s="160" t="s">
        <v>2011</v>
      </c>
      <c r="DK546" s="160" t="s">
        <v>1259</v>
      </c>
      <c r="DL546" s="160" t="s">
        <v>1260</v>
      </c>
      <c r="DM546" s="160" t="s">
        <v>1812</v>
      </c>
      <c r="DN546" s="161" t="s">
        <v>1813</v>
      </c>
      <c r="DP546" s="130">
        <v>1</v>
      </c>
    </row>
    <row r="547" spans="2:120" ht="15">
      <c r="B547" s="231"/>
      <c r="C547" s="231"/>
      <c r="D547" s="231"/>
      <c r="E547" s="231" cm="1">
        <f t="array" ref="E547">IF(H546&lt;&gt;"",E546,IF(E546="","",IFERROR(MATCH(TRUE(),INDEX(INDEX(K:K,E546+1):K203&lt;&gt;"",0),0)+E546,"")))</f>
        <v>639</v>
      </c>
      <c r="F547" s="232" cm="1">
        <f t="array" ref="F547">IF(E547="","",IF(H546&lt;&gt;"",H546,INDEX(D:D,E547)))</f>
        <v>0</v>
      </c>
      <c r="G547" s="232" t="str">
        <f t="shared" si="60"/>
        <v>0</v>
      </c>
      <c r="H547" s="233" t="str">
        <f t="shared" si="61"/>
        <v/>
      </c>
      <c r="I547" s="231" t="str">
        <f>IF(AND(F547&lt;&gt;"",N10&gt;0,M547&gt;N10),"Mot &gt; limite","")</f>
        <v/>
      </c>
      <c r="M547" s="126">
        <f>IF(OR(F547="",N10="",N10&lt;=0),"",IF(LEN(F547)&lt;=N10,LEN(F547),IFERROR(FIND("♦",SUBSTITUTE(LEFT(F547,N10)," ","♦",LEN(LEFT(F547,N10))-LEN(SUBSTITUTE(LEFT(F547,N10)," ","")))),FIND(" ",F547&amp;" ",N10+1)-1)))</f>
        <v>1</v>
      </c>
      <c r="N547" s="234">
        <f t="shared" si="62"/>
        <v>530</v>
      </c>
      <c r="O547" s="165" t="str">
        <f t="shared" si="63"/>
        <v>0</v>
      </c>
      <c r="P547" s="234">
        <f t="shared" si="64"/>
        <v>1</v>
      </c>
      <c r="Q547" s="234">
        <f t="shared" si="65"/>
        <v>1</v>
      </c>
      <c r="DE547" s="152"/>
      <c r="DF547" s="160" t="s">
        <v>2012</v>
      </c>
      <c r="DG547" s="160" t="s">
        <v>122</v>
      </c>
      <c r="DH547" s="160" t="s">
        <v>125</v>
      </c>
      <c r="DI547" s="160" t="s">
        <v>2013</v>
      </c>
      <c r="DJ547" s="160" t="s">
        <v>2013</v>
      </c>
      <c r="DK547" s="160" t="s">
        <v>1259</v>
      </c>
      <c r="DL547" s="160" t="s">
        <v>1260</v>
      </c>
      <c r="DM547" s="160" t="s">
        <v>1812</v>
      </c>
      <c r="DN547" s="161" t="s">
        <v>1813</v>
      </c>
      <c r="DP547" s="130">
        <v>1</v>
      </c>
    </row>
    <row r="548" spans="2:120" ht="15">
      <c r="B548" s="231"/>
      <c r="C548" s="231"/>
      <c r="D548" s="231"/>
      <c r="E548" s="231" cm="1">
        <f t="array" ref="E548">IF(H547&lt;&gt;"",E547,IF(E547="","",IFERROR(MATCH(TRUE(),INDEX(INDEX(K:K,E547+1):K203&lt;&gt;"",0),0)+E547,"")))</f>
        <v>640</v>
      </c>
      <c r="F548" s="232" cm="1">
        <f t="array" ref="F548">IF(E548="","",IF(H547&lt;&gt;"",H547,INDEX(D:D,E548)))</f>
        <v>0</v>
      </c>
      <c r="G548" s="232" t="str">
        <f t="shared" si="60"/>
        <v>0</v>
      </c>
      <c r="H548" s="233" t="str">
        <f t="shared" si="61"/>
        <v/>
      </c>
      <c r="I548" s="231" t="str">
        <f>IF(AND(F548&lt;&gt;"",N10&gt;0,M548&gt;N10),"Mot &gt; limite","")</f>
        <v/>
      </c>
      <c r="M548" s="126">
        <f>IF(OR(F548="",N10="",N10&lt;=0),"",IF(LEN(F548)&lt;=N10,LEN(F548),IFERROR(FIND("♦",SUBSTITUTE(LEFT(F548,N10)," ","♦",LEN(LEFT(F548,N10))-LEN(SUBSTITUTE(LEFT(F548,N10)," ","")))),FIND(" ",F548&amp;" ",N10+1)-1)))</f>
        <v>1</v>
      </c>
      <c r="N548" s="234">
        <f t="shared" si="62"/>
        <v>531</v>
      </c>
      <c r="O548" s="165" t="str">
        <f t="shared" si="63"/>
        <v>0</v>
      </c>
      <c r="P548" s="234">
        <f t="shared" si="64"/>
        <v>1</v>
      </c>
      <c r="Q548" s="234">
        <f t="shared" si="65"/>
        <v>1</v>
      </c>
      <c r="DE548" s="152"/>
      <c r="DF548" s="160" t="s">
        <v>2014</v>
      </c>
      <c r="DG548" s="160" t="s">
        <v>122</v>
      </c>
      <c r="DH548" s="160" t="s">
        <v>125</v>
      </c>
      <c r="DI548" s="160" t="s">
        <v>2015</v>
      </c>
      <c r="DJ548" s="160" t="s">
        <v>2015</v>
      </c>
      <c r="DK548" s="160" t="s">
        <v>1259</v>
      </c>
      <c r="DL548" s="160" t="s">
        <v>1260</v>
      </c>
      <c r="DM548" s="160" t="s">
        <v>1812</v>
      </c>
      <c r="DN548" s="161" t="s">
        <v>1813</v>
      </c>
      <c r="DP548" s="130">
        <v>1</v>
      </c>
    </row>
    <row r="549" spans="2:120" ht="15">
      <c r="B549" s="231"/>
      <c r="C549" s="231"/>
      <c r="D549" s="231"/>
      <c r="E549" s="231" cm="1">
        <f t="array" ref="E549">IF(H548&lt;&gt;"",E548,IF(E548="","",IFERROR(MATCH(TRUE(),INDEX(INDEX(K:K,E548+1):K203&lt;&gt;"",0),0)+E548,"")))</f>
        <v>641</v>
      </c>
      <c r="F549" s="232" cm="1">
        <f t="array" ref="F549">IF(E549="","",IF(H548&lt;&gt;"",H548,INDEX(D:D,E549)))</f>
        <v>0</v>
      </c>
      <c r="G549" s="232" t="str">
        <f t="shared" si="60"/>
        <v>0</v>
      </c>
      <c r="H549" s="233" t="str">
        <f t="shared" si="61"/>
        <v/>
      </c>
      <c r="I549" s="231" t="str">
        <f>IF(AND(F549&lt;&gt;"",N10&gt;0,M549&gt;N10),"Mot &gt; limite","")</f>
        <v/>
      </c>
      <c r="M549" s="126">
        <f>IF(OR(F549="",N10="",N10&lt;=0),"",IF(LEN(F549)&lt;=N10,LEN(F549),IFERROR(FIND("♦",SUBSTITUTE(LEFT(F549,N10)," ","♦",LEN(LEFT(F549,N10))-LEN(SUBSTITUTE(LEFT(F549,N10)," ","")))),FIND(" ",F549&amp;" ",N10+1)-1)))</f>
        <v>1</v>
      </c>
      <c r="N549" s="234">
        <f t="shared" si="62"/>
        <v>532</v>
      </c>
      <c r="O549" s="165" t="str">
        <f t="shared" si="63"/>
        <v>0</v>
      </c>
      <c r="P549" s="234">
        <f t="shared" si="64"/>
        <v>1</v>
      </c>
      <c r="Q549" s="234">
        <f t="shared" si="65"/>
        <v>1</v>
      </c>
      <c r="DE549" s="152"/>
      <c r="DF549" s="160" t="s">
        <v>2016</v>
      </c>
      <c r="DG549" s="160" t="s">
        <v>122</v>
      </c>
      <c r="DH549" s="160" t="s">
        <v>125</v>
      </c>
      <c r="DI549" s="160" t="s">
        <v>2017</v>
      </c>
      <c r="DJ549" s="160" t="s">
        <v>2017</v>
      </c>
      <c r="DK549" s="160" t="s">
        <v>1259</v>
      </c>
      <c r="DL549" s="160" t="s">
        <v>1260</v>
      </c>
      <c r="DM549" s="160" t="s">
        <v>1812</v>
      </c>
      <c r="DN549" s="161" t="s">
        <v>1813</v>
      </c>
      <c r="DP549" s="130">
        <v>1</v>
      </c>
    </row>
    <row r="550" spans="2:120" ht="15">
      <c r="B550" s="231"/>
      <c r="C550" s="231"/>
      <c r="D550" s="231"/>
      <c r="E550" s="231" cm="1">
        <f t="array" ref="E550">IF(H549&lt;&gt;"",E549,IF(E549="","",IFERROR(MATCH(TRUE(),INDEX(INDEX(K:K,E549+1):K203&lt;&gt;"",0),0)+E549,"")))</f>
        <v>642</v>
      </c>
      <c r="F550" s="232" cm="1">
        <f t="array" ref="F550">IF(E550="","",IF(H549&lt;&gt;"",H549,INDEX(D:D,E550)))</f>
        <v>0</v>
      </c>
      <c r="G550" s="232" t="str">
        <f t="shared" si="60"/>
        <v>0</v>
      </c>
      <c r="H550" s="233" t="str">
        <f t="shared" si="61"/>
        <v/>
      </c>
      <c r="I550" s="231" t="str">
        <f>IF(AND(F550&lt;&gt;"",N10&gt;0,M550&gt;N10),"Mot &gt; limite","")</f>
        <v/>
      </c>
      <c r="M550" s="126">
        <f>IF(OR(F550="",N10="",N10&lt;=0),"",IF(LEN(F550)&lt;=N10,LEN(F550),IFERROR(FIND("♦",SUBSTITUTE(LEFT(F550,N10)," ","♦",LEN(LEFT(F550,N10))-LEN(SUBSTITUTE(LEFT(F550,N10)," ","")))),FIND(" ",F550&amp;" ",N10+1)-1)))</f>
        <v>1</v>
      </c>
      <c r="N550" s="234">
        <f t="shared" si="62"/>
        <v>533</v>
      </c>
      <c r="O550" s="165" t="str">
        <f t="shared" si="63"/>
        <v>0</v>
      </c>
      <c r="P550" s="234">
        <f t="shared" si="64"/>
        <v>1</v>
      </c>
      <c r="Q550" s="234">
        <f t="shared" si="65"/>
        <v>1</v>
      </c>
      <c r="DE550" s="152"/>
      <c r="DF550" s="160" t="s">
        <v>2018</v>
      </c>
      <c r="DG550" s="160" t="s">
        <v>122</v>
      </c>
      <c r="DH550" s="160" t="s">
        <v>125</v>
      </c>
      <c r="DI550" s="160" t="s">
        <v>2019</v>
      </c>
      <c r="DJ550" s="160" t="s">
        <v>2019</v>
      </c>
      <c r="DK550" s="160" t="s">
        <v>1259</v>
      </c>
      <c r="DL550" s="160" t="s">
        <v>1260</v>
      </c>
      <c r="DM550" s="160" t="s">
        <v>1812</v>
      </c>
      <c r="DN550" s="161" t="s">
        <v>1813</v>
      </c>
      <c r="DP550" s="130">
        <v>1</v>
      </c>
    </row>
    <row r="551" spans="2:120" ht="15">
      <c r="B551" s="231"/>
      <c r="C551" s="231"/>
      <c r="D551" s="231"/>
      <c r="E551" s="231" cm="1">
        <f t="array" ref="E551">IF(H550&lt;&gt;"",E550,IF(E550="","",IFERROR(MATCH(TRUE(),INDEX(INDEX(K:K,E550+1):K203&lt;&gt;"",0),0)+E550,"")))</f>
        <v>643</v>
      </c>
      <c r="F551" s="232" cm="1">
        <f t="array" ref="F551">IF(E551="","",IF(H550&lt;&gt;"",H550,INDEX(D:D,E551)))</f>
        <v>0</v>
      </c>
      <c r="G551" s="232" t="str">
        <f t="shared" si="60"/>
        <v>0</v>
      </c>
      <c r="H551" s="233" t="str">
        <f t="shared" si="61"/>
        <v/>
      </c>
      <c r="I551" s="231" t="str">
        <f>IF(AND(F551&lt;&gt;"",N10&gt;0,M551&gt;N10),"Mot &gt; limite","")</f>
        <v/>
      </c>
      <c r="M551" s="126">
        <f>IF(OR(F551="",N10="",N10&lt;=0),"",IF(LEN(F551)&lt;=N10,LEN(F551),IFERROR(FIND("♦",SUBSTITUTE(LEFT(F551,N10)," ","♦",LEN(LEFT(F551,N10))-LEN(SUBSTITUTE(LEFT(F551,N10)," ","")))),FIND(" ",F551&amp;" ",N10+1)-1)))</f>
        <v>1</v>
      </c>
      <c r="N551" s="234">
        <f t="shared" si="62"/>
        <v>534</v>
      </c>
      <c r="O551" s="165" t="str">
        <f t="shared" si="63"/>
        <v>0</v>
      </c>
      <c r="P551" s="234">
        <f t="shared" si="64"/>
        <v>1</v>
      </c>
      <c r="Q551" s="234">
        <f t="shared" si="65"/>
        <v>1</v>
      </c>
      <c r="DE551" s="152"/>
      <c r="DF551" s="160" t="s">
        <v>2020</v>
      </c>
      <c r="DG551" s="160" t="s">
        <v>122</v>
      </c>
      <c r="DH551" s="160" t="s">
        <v>125</v>
      </c>
      <c r="DI551" s="160" t="s">
        <v>2021</v>
      </c>
      <c r="DJ551" s="160" t="s">
        <v>2021</v>
      </c>
      <c r="DK551" s="160" t="s">
        <v>1259</v>
      </c>
      <c r="DL551" s="160" t="s">
        <v>1260</v>
      </c>
      <c r="DM551" s="160" t="s">
        <v>1812</v>
      </c>
      <c r="DN551" s="161" t="s">
        <v>1813</v>
      </c>
      <c r="DP551" s="130">
        <v>1</v>
      </c>
    </row>
    <row r="552" spans="2:120" ht="15">
      <c r="B552" s="231"/>
      <c r="C552" s="231"/>
      <c r="D552" s="231"/>
      <c r="E552" s="231" cm="1">
        <f t="array" ref="E552">IF(H551&lt;&gt;"",E551,IF(E551="","",IFERROR(MATCH(TRUE(),INDEX(INDEX(K:K,E551+1):K203&lt;&gt;"",0),0)+E551,"")))</f>
        <v>644</v>
      </c>
      <c r="F552" s="232" cm="1">
        <f t="array" ref="F552">IF(E552="","",IF(H551&lt;&gt;"",H551,INDEX(D:D,E552)))</f>
        <v>0</v>
      </c>
      <c r="G552" s="232" t="str">
        <f t="shared" si="60"/>
        <v>0</v>
      </c>
      <c r="H552" s="233" t="str">
        <f t="shared" si="61"/>
        <v/>
      </c>
      <c r="I552" s="231" t="str">
        <f>IF(AND(F552&lt;&gt;"",N10&gt;0,M552&gt;N10),"Mot &gt; limite","")</f>
        <v/>
      </c>
      <c r="M552" s="126">
        <f>IF(OR(F552="",N10="",N10&lt;=0),"",IF(LEN(F552)&lt;=N10,LEN(F552),IFERROR(FIND("♦",SUBSTITUTE(LEFT(F552,N10)," ","♦",LEN(LEFT(F552,N10))-LEN(SUBSTITUTE(LEFT(F552,N10)," ","")))),FIND(" ",F552&amp;" ",N10+1)-1)))</f>
        <v>1</v>
      </c>
      <c r="N552" s="234">
        <f t="shared" si="62"/>
        <v>535</v>
      </c>
      <c r="O552" s="165" t="str">
        <f t="shared" si="63"/>
        <v>0</v>
      </c>
      <c r="P552" s="234">
        <f t="shared" si="64"/>
        <v>1</v>
      </c>
      <c r="Q552" s="234">
        <f t="shared" si="65"/>
        <v>1</v>
      </c>
      <c r="DE552" s="152"/>
      <c r="DF552" s="160" t="s">
        <v>2022</v>
      </c>
      <c r="DG552" s="160" t="s">
        <v>122</v>
      </c>
      <c r="DH552" s="160" t="s">
        <v>125</v>
      </c>
      <c r="DI552" s="160" t="s">
        <v>2023</v>
      </c>
      <c r="DJ552" s="160" t="s">
        <v>2023</v>
      </c>
      <c r="DK552" s="160" t="s">
        <v>1259</v>
      </c>
      <c r="DL552" s="160" t="s">
        <v>1260</v>
      </c>
      <c r="DM552" s="160" t="s">
        <v>1812</v>
      </c>
      <c r="DN552" s="161" t="s">
        <v>1813</v>
      </c>
      <c r="DP552" s="130">
        <v>1</v>
      </c>
    </row>
    <row r="553" spans="2:120" ht="15">
      <c r="B553" s="231"/>
      <c r="C553" s="231"/>
      <c r="D553" s="231"/>
      <c r="E553" s="231" cm="1">
        <f t="array" ref="E553">IF(H552&lt;&gt;"",E552,IF(E552="","",IFERROR(MATCH(TRUE(),INDEX(INDEX(K:K,E552+1):K203&lt;&gt;"",0),0)+E552,"")))</f>
        <v>645</v>
      </c>
      <c r="F553" s="232" cm="1">
        <f t="array" ref="F553">IF(E553="","",IF(H552&lt;&gt;"",H552,INDEX(D:D,E553)))</f>
        <v>0</v>
      </c>
      <c r="G553" s="232" t="str">
        <f t="shared" si="60"/>
        <v>0</v>
      </c>
      <c r="H553" s="233" t="str">
        <f t="shared" si="61"/>
        <v/>
      </c>
      <c r="I553" s="231" t="str">
        <f>IF(AND(F553&lt;&gt;"",N10&gt;0,M553&gt;N10),"Mot &gt; limite","")</f>
        <v/>
      </c>
      <c r="M553" s="126">
        <f>IF(OR(F553="",N10="",N10&lt;=0),"",IF(LEN(F553)&lt;=N10,LEN(F553),IFERROR(FIND("♦",SUBSTITUTE(LEFT(F553,N10)," ","♦",LEN(LEFT(F553,N10))-LEN(SUBSTITUTE(LEFT(F553,N10)," ","")))),FIND(" ",F553&amp;" ",N10+1)-1)))</f>
        <v>1</v>
      </c>
      <c r="N553" s="234">
        <f t="shared" si="62"/>
        <v>536</v>
      </c>
      <c r="O553" s="165" t="str">
        <f t="shared" si="63"/>
        <v>0</v>
      </c>
      <c r="P553" s="234">
        <f t="shared" si="64"/>
        <v>1</v>
      </c>
      <c r="Q553" s="234">
        <f t="shared" si="65"/>
        <v>1</v>
      </c>
      <c r="DE553" s="152"/>
      <c r="DF553" s="160" t="s">
        <v>2024</v>
      </c>
      <c r="DG553" s="160" t="s">
        <v>122</v>
      </c>
      <c r="DH553" s="160" t="s">
        <v>125</v>
      </c>
      <c r="DI553" s="160" t="s">
        <v>2025</v>
      </c>
      <c r="DJ553" s="160" t="s">
        <v>2025</v>
      </c>
      <c r="DK553" s="160" t="s">
        <v>1259</v>
      </c>
      <c r="DL553" s="160" t="s">
        <v>1260</v>
      </c>
      <c r="DM553" s="160" t="s">
        <v>1812</v>
      </c>
      <c r="DN553" s="161" t="s">
        <v>1813</v>
      </c>
      <c r="DP553" s="130">
        <v>1</v>
      </c>
    </row>
    <row r="554" spans="2:120" ht="15">
      <c r="B554" s="231"/>
      <c r="C554" s="231"/>
      <c r="D554" s="231"/>
      <c r="E554" s="231" cm="1">
        <f t="array" ref="E554">IF(H553&lt;&gt;"",E553,IF(E553="","",IFERROR(MATCH(TRUE(),INDEX(INDEX(K:K,E553+1):K203&lt;&gt;"",0),0)+E553,"")))</f>
        <v>646</v>
      </c>
      <c r="F554" s="232" cm="1">
        <f t="array" ref="F554">IF(E554="","",IF(H553&lt;&gt;"",H553,INDEX(D:D,E554)))</f>
        <v>0</v>
      </c>
      <c r="G554" s="232" t="str">
        <f t="shared" si="60"/>
        <v>0</v>
      </c>
      <c r="H554" s="233" t="str">
        <f t="shared" si="61"/>
        <v/>
      </c>
      <c r="I554" s="231" t="str">
        <f>IF(AND(F554&lt;&gt;"",N10&gt;0,M554&gt;N10),"Mot &gt; limite","")</f>
        <v/>
      </c>
      <c r="M554" s="126">
        <f>IF(OR(F554="",N10="",N10&lt;=0),"",IF(LEN(F554)&lt;=N10,LEN(F554),IFERROR(FIND("♦",SUBSTITUTE(LEFT(F554,N10)," ","♦",LEN(LEFT(F554,N10))-LEN(SUBSTITUTE(LEFT(F554,N10)," ","")))),FIND(" ",F554&amp;" ",N10+1)-1)))</f>
        <v>1</v>
      </c>
      <c r="N554" s="234">
        <f t="shared" si="62"/>
        <v>537</v>
      </c>
      <c r="O554" s="165" t="str">
        <f t="shared" si="63"/>
        <v>0</v>
      </c>
      <c r="P554" s="234">
        <f t="shared" si="64"/>
        <v>1</v>
      </c>
      <c r="Q554" s="234">
        <f t="shared" si="65"/>
        <v>1</v>
      </c>
      <c r="DE554" s="152"/>
      <c r="DF554" s="160" t="s">
        <v>2026</v>
      </c>
      <c r="DG554" s="160" t="s">
        <v>122</v>
      </c>
      <c r="DH554" s="160" t="s">
        <v>125</v>
      </c>
      <c r="DI554" s="160" t="s">
        <v>2027</v>
      </c>
      <c r="DJ554" s="160" t="s">
        <v>2027</v>
      </c>
      <c r="DK554" s="160" t="s">
        <v>588</v>
      </c>
      <c r="DL554" s="160" t="s">
        <v>1895</v>
      </c>
      <c r="DM554" s="160" t="s">
        <v>590</v>
      </c>
      <c r="DN554" s="161" t="s">
        <v>591</v>
      </c>
      <c r="DP554" s="130">
        <v>1</v>
      </c>
    </row>
    <row r="555" spans="2:120" ht="15">
      <c r="B555" s="231"/>
      <c r="C555" s="231"/>
      <c r="D555" s="231"/>
      <c r="E555" s="231" cm="1">
        <f t="array" ref="E555">IF(H554&lt;&gt;"",E554,IF(E554="","",IFERROR(MATCH(TRUE(),INDEX(INDEX(K:K,E554+1):K203&lt;&gt;"",0),0)+E554,"")))</f>
        <v>647</v>
      </c>
      <c r="F555" s="232" cm="1">
        <f t="array" ref="F555">IF(E555="","",IF(H554&lt;&gt;"",H554,INDEX(D:D,E555)))</f>
        <v>0</v>
      </c>
      <c r="G555" s="232" t="str">
        <f t="shared" si="60"/>
        <v>0</v>
      </c>
      <c r="H555" s="233" t="str">
        <f t="shared" si="61"/>
        <v/>
      </c>
      <c r="I555" s="231" t="str">
        <f>IF(AND(F555&lt;&gt;"",N10&gt;0,M555&gt;N10),"Mot &gt; limite","")</f>
        <v/>
      </c>
      <c r="M555" s="126">
        <f>IF(OR(F555="",N10="",N10&lt;=0),"",IF(LEN(F555)&lt;=N10,LEN(F555),IFERROR(FIND("♦",SUBSTITUTE(LEFT(F555,N10)," ","♦",LEN(LEFT(F555,N10))-LEN(SUBSTITUTE(LEFT(F555,N10)," ","")))),FIND(" ",F555&amp;" ",N10+1)-1)))</f>
        <v>1</v>
      </c>
      <c r="N555" s="234">
        <f t="shared" si="62"/>
        <v>538</v>
      </c>
      <c r="O555" s="165" t="str">
        <f t="shared" si="63"/>
        <v>0</v>
      </c>
      <c r="P555" s="234">
        <f t="shared" si="64"/>
        <v>1</v>
      </c>
      <c r="Q555" s="234">
        <f t="shared" si="65"/>
        <v>1</v>
      </c>
      <c r="DE555" s="152"/>
      <c r="DF555" s="160" t="s">
        <v>2028</v>
      </c>
      <c r="DG555" s="160" t="s">
        <v>122</v>
      </c>
      <c r="DH555" s="160" t="s">
        <v>125</v>
      </c>
      <c r="DI555" s="160" t="s">
        <v>2029</v>
      </c>
      <c r="DJ555" s="160" t="s">
        <v>2029</v>
      </c>
      <c r="DK555" s="160" t="s">
        <v>588</v>
      </c>
      <c r="DL555" s="160" t="s">
        <v>1895</v>
      </c>
      <c r="DM555" s="160" t="s">
        <v>590</v>
      </c>
      <c r="DN555" s="161" t="s">
        <v>591</v>
      </c>
      <c r="DP555" s="130">
        <v>1</v>
      </c>
    </row>
    <row r="556" spans="2:120" ht="15">
      <c r="B556" s="231"/>
      <c r="C556" s="231"/>
      <c r="D556" s="231"/>
      <c r="E556" s="231" cm="1">
        <f t="array" ref="E556">IF(H555&lt;&gt;"",E555,IF(E555="","",IFERROR(MATCH(TRUE(),INDEX(INDEX(K:K,E555+1):K203&lt;&gt;"",0),0)+E555,"")))</f>
        <v>648</v>
      </c>
      <c r="F556" s="232" cm="1">
        <f t="array" ref="F556">IF(E556="","",IF(H555&lt;&gt;"",H555,INDEX(D:D,E556)))</f>
        <v>0</v>
      </c>
      <c r="G556" s="232" t="str">
        <f t="shared" si="60"/>
        <v>0</v>
      </c>
      <c r="H556" s="233" t="str">
        <f t="shared" si="61"/>
        <v/>
      </c>
      <c r="I556" s="231" t="str">
        <f>IF(AND(F556&lt;&gt;"",N10&gt;0,M556&gt;N10),"Mot &gt; limite","")</f>
        <v/>
      </c>
      <c r="M556" s="126">
        <f>IF(OR(F556="",N10="",N10&lt;=0),"",IF(LEN(F556)&lt;=N10,LEN(F556),IFERROR(FIND("♦",SUBSTITUTE(LEFT(F556,N10)," ","♦",LEN(LEFT(F556,N10))-LEN(SUBSTITUTE(LEFT(F556,N10)," ","")))),FIND(" ",F556&amp;" ",N10+1)-1)))</f>
        <v>1</v>
      </c>
      <c r="N556" s="234">
        <f t="shared" si="62"/>
        <v>539</v>
      </c>
      <c r="O556" s="165" t="str">
        <f t="shared" si="63"/>
        <v>0</v>
      </c>
      <c r="P556" s="234">
        <f t="shared" si="64"/>
        <v>1</v>
      </c>
      <c r="Q556" s="234">
        <f t="shared" si="65"/>
        <v>1</v>
      </c>
      <c r="DE556" s="152"/>
      <c r="DF556" s="160" t="s">
        <v>2030</v>
      </c>
      <c r="DG556" s="160" t="s">
        <v>122</v>
      </c>
      <c r="DH556" s="160" t="s">
        <v>125</v>
      </c>
      <c r="DI556" s="160" t="s">
        <v>2031</v>
      </c>
      <c r="DJ556" s="160" t="s">
        <v>2031</v>
      </c>
      <c r="DK556" s="160" t="s">
        <v>588</v>
      </c>
      <c r="DL556" s="160" t="s">
        <v>1895</v>
      </c>
      <c r="DM556" s="160" t="s">
        <v>590</v>
      </c>
      <c r="DN556" s="161" t="s">
        <v>591</v>
      </c>
      <c r="DP556" s="130">
        <v>1</v>
      </c>
    </row>
    <row r="557" spans="2:120" ht="15">
      <c r="B557" s="231"/>
      <c r="C557" s="231"/>
      <c r="D557" s="231"/>
      <c r="E557" s="231" cm="1">
        <f t="array" ref="E557">IF(H556&lt;&gt;"",E556,IF(E556="","",IFERROR(MATCH(TRUE(),INDEX(INDEX(K:K,E556+1):K203&lt;&gt;"",0),0)+E556,"")))</f>
        <v>649</v>
      </c>
      <c r="F557" s="232" cm="1">
        <f t="array" ref="F557">IF(E557="","",IF(H556&lt;&gt;"",H556,INDEX(D:D,E557)))</f>
        <v>0</v>
      </c>
      <c r="G557" s="232" t="str">
        <f t="shared" si="60"/>
        <v>0</v>
      </c>
      <c r="H557" s="233" t="str">
        <f t="shared" si="61"/>
        <v/>
      </c>
      <c r="I557" s="231" t="str">
        <f>IF(AND(F557&lt;&gt;"",N10&gt;0,M557&gt;N10),"Mot &gt; limite","")</f>
        <v/>
      </c>
      <c r="M557" s="126">
        <f>IF(OR(F557="",N10="",N10&lt;=0),"",IF(LEN(F557)&lt;=N10,LEN(F557),IFERROR(FIND("♦",SUBSTITUTE(LEFT(F557,N10)," ","♦",LEN(LEFT(F557,N10))-LEN(SUBSTITUTE(LEFT(F557,N10)," ","")))),FIND(" ",F557&amp;" ",N10+1)-1)))</f>
        <v>1</v>
      </c>
      <c r="N557" s="234">
        <f t="shared" si="62"/>
        <v>540</v>
      </c>
      <c r="O557" s="165" t="str">
        <f t="shared" si="63"/>
        <v>0</v>
      </c>
      <c r="P557" s="234">
        <f t="shared" si="64"/>
        <v>1</v>
      </c>
      <c r="Q557" s="234">
        <f t="shared" si="65"/>
        <v>1</v>
      </c>
      <c r="DE557" s="152"/>
      <c r="DF557" s="160" t="s">
        <v>2032</v>
      </c>
      <c r="DG557" s="160" t="s">
        <v>122</v>
      </c>
      <c r="DH557" s="160" t="s">
        <v>125</v>
      </c>
      <c r="DI557" s="160" t="s">
        <v>2033</v>
      </c>
      <c r="DJ557" s="160" t="s">
        <v>2033</v>
      </c>
      <c r="DK557" s="160" t="s">
        <v>1259</v>
      </c>
      <c r="DL557" s="160" t="s">
        <v>1260</v>
      </c>
      <c r="DM557" s="160" t="s">
        <v>1812</v>
      </c>
      <c r="DN557" s="161" t="s">
        <v>1813</v>
      </c>
      <c r="DP557" s="130">
        <v>1</v>
      </c>
    </row>
    <row r="558" spans="2:120" ht="15">
      <c r="B558" s="231"/>
      <c r="C558" s="231"/>
      <c r="D558" s="231"/>
      <c r="E558" s="231" cm="1">
        <f t="array" ref="E558">IF(H557&lt;&gt;"",E557,IF(E557="","",IFERROR(MATCH(TRUE(),INDEX(INDEX(K:K,E557+1):K203&lt;&gt;"",0),0)+E557,"")))</f>
        <v>650</v>
      </c>
      <c r="F558" s="232" cm="1">
        <f t="array" ref="F558">IF(E558="","",IF(H557&lt;&gt;"",H557,INDEX(D:D,E558)))</f>
        <v>0</v>
      </c>
      <c r="G558" s="232" t="str">
        <f t="shared" si="60"/>
        <v>0</v>
      </c>
      <c r="H558" s="233" t="str">
        <f t="shared" si="61"/>
        <v/>
      </c>
      <c r="I558" s="231" t="str">
        <f>IF(AND(F558&lt;&gt;"",N10&gt;0,M558&gt;N10),"Mot &gt; limite","")</f>
        <v/>
      </c>
      <c r="M558" s="126">
        <f>IF(OR(F558="",N10="",N10&lt;=0),"",IF(LEN(F558)&lt;=N10,LEN(F558),IFERROR(FIND("♦",SUBSTITUTE(LEFT(F558,N10)," ","♦",LEN(LEFT(F558,N10))-LEN(SUBSTITUTE(LEFT(F558,N10)," ","")))),FIND(" ",F558&amp;" ",N10+1)-1)))</f>
        <v>1</v>
      </c>
      <c r="N558" s="234">
        <f t="shared" si="62"/>
        <v>541</v>
      </c>
      <c r="O558" s="165" t="str">
        <f t="shared" si="63"/>
        <v>0</v>
      </c>
      <c r="P558" s="234">
        <f t="shared" si="64"/>
        <v>1</v>
      </c>
      <c r="Q558" s="234">
        <f t="shared" si="65"/>
        <v>1</v>
      </c>
      <c r="DE558" s="152"/>
      <c r="DF558" s="160" t="s">
        <v>2034</v>
      </c>
      <c r="DG558" s="160" t="s">
        <v>122</v>
      </c>
      <c r="DH558" s="160" t="s">
        <v>125</v>
      </c>
      <c r="DI558" s="160" t="s">
        <v>2035</v>
      </c>
      <c r="DJ558" s="160" t="s">
        <v>2035</v>
      </c>
      <c r="DK558" s="160" t="s">
        <v>1259</v>
      </c>
      <c r="DL558" s="160" t="s">
        <v>1260</v>
      </c>
      <c r="DM558" s="160" t="s">
        <v>1812</v>
      </c>
      <c r="DN558" s="161" t="s">
        <v>1813</v>
      </c>
      <c r="DP558" s="130">
        <v>1</v>
      </c>
    </row>
    <row r="559" spans="2:120" ht="15">
      <c r="B559" s="231"/>
      <c r="C559" s="231"/>
      <c r="D559" s="231"/>
      <c r="E559" s="231" cm="1">
        <f t="array" ref="E559">IF(H558&lt;&gt;"",E558,IF(E558="","",IFERROR(MATCH(TRUE(),INDEX(INDEX(K:K,E558+1):K203&lt;&gt;"",0),0)+E558,"")))</f>
        <v>651</v>
      </c>
      <c r="F559" s="232" cm="1">
        <f t="array" ref="F559">IF(E559="","",IF(H558&lt;&gt;"",H558,INDEX(D:D,E559)))</f>
        <v>0</v>
      </c>
      <c r="G559" s="232" t="str">
        <f t="shared" si="60"/>
        <v>0</v>
      </c>
      <c r="H559" s="233" t="str">
        <f t="shared" si="61"/>
        <v/>
      </c>
      <c r="I559" s="231" t="str">
        <f>IF(AND(F559&lt;&gt;"",N10&gt;0,M559&gt;N10),"Mot &gt; limite","")</f>
        <v/>
      </c>
      <c r="M559" s="126">
        <f>IF(OR(F559="",N10="",N10&lt;=0),"",IF(LEN(F559)&lt;=N10,LEN(F559),IFERROR(FIND("♦",SUBSTITUTE(LEFT(F559,N10)," ","♦",LEN(LEFT(F559,N10))-LEN(SUBSTITUTE(LEFT(F559,N10)," ","")))),FIND(" ",F559&amp;" ",N10+1)-1)))</f>
        <v>1</v>
      </c>
      <c r="N559" s="234">
        <f t="shared" si="62"/>
        <v>542</v>
      </c>
      <c r="O559" s="165" t="str">
        <f t="shared" si="63"/>
        <v>0</v>
      </c>
      <c r="P559" s="234">
        <f t="shared" si="64"/>
        <v>1</v>
      </c>
      <c r="Q559" s="234">
        <f t="shared" si="65"/>
        <v>1</v>
      </c>
      <c r="DE559" s="152"/>
      <c r="DF559" s="160" t="s">
        <v>2036</v>
      </c>
      <c r="DG559" s="160" t="s">
        <v>122</v>
      </c>
      <c r="DH559" s="160" t="s">
        <v>125</v>
      </c>
      <c r="DI559" s="160" t="s">
        <v>2037</v>
      </c>
      <c r="DJ559" s="160" t="s">
        <v>2037</v>
      </c>
      <c r="DK559" s="160" t="s">
        <v>1259</v>
      </c>
      <c r="DL559" s="160" t="s">
        <v>1260</v>
      </c>
      <c r="DM559" s="160" t="s">
        <v>1812</v>
      </c>
      <c r="DN559" s="161" t="s">
        <v>1813</v>
      </c>
      <c r="DP559" s="130">
        <v>1</v>
      </c>
    </row>
    <row r="560" spans="2:120" ht="15">
      <c r="B560" s="231"/>
      <c r="C560" s="231"/>
      <c r="D560" s="231"/>
      <c r="E560" s="231" cm="1">
        <f t="array" ref="E560">IF(H559&lt;&gt;"",E559,IF(E559="","",IFERROR(MATCH(TRUE(),INDEX(INDEX(K:K,E559+1):K203&lt;&gt;"",0),0)+E559,"")))</f>
        <v>652</v>
      </c>
      <c r="F560" s="232" cm="1">
        <f t="array" ref="F560">IF(E560="","",IF(H559&lt;&gt;"",H559,INDEX(D:D,E560)))</f>
        <v>0</v>
      </c>
      <c r="G560" s="232" t="str">
        <f t="shared" si="60"/>
        <v>0</v>
      </c>
      <c r="H560" s="233" t="str">
        <f t="shared" si="61"/>
        <v/>
      </c>
      <c r="I560" s="231" t="str">
        <f>IF(AND(F560&lt;&gt;"",N10&gt;0,M560&gt;N10),"Mot &gt; limite","")</f>
        <v/>
      </c>
      <c r="M560" s="126">
        <f>IF(OR(F560="",N10="",N10&lt;=0),"",IF(LEN(F560)&lt;=N10,LEN(F560),IFERROR(FIND("♦",SUBSTITUTE(LEFT(F560,N10)," ","♦",LEN(LEFT(F560,N10))-LEN(SUBSTITUTE(LEFT(F560,N10)," ","")))),FIND(" ",F560&amp;" ",N10+1)-1)))</f>
        <v>1</v>
      </c>
      <c r="N560" s="234">
        <f t="shared" si="62"/>
        <v>543</v>
      </c>
      <c r="O560" s="165" t="str">
        <f t="shared" si="63"/>
        <v>0</v>
      </c>
      <c r="P560" s="234">
        <f t="shared" si="64"/>
        <v>1</v>
      </c>
      <c r="Q560" s="234">
        <f t="shared" si="65"/>
        <v>1</v>
      </c>
      <c r="DE560" s="152"/>
      <c r="DF560" s="160" t="s">
        <v>2038</v>
      </c>
      <c r="DG560" s="160" t="s">
        <v>122</v>
      </c>
      <c r="DH560" s="160" t="s">
        <v>125</v>
      </c>
      <c r="DI560" s="160" t="s">
        <v>2039</v>
      </c>
      <c r="DJ560" s="160" t="s">
        <v>2039</v>
      </c>
      <c r="DK560" s="160" t="s">
        <v>1259</v>
      </c>
      <c r="DL560" s="160" t="s">
        <v>1260</v>
      </c>
      <c r="DM560" s="160" t="s">
        <v>1812</v>
      </c>
      <c r="DN560" s="161" t="s">
        <v>1813</v>
      </c>
      <c r="DP560" s="130">
        <v>1</v>
      </c>
    </row>
    <row r="561" spans="2:120" ht="15">
      <c r="B561" s="231"/>
      <c r="C561" s="231"/>
      <c r="D561" s="231"/>
      <c r="E561" s="231" cm="1">
        <f t="array" ref="E561">IF(H560&lt;&gt;"",E560,IF(E560="","",IFERROR(MATCH(TRUE(),INDEX(INDEX(K:K,E560+1):K203&lt;&gt;"",0),0)+E560,"")))</f>
        <v>653</v>
      </c>
      <c r="F561" s="232" cm="1">
        <f t="array" ref="F561">IF(E561="","",IF(H560&lt;&gt;"",H560,INDEX(D:D,E561)))</f>
        <v>0</v>
      </c>
      <c r="G561" s="232" t="str">
        <f t="shared" si="60"/>
        <v>0</v>
      </c>
      <c r="H561" s="233" t="str">
        <f t="shared" si="61"/>
        <v/>
      </c>
      <c r="I561" s="231" t="str">
        <f>IF(AND(F561&lt;&gt;"",N10&gt;0,M561&gt;N10),"Mot &gt; limite","")</f>
        <v/>
      </c>
      <c r="M561" s="126">
        <f>IF(OR(F561="",N10="",N10&lt;=0),"",IF(LEN(F561)&lt;=N10,LEN(F561),IFERROR(FIND("♦",SUBSTITUTE(LEFT(F561,N10)," ","♦",LEN(LEFT(F561,N10))-LEN(SUBSTITUTE(LEFT(F561,N10)," ","")))),FIND(" ",F561&amp;" ",N10+1)-1)))</f>
        <v>1</v>
      </c>
      <c r="N561" s="234">
        <f t="shared" si="62"/>
        <v>544</v>
      </c>
      <c r="O561" s="165" t="str">
        <f t="shared" si="63"/>
        <v>0</v>
      </c>
      <c r="P561" s="234">
        <f t="shared" si="64"/>
        <v>1</v>
      </c>
      <c r="Q561" s="234">
        <f t="shared" si="65"/>
        <v>1</v>
      </c>
      <c r="DE561" s="152"/>
      <c r="DF561" s="160" t="s">
        <v>2040</v>
      </c>
      <c r="DG561" s="160" t="s">
        <v>122</v>
      </c>
      <c r="DH561" s="160" t="s">
        <v>125</v>
      </c>
      <c r="DI561" s="160" t="s">
        <v>2041</v>
      </c>
      <c r="DJ561" s="160" t="s">
        <v>2041</v>
      </c>
      <c r="DK561" s="160" t="s">
        <v>1259</v>
      </c>
      <c r="DL561" s="160" t="s">
        <v>1260</v>
      </c>
      <c r="DM561" s="160" t="s">
        <v>1812</v>
      </c>
      <c r="DN561" s="161" t="s">
        <v>1813</v>
      </c>
      <c r="DP561" s="130">
        <v>1</v>
      </c>
    </row>
    <row r="562" spans="2:120" ht="15">
      <c r="B562" s="231"/>
      <c r="C562" s="231"/>
      <c r="D562" s="231"/>
      <c r="E562" s="231" cm="1">
        <f t="array" ref="E562">IF(H561&lt;&gt;"",E561,IF(E561="","",IFERROR(MATCH(TRUE(),INDEX(INDEX(K:K,E561+1):K203&lt;&gt;"",0),0)+E561,"")))</f>
        <v>654</v>
      </c>
      <c r="F562" s="232" cm="1">
        <f t="array" ref="F562">IF(E562="","",IF(H561&lt;&gt;"",H561,INDEX(D:D,E562)))</f>
        <v>0</v>
      </c>
      <c r="G562" s="232" t="str">
        <f t="shared" si="60"/>
        <v>0</v>
      </c>
      <c r="H562" s="233" t="str">
        <f t="shared" si="61"/>
        <v/>
      </c>
      <c r="I562" s="231" t="str">
        <f>IF(AND(F562&lt;&gt;"",N10&gt;0,M562&gt;N10),"Mot &gt; limite","")</f>
        <v/>
      </c>
      <c r="M562" s="126">
        <f>IF(OR(F562="",N10="",N10&lt;=0),"",IF(LEN(F562)&lt;=N10,LEN(F562),IFERROR(FIND("♦",SUBSTITUTE(LEFT(F562,N10)," ","♦",LEN(LEFT(F562,N10))-LEN(SUBSTITUTE(LEFT(F562,N10)," ","")))),FIND(" ",F562&amp;" ",N10+1)-1)))</f>
        <v>1</v>
      </c>
      <c r="N562" s="234">
        <f t="shared" si="62"/>
        <v>545</v>
      </c>
      <c r="O562" s="165" t="str">
        <f t="shared" si="63"/>
        <v>0</v>
      </c>
      <c r="P562" s="234">
        <f t="shared" si="64"/>
        <v>1</v>
      </c>
      <c r="Q562" s="234">
        <f t="shared" si="65"/>
        <v>1</v>
      </c>
      <c r="DE562" s="152"/>
      <c r="DF562" s="160" t="s">
        <v>2042</v>
      </c>
      <c r="DG562" s="160" t="s">
        <v>122</v>
      </c>
      <c r="DH562" s="160" t="s">
        <v>125</v>
      </c>
      <c r="DI562" s="160" t="s">
        <v>2043</v>
      </c>
      <c r="DJ562" s="160" t="s">
        <v>2043</v>
      </c>
      <c r="DK562" s="160" t="s">
        <v>588</v>
      </c>
      <c r="DL562" s="160" t="s">
        <v>1895</v>
      </c>
      <c r="DM562" s="160" t="s">
        <v>590</v>
      </c>
      <c r="DN562" s="161" t="s">
        <v>591</v>
      </c>
      <c r="DP562" s="130">
        <v>1</v>
      </c>
    </row>
    <row r="563" spans="2:120" ht="15">
      <c r="B563" s="231"/>
      <c r="C563" s="231"/>
      <c r="D563" s="231"/>
      <c r="E563" s="231" cm="1">
        <f t="array" ref="E563">IF(H562&lt;&gt;"",E562,IF(E562="","",IFERROR(MATCH(TRUE(),INDEX(INDEX(K:K,E562+1):K203&lt;&gt;"",0),0)+E562,"")))</f>
        <v>655</v>
      </c>
      <c r="F563" s="232" cm="1">
        <f t="array" ref="F563">IF(E563="","",IF(H562&lt;&gt;"",H562,INDEX(D:D,E563)))</f>
        <v>0</v>
      </c>
      <c r="G563" s="232" t="str">
        <f t="shared" si="60"/>
        <v>0</v>
      </c>
      <c r="H563" s="233" t="str">
        <f t="shared" si="61"/>
        <v/>
      </c>
      <c r="I563" s="231" t="str">
        <f>IF(AND(F563&lt;&gt;"",N10&gt;0,M563&gt;N10),"Mot &gt; limite","")</f>
        <v/>
      </c>
      <c r="M563" s="126">
        <f>IF(OR(F563="",N10="",N10&lt;=0),"",IF(LEN(F563)&lt;=N10,LEN(F563),IFERROR(FIND("♦",SUBSTITUTE(LEFT(F563,N10)," ","♦",LEN(LEFT(F563,N10))-LEN(SUBSTITUTE(LEFT(F563,N10)," ","")))),FIND(" ",F563&amp;" ",N10+1)-1)))</f>
        <v>1</v>
      </c>
      <c r="N563" s="234">
        <f t="shared" si="62"/>
        <v>546</v>
      </c>
      <c r="O563" s="165" t="str">
        <f t="shared" si="63"/>
        <v>0</v>
      </c>
      <c r="P563" s="234">
        <f t="shared" si="64"/>
        <v>1</v>
      </c>
      <c r="Q563" s="234">
        <f t="shared" si="65"/>
        <v>1</v>
      </c>
      <c r="DE563" s="152"/>
      <c r="DF563" s="160" t="s">
        <v>2044</v>
      </c>
      <c r="DG563" s="160" t="s">
        <v>122</v>
      </c>
      <c r="DH563" s="160" t="s">
        <v>125</v>
      </c>
      <c r="DI563" s="160" t="s">
        <v>2045</v>
      </c>
      <c r="DJ563" s="160" t="s">
        <v>2045</v>
      </c>
      <c r="DK563" s="160" t="s">
        <v>588</v>
      </c>
      <c r="DL563" s="160" t="s">
        <v>1895</v>
      </c>
      <c r="DM563" s="160" t="s">
        <v>590</v>
      </c>
      <c r="DN563" s="161" t="s">
        <v>591</v>
      </c>
      <c r="DP563" s="130">
        <v>1</v>
      </c>
    </row>
    <row r="564" spans="2:120" ht="15">
      <c r="B564" s="231"/>
      <c r="C564" s="231"/>
      <c r="D564" s="231"/>
      <c r="E564" s="231" cm="1">
        <f t="array" ref="E564">IF(H563&lt;&gt;"",E563,IF(E563="","",IFERROR(MATCH(TRUE(),INDEX(INDEX(K:K,E563+1):K203&lt;&gt;"",0),0)+E563,"")))</f>
        <v>656</v>
      </c>
      <c r="F564" s="232" cm="1">
        <f t="array" ref="F564">IF(E564="","",IF(H563&lt;&gt;"",H563,INDEX(D:D,E564)))</f>
        <v>0</v>
      </c>
      <c r="G564" s="232" t="str">
        <f t="shared" si="60"/>
        <v>0</v>
      </c>
      <c r="H564" s="233" t="str">
        <f t="shared" si="61"/>
        <v/>
      </c>
      <c r="I564" s="231" t="str">
        <f>IF(AND(F564&lt;&gt;"",N10&gt;0,M564&gt;N10),"Mot &gt; limite","")</f>
        <v/>
      </c>
      <c r="M564" s="126">
        <f>IF(OR(F564="",N10="",N10&lt;=0),"",IF(LEN(F564)&lt;=N10,LEN(F564),IFERROR(FIND("♦",SUBSTITUTE(LEFT(F564,N10)," ","♦",LEN(LEFT(F564,N10))-LEN(SUBSTITUTE(LEFT(F564,N10)," ","")))),FIND(" ",F564&amp;" ",N10+1)-1)))</f>
        <v>1</v>
      </c>
      <c r="N564" s="234">
        <f t="shared" si="62"/>
        <v>547</v>
      </c>
      <c r="O564" s="165" t="str">
        <f t="shared" si="63"/>
        <v>0</v>
      </c>
      <c r="P564" s="234">
        <f t="shared" si="64"/>
        <v>1</v>
      </c>
      <c r="Q564" s="234">
        <f t="shared" si="65"/>
        <v>1</v>
      </c>
      <c r="DE564" s="152"/>
      <c r="DF564" s="160" t="s">
        <v>2046</v>
      </c>
      <c r="DG564" s="160" t="s">
        <v>122</v>
      </c>
      <c r="DH564" s="160" t="s">
        <v>125</v>
      </c>
      <c r="DI564" s="160" t="s">
        <v>2047</v>
      </c>
      <c r="DJ564" s="160" t="s">
        <v>2047</v>
      </c>
      <c r="DK564" s="160" t="s">
        <v>1259</v>
      </c>
      <c r="DL564" s="160" t="s">
        <v>1260</v>
      </c>
      <c r="DM564" s="160" t="s">
        <v>1812</v>
      </c>
      <c r="DN564" s="161" t="s">
        <v>1813</v>
      </c>
      <c r="DP564" s="130">
        <v>1</v>
      </c>
    </row>
    <row r="565" spans="2:120" ht="15">
      <c r="B565" s="231"/>
      <c r="C565" s="231"/>
      <c r="D565" s="231"/>
      <c r="E565" s="231" cm="1">
        <f t="array" ref="E565">IF(H564&lt;&gt;"",E564,IF(E564="","",IFERROR(MATCH(TRUE(),INDEX(INDEX(K:K,E564+1):K203&lt;&gt;"",0),0)+E564,"")))</f>
        <v>657</v>
      </c>
      <c r="F565" s="232" cm="1">
        <f t="array" ref="F565">IF(E565="","",IF(H564&lt;&gt;"",H564,INDEX(D:D,E565)))</f>
        <v>0</v>
      </c>
      <c r="G565" s="232" t="str">
        <f t="shared" si="60"/>
        <v>0</v>
      </c>
      <c r="H565" s="233" t="str">
        <f t="shared" si="61"/>
        <v/>
      </c>
      <c r="I565" s="231" t="str">
        <f>IF(AND(F565&lt;&gt;"",N10&gt;0,M565&gt;N10),"Mot &gt; limite","")</f>
        <v/>
      </c>
      <c r="M565" s="126">
        <f>IF(OR(F565="",N10="",N10&lt;=0),"",IF(LEN(F565)&lt;=N10,LEN(F565),IFERROR(FIND("♦",SUBSTITUTE(LEFT(F565,N10)," ","♦",LEN(LEFT(F565,N10))-LEN(SUBSTITUTE(LEFT(F565,N10)," ","")))),FIND(" ",F565&amp;" ",N10+1)-1)))</f>
        <v>1</v>
      </c>
      <c r="N565" s="234">
        <f t="shared" si="62"/>
        <v>548</v>
      </c>
      <c r="O565" s="165" t="str">
        <f t="shared" si="63"/>
        <v>0</v>
      </c>
      <c r="P565" s="234">
        <f t="shared" si="64"/>
        <v>1</v>
      </c>
      <c r="Q565" s="234">
        <f t="shared" si="65"/>
        <v>1</v>
      </c>
      <c r="DE565" s="152"/>
      <c r="DF565" s="160" t="s">
        <v>2048</v>
      </c>
      <c r="DG565" s="160" t="s">
        <v>122</v>
      </c>
      <c r="DH565" s="160" t="s">
        <v>125</v>
      </c>
      <c r="DI565" s="160" t="s">
        <v>2049</v>
      </c>
      <c r="DJ565" s="160" t="s">
        <v>2049</v>
      </c>
      <c r="DK565" s="160" t="s">
        <v>1259</v>
      </c>
      <c r="DL565" s="160" t="s">
        <v>1260</v>
      </c>
      <c r="DM565" s="160" t="s">
        <v>1812</v>
      </c>
      <c r="DN565" s="161" t="s">
        <v>1813</v>
      </c>
      <c r="DP565" s="130">
        <v>1</v>
      </c>
    </row>
    <row r="566" spans="2:120" ht="15">
      <c r="B566" s="231"/>
      <c r="C566" s="231"/>
      <c r="D566" s="231"/>
      <c r="E566" s="231" cm="1">
        <f t="array" ref="E566">IF(H565&lt;&gt;"",E565,IF(E565="","",IFERROR(MATCH(TRUE(),INDEX(INDEX(K:K,E565+1):K203&lt;&gt;"",0),0)+E565,"")))</f>
        <v>658</v>
      </c>
      <c r="F566" s="232" cm="1">
        <f t="array" ref="F566">IF(E566="","",IF(H565&lt;&gt;"",H565,INDEX(D:D,E566)))</f>
        <v>0</v>
      </c>
      <c r="G566" s="232" t="str">
        <f t="shared" si="60"/>
        <v>0</v>
      </c>
      <c r="H566" s="233" t="str">
        <f t="shared" si="61"/>
        <v/>
      </c>
      <c r="I566" s="231" t="str">
        <f>IF(AND(F566&lt;&gt;"",N10&gt;0,M566&gt;N10),"Mot &gt; limite","")</f>
        <v/>
      </c>
      <c r="M566" s="126">
        <f>IF(OR(F566="",N10="",N10&lt;=0),"",IF(LEN(F566)&lt;=N10,LEN(F566),IFERROR(FIND("♦",SUBSTITUTE(LEFT(F566,N10)," ","♦",LEN(LEFT(F566,N10))-LEN(SUBSTITUTE(LEFT(F566,N10)," ","")))),FIND(" ",F566&amp;" ",N10+1)-1)))</f>
        <v>1</v>
      </c>
      <c r="N566" s="234">
        <f t="shared" si="62"/>
        <v>549</v>
      </c>
      <c r="O566" s="165" t="str">
        <f t="shared" si="63"/>
        <v>0</v>
      </c>
      <c r="P566" s="234">
        <f t="shared" si="64"/>
        <v>1</v>
      </c>
      <c r="Q566" s="234">
        <f t="shared" si="65"/>
        <v>1</v>
      </c>
      <c r="DE566" s="152"/>
      <c r="DF566" s="160" t="s">
        <v>2050</v>
      </c>
      <c r="DG566" s="160" t="s">
        <v>122</v>
      </c>
      <c r="DH566" s="160" t="s">
        <v>125</v>
      </c>
      <c r="DI566" s="160" t="s">
        <v>2051</v>
      </c>
      <c r="DJ566" s="160" t="s">
        <v>2051</v>
      </c>
      <c r="DK566" s="160" t="s">
        <v>1259</v>
      </c>
      <c r="DL566" s="160" t="s">
        <v>1260</v>
      </c>
      <c r="DM566" s="160" t="s">
        <v>1812</v>
      </c>
      <c r="DN566" s="161" t="s">
        <v>1813</v>
      </c>
      <c r="DP566" s="130">
        <v>1</v>
      </c>
    </row>
    <row r="567" spans="2:120" ht="15">
      <c r="B567" s="231"/>
      <c r="C567" s="231"/>
      <c r="D567" s="231"/>
      <c r="E567" s="231" cm="1">
        <f t="array" ref="E567">IF(H566&lt;&gt;"",E566,IF(E566="","",IFERROR(MATCH(TRUE(),INDEX(INDEX(K:K,E566+1):K203&lt;&gt;"",0),0)+E566,"")))</f>
        <v>659</v>
      </c>
      <c r="F567" s="232" cm="1">
        <f t="array" ref="F567">IF(E567="","",IF(H566&lt;&gt;"",H566,INDEX(D:D,E567)))</f>
        <v>0</v>
      </c>
      <c r="G567" s="232" t="str">
        <f t="shared" si="60"/>
        <v>0</v>
      </c>
      <c r="H567" s="233" t="str">
        <f t="shared" si="61"/>
        <v/>
      </c>
      <c r="I567" s="231" t="str">
        <f>IF(AND(F567&lt;&gt;"",N10&gt;0,M567&gt;N10),"Mot &gt; limite","")</f>
        <v/>
      </c>
      <c r="M567" s="126">
        <f>IF(OR(F567="",N10="",N10&lt;=0),"",IF(LEN(F567)&lt;=N10,LEN(F567),IFERROR(FIND("♦",SUBSTITUTE(LEFT(F567,N10)," ","♦",LEN(LEFT(F567,N10))-LEN(SUBSTITUTE(LEFT(F567,N10)," ","")))),FIND(" ",F567&amp;" ",N10+1)-1)))</f>
        <v>1</v>
      </c>
      <c r="N567" s="234">
        <f t="shared" si="62"/>
        <v>550</v>
      </c>
      <c r="O567" s="165" t="str">
        <f t="shared" si="63"/>
        <v>0</v>
      </c>
      <c r="P567" s="234">
        <f t="shared" si="64"/>
        <v>1</v>
      </c>
      <c r="Q567" s="234">
        <f t="shared" si="65"/>
        <v>1</v>
      </c>
      <c r="DE567" s="152"/>
      <c r="DF567" s="160" t="s">
        <v>2052</v>
      </c>
      <c r="DG567" s="160" t="s">
        <v>122</v>
      </c>
      <c r="DH567" s="160" t="s">
        <v>125</v>
      </c>
      <c r="DI567" s="160" t="s">
        <v>2053</v>
      </c>
      <c r="DJ567" s="160" t="s">
        <v>2053</v>
      </c>
      <c r="DK567" s="160" t="s">
        <v>1259</v>
      </c>
      <c r="DL567" s="160" t="s">
        <v>1260</v>
      </c>
      <c r="DM567" s="160" t="s">
        <v>1812</v>
      </c>
      <c r="DN567" s="161" t="s">
        <v>1813</v>
      </c>
      <c r="DP567" s="130">
        <v>1</v>
      </c>
    </row>
    <row r="568" spans="2:120" ht="15">
      <c r="B568" s="231"/>
      <c r="C568" s="231"/>
      <c r="D568" s="231"/>
      <c r="E568" s="231" cm="1">
        <f t="array" ref="E568">IF(H567&lt;&gt;"",E567,IF(E567="","",IFERROR(MATCH(TRUE(),INDEX(INDEX(K:K,E567+1):K203&lt;&gt;"",0),0)+E567,"")))</f>
        <v>660</v>
      </c>
      <c r="F568" s="232" cm="1">
        <f t="array" ref="F568">IF(E568="","",IF(H567&lt;&gt;"",H567,INDEX(D:D,E568)))</f>
        <v>0</v>
      </c>
      <c r="G568" s="232" t="str">
        <f t="shared" si="60"/>
        <v>0</v>
      </c>
      <c r="H568" s="233" t="str">
        <f t="shared" si="61"/>
        <v/>
      </c>
      <c r="I568" s="231" t="str">
        <f>IF(AND(F568&lt;&gt;"",N10&gt;0,M568&gt;N10),"Mot &gt; limite","")</f>
        <v/>
      </c>
      <c r="M568" s="126">
        <f>IF(OR(F568="",N10="",N10&lt;=0),"",IF(LEN(F568)&lt;=N10,LEN(F568),IFERROR(FIND("♦",SUBSTITUTE(LEFT(F568,N10)," ","♦",LEN(LEFT(F568,N10))-LEN(SUBSTITUTE(LEFT(F568,N10)," ","")))),FIND(" ",F568&amp;" ",N10+1)-1)))</f>
        <v>1</v>
      </c>
      <c r="N568" s="234">
        <f t="shared" si="62"/>
        <v>551</v>
      </c>
      <c r="O568" s="165" t="str">
        <f t="shared" si="63"/>
        <v>0</v>
      </c>
      <c r="P568" s="234">
        <f t="shared" si="64"/>
        <v>1</v>
      </c>
      <c r="Q568" s="234">
        <f t="shared" si="65"/>
        <v>1</v>
      </c>
      <c r="DE568" s="152"/>
      <c r="DF568" s="160" t="s">
        <v>2054</v>
      </c>
      <c r="DG568" s="160" t="s">
        <v>122</v>
      </c>
      <c r="DH568" s="160" t="s">
        <v>125</v>
      </c>
      <c r="DI568" s="160" t="s">
        <v>2055</v>
      </c>
      <c r="DJ568" s="160" t="s">
        <v>2055</v>
      </c>
      <c r="DK568" s="160" t="s">
        <v>1259</v>
      </c>
      <c r="DL568" s="160" t="s">
        <v>1260</v>
      </c>
      <c r="DM568" s="160" t="s">
        <v>1812</v>
      </c>
      <c r="DN568" s="161" t="s">
        <v>1813</v>
      </c>
      <c r="DP568" s="130">
        <v>1</v>
      </c>
    </row>
    <row r="569" spans="2:120" ht="15">
      <c r="B569" s="231"/>
      <c r="C569" s="231"/>
      <c r="D569" s="231"/>
      <c r="E569" s="231" cm="1">
        <f t="array" ref="E569">IF(H568&lt;&gt;"",E568,IF(E568="","",IFERROR(MATCH(TRUE(),INDEX(INDEX(K:K,E568+1):K203&lt;&gt;"",0),0)+E568,"")))</f>
        <v>661</v>
      </c>
      <c r="F569" s="232" cm="1">
        <f t="array" ref="F569">IF(E569="","",IF(H568&lt;&gt;"",H568,INDEX(D:D,E569)))</f>
        <v>0</v>
      </c>
      <c r="G569" s="232" t="str">
        <f t="shared" si="60"/>
        <v>0</v>
      </c>
      <c r="H569" s="233" t="str">
        <f t="shared" si="61"/>
        <v/>
      </c>
      <c r="I569" s="231" t="str">
        <f>IF(AND(F569&lt;&gt;"",N10&gt;0,M569&gt;N10),"Mot &gt; limite","")</f>
        <v/>
      </c>
      <c r="M569" s="126">
        <f>IF(OR(F569="",N10="",N10&lt;=0),"",IF(LEN(F569)&lt;=N10,LEN(F569),IFERROR(FIND("♦",SUBSTITUTE(LEFT(F569,N10)," ","♦",LEN(LEFT(F569,N10))-LEN(SUBSTITUTE(LEFT(F569,N10)," ","")))),FIND(" ",F569&amp;" ",N10+1)-1)))</f>
        <v>1</v>
      </c>
      <c r="N569" s="234">
        <f t="shared" si="62"/>
        <v>552</v>
      </c>
      <c r="O569" s="165" t="str">
        <f t="shared" si="63"/>
        <v>0</v>
      </c>
      <c r="P569" s="234">
        <f t="shared" si="64"/>
        <v>1</v>
      </c>
      <c r="Q569" s="234">
        <f t="shared" si="65"/>
        <v>1</v>
      </c>
      <c r="DE569" s="152"/>
      <c r="DF569" s="160" t="s">
        <v>2056</v>
      </c>
      <c r="DG569" s="160" t="s">
        <v>122</v>
      </c>
      <c r="DH569" s="160" t="s">
        <v>125</v>
      </c>
      <c r="DI569" s="160" t="s">
        <v>286</v>
      </c>
      <c r="DJ569" s="160" t="s">
        <v>286</v>
      </c>
      <c r="DK569" s="160" t="s">
        <v>1259</v>
      </c>
      <c r="DL569" s="160" t="s">
        <v>1260</v>
      </c>
      <c r="DM569" s="160" t="s">
        <v>1812</v>
      </c>
      <c r="DN569" s="161" t="s">
        <v>1813</v>
      </c>
      <c r="DP569" s="130">
        <v>1</v>
      </c>
    </row>
    <row r="570" spans="2:120" ht="15">
      <c r="B570" s="231"/>
      <c r="C570" s="231"/>
      <c r="D570" s="231"/>
      <c r="E570" s="231" cm="1">
        <f t="array" ref="E570">IF(H569&lt;&gt;"",E569,IF(E569="","",IFERROR(MATCH(TRUE(),INDEX(INDEX(K:K,E569+1):K203&lt;&gt;"",0),0)+E569,"")))</f>
        <v>662</v>
      </c>
      <c r="F570" s="232" cm="1">
        <f t="array" ref="F570">IF(E570="","",IF(H569&lt;&gt;"",H569,INDEX(D:D,E570)))</f>
        <v>0</v>
      </c>
      <c r="G570" s="232" t="str">
        <f t="shared" si="60"/>
        <v>0</v>
      </c>
      <c r="H570" s="233" t="str">
        <f t="shared" si="61"/>
        <v/>
      </c>
      <c r="I570" s="231" t="str">
        <f>IF(AND(F570&lt;&gt;"",N10&gt;0,M570&gt;N10),"Mot &gt; limite","")</f>
        <v/>
      </c>
      <c r="M570" s="126">
        <f>IF(OR(F570="",N10="",N10&lt;=0),"",IF(LEN(F570)&lt;=N10,LEN(F570),IFERROR(FIND("♦",SUBSTITUTE(LEFT(F570,N10)," ","♦",LEN(LEFT(F570,N10))-LEN(SUBSTITUTE(LEFT(F570,N10)," ","")))),FIND(" ",F570&amp;" ",N10+1)-1)))</f>
        <v>1</v>
      </c>
      <c r="N570" s="234">
        <f t="shared" si="62"/>
        <v>553</v>
      </c>
      <c r="O570" s="165" t="str">
        <f t="shared" si="63"/>
        <v>0</v>
      </c>
      <c r="P570" s="234">
        <f t="shared" si="64"/>
        <v>1</v>
      </c>
      <c r="Q570" s="234">
        <f t="shared" si="65"/>
        <v>1</v>
      </c>
      <c r="DE570" s="152"/>
      <c r="DF570" s="160" t="s">
        <v>2057</v>
      </c>
      <c r="DG570" s="160" t="s">
        <v>122</v>
      </c>
      <c r="DH570" s="160" t="s">
        <v>125</v>
      </c>
      <c r="DI570" s="160" t="s">
        <v>2058</v>
      </c>
      <c r="DJ570" s="160" t="s">
        <v>2058</v>
      </c>
      <c r="DK570" s="160" t="s">
        <v>1259</v>
      </c>
      <c r="DL570" s="160" t="s">
        <v>1260</v>
      </c>
      <c r="DM570" s="160" t="s">
        <v>1812</v>
      </c>
      <c r="DN570" s="161" t="s">
        <v>1813</v>
      </c>
      <c r="DP570" s="130">
        <v>1</v>
      </c>
    </row>
    <row r="571" spans="2:120" ht="15">
      <c r="B571" s="231"/>
      <c r="C571" s="231"/>
      <c r="D571" s="231"/>
      <c r="E571" s="231" cm="1">
        <f t="array" ref="E571">IF(H570&lt;&gt;"",E570,IF(E570="","",IFERROR(MATCH(TRUE(),INDEX(INDEX(K:K,E570+1):K203&lt;&gt;"",0),0)+E570,"")))</f>
        <v>663</v>
      </c>
      <c r="F571" s="232" cm="1">
        <f t="array" ref="F571">IF(E571="","",IF(H570&lt;&gt;"",H570,INDEX(D:D,E571)))</f>
        <v>0</v>
      </c>
      <c r="G571" s="232" t="str">
        <f t="shared" si="60"/>
        <v>0</v>
      </c>
      <c r="H571" s="233" t="str">
        <f t="shared" si="61"/>
        <v/>
      </c>
      <c r="I571" s="231" t="str">
        <f>IF(AND(F571&lt;&gt;"",N10&gt;0,M571&gt;N10),"Mot &gt; limite","")</f>
        <v/>
      </c>
      <c r="M571" s="126">
        <f>IF(OR(F571="",N10="",N10&lt;=0),"",IF(LEN(F571)&lt;=N10,LEN(F571),IFERROR(FIND("♦",SUBSTITUTE(LEFT(F571,N10)," ","♦",LEN(LEFT(F571,N10))-LEN(SUBSTITUTE(LEFT(F571,N10)," ","")))),FIND(" ",F571&amp;" ",N10+1)-1)))</f>
        <v>1</v>
      </c>
      <c r="N571" s="234">
        <f t="shared" si="62"/>
        <v>554</v>
      </c>
      <c r="O571" s="165" t="str">
        <f t="shared" si="63"/>
        <v>0</v>
      </c>
      <c r="P571" s="234">
        <f t="shared" si="64"/>
        <v>1</v>
      </c>
      <c r="Q571" s="234">
        <f t="shared" si="65"/>
        <v>1</v>
      </c>
      <c r="DE571" s="152"/>
      <c r="DF571" s="160" t="s">
        <v>2059</v>
      </c>
      <c r="DG571" s="160" t="s">
        <v>122</v>
      </c>
      <c r="DH571" s="160" t="s">
        <v>125</v>
      </c>
      <c r="DI571" s="160" t="s">
        <v>2060</v>
      </c>
      <c r="DJ571" s="160" t="s">
        <v>2060</v>
      </c>
      <c r="DK571" s="160" t="s">
        <v>1259</v>
      </c>
      <c r="DL571" s="160" t="s">
        <v>1260</v>
      </c>
      <c r="DM571" s="160" t="s">
        <v>1812</v>
      </c>
      <c r="DN571" s="161" t="s">
        <v>1813</v>
      </c>
      <c r="DP571" s="130">
        <v>1</v>
      </c>
    </row>
    <row r="572" spans="2:120" ht="15">
      <c r="B572" s="231"/>
      <c r="C572" s="231"/>
      <c r="D572" s="231"/>
      <c r="E572" s="231" cm="1">
        <f t="array" ref="E572">IF(H571&lt;&gt;"",E571,IF(E571="","",IFERROR(MATCH(TRUE(),INDEX(INDEX(K:K,E571+1):K203&lt;&gt;"",0),0)+E571,"")))</f>
        <v>664</v>
      </c>
      <c r="F572" s="232" cm="1">
        <f t="array" ref="F572">IF(E572="","",IF(H571&lt;&gt;"",H571,INDEX(D:D,E572)))</f>
        <v>0</v>
      </c>
      <c r="G572" s="232" t="str">
        <f t="shared" si="60"/>
        <v>0</v>
      </c>
      <c r="H572" s="233" t="str">
        <f t="shared" si="61"/>
        <v/>
      </c>
      <c r="I572" s="231" t="str">
        <f>IF(AND(F572&lt;&gt;"",N10&gt;0,M572&gt;N10),"Mot &gt; limite","")</f>
        <v/>
      </c>
      <c r="M572" s="126">
        <f>IF(OR(F572="",N10="",N10&lt;=0),"",IF(LEN(F572)&lt;=N10,LEN(F572),IFERROR(FIND("♦",SUBSTITUTE(LEFT(F572,N10)," ","♦",LEN(LEFT(F572,N10))-LEN(SUBSTITUTE(LEFT(F572,N10)," ","")))),FIND(" ",F572&amp;" ",N10+1)-1)))</f>
        <v>1</v>
      </c>
      <c r="N572" s="234">
        <f t="shared" si="62"/>
        <v>555</v>
      </c>
      <c r="O572" s="165" t="str">
        <f t="shared" si="63"/>
        <v>0</v>
      </c>
      <c r="P572" s="234">
        <f t="shared" si="64"/>
        <v>1</v>
      </c>
      <c r="Q572" s="234">
        <f t="shared" si="65"/>
        <v>1</v>
      </c>
      <c r="DE572" s="152"/>
      <c r="DF572" s="160" t="s">
        <v>2061</v>
      </c>
      <c r="DG572" s="160" t="s">
        <v>122</v>
      </c>
      <c r="DH572" s="160" t="s">
        <v>125</v>
      </c>
      <c r="DI572" s="160" t="s">
        <v>2062</v>
      </c>
      <c r="DJ572" s="160" t="s">
        <v>2062</v>
      </c>
      <c r="DK572" s="160" t="s">
        <v>1259</v>
      </c>
      <c r="DL572" s="160" t="s">
        <v>1260</v>
      </c>
      <c r="DM572" s="160" t="s">
        <v>1812</v>
      </c>
      <c r="DN572" s="161" t="s">
        <v>1813</v>
      </c>
      <c r="DP572" s="130">
        <v>1</v>
      </c>
    </row>
    <row r="573" spans="2:120" ht="15">
      <c r="B573" s="231"/>
      <c r="C573" s="231"/>
      <c r="D573" s="231"/>
      <c r="E573" s="231" cm="1">
        <f t="array" ref="E573">IF(H572&lt;&gt;"",E572,IF(E572="","",IFERROR(MATCH(TRUE(),INDEX(INDEX(K:K,E572+1):K203&lt;&gt;"",0),0)+E572,"")))</f>
        <v>665</v>
      </c>
      <c r="F573" s="232" cm="1">
        <f t="array" ref="F573">IF(E573="","",IF(H572&lt;&gt;"",H572,INDEX(D:D,E573)))</f>
        <v>0</v>
      </c>
      <c r="G573" s="232" t="str">
        <f t="shared" si="60"/>
        <v>0</v>
      </c>
      <c r="H573" s="233" t="str">
        <f t="shared" si="61"/>
        <v/>
      </c>
      <c r="I573" s="231" t="str">
        <f>IF(AND(F573&lt;&gt;"",N10&gt;0,M573&gt;N10),"Mot &gt; limite","")</f>
        <v/>
      </c>
      <c r="M573" s="126">
        <f>IF(OR(F573="",N10="",N10&lt;=0),"",IF(LEN(F573)&lt;=N10,LEN(F573),IFERROR(FIND("♦",SUBSTITUTE(LEFT(F573,N10)," ","♦",LEN(LEFT(F573,N10))-LEN(SUBSTITUTE(LEFT(F573,N10)," ","")))),FIND(" ",F573&amp;" ",N10+1)-1)))</f>
        <v>1</v>
      </c>
      <c r="N573" s="234">
        <f t="shared" si="62"/>
        <v>556</v>
      </c>
      <c r="O573" s="165" t="str">
        <f t="shared" si="63"/>
        <v>0</v>
      </c>
      <c r="P573" s="234">
        <f t="shared" si="64"/>
        <v>1</v>
      </c>
      <c r="Q573" s="234">
        <f t="shared" si="65"/>
        <v>1</v>
      </c>
      <c r="DE573" s="152"/>
      <c r="DF573" s="160" t="s">
        <v>2063</v>
      </c>
      <c r="DG573" s="160" t="s">
        <v>122</v>
      </c>
      <c r="DH573" s="160" t="s">
        <v>125</v>
      </c>
      <c r="DI573" s="160" t="s">
        <v>2064</v>
      </c>
      <c r="DJ573" s="160" t="s">
        <v>2064</v>
      </c>
      <c r="DK573" s="160" t="s">
        <v>1259</v>
      </c>
      <c r="DL573" s="160" t="s">
        <v>1260</v>
      </c>
      <c r="DM573" s="160" t="s">
        <v>1812</v>
      </c>
      <c r="DN573" s="161" t="s">
        <v>1813</v>
      </c>
      <c r="DP573" s="130">
        <v>1</v>
      </c>
    </row>
    <row r="574" spans="2:120" ht="15">
      <c r="B574" s="231"/>
      <c r="C574" s="231"/>
      <c r="D574" s="231"/>
      <c r="E574" s="231" cm="1">
        <f t="array" ref="E574">IF(H573&lt;&gt;"",E573,IF(E573="","",IFERROR(MATCH(TRUE(),INDEX(INDEX(K:K,E573+1):K203&lt;&gt;"",0),0)+E573,"")))</f>
        <v>666</v>
      </c>
      <c r="F574" s="232" cm="1">
        <f t="array" ref="F574">IF(E574="","",IF(H573&lt;&gt;"",H573,INDEX(D:D,E574)))</f>
        <v>0</v>
      </c>
      <c r="G574" s="232" t="str">
        <f t="shared" si="60"/>
        <v>0</v>
      </c>
      <c r="H574" s="233" t="str">
        <f t="shared" si="61"/>
        <v/>
      </c>
      <c r="I574" s="231" t="str">
        <f>IF(AND(F574&lt;&gt;"",N10&gt;0,M574&gt;N10),"Mot &gt; limite","")</f>
        <v/>
      </c>
      <c r="M574" s="126">
        <f>IF(OR(F574="",N10="",N10&lt;=0),"",IF(LEN(F574)&lt;=N10,LEN(F574),IFERROR(FIND("♦",SUBSTITUTE(LEFT(F574,N10)," ","♦",LEN(LEFT(F574,N10))-LEN(SUBSTITUTE(LEFT(F574,N10)," ","")))),FIND(" ",F574&amp;" ",N10+1)-1)))</f>
        <v>1</v>
      </c>
      <c r="N574" s="234">
        <f t="shared" si="62"/>
        <v>557</v>
      </c>
      <c r="O574" s="165" t="str">
        <f t="shared" si="63"/>
        <v>0</v>
      </c>
      <c r="P574" s="234">
        <f t="shared" si="64"/>
        <v>1</v>
      </c>
      <c r="Q574" s="234">
        <f t="shared" si="65"/>
        <v>1</v>
      </c>
      <c r="DE574" s="152"/>
      <c r="DF574" s="160" t="s">
        <v>2065</v>
      </c>
      <c r="DG574" s="160" t="s">
        <v>122</v>
      </c>
      <c r="DH574" s="160" t="s">
        <v>125</v>
      </c>
      <c r="DI574" s="160" t="s">
        <v>2066</v>
      </c>
      <c r="DJ574" s="160" t="s">
        <v>2066</v>
      </c>
      <c r="DK574" s="160" t="s">
        <v>1259</v>
      </c>
      <c r="DL574" s="160" t="s">
        <v>1260</v>
      </c>
      <c r="DM574" s="160" t="s">
        <v>1812</v>
      </c>
      <c r="DN574" s="161" t="s">
        <v>1813</v>
      </c>
      <c r="DP574" s="130">
        <v>1</v>
      </c>
    </row>
    <row r="575" spans="2:120" ht="15">
      <c r="B575" s="231"/>
      <c r="C575" s="231"/>
      <c r="D575" s="231"/>
      <c r="E575" s="231" cm="1">
        <f t="array" ref="E575">IF(H574&lt;&gt;"",E574,IF(E574="","",IFERROR(MATCH(TRUE(),INDEX(INDEX(K:K,E574+1):K203&lt;&gt;"",0),0)+E574,"")))</f>
        <v>667</v>
      </c>
      <c r="F575" s="232" cm="1">
        <f t="array" ref="F575">IF(E575="","",IF(H574&lt;&gt;"",H574,INDEX(D:D,E575)))</f>
        <v>0</v>
      </c>
      <c r="G575" s="232" t="str">
        <f t="shared" si="60"/>
        <v>0</v>
      </c>
      <c r="H575" s="233" t="str">
        <f t="shared" si="61"/>
        <v/>
      </c>
      <c r="I575" s="231" t="str">
        <f>IF(AND(F575&lt;&gt;"",N10&gt;0,M575&gt;N10),"Mot &gt; limite","")</f>
        <v/>
      </c>
      <c r="M575" s="126">
        <f>IF(OR(F575="",N10="",N10&lt;=0),"",IF(LEN(F575)&lt;=N10,LEN(F575),IFERROR(FIND("♦",SUBSTITUTE(LEFT(F575,N10)," ","♦",LEN(LEFT(F575,N10))-LEN(SUBSTITUTE(LEFT(F575,N10)," ","")))),FIND(" ",F575&amp;" ",N10+1)-1)))</f>
        <v>1</v>
      </c>
      <c r="N575" s="234">
        <f t="shared" si="62"/>
        <v>558</v>
      </c>
      <c r="O575" s="165" t="str">
        <f t="shared" si="63"/>
        <v>0</v>
      </c>
      <c r="P575" s="234">
        <f t="shared" si="64"/>
        <v>1</v>
      </c>
      <c r="Q575" s="234">
        <f t="shared" si="65"/>
        <v>1</v>
      </c>
      <c r="DE575" s="152"/>
      <c r="DF575" s="160" t="s">
        <v>2067</v>
      </c>
      <c r="DG575" s="160" t="s">
        <v>122</v>
      </c>
      <c r="DH575" s="160" t="s">
        <v>125</v>
      </c>
      <c r="DI575" s="160" t="s">
        <v>2068</v>
      </c>
      <c r="DJ575" s="160" t="s">
        <v>2068</v>
      </c>
      <c r="DK575" s="160" t="s">
        <v>1259</v>
      </c>
      <c r="DL575" s="160" t="s">
        <v>1260</v>
      </c>
      <c r="DM575" s="160" t="s">
        <v>1812</v>
      </c>
      <c r="DN575" s="161" t="s">
        <v>1813</v>
      </c>
      <c r="DP575" s="130">
        <v>1</v>
      </c>
    </row>
    <row r="576" spans="2:120" ht="15">
      <c r="B576" s="231"/>
      <c r="C576" s="231"/>
      <c r="D576" s="231"/>
      <c r="E576" s="231" cm="1">
        <f t="array" ref="E576">IF(H575&lt;&gt;"",E575,IF(E575="","",IFERROR(MATCH(TRUE(),INDEX(INDEX(K:K,E575+1):K203&lt;&gt;"",0),0)+E575,"")))</f>
        <v>668</v>
      </c>
      <c r="F576" s="232" cm="1">
        <f t="array" ref="F576">IF(E576="","",IF(H575&lt;&gt;"",H575,INDEX(D:D,E576)))</f>
        <v>0</v>
      </c>
      <c r="G576" s="232" t="str">
        <f t="shared" si="60"/>
        <v>0</v>
      </c>
      <c r="H576" s="233" t="str">
        <f t="shared" si="61"/>
        <v/>
      </c>
      <c r="I576" s="231" t="str">
        <f>IF(AND(F576&lt;&gt;"",N10&gt;0,M576&gt;N10),"Mot &gt; limite","")</f>
        <v/>
      </c>
      <c r="M576" s="126">
        <f>IF(OR(F576="",N10="",N10&lt;=0),"",IF(LEN(F576)&lt;=N10,LEN(F576),IFERROR(FIND("♦",SUBSTITUTE(LEFT(F576,N10)," ","♦",LEN(LEFT(F576,N10))-LEN(SUBSTITUTE(LEFT(F576,N10)," ","")))),FIND(" ",F576&amp;" ",N10+1)-1)))</f>
        <v>1</v>
      </c>
      <c r="N576" s="234">
        <f t="shared" si="62"/>
        <v>559</v>
      </c>
      <c r="O576" s="165" t="str">
        <f t="shared" si="63"/>
        <v>0</v>
      </c>
      <c r="P576" s="234">
        <f t="shared" si="64"/>
        <v>1</v>
      </c>
      <c r="Q576" s="234">
        <f t="shared" si="65"/>
        <v>1</v>
      </c>
      <c r="DE576" s="152"/>
      <c r="DF576" s="160" t="s">
        <v>2069</v>
      </c>
      <c r="DG576" s="160" t="s">
        <v>122</v>
      </c>
      <c r="DH576" s="160" t="s">
        <v>125</v>
      </c>
      <c r="DI576" s="160" t="s">
        <v>2070</v>
      </c>
      <c r="DJ576" s="160" t="s">
        <v>2070</v>
      </c>
      <c r="DK576" s="160" t="s">
        <v>1259</v>
      </c>
      <c r="DL576" s="160" t="s">
        <v>1260</v>
      </c>
      <c r="DM576" s="160" t="s">
        <v>1812</v>
      </c>
      <c r="DN576" s="161" t="s">
        <v>1813</v>
      </c>
      <c r="DP576" s="130">
        <v>1</v>
      </c>
    </row>
    <row r="577" spans="2:120" ht="15">
      <c r="B577" s="231"/>
      <c r="C577" s="231"/>
      <c r="D577" s="231"/>
      <c r="E577" s="231" cm="1">
        <f t="array" ref="E577">IF(H576&lt;&gt;"",E576,IF(E576="","",IFERROR(MATCH(TRUE(),INDEX(INDEX(K:K,E576+1):K203&lt;&gt;"",0),0)+E576,"")))</f>
        <v>669</v>
      </c>
      <c r="F577" s="232" cm="1">
        <f t="array" ref="F577">IF(E577="","",IF(H576&lt;&gt;"",H576,INDEX(D:D,E577)))</f>
        <v>0</v>
      </c>
      <c r="G577" s="232" t="str">
        <f t="shared" si="60"/>
        <v>0</v>
      </c>
      <c r="H577" s="233" t="str">
        <f t="shared" si="61"/>
        <v/>
      </c>
      <c r="I577" s="231" t="str">
        <f>IF(AND(F577&lt;&gt;"",N10&gt;0,M577&gt;N10),"Mot &gt; limite","")</f>
        <v/>
      </c>
      <c r="M577" s="126">
        <f>IF(OR(F577="",N10="",N10&lt;=0),"",IF(LEN(F577)&lt;=N10,LEN(F577),IFERROR(FIND("♦",SUBSTITUTE(LEFT(F577,N10)," ","♦",LEN(LEFT(F577,N10))-LEN(SUBSTITUTE(LEFT(F577,N10)," ","")))),FIND(" ",F577&amp;" ",N10+1)-1)))</f>
        <v>1</v>
      </c>
      <c r="N577" s="234">
        <f t="shared" si="62"/>
        <v>560</v>
      </c>
      <c r="O577" s="165" t="str">
        <f t="shared" si="63"/>
        <v>0</v>
      </c>
      <c r="P577" s="234">
        <f t="shared" si="64"/>
        <v>1</v>
      </c>
      <c r="Q577" s="234">
        <f t="shared" si="65"/>
        <v>1</v>
      </c>
      <c r="DE577" s="152"/>
      <c r="DF577" s="160" t="s">
        <v>2071</v>
      </c>
      <c r="DG577" s="160" t="s">
        <v>122</v>
      </c>
      <c r="DH577" s="160" t="s">
        <v>125</v>
      </c>
      <c r="DI577" s="160" t="s">
        <v>2072</v>
      </c>
      <c r="DJ577" s="160" t="s">
        <v>2072</v>
      </c>
      <c r="DK577" s="160" t="s">
        <v>1259</v>
      </c>
      <c r="DL577" s="160" t="s">
        <v>1260</v>
      </c>
      <c r="DM577" s="160" t="s">
        <v>1812</v>
      </c>
      <c r="DN577" s="161" t="s">
        <v>1813</v>
      </c>
      <c r="DP577" s="130">
        <v>1</v>
      </c>
    </row>
    <row r="578" spans="2:120" ht="15">
      <c r="B578" s="231"/>
      <c r="C578" s="231"/>
      <c r="D578" s="231"/>
      <c r="E578" s="231" cm="1">
        <f t="array" ref="E578">IF(H577&lt;&gt;"",E577,IF(E577="","",IFERROR(MATCH(TRUE(),INDEX(INDEX(K:K,E577+1):K203&lt;&gt;"",0),0)+E577,"")))</f>
        <v>670</v>
      </c>
      <c r="F578" s="232" cm="1">
        <f t="array" ref="F578">IF(E578="","",IF(H577&lt;&gt;"",H577,INDEX(D:D,E578)))</f>
        <v>0</v>
      </c>
      <c r="G578" s="232" t="str">
        <f t="shared" si="60"/>
        <v>0</v>
      </c>
      <c r="H578" s="233" t="str">
        <f t="shared" si="61"/>
        <v/>
      </c>
      <c r="I578" s="231" t="str">
        <f>IF(AND(F578&lt;&gt;"",N10&gt;0,M578&gt;N10),"Mot &gt; limite","")</f>
        <v/>
      </c>
      <c r="M578" s="126">
        <f>IF(OR(F578="",N10="",N10&lt;=0),"",IF(LEN(F578)&lt;=N10,LEN(F578),IFERROR(FIND("♦",SUBSTITUTE(LEFT(F578,N10)," ","♦",LEN(LEFT(F578,N10))-LEN(SUBSTITUTE(LEFT(F578,N10)," ","")))),FIND(" ",F578&amp;" ",N10+1)-1)))</f>
        <v>1</v>
      </c>
      <c r="N578" s="234">
        <f t="shared" si="62"/>
        <v>561</v>
      </c>
      <c r="O578" s="165" t="str">
        <f t="shared" si="63"/>
        <v>0</v>
      </c>
      <c r="P578" s="234">
        <f t="shared" si="64"/>
        <v>1</v>
      </c>
      <c r="Q578" s="234">
        <f t="shared" si="65"/>
        <v>1</v>
      </c>
      <c r="DE578" s="152"/>
      <c r="DF578" s="160" t="s">
        <v>2073</v>
      </c>
      <c r="DG578" s="160" t="s">
        <v>122</v>
      </c>
      <c r="DH578" s="160" t="s">
        <v>125</v>
      </c>
      <c r="DI578" s="160" t="s">
        <v>2074</v>
      </c>
      <c r="DJ578" s="160" t="s">
        <v>2074</v>
      </c>
      <c r="DK578" s="160" t="s">
        <v>1259</v>
      </c>
      <c r="DL578" s="160" t="s">
        <v>1260</v>
      </c>
      <c r="DM578" s="160" t="s">
        <v>1812</v>
      </c>
      <c r="DN578" s="161" t="s">
        <v>1813</v>
      </c>
      <c r="DP578" s="130">
        <v>1</v>
      </c>
    </row>
    <row r="579" spans="2:120" ht="15">
      <c r="B579" s="231"/>
      <c r="C579" s="231"/>
      <c r="D579" s="231"/>
      <c r="E579" s="231" cm="1">
        <f t="array" ref="E579">IF(H578&lt;&gt;"",E578,IF(E578="","",IFERROR(MATCH(TRUE(),INDEX(INDEX(K:K,E578+1):K203&lt;&gt;"",0),0)+E578,"")))</f>
        <v>671</v>
      </c>
      <c r="F579" s="232" cm="1">
        <f t="array" ref="F579">IF(E579="","",IF(H578&lt;&gt;"",H578,INDEX(D:D,E579)))</f>
        <v>0</v>
      </c>
      <c r="G579" s="232" t="str">
        <f t="shared" si="60"/>
        <v>0</v>
      </c>
      <c r="H579" s="233" t="str">
        <f t="shared" si="61"/>
        <v/>
      </c>
      <c r="I579" s="231" t="str">
        <f>IF(AND(F579&lt;&gt;"",N10&gt;0,M579&gt;N10),"Mot &gt; limite","")</f>
        <v/>
      </c>
      <c r="M579" s="126">
        <f>IF(OR(F579="",N10="",N10&lt;=0),"",IF(LEN(F579)&lt;=N10,LEN(F579),IFERROR(FIND("♦",SUBSTITUTE(LEFT(F579,N10)," ","♦",LEN(LEFT(F579,N10))-LEN(SUBSTITUTE(LEFT(F579,N10)," ","")))),FIND(" ",F579&amp;" ",N10+1)-1)))</f>
        <v>1</v>
      </c>
      <c r="N579" s="234">
        <f t="shared" si="62"/>
        <v>562</v>
      </c>
      <c r="O579" s="165" t="str">
        <f t="shared" si="63"/>
        <v>0</v>
      </c>
      <c r="P579" s="234">
        <f t="shared" si="64"/>
        <v>1</v>
      </c>
      <c r="Q579" s="234">
        <f t="shared" si="65"/>
        <v>1</v>
      </c>
      <c r="DE579" s="152"/>
      <c r="DF579" s="160" t="s">
        <v>2075</v>
      </c>
      <c r="DG579" s="160" t="s">
        <v>122</v>
      </c>
      <c r="DH579" s="160" t="s">
        <v>125</v>
      </c>
      <c r="DI579" s="160" t="s">
        <v>2076</v>
      </c>
      <c r="DJ579" s="160" t="s">
        <v>2076</v>
      </c>
      <c r="DK579" s="160" t="s">
        <v>1259</v>
      </c>
      <c r="DL579" s="160" t="s">
        <v>1260</v>
      </c>
      <c r="DM579" s="160" t="s">
        <v>1812</v>
      </c>
      <c r="DN579" s="161" t="s">
        <v>1813</v>
      </c>
      <c r="DP579" s="130">
        <v>1</v>
      </c>
    </row>
    <row r="580" spans="2:120" ht="15">
      <c r="B580" s="231"/>
      <c r="C580" s="231"/>
      <c r="D580" s="231"/>
      <c r="E580" s="231" cm="1">
        <f t="array" ref="E580">IF(H579&lt;&gt;"",E579,IF(E579="","",IFERROR(MATCH(TRUE(),INDEX(INDEX(K:K,E579+1):K203&lt;&gt;"",0),0)+E579,"")))</f>
        <v>672</v>
      </c>
      <c r="F580" s="232" cm="1">
        <f t="array" ref="F580">IF(E580="","",IF(H579&lt;&gt;"",H579,INDEX(D:D,E580)))</f>
        <v>0</v>
      </c>
      <c r="G580" s="232" t="str">
        <f t="shared" si="60"/>
        <v>0</v>
      </c>
      <c r="H580" s="233" t="str">
        <f t="shared" si="61"/>
        <v/>
      </c>
      <c r="I580" s="231" t="str">
        <f>IF(AND(F580&lt;&gt;"",N10&gt;0,M580&gt;N10),"Mot &gt; limite","")</f>
        <v/>
      </c>
      <c r="M580" s="126">
        <f>IF(OR(F580="",N10="",N10&lt;=0),"",IF(LEN(F580)&lt;=N10,LEN(F580),IFERROR(FIND("♦",SUBSTITUTE(LEFT(F580,N10)," ","♦",LEN(LEFT(F580,N10))-LEN(SUBSTITUTE(LEFT(F580,N10)," ","")))),FIND(" ",F580&amp;" ",N10+1)-1)))</f>
        <v>1</v>
      </c>
      <c r="N580" s="234">
        <f t="shared" si="62"/>
        <v>563</v>
      </c>
      <c r="O580" s="165" t="str">
        <f t="shared" si="63"/>
        <v>0</v>
      </c>
      <c r="P580" s="234">
        <f t="shared" si="64"/>
        <v>1</v>
      </c>
      <c r="Q580" s="234">
        <f t="shared" si="65"/>
        <v>1</v>
      </c>
      <c r="DE580" s="152"/>
      <c r="DF580" s="160" t="s">
        <v>2077</v>
      </c>
      <c r="DG580" s="160" t="s">
        <v>122</v>
      </c>
      <c r="DH580" s="160" t="s">
        <v>125</v>
      </c>
      <c r="DI580" s="160" t="s">
        <v>2078</v>
      </c>
      <c r="DJ580" s="160" t="s">
        <v>2078</v>
      </c>
      <c r="DK580" s="160" t="s">
        <v>1259</v>
      </c>
      <c r="DL580" s="160" t="s">
        <v>1260</v>
      </c>
      <c r="DM580" s="160" t="s">
        <v>1812</v>
      </c>
      <c r="DN580" s="161" t="s">
        <v>1813</v>
      </c>
      <c r="DP580" s="130">
        <v>1</v>
      </c>
    </row>
    <row r="581" spans="2:120" ht="15">
      <c r="B581" s="231"/>
      <c r="C581" s="231"/>
      <c r="D581" s="231"/>
      <c r="E581" s="231" cm="1">
        <f t="array" ref="E581">IF(H580&lt;&gt;"",E580,IF(E580="","",IFERROR(MATCH(TRUE(),INDEX(INDEX(K:K,E580+1):K203&lt;&gt;"",0),0)+E580,"")))</f>
        <v>673</v>
      </c>
      <c r="F581" s="232" cm="1">
        <f t="array" ref="F581">IF(E581="","",IF(H580&lt;&gt;"",H580,INDEX(D:D,E581)))</f>
        <v>0</v>
      </c>
      <c r="G581" s="232" t="str">
        <f t="shared" si="60"/>
        <v>0</v>
      </c>
      <c r="H581" s="233" t="str">
        <f t="shared" si="61"/>
        <v/>
      </c>
      <c r="I581" s="231" t="str">
        <f>IF(AND(F581&lt;&gt;"",N10&gt;0,M581&gt;N10),"Mot &gt; limite","")</f>
        <v/>
      </c>
      <c r="M581" s="126">
        <f>IF(OR(F581="",N10="",N10&lt;=0),"",IF(LEN(F581)&lt;=N10,LEN(F581),IFERROR(FIND("♦",SUBSTITUTE(LEFT(F581,N10)," ","♦",LEN(LEFT(F581,N10))-LEN(SUBSTITUTE(LEFT(F581,N10)," ","")))),FIND(" ",F581&amp;" ",N10+1)-1)))</f>
        <v>1</v>
      </c>
      <c r="N581" s="234">
        <f t="shared" si="62"/>
        <v>564</v>
      </c>
      <c r="O581" s="165" t="str">
        <f t="shared" si="63"/>
        <v>0</v>
      </c>
      <c r="P581" s="234">
        <f t="shared" si="64"/>
        <v>1</v>
      </c>
      <c r="Q581" s="234">
        <f t="shared" si="65"/>
        <v>1</v>
      </c>
      <c r="DE581" s="152"/>
      <c r="DF581" s="160" t="s">
        <v>2079</v>
      </c>
      <c r="DG581" s="160" t="s">
        <v>122</v>
      </c>
      <c r="DH581" s="160" t="s">
        <v>125</v>
      </c>
      <c r="DI581" s="160" t="s">
        <v>2080</v>
      </c>
      <c r="DJ581" s="160" t="s">
        <v>2080</v>
      </c>
      <c r="DK581" s="160" t="s">
        <v>1259</v>
      </c>
      <c r="DL581" s="160" t="s">
        <v>1260</v>
      </c>
      <c r="DM581" s="160" t="s">
        <v>1812</v>
      </c>
      <c r="DN581" s="161" t="s">
        <v>1813</v>
      </c>
      <c r="DP581" s="130">
        <v>1</v>
      </c>
    </row>
    <row r="582" spans="2:120" ht="15">
      <c r="B582" s="231"/>
      <c r="C582" s="231"/>
      <c r="D582" s="231"/>
      <c r="E582" s="231" cm="1">
        <f t="array" ref="E582">IF(H581&lt;&gt;"",E581,IF(E581="","",IFERROR(MATCH(TRUE(),INDEX(INDEX(K:K,E581+1):K203&lt;&gt;"",0),0)+E581,"")))</f>
        <v>674</v>
      </c>
      <c r="F582" s="232" cm="1">
        <f t="array" ref="F582">IF(E582="","",IF(H581&lt;&gt;"",H581,INDEX(D:D,E582)))</f>
        <v>0</v>
      </c>
      <c r="G582" s="232" t="str">
        <f t="shared" si="60"/>
        <v>0</v>
      </c>
      <c r="H582" s="233" t="str">
        <f t="shared" si="61"/>
        <v/>
      </c>
      <c r="I582" s="231" t="str">
        <f>IF(AND(F582&lt;&gt;"",N10&gt;0,M582&gt;N10),"Mot &gt; limite","")</f>
        <v/>
      </c>
      <c r="M582" s="126">
        <f>IF(OR(F582="",N10="",N10&lt;=0),"",IF(LEN(F582)&lt;=N10,LEN(F582),IFERROR(FIND("♦",SUBSTITUTE(LEFT(F582,N10)," ","♦",LEN(LEFT(F582,N10))-LEN(SUBSTITUTE(LEFT(F582,N10)," ","")))),FIND(" ",F582&amp;" ",N10+1)-1)))</f>
        <v>1</v>
      </c>
      <c r="N582" s="234">
        <f t="shared" si="62"/>
        <v>565</v>
      </c>
      <c r="O582" s="165" t="str">
        <f t="shared" si="63"/>
        <v>0</v>
      </c>
      <c r="P582" s="234">
        <f t="shared" si="64"/>
        <v>1</v>
      </c>
      <c r="Q582" s="234">
        <f t="shared" si="65"/>
        <v>1</v>
      </c>
      <c r="DE582" s="152"/>
      <c r="DF582" s="160" t="s">
        <v>2081</v>
      </c>
      <c r="DG582" s="160" t="s">
        <v>122</v>
      </c>
      <c r="DH582" s="160" t="s">
        <v>125</v>
      </c>
      <c r="DI582" s="160" t="s">
        <v>2082</v>
      </c>
      <c r="DJ582" s="160" t="s">
        <v>2082</v>
      </c>
      <c r="DK582" s="160" t="s">
        <v>1259</v>
      </c>
      <c r="DL582" s="160" t="s">
        <v>1260</v>
      </c>
      <c r="DM582" s="160" t="s">
        <v>1812</v>
      </c>
      <c r="DN582" s="161" t="s">
        <v>1813</v>
      </c>
      <c r="DP582" s="130">
        <v>1</v>
      </c>
    </row>
    <row r="583" spans="2:120" ht="15">
      <c r="B583" s="231"/>
      <c r="C583" s="231"/>
      <c r="D583" s="231"/>
      <c r="E583" s="231" cm="1">
        <f t="array" ref="E583">IF(H582&lt;&gt;"",E582,IF(E582="","",IFERROR(MATCH(TRUE(),INDEX(INDEX(K:K,E582+1):K203&lt;&gt;"",0),0)+E582,"")))</f>
        <v>675</v>
      </c>
      <c r="F583" s="232" cm="1">
        <f t="array" ref="F583">IF(E583="","",IF(H582&lt;&gt;"",H582,INDEX(D:D,E583)))</f>
        <v>0</v>
      </c>
      <c r="G583" s="232" t="str">
        <f t="shared" si="60"/>
        <v>0</v>
      </c>
      <c r="H583" s="233" t="str">
        <f t="shared" si="61"/>
        <v/>
      </c>
      <c r="I583" s="231" t="str">
        <f>IF(AND(F583&lt;&gt;"",N10&gt;0,M583&gt;N10),"Mot &gt; limite","")</f>
        <v/>
      </c>
      <c r="M583" s="126">
        <f>IF(OR(F583="",N10="",N10&lt;=0),"",IF(LEN(F583)&lt;=N10,LEN(F583),IFERROR(FIND("♦",SUBSTITUTE(LEFT(F583,N10)," ","♦",LEN(LEFT(F583,N10))-LEN(SUBSTITUTE(LEFT(F583,N10)," ","")))),FIND(" ",F583&amp;" ",N10+1)-1)))</f>
        <v>1</v>
      </c>
      <c r="N583" s="234">
        <f t="shared" si="62"/>
        <v>566</v>
      </c>
      <c r="O583" s="165" t="str">
        <f t="shared" si="63"/>
        <v>0</v>
      </c>
      <c r="P583" s="234">
        <f t="shared" si="64"/>
        <v>1</v>
      </c>
      <c r="Q583" s="234">
        <f t="shared" si="65"/>
        <v>1</v>
      </c>
      <c r="DE583" s="152"/>
      <c r="DF583" s="160" t="s">
        <v>2083</v>
      </c>
      <c r="DG583" s="160" t="s">
        <v>122</v>
      </c>
      <c r="DH583" s="160" t="s">
        <v>125</v>
      </c>
      <c r="DI583" s="160" t="s">
        <v>2084</v>
      </c>
      <c r="DJ583" s="160" t="s">
        <v>2084</v>
      </c>
      <c r="DK583" s="160" t="s">
        <v>1259</v>
      </c>
      <c r="DL583" s="160" t="s">
        <v>1260</v>
      </c>
      <c r="DM583" s="160" t="s">
        <v>1812</v>
      </c>
      <c r="DN583" s="161" t="s">
        <v>1813</v>
      </c>
      <c r="DP583" s="130">
        <v>1</v>
      </c>
    </row>
    <row r="584" spans="2:120" ht="15">
      <c r="B584" s="231"/>
      <c r="C584" s="231"/>
      <c r="D584" s="231"/>
      <c r="E584" s="231" cm="1">
        <f t="array" ref="E584">IF(H583&lt;&gt;"",E583,IF(E583="","",IFERROR(MATCH(TRUE(),INDEX(INDEX(K:K,E583+1):K203&lt;&gt;"",0),0)+E583,"")))</f>
        <v>676</v>
      </c>
      <c r="F584" s="232" cm="1">
        <f t="array" ref="F584">IF(E584="","",IF(H583&lt;&gt;"",H583,INDEX(D:D,E584)))</f>
        <v>0</v>
      </c>
      <c r="G584" s="232" t="str">
        <f t="shared" si="60"/>
        <v>0</v>
      </c>
      <c r="H584" s="233" t="str">
        <f t="shared" si="61"/>
        <v/>
      </c>
      <c r="I584" s="231" t="str">
        <f>IF(AND(F584&lt;&gt;"",N10&gt;0,M584&gt;N10),"Mot &gt; limite","")</f>
        <v/>
      </c>
      <c r="M584" s="126">
        <f>IF(OR(F584="",N10="",N10&lt;=0),"",IF(LEN(F584)&lt;=N10,LEN(F584),IFERROR(FIND("♦",SUBSTITUTE(LEFT(F584,N10)," ","♦",LEN(LEFT(F584,N10))-LEN(SUBSTITUTE(LEFT(F584,N10)," ","")))),FIND(" ",F584&amp;" ",N10+1)-1)))</f>
        <v>1</v>
      </c>
      <c r="N584" s="234">
        <f t="shared" si="62"/>
        <v>567</v>
      </c>
      <c r="O584" s="165" t="str">
        <f t="shared" si="63"/>
        <v>0</v>
      </c>
      <c r="P584" s="234">
        <f t="shared" si="64"/>
        <v>1</v>
      </c>
      <c r="Q584" s="234">
        <f t="shared" si="65"/>
        <v>1</v>
      </c>
      <c r="DE584" s="152"/>
      <c r="DF584" s="160" t="s">
        <v>2085</v>
      </c>
      <c r="DG584" s="160" t="s">
        <v>122</v>
      </c>
      <c r="DH584" s="160" t="s">
        <v>125</v>
      </c>
      <c r="DI584" s="160" t="s">
        <v>2086</v>
      </c>
      <c r="DJ584" s="160" t="s">
        <v>2086</v>
      </c>
      <c r="DK584" s="160" t="s">
        <v>1259</v>
      </c>
      <c r="DL584" s="160" t="s">
        <v>1260</v>
      </c>
      <c r="DM584" s="160" t="s">
        <v>1812</v>
      </c>
      <c r="DN584" s="161" t="s">
        <v>1813</v>
      </c>
      <c r="DP584" s="130">
        <v>1</v>
      </c>
    </row>
    <row r="585" spans="2:120" ht="15">
      <c r="B585" s="231"/>
      <c r="C585" s="231"/>
      <c r="D585" s="231"/>
      <c r="E585" s="231" cm="1">
        <f t="array" ref="E585">IF(H584&lt;&gt;"",E584,IF(E584="","",IFERROR(MATCH(TRUE(),INDEX(INDEX(K:K,E584+1):K203&lt;&gt;"",0),0)+E584,"")))</f>
        <v>677</v>
      </c>
      <c r="F585" s="232" cm="1">
        <f t="array" ref="F585">IF(E585="","",IF(H584&lt;&gt;"",H584,INDEX(D:D,E585)))</f>
        <v>0</v>
      </c>
      <c r="G585" s="232" t="str">
        <f t="shared" si="60"/>
        <v>0</v>
      </c>
      <c r="H585" s="233" t="str">
        <f t="shared" si="61"/>
        <v/>
      </c>
      <c r="I585" s="231" t="str">
        <f>IF(AND(F585&lt;&gt;"",N10&gt;0,M585&gt;N10),"Mot &gt; limite","")</f>
        <v/>
      </c>
      <c r="M585" s="126">
        <f>IF(OR(F585="",N10="",N10&lt;=0),"",IF(LEN(F585)&lt;=N10,LEN(F585),IFERROR(FIND("♦",SUBSTITUTE(LEFT(F585,N10)," ","♦",LEN(LEFT(F585,N10))-LEN(SUBSTITUTE(LEFT(F585,N10)," ","")))),FIND(" ",F585&amp;" ",N10+1)-1)))</f>
        <v>1</v>
      </c>
      <c r="N585" s="234">
        <f t="shared" si="62"/>
        <v>568</v>
      </c>
      <c r="O585" s="165" t="str">
        <f t="shared" si="63"/>
        <v>0</v>
      </c>
      <c r="P585" s="234">
        <f t="shared" si="64"/>
        <v>1</v>
      </c>
      <c r="Q585" s="234">
        <f t="shared" si="65"/>
        <v>1</v>
      </c>
      <c r="DE585" s="152"/>
      <c r="DF585" s="160" t="s">
        <v>2087</v>
      </c>
      <c r="DG585" s="160" t="s">
        <v>122</v>
      </c>
      <c r="DH585" s="160" t="s">
        <v>125</v>
      </c>
      <c r="DI585" s="160" t="s">
        <v>2088</v>
      </c>
      <c r="DJ585" s="160" t="s">
        <v>2088</v>
      </c>
      <c r="DK585" s="160" t="s">
        <v>1259</v>
      </c>
      <c r="DL585" s="160" t="s">
        <v>1260</v>
      </c>
      <c r="DM585" s="160" t="s">
        <v>1812</v>
      </c>
      <c r="DN585" s="161" t="s">
        <v>1813</v>
      </c>
      <c r="DP585" s="130">
        <v>1</v>
      </c>
    </row>
    <row r="586" spans="2:120" ht="15">
      <c r="B586" s="231"/>
      <c r="C586" s="231"/>
      <c r="D586" s="231"/>
      <c r="E586" s="231" cm="1">
        <f t="array" ref="E586">IF(H585&lt;&gt;"",E585,IF(E585="","",IFERROR(MATCH(TRUE(),INDEX(INDEX(K:K,E585+1):K203&lt;&gt;"",0),0)+E585,"")))</f>
        <v>678</v>
      </c>
      <c r="F586" s="232" cm="1">
        <f t="array" ref="F586">IF(E586="","",IF(H585&lt;&gt;"",H585,INDEX(D:D,E586)))</f>
        <v>0</v>
      </c>
      <c r="G586" s="232" t="str">
        <f t="shared" si="60"/>
        <v>0</v>
      </c>
      <c r="H586" s="233" t="str">
        <f t="shared" si="61"/>
        <v/>
      </c>
      <c r="I586" s="231" t="str">
        <f>IF(AND(F586&lt;&gt;"",N10&gt;0,M586&gt;N10),"Mot &gt; limite","")</f>
        <v/>
      </c>
      <c r="M586" s="126">
        <f>IF(OR(F586="",N10="",N10&lt;=0),"",IF(LEN(F586)&lt;=N10,LEN(F586),IFERROR(FIND("♦",SUBSTITUTE(LEFT(F586,N10)," ","♦",LEN(LEFT(F586,N10))-LEN(SUBSTITUTE(LEFT(F586,N10)," ","")))),FIND(" ",F586&amp;" ",N10+1)-1)))</f>
        <v>1</v>
      </c>
      <c r="N586" s="234">
        <f t="shared" si="62"/>
        <v>569</v>
      </c>
      <c r="O586" s="165" t="str">
        <f t="shared" si="63"/>
        <v>0</v>
      </c>
      <c r="P586" s="234">
        <f t="shared" si="64"/>
        <v>1</v>
      </c>
      <c r="Q586" s="234">
        <f t="shared" si="65"/>
        <v>1</v>
      </c>
      <c r="DE586" s="152"/>
      <c r="DF586" s="160" t="s">
        <v>2089</v>
      </c>
      <c r="DG586" s="160" t="s">
        <v>122</v>
      </c>
      <c r="DH586" s="160" t="s">
        <v>125</v>
      </c>
      <c r="DI586" s="160" t="s">
        <v>2090</v>
      </c>
      <c r="DJ586" s="160" t="s">
        <v>2090</v>
      </c>
      <c r="DK586" s="160" t="s">
        <v>1259</v>
      </c>
      <c r="DL586" s="160" t="s">
        <v>1260</v>
      </c>
      <c r="DM586" s="160" t="s">
        <v>1812</v>
      </c>
      <c r="DN586" s="161" t="s">
        <v>1813</v>
      </c>
      <c r="DP586" s="130">
        <v>1</v>
      </c>
    </row>
    <row r="587" spans="2:120" ht="15">
      <c r="B587" s="231"/>
      <c r="C587" s="231"/>
      <c r="D587" s="231"/>
      <c r="E587" s="231" cm="1">
        <f t="array" ref="E587">IF(H586&lt;&gt;"",E586,IF(E586="","",IFERROR(MATCH(TRUE(),INDEX(INDEX(K:K,E586+1):K203&lt;&gt;"",0),0)+E586,"")))</f>
        <v>679</v>
      </c>
      <c r="F587" s="232" cm="1">
        <f t="array" ref="F587">IF(E587="","",IF(H586&lt;&gt;"",H586,INDEX(D:D,E587)))</f>
        <v>0</v>
      </c>
      <c r="G587" s="232" t="str">
        <f t="shared" si="60"/>
        <v>0</v>
      </c>
      <c r="H587" s="233" t="str">
        <f t="shared" si="61"/>
        <v/>
      </c>
      <c r="I587" s="231" t="str">
        <f>IF(AND(F587&lt;&gt;"",N10&gt;0,M587&gt;N10),"Mot &gt; limite","")</f>
        <v/>
      </c>
      <c r="M587" s="126">
        <f>IF(OR(F587="",N10="",N10&lt;=0),"",IF(LEN(F587)&lt;=N10,LEN(F587),IFERROR(FIND("♦",SUBSTITUTE(LEFT(F587,N10)," ","♦",LEN(LEFT(F587,N10))-LEN(SUBSTITUTE(LEFT(F587,N10)," ","")))),FIND(" ",F587&amp;" ",N10+1)-1)))</f>
        <v>1</v>
      </c>
      <c r="N587" s="234">
        <f t="shared" si="62"/>
        <v>570</v>
      </c>
      <c r="O587" s="165" t="str">
        <f t="shared" si="63"/>
        <v>0</v>
      </c>
      <c r="P587" s="234">
        <f t="shared" si="64"/>
        <v>1</v>
      </c>
      <c r="Q587" s="234">
        <f t="shared" si="65"/>
        <v>1</v>
      </c>
      <c r="DE587" s="152"/>
      <c r="DF587" s="160" t="s">
        <v>2091</v>
      </c>
      <c r="DG587" s="160" t="s">
        <v>122</v>
      </c>
      <c r="DH587" s="160" t="s">
        <v>125</v>
      </c>
      <c r="DI587" s="160" t="s">
        <v>2092</v>
      </c>
      <c r="DJ587" s="160" t="s">
        <v>2092</v>
      </c>
      <c r="DK587" s="160" t="s">
        <v>1259</v>
      </c>
      <c r="DL587" s="160" t="s">
        <v>1260</v>
      </c>
      <c r="DM587" s="160" t="s">
        <v>1812</v>
      </c>
      <c r="DN587" s="161" t="s">
        <v>1813</v>
      </c>
      <c r="DP587" s="130">
        <v>1</v>
      </c>
    </row>
    <row r="588" spans="2:120" ht="15">
      <c r="B588" s="231"/>
      <c r="C588" s="231"/>
      <c r="D588" s="231"/>
      <c r="E588" s="231" cm="1">
        <f t="array" ref="E588">IF(H587&lt;&gt;"",E587,IF(E587="","",IFERROR(MATCH(TRUE(),INDEX(INDEX(K:K,E587+1):K203&lt;&gt;"",0),0)+E587,"")))</f>
        <v>680</v>
      </c>
      <c r="F588" s="232" cm="1">
        <f t="array" ref="F588">IF(E588="","",IF(H587&lt;&gt;"",H587,INDEX(D:D,E588)))</f>
        <v>0</v>
      </c>
      <c r="G588" s="232" t="str">
        <f t="shared" si="60"/>
        <v>0</v>
      </c>
      <c r="H588" s="233" t="str">
        <f t="shared" si="61"/>
        <v/>
      </c>
      <c r="I588" s="231" t="str">
        <f>IF(AND(F588&lt;&gt;"",N10&gt;0,M588&gt;N10),"Mot &gt; limite","")</f>
        <v/>
      </c>
      <c r="M588" s="126">
        <f>IF(OR(F588="",N10="",N10&lt;=0),"",IF(LEN(F588)&lt;=N10,LEN(F588),IFERROR(FIND("♦",SUBSTITUTE(LEFT(F588,N10)," ","♦",LEN(LEFT(F588,N10))-LEN(SUBSTITUTE(LEFT(F588,N10)," ","")))),FIND(" ",F588&amp;" ",N10+1)-1)))</f>
        <v>1</v>
      </c>
      <c r="N588" s="234">
        <f t="shared" si="62"/>
        <v>571</v>
      </c>
      <c r="O588" s="165" t="str">
        <f t="shared" si="63"/>
        <v>0</v>
      </c>
      <c r="P588" s="234">
        <f t="shared" si="64"/>
        <v>1</v>
      </c>
      <c r="Q588" s="234">
        <f t="shared" si="65"/>
        <v>1</v>
      </c>
      <c r="DE588" s="152"/>
      <c r="DF588" s="160" t="s">
        <v>2093</v>
      </c>
      <c r="DG588" s="160" t="s">
        <v>122</v>
      </c>
      <c r="DH588" s="160" t="s">
        <v>125</v>
      </c>
      <c r="DI588" s="160" t="s">
        <v>2094</v>
      </c>
      <c r="DJ588" s="160" t="s">
        <v>2094</v>
      </c>
      <c r="DK588" s="160" t="s">
        <v>1259</v>
      </c>
      <c r="DL588" s="160" t="s">
        <v>1260</v>
      </c>
      <c r="DM588" s="160" t="s">
        <v>1812</v>
      </c>
      <c r="DN588" s="161" t="s">
        <v>1813</v>
      </c>
      <c r="DP588" s="130">
        <v>1</v>
      </c>
    </row>
    <row r="589" spans="2:120" ht="15">
      <c r="B589" s="231"/>
      <c r="C589" s="231"/>
      <c r="D589" s="231"/>
      <c r="E589" s="231" cm="1">
        <f t="array" ref="E589">IF(H588&lt;&gt;"",E588,IF(E588="","",IFERROR(MATCH(TRUE(),INDEX(INDEX(K:K,E588+1):K203&lt;&gt;"",0),0)+E588,"")))</f>
        <v>681</v>
      </c>
      <c r="F589" s="232" cm="1">
        <f t="array" ref="F589">IF(E589="","",IF(H588&lt;&gt;"",H588,INDEX(D:D,E589)))</f>
        <v>0</v>
      </c>
      <c r="G589" s="232" t="str">
        <f t="shared" si="60"/>
        <v>0</v>
      </c>
      <c r="H589" s="233" t="str">
        <f t="shared" si="61"/>
        <v/>
      </c>
      <c r="I589" s="231" t="str">
        <f>IF(AND(F589&lt;&gt;"",N10&gt;0,M589&gt;N10),"Mot &gt; limite","")</f>
        <v/>
      </c>
      <c r="M589" s="126">
        <f>IF(OR(F589="",N10="",N10&lt;=0),"",IF(LEN(F589)&lt;=N10,LEN(F589),IFERROR(FIND("♦",SUBSTITUTE(LEFT(F589,N10)," ","♦",LEN(LEFT(F589,N10))-LEN(SUBSTITUTE(LEFT(F589,N10)," ","")))),FIND(" ",F589&amp;" ",N10+1)-1)))</f>
        <v>1</v>
      </c>
      <c r="N589" s="234">
        <f t="shared" si="62"/>
        <v>572</v>
      </c>
      <c r="O589" s="165" t="str">
        <f t="shared" si="63"/>
        <v>0</v>
      </c>
      <c r="P589" s="234">
        <f t="shared" si="64"/>
        <v>1</v>
      </c>
      <c r="Q589" s="234">
        <f t="shared" si="65"/>
        <v>1</v>
      </c>
      <c r="DE589" s="152"/>
      <c r="DF589" s="160" t="s">
        <v>2095</v>
      </c>
      <c r="DG589" s="160" t="s">
        <v>122</v>
      </c>
      <c r="DH589" s="160" t="s">
        <v>125</v>
      </c>
      <c r="DI589" s="160" t="s">
        <v>2096</v>
      </c>
      <c r="DJ589" s="160" t="s">
        <v>2096</v>
      </c>
      <c r="DK589" s="160" t="s">
        <v>1259</v>
      </c>
      <c r="DL589" s="160" t="s">
        <v>1260</v>
      </c>
      <c r="DM589" s="160" t="s">
        <v>1812</v>
      </c>
      <c r="DN589" s="161" t="s">
        <v>1813</v>
      </c>
      <c r="DP589" s="130">
        <v>1</v>
      </c>
    </row>
    <row r="590" spans="2:120" ht="15">
      <c r="B590" s="231"/>
      <c r="C590" s="231"/>
      <c r="D590" s="231"/>
      <c r="E590" s="231" cm="1">
        <f t="array" ref="E590">IF(H589&lt;&gt;"",E589,IF(E589="","",IFERROR(MATCH(TRUE(),INDEX(INDEX(K:K,E589+1):K203&lt;&gt;"",0),0)+E589,"")))</f>
        <v>682</v>
      </c>
      <c r="F590" s="232" cm="1">
        <f t="array" ref="F590">IF(E590="","",IF(H589&lt;&gt;"",H589,INDEX(D:D,E590)))</f>
        <v>0</v>
      </c>
      <c r="G590" s="232" t="str">
        <f t="shared" si="60"/>
        <v>0</v>
      </c>
      <c r="H590" s="233" t="str">
        <f t="shared" si="61"/>
        <v/>
      </c>
      <c r="I590" s="231" t="str">
        <f>IF(AND(F590&lt;&gt;"",N10&gt;0,M590&gt;N10),"Mot &gt; limite","")</f>
        <v/>
      </c>
      <c r="M590" s="126">
        <f>IF(OR(F590="",N10="",N10&lt;=0),"",IF(LEN(F590)&lt;=N10,LEN(F590),IFERROR(FIND("♦",SUBSTITUTE(LEFT(F590,N10)," ","♦",LEN(LEFT(F590,N10))-LEN(SUBSTITUTE(LEFT(F590,N10)," ","")))),FIND(" ",F590&amp;" ",N10+1)-1)))</f>
        <v>1</v>
      </c>
      <c r="N590" s="234">
        <f t="shared" si="62"/>
        <v>573</v>
      </c>
      <c r="O590" s="165" t="str">
        <f t="shared" si="63"/>
        <v>0</v>
      </c>
      <c r="P590" s="234">
        <f t="shared" si="64"/>
        <v>1</v>
      </c>
      <c r="Q590" s="234">
        <f t="shared" si="65"/>
        <v>1</v>
      </c>
      <c r="DE590" s="152"/>
      <c r="DF590" s="160" t="s">
        <v>2097</v>
      </c>
      <c r="DG590" s="160" t="s">
        <v>122</v>
      </c>
      <c r="DH590" s="160" t="s">
        <v>125</v>
      </c>
      <c r="DI590" s="160" t="s">
        <v>2098</v>
      </c>
      <c r="DJ590" s="160" t="s">
        <v>2098</v>
      </c>
      <c r="DK590" s="160" t="s">
        <v>1259</v>
      </c>
      <c r="DL590" s="160" t="s">
        <v>1260</v>
      </c>
      <c r="DM590" s="160" t="s">
        <v>1812</v>
      </c>
      <c r="DN590" s="161" t="s">
        <v>1813</v>
      </c>
      <c r="DP590" s="130">
        <v>1</v>
      </c>
    </row>
    <row r="591" spans="2:120" ht="15">
      <c r="B591" s="231"/>
      <c r="C591" s="231"/>
      <c r="D591" s="231"/>
      <c r="E591" s="231" cm="1">
        <f t="array" ref="E591">IF(H590&lt;&gt;"",E590,IF(E590="","",IFERROR(MATCH(TRUE(),INDEX(INDEX(K:K,E590+1):K203&lt;&gt;"",0),0)+E590,"")))</f>
        <v>683</v>
      </c>
      <c r="F591" s="232" cm="1">
        <f t="array" ref="F591">IF(E591="","",IF(H590&lt;&gt;"",H590,INDEX(D:D,E591)))</f>
        <v>0</v>
      </c>
      <c r="G591" s="232" t="str">
        <f t="shared" si="60"/>
        <v>0</v>
      </c>
      <c r="H591" s="233" t="str">
        <f t="shared" si="61"/>
        <v/>
      </c>
      <c r="I591" s="231" t="str">
        <f>IF(AND(F591&lt;&gt;"",N10&gt;0,M591&gt;N10),"Mot &gt; limite","")</f>
        <v/>
      </c>
      <c r="M591" s="126">
        <f>IF(OR(F591="",N10="",N10&lt;=0),"",IF(LEN(F591)&lt;=N10,LEN(F591),IFERROR(FIND("♦",SUBSTITUTE(LEFT(F591,N10)," ","♦",LEN(LEFT(F591,N10))-LEN(SUBSTITUTE(LEFT(F591,N10)," ","")))),FIND(" ",F591&amp;" ",N10+1)-1)))</f>
        <v>1</v>
      </c>
      <c r="N591" s="234">
        <f t="shared" si="62"/>
        <v>574</v>
      </c>
      <c r="O591" s="165" t="str">
        <f t="shared" si="63"/>
        <v>0</v>
      </c>
      <c r="P591" s="234">
        <f t="shared" si="64"/>
        <v>1</v>
      </c>
      <c r="Q591" s="234">
        <f t="shared" si="65"/>
        <v>1</v>
      </c>
      <c r="DE591" s="152"/>
      <c r="DF591" s="160" t="s">
        <v>2099</v>
      </c>
      <c r="DG591" s="160" t="s">
        <v>122</v>
      </c>
      <c r="DH591" s="160" t="s">
        <v>125</v>
      </c>
      <c r="DI591" s="160" t="s">
        <v>2100</v>
      </c>
      <c r="DJ591" s="160" t="s">
        <v>2100</v>
      </c>
      <c r="DK591" s="160" t="s">
        <v>1259</v>
      </c>
      <c r="DL591" s="160" t="s">
        <v>1260</v>
      </c>
      <c r="DM591" s="160" t="s">
        <v>1812</v>
      </c>
      <c r="DN591" s="161" t="s">
        <v>1813</v>
      </c>
      <c r="DP591" s="130">
        <v>1</v>
      </c>
    </row>
    <row r="592" spans="2:120" ht="15">
      <c r="B592" s="231"/>
      <c r="C592" s="231"/>
      <c r="D592" s="231"/>
      <c r="E592" s="231" cm="1">
        <f t="array" ref="E592">IF(H591&lt;&gt;"",E591,IF(E591="","",IFERROR(MATCH(TRUE(),INDEX(INDEX(K:K,E591+1):K203&lt;&gt;"",0),0)+E591,"")))</f>
        <v>684</v>
      </c>
      <c r="F592" s="232" cm="1">
        <f t="array" ref="F592">IF(E592="","",IF(H591&lt;&gt;"",H591,INDEX(D:D,E592)))</f>
        <v>0</v>
      </c>
      <c r="G592" s="232" t="str">
        <f t="shared" si="60"/>
        <v>0</v>
      </c>
      <c r="H592" s="233" t="str">
        <f t="shared" si="61"/>
        <v/>
      </c>
      <c r="I592" s="231" t="str">
        <f>IF(AND(F592&lt;&gt;"",N10&gt;0,M592&gt;N10),"Mot &gt; limite","")</f>
        <v/>
      </c>
      <c r="M592" s="126">
        <f>IF(OR(F592="",N10="",N10&lt;=0),"",IF(LEN(F592)&lt;=N10,LEN(F592),IFERROR(FIND("♦",SUBSTITUTE(LEFT(F592,N10)," ","♦",LEN(LEFT(F592,N10))-LEN(SUBSTITUTE(LEFT(F592,N10)," ","")))),FIND(" ",F592&amp;" ",N10+1)-1)))</f>
        <v>1</v>
      </c>
      <c r="N592" s="234">
        <f t="shared" si="62"/>
        <v>575</v>
      </c>
      <c r="O592" s="165" t="str">
        <f t="shared" si="63"/>
        <v>0</v>
      </c>
      <c r="P592" s="234">
        <f t="shared" si="64"/>
        <v>1</v>
      </c>
      <c r="Q592" s="234">
        <f t="shared" si="65"/>
        <v>1</v>
      </c>
      <c r="DE592" s="152"/>
      <c r="DF592" s="160" t="s">
        <v>2101</v>
      </c>
      <c r="DG592" s="160" t="s">
        <v>122</v>
      </c>
      <c r="DH592" s="160" t="s">
        <v>125</v>
      </c>
      <c r="DI592" s="160" t="s">
        <v>2102</v>
      </c>
      <c r="DJ592" s="160" t="s">
        <v>2102</v>
      </c>
      <c r="DK592" s="160" t="s">
        <v>1259</v>
      </c>
      <c r="DL592" s="160" t="s">
        <v>1260</v>
      </c>
      <c r="DM592" s="160" t="s">
        <v>1812</v>
      </c>
      <c r="DN592" s="161" t="s">
        <v>1813</v>
      </c>
      <c r="DP592" s="130">
        <v>1</v>
      </c>
    </row>
    <row r="593" spans="2:120" ht="15">
      <c r="B593" s="231"/>
      <c r="C593" s="231"/>
      <c r="D593" s="231"/>
      <c r="E593" s="231" cm="1">
        <f t="array" ref="E593">IF(H592&lt;&gt;"",E592,IF(E592="","",IFERROR(MATCH(TRUE(),INDEX(INDEX(K:K,E592+1):K203&lt;&gt;"",0),0)+E592,"")))</f>
        <v>685</v>
      </c>
      <c r="F593" s="232" cm="1">
        <f t="array" ref="F593">IF(E593="","",IF(H592&lt;&gt;"",H592,INDEX(D:D,E593)))</f>
        <v>0</v>
      </c>
      <c r="G593" s="232" t="str">
        <f t="shared" si="60"/>
        <v>0</v>
      </c>
      <c r="H593" s="233" t="str">
        <f t="shared" si="61"/>
        <v/>
      </c>
      <c r="I593" s="231" t="str">
        <f>IF(AND(F593&lt;&gt;"",N10&gt;0,M593&gt;N10),"Mot &gt; limite","")</f>
        <v/>
      </c>
      <c r="M593" s="126">
        <f>IF(OR(F593="",N10="",N10&lt;=0),"",IF(LEN(F593)&lt;=N10,LEN(F593),IFERROR(FIND("♦",SUBSTITUTE(LEFT(F593,N10)," ","♦",LEN(LEFT(F593,N10))-LEN(SUBSTITUTE(LEFT(F593,N10)," ","")))),FIND(" ",F593&amp;" ",N10+1)-1)))</f>
        <v>1</v>
      </c>
      <c r="N593" s="234">
        <f t="shared" si="62"/>
        <v>576</v>
      </c>
      <c r="O593" s="165" t="str">
        <f t="shared" si="63"/>
        <v>0</v>
      </c>
      <c r="P593" s="234">
        <f t="shared" si="64"/>
        <v>1</v>
      </c>
      <c r="Q593" s="234">
        <f t="shared" si="65"/>
        <v>1</v>
      </c>
      <c r="DE593" s="152"/>
      <c r="DF593" s="160" t="s">
        <v>2103</v>
      </c>
      <c r="DG593" s="160" t="s">
        <v>122</v>
      </c>
      <c r="DH593" s="160" t="s">
        <v>125</v>
      </c>
      <c r="DI593" s="160" t="s">
        <v>2104</v>
      </c>
      <c r="DJ593" s="160" t="s">
        <v>2104</v>
      </c>
      <c r="DK593" s="160" t="s">
        <v>1259</v>
      </c>
      <c r="DL593" s="160" t="s">
        <v>1260</v>
      </c>
      <c r="DM593" s="160" t="s">
        <v>1812</v>
      </c>
      <c r="DN593" s="161" t="s">
        <v>1813</v>
      </c>
      <c r="DP593" s="130">
        <v>1</v>
      </c>
    </row>
    <row r="594" spans="2:120" ht="15">
      <c r="B594" s="231"/>
      <c r="C594" s="231"/>
      <c r="D594" s="231"/>
      <c r="E594" s="231" cm="1">
        <f t="array" ref="E594">IF(H593&lt;&gt;"",E593,IF(E593="","",IFERROR(MATCH(TRUE(),INDEX(INDEX(K:K,E593+1):K203&lt;&gt;"",0),0)+E593,"")))</f>
        <v>686</v>
      </c>
      <c r="F594" s="232" cm="1">
        <f t="array" ref="F594">IF(E594="","",IF(H593&lt;&gt;"",H593,INDEX(D:D,E594)))</f>
        <v>0</v>
      </c>
      <c r="G594" s="232" t="str">
        <f t="shared" ref="G594:G657" si="66">IF(OR(F594="",M594=""),"",LEFT(F594,M594))</f>
        <v>0</v>
      </c>
      <c r="H594" s="233" t="str">
        <f t="shared" ref="H594:H657" si="67">IF(OR(F594="",M594=""),"",TRIM(MID(F594,M594+1,99999)))</f>
        <v/>
      </c>
      <c r="I594" s="231" t="str">
        <f>IF(AND(F594&lt;&gt;"",N10&gt;0,M594&gt;N10),"Mot &gt; limite","")</f>
        <v/>
      </c>
      <c r="M594" s="126">
        <f>IF(OR(F594="",N10="",N10&lt;=0),"",IF(LEN(F594)&lt;=N10,LEN(F594),IFERROR(FIND("♦",SUBSTITUTE(LEFT(F594,N10)," ","♦",LEN(LEFT(F594,N10))-LEN(SUBSTITUTE(LEFT(F594,N10)," ","")))),FIND(" ",F594&amp;" ",N10+1)-1)))</f>
        <v>1</v>
      </c>
      <c r="N594" s="234">
        <f t="shared" ref="N594:N657" si="68">IF(O594="","",ROW()-17)</f>
        <v>577</v>
      </c>
      <c r="O594" s="165" t="str">
        <f t="shared" ref="O594:O657" si="69">G594</f>
        <v>0</v>
      </c>
      <c r="P594" s="234">
        <f t="shared" ref="P594:P657" si="70">IF(O594="","",LEN(TRIM(O594))-LEN(SUBSTITUTE(TRIM(O594)," ",""))+1)</f>
        <v>1</v>
      </c>
      <c r="Q594" s="234">
        <f t="shared" ref="Q594:Q657" si="71">IF(O594="","",LEN(O594))</f>
        <v>1</v>
      </c>
      <c r="DE594" s="152"/>
      <c r="DF594" s="160" t="s">
        <v>2105</v>
      </c>
      <c r="DG594" s="160" t="s">
        <v>122</v>
      </c>
      <c r="DH594" s="160" t="s">
        <v>125</v>
      </c>
      <c r="DI594" s="160" t="s">
        <v>2106</v>
      </c>
      <c r="DJ594" s="160" t="s">
        <v>2106</v>
      </c>
      <c r="DK594" s="160" t="s">
        <v>1259</v>
      </c>
      <c r="DL594" s="160" t="s">
        <v>1260</v>
      </c>
      <c r="DM594" s="160" t="s">
        <v>1812</v>
      </c>
      <c r="DN594" s="161" t="s">
        <v>1813</v>
      </c>
      <c r="DP594" s="130">
        <v>1</v>
      </c>
    </row>
    <row r="595" spans="2:120" ht="15">
      <c r="B595" s="231"/>
      <c r="C595" s="231"/>
      <c r="D595" s="231"/>
      <c r="E595" s="231" cm="1">
        <f t="array" ref="E595">IF(H594&lt;&gt;"",E594,IF(E594="","",IFERROR(MATCH(TRUE(),INDEX(INDEX(K:K,E594+1):K203&lt;&gt;"",0),0)+E594,"")))</f>
        <v>687</v>
      </c>
      <c r="F595" s="232" cm="1">
        <f t="array" ref="F595">IF(E595="","",IF(H594&lt;&gt;"",H594,INDEX(D:D,E595)))</f>
        <v>0</v>
      </c>
      <c r="G595" s="232" t="str">
        <f t="shared" si="66"/>
        <v>0</v>
      </c>
      <c r="H595" s="233" t="str">
        <f t="shared" si="67"/>
        <v/>
      </c>
      <c r="I595" s="231" t="str">
        <f>IF(AND(F595&lt;&gt;"",N10&gt;0,M595&gt;N10),"Mot &gt; limite","")</f>
        <v/>
      </c>
      <c r="M595" s="126">
        <f>IF(OR(F595="",N10="",N10&lt;=0),"",IF(LEN(F595)&lt;=N10,LEN(F595),IFERROR(FIND("♦",SUBSTITUTE(LEFT(F595,N10)," ","♦",LEN(LEFT(F595,N10))-LEN(SUBSTITUTE(LEFT(F595,N10)," ","")))),FIND(" ",F595&amp;" ",N10+1)-1)))</f>
        <v>1</v>
      </c>
      <c r="N595" s="234">
        <f t="shared" si="68"/>
        <v>578</v>
      </c>
      <c r="O595" s="165" t="str">
        <f t="shared" si="69"/>
        <v>0</v>
      </c>
      <c r="P595" s="234">
        <f t="shared" si="70"/>
        <v>1</v>
      </c>
      <c r="Q595" s="234">
        <f t="shared" si="71"/>
        <v>1</v>
      </c>
      <c r="DE595" s="152"/>
      <c r="DF595" s="160" t="s">
        <v>2107</v>
      </c>
      <c r="DG595" s="160" t="s">
        <v>122</v>
      </c>
      <c r="DH595" s="160" t="s">
        <v>125</v>
      </c>
      <c r="DI595" s="160" t="s">
        <v>2108</v>
      </c>
      <c r="DJ595" s="160" t="s">
        <v>2108</v>
      </c>
      <c r="DK595" s="160" t="s">
        <v>1259</v>
      </c>
      <c r="DL595" s="160" t="s">
        <v>1260</v>
      </c>
      <c r="DM595" s="160" t="s">
        <v>1812</v>
      </c>
      <c r="DN595" s="161" t="s">
        <v>1813</v>
      </c>
      <c r="DP595" s="130">
        <v>1</v>
      </c>
    </row>
    <row r="596" spans="2:120" ht="15">
      <c r="B596" s="231"/>
      <c r="C596" s="231"/>
      <c r="D596" s="231"/>
      <c r="E596" s="231" cm="1">
        <f t="array" ref="E596">IF(H595&lt;&gt;"",E595,IF(E595="","",IFERROR(MATCH(TRUE(),INDEX(INDEX(K:K,E595+1):K203&lt;&gt;"",0),0)+E595,"")))</f>
        <v>688</v>
      </c>
      <c r="F596" s="232" cm="1">
        <f t="array" ref="F596">IF(E596="","",IF(H595&lt;&gt;"",H595,INDEX(D:D,E596)))</f>
        <v>0</v>
      </c>
      <c r="G596" s="232" t="str">
        <f t="shared" si="66"/>
        <v>0</v>
      </c>
      <c r="H596" s="233" t="str">
        <f t="shared" si="67"/>
        <v/>
      </c>
      <c r="I596" s="231" t="str">
        <f>IF(AND(F596&lt;&gt;"",N10&gt;0,M596&gt;N10),"Mot &gt; limite","")</f>
        <v/>
      </c>
      <c r="M596" s="126">
        <f>IF(OR(F596="",N10="",N10&lt;=0),"",IF(LEN(F596)&lt;=N10,LEN(F596),IFERROR(FIND("♦",SUBSTITUTE(LEFT(F596,N10)," ","♦",LEN(LEFT(F596,N10))-LEN(SUBSTITUTE(LEFT(F596,N10)," ","")))),FIND(" ",F596&amp;" ",N10+1)-1)))</f>
        <v>1</v>
      </c>
      <c r="N596" s="234">
        <f t="shared" si="68"/>
        <v>579</v>
      </c>
      <c r="O596" s="165" t="str">
        <f t="shared" si="69"/>
        <v>0</v>
      </c>
      <c r="P596" s="234">
        <f t="shared" si="70"/>
        <v>1</v>
      </c>
      <c r="Q596" s="234">
        <f t="shared" si="71"/>
        <v>1</v>
      </c>
      <c r="DE596" s="152"/>
      <c r="DF596" s="160" t="s">
        <v>2109</v>
      </c>
      <c r="DG596" s="160" t="s">
        <v>122</v>
      </c>
      <c r="DH596" s="160" t="s">
        <v>125</v>
      </c>
      <c r="DI596" s="160" t="s">
        <v>2110</v>
      </c>
      <c r="DJ596" s="160" t="s">
        <v>2110</v>
      </c>
      <c r="DK596" s="160" t="s">
        <v>1259</v>
      </c>
      <c r="DL596" s="160" t="s">
        <v>1260</v>
      </c>
      <c r="DM596" s="160" t="s">
        <v>1812</v>
      </c>
      <c r="DN596" s="161" t="s">
        <v>1813</v>
      </c>
      <c r="DP596" s="130">
        <v>1</v>
      </c>
    </row>
    <row r="597" spans="2:120" ht="15">
      <c r="B597" s="231"/>
      <c r="C597" s="231"/>
      <c r="D597" s="231"/>
      <c r="E597" s="231" cm="1">
        <f t="array" ref="E597">IF(H596&lt;&gt;"",E596,IF(E596="","",IFERROR(MATCH(TRUE(),INDEX(INDEX(K:K,E596+1):K203&lt;&gt;"",0),0)+E596,"")))</f>
        <v>689</v>
      </c>
      <c r="F597" s="232" cm="1">
        <f t="array" ref="F597">IF(E597="","",IF(H596&lt;&gt;"",H596,INDEX(D:D,E597)))</f>
        <v>0</v>
      </c>
      <c r="G597" s="232" t="str">
        <f t="shared" si="66"/>
        <v>0</v>
      </c>
      <c r="H597" s="233" t="str">
        <f t="shared" si="67"/>
        <v/>
      </c>
      <c r="I597" s="231" t="str">
        <f>IF(AND(F597&lt;&gt;"",N10&gt;0,M597&gt;N10),"Mot &gt; limite","")</f>
        <v/>
      </c>
      <c r="M597" s="126">
        <f>IF(OR(F597="",N10="",N10&lt;=0),"",IF(LEN(F597)&lt;=N10,LEN(F597),IFERROR(FIND("♦",SUBSTITUTE(LEFT(F597,N10)," ","♦",LEN(LEFT(F597,N10))-LEN(SUBSTITUTE(LEFT(F597,N10)," ","")))),FIND(" ",F597&amp;" ",N10+1)-1)))</f>
        <v>1</v>
      </c>
      <c r="N597" s="234">
        <f t="shared" si="68"/>
        <v>580</v>
      </c>
      <c r="O597" s="165" t="str">
        <f t="shared" si="69"/>
        <v>0</v>
      </c>
      <c r="P597" s="234">
        <f t="shared" si="70"/>
        <v>1</v>
      </c>
      <c r="Q597" s="234">
        <f t="shared" si="71"/>
        <v>1</v>
      </c>
      <c r="DE597" s="152"/>
      <c r="DF597" s="160" t="s">
        <v>2111</v>
      </c>
      <c r="DG597" s="160" t="s">
        <v>122</v>
      </c>
      <c r="DH597" s="160" t="s">
        <v>125</v>
      </c>
      <c r="DI597" s="160" t="s">
        <v>2112</v>
      </c>
      <c r="DJ597" s="160" t="s">
        <v>2112</v>
      </c>
      <c r="DK597" s="160" t="s">
        <v>1259</v>
      </c>
      <c r="DL597" s="160" t="s">
        <v>1260</v>
      </c>
      <c r="DM597" s="160" t="s">
        <v>1812</v>
      </c>
      <c r="DN597" s="161" t="s">
        <v>1813</v>
      </c>
      <c r="DP597" s="130">
        <v>1</v>
      </c>
    </row>
    <row r="598" spans="2:120" ht="15">
      <c r="B598" s="231"/>
      <c r="C598" s="231"/>
      <c r="D598" s="231"/>
      <c r="E598" s="231" cm="1">
        <f t="array" ref="E598">IF(H597&lt;&gt;"",E597,IF(E597="","",IFERROR(MATCH(TRUE(),INDEX(INDEX(K:K,E597+1):K203&lt;&gt;"",0),0)+E597,"")))</f>
        <v>690</v>
      </c>
      <c r="F598" s="232" cm="1">
        <f t="array" ref="F598">IF(E598="","",IF(H597&lt;&gt;"",H597,INDEX(D:D,E598)))</f>
        <v>0</v>
      </c>
      <c r="G598" s="232" t="str">
        <f t="shared" si="66"/>
        <v>0</v>
      </c>
      <c r="H598" s="233" t="str">
        <f t="shared" si="67"/>
        <v/>
      </c>
      <c r="I598" s="231" t="str">
        <f>IF(AND(F598&lt;&gt;"",N10&gt;0,M598&gt;N10),"Mot &gt; limite","")</f>
        <v/>
      </c>
      <c r="M598" s="126">
        <f>IF(OR(F598="",N10="",N10&lt;=0),"",IF(LEN(F598)&lt;=N10,LEN(F598),IFERROR(FIND("♦",SUBSTITUTE(LEFT(F598,N10)," ","♦",LEN(LEFT(F598,N10))-LEN(SUBSTITUTE(LEFT(F598,N10)," ","")))),FIND(" ",F598&amp;" ",N10+1)-1)))</f>
        <v>1</v>
      </c>
      <c r="N598" s="234">
        <f t="shared" si="68"/>
        <v>581</v>
      </c>
      <c r="O598" s="165" t="str">
        <f t="shared" si="69"/>
        <v>0</v>
      </c>
      <c r="P598" s="234">
        <f t="shared" si="70"/>
        <v>1</v>
      </c>
      <c r="Q598" s="234">
        <f t="shared" si="71"/>
        <v>1</v>
      </c>
      <c r="DE598" s="152"/>
      <c r="DF598" s="160" t="s">
        <v>2113</v>
      </c>
      <c r="DG598" s="160" t="s">
        <v>122</v>
      </c>
      <c r="DH598" s="160" t="s">
        <v>125</v>
      </c>
      <c r="DI598" s="160" t="s">
        <v>2114</v>
      </c>
      <c r="DJ598" s="160" t="s">
        <v>2114</v>
      </c>
      <c r="DK598" s="160" t="s">
        <v>1259</v>
      </c>
      <c r="DL598" s="160" t="s">
        <v>1260</v>
      </c>
      <c r="DM598" s="160" t="s">
        <v>1812</v>
      </c>
      <c r="DN598" s="161" t="s">
        <v>1813</v>
      </c>
      <c r="DP598" s="130">
        <v>1</v>
      </c>
    </row>
    <row r="599" spans="2:120" ht="15">
      <c r="B599" s="231"/>
      <c r="C599" s="231"/>
      <c r="D599" s="231"/>
      <c r="E599" s="231" cm="1">
        <f t="array" ref="E599">IF(H598&lt;&gt;"",E598,IF(E598="","",IFERROR(MATCH(TRUE(),INDEX(INDEX(K:K,E598+1):K203&lt;&gt;"",0),0)+E598,"")))</f>
        <v>691</v>
      </c>
      <c r="F599" s="232" cm="1">
        <f t="array" ref="F599">IF(E599="","",IF(H598&lt;&gt;"",H598,INDEX(D:D,E599)))</f>
        <v>0</v>
      </c>
      <c r="G599" s="232" t="str">
        <f t="shared" si="66"/>
        <v>0</v>
      </c>
      <c r="H599" s="233" t="str">
        <f t="shared" si="67"/>
        <v/>
      </c>
      <c r="I599" s="231" t="str">
        <f>IF(AND(F599&lt;&gt;"",N10&gt;0,M599&gt;N10),"Mot &gt; limite","")</f>
        <v/>
      </c>
      <c r="M599" s="126">
        <f>IF(OR(F599="",N10="",N10&lt;=0),"",IF(LEN(F599)&lt;=N10,LEN(F599),IFERROR(FIND("♦",SUBSTITUTE(LEFT(F599,N10)," ","♦",LEN(LEFT(F599,N10))-LEN(SUBSTITUTE(LEFT(F599,N10)," ","")))),FIND(" ",F599&amp;" ",N10+1)-1)))</f>
        <v>1</v>
      </c>
      <c r="N599" s="234">
        <f t="shared" si="68"/>
        <v>582</v>
      </c>
      <c r="O599" s="165" t="str">
        <f t="shared" si="69"/>
        <v>0</v>
      </c>
      <c r="P599" s="234">
        <f t="shared" si="70"/>
        <v>1</v>
      </c>
      <c r="Q599" s="234">
        <f t="shared" si="71"/>
        <v>1</v>
      </c>
      <c r="DE599" s="152"/>
      <c r="DF599" s="160" t="s">
        <v>2115</v>
      </c>
      <c r="DG599" s="160" t="s">
        <v>122</v>
      </c>
      <c r="DH599" s="160" t="s">
        <v>125</v>
      </c>
      <c r="DI599" s="160" t="s">
        <v>2116</v>
      </c>
      <c r="DJ599" s="160" t="s">
        <v>2116</v>
      </c>
      <c r="DK599" s="160" t="s">
        <v>1259</v>
      </c>
      <c r="DL599" s="160" t="s">
        <v>1260</v>
      </c>
      <c r="DM599" s="160" t="s">
        <v>1812</v>
      </c>
      <c r="DN599" s="161" t="s">
        <v>1813</v>
      </c>
      <c r="DP599" s="130">
        <v>1</v>
      </c>
    </row>
    <row r="600" spans="2:120" ht="15">
      <c r="B600" s="231"/>
      <c r="C600" s="231"/>
      <c r="D600" s="231"/>
      <c r="E600" s="231" cm="1">
        <f t="array" ref="E600">IF(H599&lt;&gt;"",E599,IF(E599="","",IFERROR(MATCH(TRUE(),INDEX(INDEX(K:K,E599+1):K203&lt;&gt;"",0),0)+E599,"")))</f>
        <v>692</v>
      </c>
      <c r="F600" s="232" cm="1">
        <f t="array" ref="F600">IF(E600="","",IF(H599&lt;&gt;"",H599,INDEX(D:D,E600)))</f>
        <v>0</v>
      </c>
      <c r="G600" s="232" t="str">
        <f t="shared" si="66"/>
        <v>0</v>
      </c>
      <c r="H600" s="233" t="str">
        <f t="shared" si="67"/>
        <v/>
      </c>
      <c r="I600" s="231" t="str">
        <f>IF(AND(F600&lt;&gt;"",N10&gt;0,M600&gt;N10),"Mot &gt; limite","")</f>
        <v/>
      </c>
      <c r="M600" s="126">
        <f>IF(OR(F600="",N10="",N10&lt;=0),"",IF(LEN(F600)&lt;=N10,LEN(F600),IFERROR(FIND("♦",SUBSTITUTE(LEFT(F600,N10)," ","♦",LEN(LEFT(F600,N10))-LEN(SUBSTITUTE(LEFT(F600,N10)," ","")))),FIND(" ",F600&amp;" ",N10+1)-1)))</f>
        <v>1</v>
      </c>
      <c r="N600" s="234">
        <f t="shared" si="68"/>
        <v>583</v>
      </c>
      <c r="O600" s="165" t="str">
        <f t="shared" si="69"/>
        <v>0</v>
      </c>
      <c r="P600" s="234">
        <f t="shared" si="70"/>
        <v>1</v>
      </c>
      <c r="Q600" s="234">
        <f t="shared" si="71"/>
        <v>1</v>
      </c>
      <c r="DE600" s="152"/>
      <c r="DF600" s="160" t="s">
        <v>2117</v>
      </c>
      <c r="DG600" s="160" t="s">
        <v>122</v>
      </c>
      <c r="DH600" s="160" t="s">
        <v>125</v>
      </c>
      <c r="DI600" s="160" t="s">
        <v>2118</v>
      </c>
      <c r="DJ600" s="160" t="s">
        <v>2118</v>
      </c>
      <c r="DK600" s="160" t="s">
        <v>1259</v>
      </c>
      <c r="DL600" s="160" t="s">
        <v>1260</v>
      </c>
      <c r="DM600" s="160" t="s">
        <v>1812</v>
      </c>
      <c r="DN600" s="161" t="s">
        <v>1813</v>
      </c>
      <c r="DP600" s="130">
        <v>1</v>
      </c>
    </row>
    <row r="601" spans="2:120" ht="15">
      <c r="B601" s="231"/>
      <c r="C601" s="231"/>
      <c r="D601" s="231"/>
      <c r="E601" s="231" cm="1">
        <f t="array" ref="E601">IF(H600&lt;&gt;"",E600,IF(E600="","",IFERROR(MATCH(TRUE(),INDEX(INDEX(K:K,E600+1):K203&lt;&gt;"",0),0)+E600,"")))</f>
        <v>693</v>
      </c>
      <c r="F601" s="232" cm="1">
        <f t="array" ref="F601">IF(E601="","",IF(H600&lt;&gt;"",H600,INDEX(D:D,E601)))</f>
        <v>0</v>
      </c>
      <c r="G601" s="232" t="str">
        <f t="shared" si="66"/>
        <v>0</v>
      </c>
      <c r="H601" s="233" t="str">
        <f t="shared" si="67"/>
        <v/>
      </c>
      <c r="I601" s="231" t="str">
        <f>IF(AND(F601&lt;&gt;"",N10&gt;0,M601&gt;N10),"Mot &gt; limite","")</f>
        <v/>
      </c>
      <c r="M601" s="126">
        <f>IF(OR(F601="",N10="",N10&lt;=0),"",IF(LEN(F601)&lt;=N10,LEN(F601),IFERROR(FIND("♦",SUBSTITUTE(LEFT(F601,N10)," ","♦",LEN(LEFT(F601,N10))-LEN(SUBSTITUTE(LEFT(F601,N10)," ","")))),FIND(" ",F601&amp;" ",N10+1)-1)))</f>
        <v>1</v>
      </c>
      <c r="N601" s="234">
        <f t="shared" si="68"/>
        <v>584</v>
      </c>
      <c r="O601" s="165" t="str">
        <f t="shared" si="69"/>
        <v>0</v>
      </c>
      <c r="P601" s="234">
        <f t="shared" si="70"/>
        <v>1</v>
      </c>
      <c r="Q601" s="234">
        <f t="shared" si="71"/>
        <v>1</v>
      </c>
      <c r="DE601" s="152"/>
      <c r="DF601" s="160" t="s">
        <v>2119</v>
      </c>
      <c r="DG601" s="160" t="s">
        <v>122</v>
      </c>
      <c r="DH601" s="160" t="s">
        <v>125</v>
      </c>
      <c r="DI601" s="160" t="s">
        <v>2120</v>
      </c>
      <c r="DJ601" s="160" t="s">
        <v>2120</v>
      </c>
      <c r="DK601" s="160" t="s">
        <v>1259</v>
      </c>
      <c r="DL601" s="160" t="s">
        <v>1260</v>
      </c>
      <c r="DM601" s="160" t="s">
        <v>1812</v>
      </c>
      <c r="DN601" s="161" t="s">
        <v>1813</v>
      </c>
      <c r="DP601" s="130">
        <v>1</v>
      </c>
    </row>
    <row r="602" spans="2:120" ht="15">
      <c r="B602" s="231"/>
      <c r="C602" s="231"/>
      <c r="D602" s="231"/>
      <c r="E602" s="231" cm="1">
        <f t="array" ref="E602">IF(H601&lt;&gt;"",E601,IF(E601="","",IFERROR(MATCH(TRUE(),INDEX(INDEX(K:K,E601+1):K203&lt;&gt;"",0),0)+E601,"")))</f>
        <v>694</v>
      </c>
      <c r="F602" s="232" cm="1">
        <f t="array" ref="F602">IF(E602="","",IF(H601&lt;&gt;"",H601,INDEX(D:D,E602)))</f>
        <v>0</v>
      </c>
      <c r="G602" s="232" t="str">
        <f t="shared" si="66"/>
        <v>0</v>
      </c>
      <c r="H602" s="233" t="str">
        <f t="shared" si="67"/>
        <v/>
      </c>
      <c r="I602" s="231" t="str">
        <f>IF(AND(F602&lt;&gt;"",N10&gt;0,M602&gt;N10),"Mot &gt; limite","")</f>
        <v/>
      </c>
      <c r="M602" s="126">
        <f>IF(OR(F602="",N10="",N10&lt;=0),"",IF(LEN(F602)&lt;=N10,LEN(F602),IFERROR(FIND("♦",SUBSTITUTE(LEFT(F602,N10)," ","♦",LEN(LEFT(F602,N10))-LEN(SUBSTITUTE(LEFT(F602,N10)," ","")))),FIND(" ",F602&amp;" ",N10+1)-1)))</f>
        <v>1</v>
      </c>
      <c r="N602" s="234">
        <f t="shared" si="68"/>
        <v>585</v>
      </c>
      <c r="O602" s="165" t="str">
        <f t="shared" si="69"/>
        <v>0</v>
      </c>
      <c r="P602" s="234">
        <f t="shared" si="70"/>
        <v>1</v>
      </c>
      <c r="Q602" s="234">
        <f t="shared" si="71"/>
        <v>1</v>
      </c>
      <c r="DE602" s="152"/>
      <c r="DF602" s="160" t="s">
        <v>2121</v>
      </c>
      <c r="DG602" s="160" t="s">
        <v>122</v>
      </c>
      <c r="DH602" s="160" t="s">
        <v>125</v>
      </c>
      <c r="DI602" s="160" t="s">
        <v>2122</v>
      </c>
      <c r="DJ602" s="160" t="s">
        <v>2122</v>
      </c>
      <c r="DK602" s="160" t="s">
        <v>1259</v>
      </c>
      <c r="DL602" s="160" t="s">
        <v>1260</v>
      </c>
      <c r="DM602" s="160" t="s">
        <v>1812</v>
      </c>
      <c r="DN602" s="161" t="s">
        <v>1813</v>
      </c>
      <c r="DP602" s="130">
        <v>1</v>
      </c>
    </row>
    <row r="603" spans="2:120" ht="15">
      <c r="B603" s="231"/>
      <c r="C603" s="231"/>
      <c r="D603" s="231"/>
      <c r="E603" s="231" cm="1">
        <f t="array" ref="E603">IF(H602&lt;&gt;"",E602,IF(E602="","",IFERROR(MATCH(TRUE(),INDEX(INDEX(K:K,E602+1):K203&lt;&gt;"",0),0)+E602,"")))</f>
        <v>695</v>
      </c>
      <c r="F603" s="232" cm="1">
        <f t="array" ref="F603">IF(E603="","",IF(H602&lt;&gt;"",H602,INDEX(D:D,E603)))</f>
        <v>0</v>
      </c>
      <c r="G603" s="232" t="str">
        <f t="shared" si="66"/>
        <v>0</v>
      </c>
      <c r="H603" s="233" t="str">
        <f t="shared" si="67"/>
        <v/>
      </c>
      <c r="I603" s="231" t="str">
        <f>IF(AND(F603&lt;&gt;"",N10&gt;0,M603&gt;N10),"Mot &gt; limite","")</f>
        <v/>
      </c>
      <c r="M603" s="126">
        <f>IF(OR(F603="",N10="",N10&lt;=0),"",IF(LEN(F603)&lt;=N10,LEN(F603),IFERROR(FIND("♦",SUBSTITUTE(LEFT(F603,N10)," ","♦",LEN(LEFT(F603,N10))-LEN(SUBSTITUTE(LEFT(F603,N10)," ","")))),FIND(" ",F603&amp;" ",N10+1)-1)))</f>
        <v>1</v>
      </c>
      <c r="N603" s="234">
        <f t="shared" si="68"/>
        <v>586</v>
      </c>
      <c r="O603" s="165" t="str">
        <f t="shared" si="69"/>
        <v>0</v>
      </c>
      <c r="P603" s="234">
        <f t="shared" si="70"/>
        <v>1</v>
      </c>
      <c r="Q603" s="234">
        <f t="shared" si="71"/>
        <v>1</v>
      </c>
      <c r="DE603" s="152"/>
      <c r="DF603" s="160" t="s">
        <v>2123</v>
      </c>
      <c r="DG603" s="160" t="s">
        <v>122</v>
      </c>
      <c r="DH603" s="160" t="s">
        <v>125</v>
      </c>
      <c r="DI603" s="160" t="s">
        <v>2124</v>
      </c>
      <c r="DJ603" s="160" t="s">
        <v>2124</v>
      </c>
      <c r="DK603" s="160" t="s">
        <v>1259</v>
      </c>
      <c r="DL603" s="160" t="s">
        <v>1260</v>
      </c>
      <c r="DM603" s="160" t="s">
        <v>1812</v>
      </c>
      <c r="DN603" s="161" t="s">
        <v>1813</v>
      </c>
      <c r="DP603" s="130">
        <v>1</v>
      </c>
    </row>
    <row r="604" spans="2:120" ht="15">
      <c r="B604" s="231"/>
      <c r="C604" s="231"/>
      <c r="D604" s="231"/>
      <c r="E604" s="231" cm="1">
        <f t="array" ref="E604">IF(H603&lt;&gt;"",E603,IF(E603="","",IFERROR(MATCH(TRUE(),INDEX(INDEX(K:K,E603+1):K203&lt;&gt;"",0),0)+E603,"")))</f>
        <v>696</v>
      </c>
      <c r="F604" s="232" cm="1">
        <f t="array" ref="F604">IF(E604="","",IF(H603&lt;&gt;"",H603,INDEX(D:D,E604)))</f>
        <v>0</v>
      </c>
      <c r="G604" s="232" t="str">
        <f t="shared" si="66"/>
        <v>0</v>
      </c>
      <c r="H604" s="233" t="str">
        <f t="shared" si="67"/>
        <v/>
      </c>
      <c r="I604" s="231" t="str">
        <f>IF(AND(F604&lt;&gt;"",N10&gt;0,M604&gt;N10),"Mot &gt; limite","")</f>
        <v/>
      </c>
      <c r="M604" s="126">
        <f>IF(OR(F604="",N10="",N10&lt;=0),"",IF(LEN(F604)&lt;=N10,LEN(F604),IFERROR(FIND("♦",SUBSTITUTE(LEFT(F604,N10)," ","♦",LEN(LEFT(F604,N10))-LEN(SUBSTITUTE(LEFT(F604,N10)," ","")))),FIND(" ",F604&amp;" ",N10+1)-1)))</f>
        <v>1</v>
      </c>
      <c r="N604" s="234">
        <f t="shared" si="68"/>
        <v>587</v>
      </c>
      <c r="O604" s="165" t="str">
        <f t="shared" si="69"/>
        <v>0</v>
      </c>
      <c r="P604" s="234">
        <f t="shared" si="70"/>
        <v>1</v>
      </c>
      <c r="Q604" s="234">
        <f t="shared" si="71"/>
        <v>1</v>
      </c>
      <c r="DE604" s="152"/>
      <c r="DF604" s="160" t="s">
        <v>2125</v>
      </c>
      <c r="DG604" s="160" t="s">
        <v>122</v>
      </c>
      <c r="DH604" s="160" t="s">
        <v>125</v>
      </c>
      <c r="DI604" s="160" t="s">
        <v>2126</v>
      </c>
      <c r="DJ604" s="160" t="s">
        <v>2126</v>
      </c>
      <c r="DK604" s="160" t="s">
        <v>588</v>
      </c>
      <c r="DL604" s="160" t="s">
        <v>1895</v>
      </c>
      <c r="DM604" s="160" t="s">
        <v>590</v>
      </c>
      <c r="DN604" s="161" t="s">
        <v>591</v>
      </c>
      <c r="DP604" s="130">
        <v>1</v>
      </c>
    </row>
    <row r="605" spans="2:120" ht="15">
      <c r="B605" s="231"/>
      <c r="C605" s="231"/>
      <c r="D605" s="231"/>
      <c r="E605" s="231" cm="1">
        <f t="array" ref="E605">IF(H604&lt;&gt;"",E604,IF(E604="","",IFERROR(MATCH(TRUE(),INDEX(INDEX(K:K,E604+1):K203&lt;&gt;"",0),0)+E604,"")))</f>
        <v>697</v>
      </c>
      <c r="F605" s="232" cm="1">
        <f t="array" ref="F605">IF(E605="","",IF(H604&lt;&gt;"",H604,INDEX(D:D,E605)))</f>
        <v>0</v>
      </c>
      <c r="G605" s="232" t="str">
        <f t="shared" si="66"/>
        <v>0</v>
      </c>
      <c r="H605" s="233" t="str">
        <f t="shared" si="67"/>
        <v/>
      </c>
      <c r="I605" s="231" t="str">
        <f>IF(AND(F605&lt;&gt;"",N10&gt;0,M605&gt;N10),"Mot &gt; limite","")</f>
        <v/>
      </c>
      <c r="M605" s="126">
        <f>IF(OR(F605="",N10="",N10&lt;=0),"",IF(LEN(F605)&lt;=N10,LEN(F605),IFERROR(FIND("♦",SUBSTITUTE(LEFT(F605,N10)," ","♦",LEN(LEFT(F605,N10))-LEN(SUBSTITUTE(LEFT(F605,N10)," ","")))),FIND(" ",F605&amp;" ",N10+1)-1)))</f>
        <v>1</v>
      </c>
      <c r="N605" s="234">
        <f t="shared" si="68"/>
        <v>588</v>
      </c>
      <c r="O605" s="165" t="str">
        <f t="shared" si="69"/>
        <v>0</v>
      </c>
      <c r="P605" s="234">
        <f t="shared" si="70"/>
        <v>1</v>
      </c>
      <c r="Q605" s="234">
        <f t="shared" si="71"/>
        <v>1</v>
      </c>
      <c r="DE605" s="152"/>
      <c r="DF605" s="160" t="s">
        <v>2127</v>
      </c>
      <c r="DG605" s="160" t="s">
        <v>122</v>
      </c>
      <c r="DH605" s="160" t="s">
        <v>125</v>
      </c>
      <c r="DI605" s="160" t="s">
        <v>2128</v>
      </c>
      <c r="DJ605" s="160" t="s">
        <v>2128</v>
      </c>
      <c r="DK605" s="160" t="s">
        <v>1259</v>
      </c>
      <c r="DL605" s="160" t="s">
        <v>1260</v>
      </c>
      <c r="DM605" s="160" t="s">
        <v>1812</v>
      </c>
      <c r="DN605" s="161" t="s">
        <v>1813</v>
      </c>
      <c r="DP605" s="130">
        <v>1</v>
      </c>
    </row>
    <row r="606" spans="2:120" ht="15">
      <c r="B606" s="231"/>
      <c r="C606" s="231"/>
      <c r="D606" s="231"/>
      <c r="E606" s="231" cm="1">
        <f t="array" ref="E606">IF(H605&lt;&gt;"",E605,IF(E605="","",IFERROR(MATCH(TRUE(),INDEX(INDEX(K:K,E605+1):K203&lt;&gt;"",0),0)+E605,"")))</f>
        <v>698</v>
      </c>
      <c r="F606" s="232" cm="1">
        <f t="array" ref="F606">IF(E606="","",IF(H605&lt;&gt;"",H605,INDEX(D:D,E606)))</f>
        <v>0</v>
      </c>
      <c r="G606" s="232" t="str">
        <f t="shared" si="66"/>
        <v>0</v>
      </c>
      <c r="H606" s="233" t="str">
        <f t="shared" si="67"/>
        <v/>
      </c>
      <c r="I606" s="231" t="str">
        <f>IF(AND(F606&lt;&gt;"",N10&gt;0,M606&gt;N10),"Mot &gt; limite","")</f>
        <v/>
      </c>
      <c r="M606" s="126">
        <f>IF(OR(F606="",N10="",N10&lt;=0),"",IF(LEN(F606)&lt;=N10,LEN(F606),IFERROR(FIND("♦",SUBSTITUTE(LEFT(F606,N10)," ","♦",LEN(LEFT(F606,N10))-LEN(SUBSTITUTE(LEFT(F606,N10)," ","")))),FIND(" ",F606&amp;" ",N10+1)-1)))</f>
        <v>1</v>
      </c>
      <c r="N606" s="234">
        <f t="shared" si="68"/>
        <v>589</v>
      </c>
      <c r="O606" s="165" t="str">
        <f t="shared" si="69"/>
        <v>0</v>
      </c>
      <c r="P606" s="234">
        <f t="shared" si="70"/>
        <v>1</v>
      </c>
      <c r="Q606" s="234">
        <f t="shared" si="71"/>
        <v>1</v>
      </c>
      <c r="DE606" s="152"/>
      <c r="DF606" s="160" t="s">
        <v>2129</v>
      </c>
      <c r="DG606" s="160" t="s">
        <v>122</v>
      </c>
      <c r="DH606" s="160" t="s">
        <v>125</v>
      </c>
      <c r="DI606" s="160" t="s">
        <v>2130</v>
      </c>
      <c r="DJ606" s="160" t="s">
        <v>2130</v>
      </c>
      <c r="DK606" s="160" t="s">
        <v>1259</v>
      </c>
      <c r="DL606" s="160" t="s">
        <v>1260</v>
      </c>
      <c r="DM606" s="160" t="s">
        <v>1812</v>
      </c>
      <c r="DN606" s="161" t="s">
        <v>1813</v>
      </c>
      <c r="DP606" s="130">
        <v>1</v>
      </c>
    </row>
    <row r="607" spans="2:120" ht="15">
      <c r="B607" s="231"/>
      <c r="C607" s="231"/>
      <c r="D607" s="231"/>
      <c r="E607" s="231" cm="1">
        <f t="array" ref="E607">IF(H606&lt;&gt;"",E606,IF(E606="","",IFERROR(MATCH(TRUE(),INDEX(INDEX(K:K,E606+1):K203&lt;&gt;"",0),0)+E606,"")))</f>
        <v>699</v>
      </c>
      <c r="F607" s="232" cm="1">
        <f t="array" ref="F607">IF(E607="","",IF(H606&lt;&gt;"",H606,INDEX(D:D,E607)))</f>
        <v>0</v>
      </c>
      <c r="G607" s="232" t="str">
        <f t="shared" si="66"/>
        <v>0</v>
      </c>
      <c r="H607" s="233" t="str">
        <f t="shared" si="67"/>
        <v/>
      </c>
      <c r="I607" s="231" t="str">
        <f>IF(AND(F607&lt;&gt;"",N10&gt;0,M607&gt;N10),"Mot &gt; limite","")</f>
        <v/>
      </c>
      <c r="M607" s="126">
        <f>IF(OR(F607="",N10="",N10&lt;=0),"",IF(LEN(F607)&lt;=N10,LEN(F607),IFERROR(FIND("♦",SUBSTITUTE(LEFT(F607,N10)," ","♦",LEN(LEFT(F607,N10))-LEN(SUBSTITUTE(LEFT(F607,N10)," ","")))),FIND(" ",F607&amp;" ",N10+1)-1)))</f>
        <v>1</v>
      </c>
      <c r="N607" s="234">
        <f t="shared" si="68"/>
        <v>590</v>
      </c>
      <c r="O607" s="165" t="str">
        <f t="shared" si="69"/>
        <v>0</v>
      </c>
      <c r="P607" s="234">
        <f t="shared" si="70"/>
        <v>1</v>
      </c>
      <c r="Q607" s="234">
        <f t="shared" si="71"/>
        <v>1</v>
      </c>
      <c r="DE607" s="152"/>
      <c r="DF607" s="160" t="s">
        <v>2131</v>
      </c>
      <c r="DG607" s="160" t="s">
        <v>122</v>
      </c>
      <c r="DH607" s="160" t="s">
        <v>125</v>
      </c>
      <c r="DI607" s="160" t="s">
        <v>2132</v>
      </c>
      <c r="DJ607" s="160" t="s">
        <v>2132</v>
      </c>
      <c r="DK607" s="160" t="s">
        <v>1259</v>
      </c>
      <c r="DL607" s="160" t="s">
        <v>1260</v>
      </c>
      <c r="DM607" s="160" t="s">
        <v>1812</v>
      </c>
      <c r="DN607" s="161" t="s">
        <v>1813</v>
      </c>
      <c r="DP607" s="130">
        <v>1</v>
      </c>
    </row>
    <row r="608" spans="2:120" ht="15">
      <c r="B608" s="231"/>
      <c r="C608" s="231"/>
      <c r="D608" s="231"/>
      <c r="E608" s="231" cm="1">
        <f t="array" ref="E608">IF(H607&lt;&gt;"",E607,IF(E607="","",IFERROR(MATCH(TRUE(),INDEX(INDEX(K:K,E607+1):K203&lt;&gt;"",0),0)+E607,"")))</f>
        <v>700</v>
      </c>
      <c r="F608" s="232" cm="1">
        <f t="array" ref="F608">IF(E608="","",IF(H607&lt;&gt;"",H607,INDEX(D:D,E608)))</f>
        <v>0</v>
      </c>
      <c r="G608" s="232" t="str">
        <f t="shared" si="66"/>
        <v>0</v>
      </c>
      <c r="H608" s="233" t="str">
        <f t="shared" si="67"/>
        <v/>
      </c>
      <c r="I608" s="231" t="str">
        <f>IF(AND(F608&lt;&gt;"",N10&gt;0,M608&gt;N10),"Mot &gt; limite","")</f>
        <v/>
      </c>
      <c r="M608" s="126">
        <f>IF(OR(F608="",N10="",N10&lt;=0),"",IF(LEN(F608)&lt;=N10,LEN(F608),IFERROR(FIND("♦",SUBSTITUTE(LEFT(F608,N10)," ","♦",LEN(LEFT(F608,N10))-LEN(SUBSTITUTE(LEFT(F608,N10)," ","")))),FIND(" ",F608&amp;" ",N10+1)-1)))</f>
        <v>1</v>
      </c>
      <c r="N608" s="234">
        <f t="shared" si="68"/>
        <v>591</v>
      </c>
      <c r="O608" s="165" t="str">
        <f t="shared" si="69"/>
        <v>0</v>
      </c>
      <c r="P608" s="234">
        <f t="shared" si="70"/>
        <v>1</v>
      </c>
      <c r="Q608" s="234">
        <f t="shared" si="71"/>
        <v>1</v>
      </c>
      <c r="DE608" s="152"/>
      <c r="DF608" s="160" t="s">
        <v>2133</v>
      </c>
      <c r="DG608" s="160" t="s">
        <v>122</v>
      </c>
      <c r="DH608" s="160" t="s">
        <v>125</v>
      </c>
      <c r="DI608" s="160" t="s">
        <v>2134</v>
      </c>
      <c r="DJ608" s="160" t="s">
        <v>2134</v>
      </c>
      <c r="DK608" s="160" t="s">
        <v>1259</v>
      </c>
      <c r="DL608" s="160" t="s">
        <v>1260</v>
      </c>
      <c r="DM608" s="160" t="s">
        <v>1812</v>
      </c>
      <c r="DN608" s="161" t="s">
        <v>1813</v>
      </c>
      <c r="DP608" s="130">
        <v>1</v>
      </c>
    </row>
    <row r="609" spans="2:120" ht="15">
      <c r="B609" s="231"/>
      <c r="C609" s="231"/>
      <c r="D609" s="231"/>
      <c r="E609" s="231" cm="1">
        <f t="array" ref="E609">IF(H608&lt;&gt;"",E608,IF(E608="","",IFERROR(MATCH(TRUE(),INDEX(INDEX(K:K,E608+1):K203&lt;&gt;"",0),0)+E608,"")))</f>
        <v>701</v>
      </c>
      <c r="F609" s="232" cm="1">
        <f t="array" ref="F609">IF(E609="","",IF(H608&lt;&gt;"",H608,INDEX(D:D,E609)))</f>
        <v>0</v>
      </c>
      <c r="G609" s="232" t="str">
        <f t="shared" si="66"/>
        <v>0</v>
      </c>
      <c r="H609" s="233" t="str">
        <f t="shared" si="67"/>
        <v/>
      </c>
      <c r="I609" s="231" t="str">
        <f>IF(AND(F609&lt;&gt;"",N10&gt;0,M609&gt;N10),"Mot &gt; limite","")</f>
        <v/>
      </c>
      <c r="M609" s="126">
        <f>IF(OR(F609="",N10="",N10&lt;=0),"",IF(LEN(F609)&lt;=N10,LEN(F609),IFERROR(FIND("♦",SUBSTITUTE(LEFT(F609,N10)," ","♦",LEN(LEFT(F609,N10))-LEN(SUBSTITUTE(LEFT(F609,N10)," ","")))),FIND(" ",F609&amp;" ",N10+1)-1)))</f>
        <v>1</v>
      </c>
      <c r="N609" s="234">
        <f t="shared" si="68"/>
        <v>592</v>
      </c>
      <c r="O609" s="165" t="str">
        <f t="shared" si="69"/>
        <v>0</v>
      </c>
      <c r="P609" s="234">
        <f t="shared" si="70"/>
        <v>1</v>
      </c>
      <c r="Q609" s="234">
        <f t="shared" si="71"/>
        <v>1</v>
      </c>
      <c r="DE609" s="152"/>
      <c r="DF609" s="160" t="s">
        <v>2135</v>
      </c>
      <c r="DG609" s="160" t="s">
        <v>122</v>
      </c>
      <c r="DH609" s="160" t="s">
        <v>125</v>
      </c>
      <c r="DI609" s="160" t="s">
        <v>2136</v>
      </c>
      <c r="DJ609" s="160" t="s">
        <v>2136</v>
      </c>
      <c r="DK609" s="160" t="s">
        <v>1259</v>
      </c>
      <c r="DL609" s="160" t="s">
        <v>1260</v>
      </c>
      <c r="DM609" s="160" t="s">
        <v>1812</v>
      </c>
      <c r="DN609" s="161" t="s">
        <v>1813</v>
      </c>
      <c r="DP609" s="130">
        <v>1</v>
      </c>
    </row>
    <row r="610" spans="2:120" ht="15">
      <c r="B610" s="231"/>
      <c r="C610" s="231"/>
      <c r="D610" s="231"/>
      <c r="E610" s="231" cm="1">
        <f t="array" ref="E610">IF(H609&lt;&gt;"",E609,IF(E609="","",IFERROR(MATCH(TRUE(),INDEX(INDEX(K:K,E609+1):K203&lt;&gt;"",0),0)+E609,"")))</f>
        <v>702</v>
      </c>
      <c r="F610" s="232" cm="1">
        <f t="array" ref="F610">IF(E610="","",IF(H609&lt;&gt;"",H609,INDEX(D:D,E610)))</f>
        <v>0</v>
      </c>
      <c r="G610" s="232" t="str">
        <f t="shared" si="66"/>
        <v>0</v>
      </c>
      <c r="H610" s="233" t="str">
        <f t="shared" si="67"/>
        <v/>
      </c>
      <c r="I610" s="231" t="str">
        <f>IF(AND(F610&lt;&gt;"",N10&gt;0,M610&gt;N10),"Mot &gt; limite","")</f>
        <v/>
      </c>
      <c r="M610" s="126">
        <f>IF(OR(F610="",N10="",N10&lt;=0),"",IF(LEN(F610)&lt;=N10,LEN(F610),IFERROR(FIND("♦",SUBSTITUTE(LEFT(F610,N10)," ","♦",LEN(LEFT(F610,N10))-LEN(SUBSTITUTE(LEFT(F610,N10)," ","")))),FIND(" ",F610&amp;" ",N10+1)-1)))</f>
        <v>1</v>
      </c>
      <c r="N610" s="234">
        <f t="shared" si="68"/>
        <v>593</v>
      </c>
      <c r="O610" s="165" t="str">
        <f t="shared" si="69"/>
        <v>0</v>
      </c>
      <c r="P610" s="234">
        <f t="shared" si="70"/>
        <v>1</v>
      </c>
      <c r="Q610" s="234">
        <f t="shared" si="71"/>
        <v>1</v>
      </c>
      <c r="DE610" s="152"/>
      <c r="DF610" s="160" t="s">
        <v>2137</v>
      </c>
      <c r="DG610" s="160" t="s">
        <v>122</v>
      </c>
      <c r="DH610" s="160" t="s">
        <v>125</v>
      </c>
      <c r="DI610" s="160" t="s">
        <v>2138</v>
      </c>
      <c r="DJ610" s="160" t="s">
        <v>2138</v>
      </c>
      <c r="DK610" s="160" t="s">
        <v>1259</v>
      </c>
      <c r="DL610" s="160" t="s">
        <v>1260</v>
      </c>
      <c r="DM610" s="160" t="s">
        <v>1812</v>
      </c>
      <c r="DN610" s="161" t="s">
        <v>1813</v>
      </c>
      <c r="DP610" s="130">
        <v>1</v>
      </c>
    </row>
    <row r="611" spans="2:120" ht="15">
      <c r="B611" s="231"/>
      <c r="C611" s="231"/>
      <c r="D611" s="231"/>
      <c r="E611" s="231" cm="1">
        <f t="array" ref="E611">IF(H610&lt;&gt;"",E610,IF(E610="","",IFERROR(MATCH(TRUE(),INDEX(INDEX(K:K,E610+1):K203&lt;&gt;"",0),0)+E610,"")))</f>
        <v>703</v>
      </c>
      <c r="F611" s="232" cm="1">
        <f t="array" ref="F611">IF(E611="","",IF(H610&lt;&gt;"",H610,INDEX(D:D,E611)))</f>
        <v>0</v>
      </c>
      <c r="G611" s="232" t="str">
        <f t="shared" si="66"/>
        <v>0</v>
      </c>
      <c r="H611" s="233" t="str">
        <f t="shared" si="67"/>
        <v/>
      </c>
      <c r="I611" s="231" t="str">
        <f>IF(AND(F611&lt;&gt;"",N10&gt;0,M611&gt;N10),"Mot &gt; limite","")</f>
        <v/>
      </c>
      <c r="M611" s="126">
        <f>IF(OR(F611="",N10="",N10&lt;=0),"",IF(LEN(F611)&lt;=N10,LEN(F611),IFERROR(FIND("♦",SUBSTITUTE(LEFT(F611,N10)," ","♦",LEN(LEFT(F611,N10))-LEN(SUBSTITUTE(LEFT(F611,N10)," ","")))),FIND(" ",F611&amp;" ",N10+1)-1)))</f>
        <v>1</v>
      </c>
      <c r="N611" s="234">
        <f t="shared" si="68"/>
        <v>594</v>
      </c>
      <c r="O611" s="165" t="str">
        <f t="shared" si="69"/>
        <v>0</v>
      </c>
      <c r="P611" s="234">
        <f t="shared" si="70"/>
        <v>1</v>
      </c>
      <c r="Q611" s="234">
        <f t="shared" si="71"/>
        <v>1</v>
      </c>
      <c r="DE611" s="152"/>
      <c r="DF611" s="160" t="s">
        <v>2139</v>
      </c>
      <c r="DG611" s="160" t="s">
        <v>122</v>
      </c>
      <c r="DH611" s="160" t="s">
        <v>125</v>
      </c>
      <c r="DI611" s="160" t="s">
        <v>2140</v>
      </c>
      <c r="DJ611" s="160" t="s">
        <v>2140</v>
      </c>
      <c r="DK611" s="160" t="s">
        <v>1259</v>
      </c>
      <c r="DL611" s="160" t="s">
        <v>1260</v>
      </c>
      <c r="DM611" s="160" t="s">
        <v>1812</v>
      </c>
      <c r="DN611" s="161" t="s">
        <v>1813</v>
      </c>
      <c r="DP611" s="130">
        <v>1</v>
      </c>
    </row>
    <row r="612" spans="2:120" ht="15">
      <c r="B612" s="231"/>
      <c r="C612" s="231"/>
      <c r="D612" s="231"/>
      <c r="E612" s="231" cm="1">
        <f t="array" ref="E612">IF(H611&lt;&gt;"",E611,IF(E611="","",IFERROR(MATCH(TRUE(),INDEX(INDEX(K:K,E611+1):K203&lt;&gt;"",0),0)+E611,"")))</f>
        <v>704</v>
      </c>
      <c r="F612" s="232" cm="1">
        <f t="array" ref="F612">IF(E612="","",IF(H611&lt;&gt;"",H611,INDEX(D:D,E612)))</f>
        <v>0</v>
      </c>
      <c r="G612" s="232" t="str">
        <f t="shared" si="66"/>
        <v>0</v>
      </c>
      <c r="H612" s="233" t="str">
        <f t="shared" si="67"/>
        <v/>
      </c>
      <c r="I612" s="231" t="str">
        <f>IF(AND(F612&lt;&gt;"",N10&gt;0,M612&gt;N10),"Mot &gt; limite","")</f>
        <v/>
      </c>
      <c r="M612" s="126">
        <f>IF(OR(F612="",N10="",N10&lt;=0),"",IF(LEN(F612)&lt;=N10,LEN(F612),IFERROR(FIND("♦",SUBSTITUTE(LEFT(F612,N10)," ","♦",LEN(LEFT(F612,N10))-LEN(SUBSTITUTE(LEFT(F612,N10)," ","")))),FIND(" ",F612&amp;" ",N10+1)-1)))</f>
        <v>1</v>
      </c>
      <c r="N612" s="234">
        <f t="shared" si="68"/>
        <v>595</v>
      </c>
      <c r="O612" s="165" t="str">
        <f t="shared" si="69"/>
        <v>0</v>
      </c>
      <c r="P612" s="234">
        <f t="shared" si="70"/>
        <v>1</v>
      </c>
      <c r="Q612" s="234">
        <f t="shared" si="71"/>
        <v>1</v>
      </c>
      <c r="DE612" s="152"/>
      <c r="DF612" s="160" t="s">
        <v>2141</v>
      </c>
      <c r="DG612" s="160" t="s">
        <v>122</v>
      </c>
      <c r="DH612" s="160" t="s">
        <v>125</v>
      </c>
      <c r="DI612" s="160" t="s">
        <v>2142</v>
      </c>
      <c r="DJ612" s="160" t="s">
        <v>2142</v>
      </c>
      <c r="DK612" s="160" t="s">
        <v>1259</v>
      </c>
      <c r="DL612" s="160" t="s">
        <v>1260</v>
      </c>
      <c r="DM612" s="160" t="s">
        <v>1812</v>
      </c>
      <c r="DN612" s="161" t="s">
        <v>1813</v>
      </c>
      <c r="DP612" s="130">
        <v>1</v>
      </c>
    </row>
    <row r="613" spans="2:120" ht="15">
      <c r="B613" s="231"/>
      <c r="C613" s="231"/>
      <c r="D613" s="231"/>
      <c r="E613" s="231" cm="1">
        <f t="array" ref="E613">IF(H612&lt;&gt;"",E612,IF(E612="","",IFERROR(MATCH(TRUE(),INDEX(INDEX(K:K,E612+1):K203&lt;&gt;"",0),0)+E612,"")))</f>
        <v>705</v>
      </c>
      <c r="F613" s="232" cm="1">
        <f t="array" ref="F613">IF(E613="","",IF(H612&lt;&gt;"",H612,INDEX(D:D,E613)))</f>
        <v>0</v>
      </c>
      <c r="G613" s="232" t="str">
        <f t="shared" si="66"/>
        <v>0</v>
      </c>
      <c r="H613" s="233" t="str">
        <f t="shared" si="67"/>
        <v/>
      </c>
      <c r="I613" s="231" t="str">
        <f>IF(AND(F613&lt;&gt;"",N10&gt;0,M613&gt;N10),"Mot &gt; limite","")</f>
        <v/>
      </c>
      <c r="M613" s="126">
        <f>IF(OR(F613="",N10="",N10&lt;=0),"",IF(LEN(F613)&lt;=N10,LEN(F613),IFERROR(FIND("♦",SUBSTITUTE(LEFT(F613,N10)," ","♦",LEN(LEFT(F613,N10))-LEN(SUBSTITUTE(LEFT(F613,N10)," ","")))),FIND(" ",F613&amp;" ",N10+1)-1)))</f>
        <v>1</v>
      </c>
      <c r="N613" s="234">
        <f t="shared" si="68"/>
        <v>596</v>
      </c>
      <c r="O613" s="165" t="str">
        <f t="shared" si="69"/>
        <v>0</v>
      </c>
      <c r="P613" s="234">
        <f t="shared" si="70"/>
        <v>1</v>
      </c>
      <c r="Q613" s="234">
        <f t="shared" si="71"/>
        <v>1</v>
      </c>
      <c r="DE613" s="152"/>
      <c r="DF613" s="160" t="s">
        <v>2143</v>
      </c>
      <c r="DG613" s="160" t="s">
        <v>122</v>
      </c>
      <c r="DH613" s="160" t="s">
        <v>125</v>
      </c>
      <c r="DI613" s="160" t="s">
        <v>2144</v>
      </c>
      <c r="DJ613" s="160" t="s">
        <v>2144</v>
      </c>
      <c r="DK613" s="160" t="s">
        <v>1259</v>
      </c>
      <c r="DL613" s="160" t="s">
        <v>1260</v>
      </c>
      <c r="DM613" s="160" t="s">
        <v>1812</v>
      </c>
      <c r="DN613" s="161" t="s">
        <v>1813</v>
      </c>
      <c r="DP613" s="130">
        <v>1</v>
      </c>
    </row>
    <row r="614" spans="2:120" ht="15">
      <c r="B614" s="231"/>
      <c r="C614" s="231"/>
      <c r="D614" s="231"/>
      <c r="E614" s="231" cm="1">
        <f t="array" ref="E614">IF(H613&lt;&gt;"",E613,IF(E613="","",IFERROR(MATCH(TRUE(),INDEX(INDEX(K:K,E613+1):K203&lt;&gt;"",0),0)+E613,"")))</f>
        <v>706</v>
      </c>
      <c r="F614" s="232" cm="1">
        <f t="array" ref="F614">IF(E614="","",IF(H613&lt;&gt;"",H613,INDEX(D:D,E614)))</f>
        <v>0</v>
      </c>
      <c r="G614" s="232" t="str">
        <f t="shared" si="66"/>
        <v>0</v>
      </c>
      <c r="H614" s="233" t="str">
        <f t="shared" si="67"/>
        <v/>
      </c>
      <c r="I614" s="231" t="str">
        <f>IF(AND(F614&lt;&gt;"",N10&gt;0,M614&gt;N10),"Mot &gt; limite","")</f>
        <v/>
      </c>
      <c r="M614" s="126">
        <f>IF(OR(F614="",N10="",N10&lt;=0),"",IF(LEN(F614)&lt;=N10,LEN(F614),IFERROR(FIND("♦",SUBSTITUTE(LEFT(F614,N10)," ","♦",LEN(LEFT(F614,N10))-LEN(SUBSTITUTE(LEFT(F614,N10)," ","")))),FIND(" ",F614&amp;" ",N10+1)-1)))</f>
        <v>1</v>
      </c>
      <c r="N614" s="234">
        <f t="shared" si="68"/>
        <v>597</v>
      </c>
      <c r="O614" s="165" t="str">
        <f t="shared" si="69"/>
        <v>0</v>
      </c>
      <c r="P614" s="234">
        <f t="shared" si="70"/>
        <v>1</v>
      </c>
      <c r="Q614" s="234">
        <f t="shared" si="71"/>
        <v>1</v>
      </c>
      <c r="DE614" s="152"/>
      <c r="DF614" s="160" t="s">
        <v>2145</v>
      </c>
      <c r="DG614" s="160" t="s">
        <v>122</v>
      </c>
      <c r="DH614" s="160" t="s">
        <v>125</v>
      </c>
      <c r="DI614" s="160" t="s">
        <v>2146</v>
      </c>
      <c r="DJ614" s="160" t="s">
        <v>2146</v>
      </c>
      <c r="DK614" s="160" t="s">
        <v>1259</v>
      </c>
      <c r="DL614" s="160" t="s">
        <v>1260</v>
      </c>
      <c r="DM614" s="160" t="s">
        <v>1812</v>
      </c>
      <c r="DN614" s="161" t="s">
        <v>1813</v>
      </c>
      <c r="DP614" s="130">
        <v>1</v>
      </c>
    </row>
    <row r="615" spans="2:120" ht="15">
      <c r="B615" s="231"/>
      <c r="C615" s="231"/>
      <c r="D615" s="231"/>
      <c r="E615" s="231" cm="1">
        <f t="array" ref="E615">IF(H614&lt;&gt;"",E614,IF(E614="","",IFERROR(MATCH(TRUE(),INDEX(INDEX(K:K,E614+1):K203&lt;&gt;"",0),0)+E614,"")))</f>
        <v>707</v>
      </c>
      <c r="F615" s="232" cm="1">
        <f t="array" ref="F615">IF(E615="","",IF(H614&lt;&gt;"",H614,INDEX(D:D,E615)))</f>
        <v>0</v>
      </c>
      <c r="G615" s="232" t="str">
        <f t="shared" si="66"/>
        <v>0</v>
      </c>
      <c r="H615" s="233" t="str">
        <f t="shared" si="67"/>
        <v/>
      </c>
      <c r="I615" s="231" t="str">
        <f>IF(AND(F615&lt;&gt;"",N10&gt;0,M615&gt;N10),"Mot &gt; limite","")</f>
        <v/>
      </c>
      <c r="M615" s="126">
        <f>IF(OR(F615="",N10="",N10&lt;=0),"",IF(LEN(F615)&lt;=N10,LEN(F615),IFERROR(FIND("♦",SUBSTITUTE(LEFT(F615,N10)," ","♦",LEN(LEFT(F615,N10))-LEN(SUBSTITUTE(LEFT(F615,N10)," ","")))),FIND(" ",F615&amp;" ",N10+1)-1)))</f>
        <v>1</v>
      </c>
      <c r="N615" s="234">
        <f t="shared" si="68"/>
        <v>598</v>
      </c>
      <c r="O615" s="165" t="str">
        <f t="shared" si="69"/>
        <v>0</v>
      </c>
      <c r="P615" s="234">
        <f t="shared" si="70"/>
        <v>1</v>
      </c>
      <c r="Q615" s="234">
        <f t="shared" si="71"/>
        <v>1</v>
      </c>
      <c r="DE615" s="152"/>
      <c r="DF615" s="160" t="s">
        <v>2147</v>
      </c>
      <c r="DG615" s="160" t="s">
        <v>122</v>
      </c>
      <c r="DH615" s="160" t="s">
        <v>125</v>
      </c>
      <c r="DI615" s="160" t="s">
        <v>2148</v>
      </c>
      <c r="DJ615" s="160" t="s">
        <v>2148</v>
      </c>
      <c r="DK615" s="160" t="s">
        <v>1259</v>
      </c>
      <c r="DL615" s="160" t="s">
        <v>1260</v>
      </c>
      <c r="DM615" s="160" t="s">
        <v>1812</v>
      </c>
      <c r="DN615" s="161" t="s">
        <v>1813</v>
      </c>
      <c r="DP615" s="130">
        <v>1</v>
      </c>
    </row>
    <row r="616" spans="2:120" ht="15">
      <c r="B616" s="231"/>
      <c r="C616" s="231"/>
      <c r="D616" s="231"/>
      <c r="E616" s="231" cm="1">
        <f t="array" ref="E616">IF(H615&lt;&gt;"",E615,IF(E615="","",IFERROR(MATCH(TRUE(),INDEX(INDEX(K:K,E615+1):K203&lt;&gt;"",0),0)+E615,"")))</f>
        <v>708</v>
      </c>
      <c r="F616" s="232" cm="1">
        <f t="array" ref="F616">IF(E616="","",IF(H615&lt;&gt;"",H615,INDEX(D:D,E616)))</f>
        <v>0</v>
      </c>
      <c r="G616" s="232" t="str">
        <f t="shared" si="66"/>
        <v>0</v>
      </c>
      <c r="H616" s="233" t="str">
        <f t="shared" si="67"/>
        <v/>
      </c>
      <c r="I616" s="231" t="str">
        <f>IF(AND(F616&lt;&gt;"",N10&gt;0,M616&gt;N10),"Mot &gt; limite","")</f>
        <v/>
      </c>
      <c r="M616" s="126">
        <f>IF(OR(F616="",N10="",N10&lt;=0),"",IF(LEN(F616)&lt;=N10,LEN(F616),IFERROR(FIND("♦",SUBSTITUTE(LEFT(F616,N10)," ","♦",LEN(LEFT(F616,N10))-LEN(SUBSTITUTE(LEFT(F616,N10)," ","")))),FIND(" ",F616&amp;" ",N10+1)-1)))</f>
        <v>1</v>
      </c>
      <c r="N616" s="234">
        <f t="shared" si="68"/>
        <v>599</v>
      </c>
      <c r="O616" s="165" t="str">
        <f t="shared" si="69"/>
        <v>0</v>
      </c>
      <c r="P616" s="234">
        <f t="shared" si="70"/>
        <v>1</v>
      </c>
      <c r="Q616" s="234">
        <f t="shared" si="71"/>
        <v>1</v>
      </c>
      <c r="DE616" s="152"/>
      <c r="DF616" s="160" t="s">
        <v>2149</v>
      </c>
      <c r="DG616" s="160" t="s">
        <v>122</v>
      </c>
      <c r="DH616" s="160" t="s">
        <v>125</v>
      </c>
      <c r="DI616" s="160" t="s">
        <v>2150</v>
      </c>
      <c r="DJ616" s="160" t="s">
        <v>2150</v>
      </c>
      <c r="DK616" s="160" t="s">
        <v>1259</v>
      </c>
      <c r="DL616" s="160" t="s">
        <v>1260</v>
      </c>
      <c r="DM616" s="160" t="s">
        <v>1812</v>
      </c>
      <c r="DN616" s="161" t="s">
        <v>1813</v>
      </c>
      <c r="DP616" s="130">
        <v>1</v>
      </c>
    </row>
    <row r="617" spans="2:120" ht="15">
      <c r="B617" s="231"/>
      <c r="C617" s="231"/>
      <c r="D617" s="231"/>
      <c r="E617" s="231" cm="1">
        <f t="array" ref="E617">IF(H616&lt;&gt;"",E616,IF(E616="","",IFERROR(MATCH(TRUE(),INDEX(INDEX(K:K,E616+1):K203&lt;&gt;"",0),0)+E616,"")))</f>
        <v>709</v>
      </c>
      <c r="F617" s="232" cm="1">
        <f t="array" ref="F617">IF(E617="","",IF(H616&lt;&gt;"",H616,INDEX(D:D,E617)))</f>
        <v>0</v>
      </c>
      <c r="G617" s="232" t="str">
        <f t="shared" si="66"/>
        <v>0</v>
      </c>
      <c r="H617" s="233" t="str">
        <f t="shared" si="67"/>
        <v/>
      </c>
      <c r="I617" s="231" t="str">
        <f>IF(AND(F617&lt;&gt;"",N10&gt;0,M617&gt;N10),"Mot &gt; limite","")</f>
        <v/>
      </c>
      <c r="M617" s="126">
        <f>IF(OR(F617="",N10="",N10&lt;=0),"",IF(LEN(F617)&lt;=N10,LEN(F617),IFERROR(FIND("♦",SUBSTITUTE(LEFT(F617,N10)," ","♦",LEN(LEFT(F617,N10))-LEN(SUBSTITUTE(LEFT(F617,N10)," ","")))),FIND(" ",F617&amp;" ",N10+1)-1)))</f>
        <v>1</v>
      </c>
      <c r="N617" s="234">
        <f t="shared" si="68"/>
        <v>600</v>
      </c>
      <c r="O617" s="165" t="str">
        <f t="shared" si="69"/>
        <v>0</v>
      </c>
      <c r="P617" s="234">
        <f t="shared" si="70"/>
        <v>1</v>
      </c>
      <c r="Q617" s="234">
        <f t="shared" si="71"/>
        <v>1</v>
      </c>
      <c r="DE617" s="152"/>
      <c r="DF617" s="160" t="s">
        <v>2151</v>
      </c>
      <c r="DG617" s="160" t="s">
        <v>122</v>
      </c>
      <c r="DH617" s="160" t="s">
        <v>125</v>
      </c>
      <c r="DI617" s="160" t="s">
        <v>2152</v>
      </c>
      <c r="DJ617" s="160" t="s">
        <v>2152</v>
      </c>
      <c r="DK617" s="160" t="s">
        <v>1259</v>
      </c>
      <c r="DL617" s="160" t="s">
        <v>1260</v>
      </c>
      <c r="DM617" s="160" t="s">
        <v>1812</v>
      </c>
      <c r="DN617" s="161" t="s">
        <v>1813</v>
      </c>
      <c r="DP617" s="130">
        <v>1</v>
      </c>
    </row>
    <row r="618" spans="2:120" ht="15">
      <c r="B618" s="231"/>
      <c r="C618" s="231"/>
      <c r="D618" s="231"/>
      <c r="E618" s="231" cm="1">
        <f t="array" ref="E618">IF(H617&lt;&gt;"",E617,IF(E617="","",IFERROR(MATCH(TRUE(),INDEX(INDEX(K:K,E617+1):K203&lt;&gt;"",0),0)+E617,"")))</f>
        <v>710</v>
      </c>
      <c r="F618" s="232" cm="1">
        <f t="array" ref="F618">IF(E618="","",IF(H617&lt;&gt;"",H617,INDEX(D:D,E618)))</f>
        <v>0</v>
      </c>
      <c r="G618" s="232" t="str">
        <f t="shared" si="66"/>
        <v>0</v>
      </c>
      <c r="H618" s="233" t="str">
        <f t="shared" si="67"/>
        <v/>
      </c>
      <c r="I618" s="231" t="str">
        <f>IF(AND(F618&lt;&gt;"",N10&gt;0,M618&gt;N10),"Mot &gt; limite","")</f>
        <v/>
      </c>
      <c r="M618" s="126">
        <f>IF(OR(F618="",N10="",N10&lt;=0),"",IF(LEN(F618)&lt;=N10,LEN(F618),IFERROR(FIND("♦",SUBSTITUTE(LEFT(F618,N10)," ","♦",LEN(LEFT(F618,N10))-LEN(SUBSTITUTE(LEFT(F618,N10)," ","")))),FIND(" ",F618&amp;" ",N10+1)-1)))</f>
        <v>1</v>
      </c>
      <c r="N618" s="234">
        <f t="shared" si="68"/>
        <v>601</v>
      </c>
      <c r="O618" s="165" t="str">
        <f t="shared" si="69"/>
        <v>0</v>
      </c>
      <c r="P618" s="234">
        <f t="shared" si="70"/>
        <v>1</v>
      </c>
      <c r="Q618" s="234">
        <f t="shared" si="71"/>
        <v>1</v>
      </c>
      <c r="DE618" s="152"/>
      <c r="DF618" s="160" t="s">
        <v>2153</v>
      </c>
      <c r="DG618" s="160" t="s">
        <v>122</v>
      </c>
      <c r="DH618" s="160" t="s">
        <v>125</v>
      </c>
      <c r="DI618" s="160" t="s">
        <v>2154</v>
      </c>
      <c r="DJ618" s="160" t="s">
        <v>2154</v>
      </c>
      <c r="DK618" s="160" t="s">
        <v>1259</v>
      </c>
      <c r="DL618" s="160" t="s">
        <v>1260</v>
      </c>
      <c r="DM618" s="160" t="s">
        <v>1812</v>
      </c>
      <c r="DN618" s="161" t="s">
        <v>1813</v>
      </c>
      <c r="DP618" s="130">
        <v>1</v>
      </c>
    </row>
    <row r="619" spans="2:120" ht="15">
      <c r="B619" s="231"/>
      <c r="C619" s="231"/>
      <c r="D619" s="231"/>
      <c r="E619" s="231" cm="1">
        <f t="array" ref="E619">IF(H618&lt;&gt;"",E618,IF(E618="","",IFERROR(MATCH(TRUE(),INDEX(INDEX(K:K,E618+1):K203&lt;&gt;"",0),0)+E618,"")))</f>
        <v>711</v>
      </c>
      <c r="F619" s="232" cm="1">
        <f t="array" ref="F619">IF(E619="","",IF(H618&lt;&gt;"",H618,INDEX(D:D,E619)))</f>
        <v>0</v>
      </c>
      <c r="G619" s="232" t="str">
        <f t="shared" si="66"/>
        <v>0</v>
      </c>
      <c r="H619" s="233" t="str">
        <f t="shared" si="67"/>
        <v/>
      </c>
      <c r="I619" s="231" t="str">
        <f>IF(AND(F619&lt;&gt;"",N10&gt;0,M619&gt;N10),"Mot &gt; limite","")</f>
        <v/>
      </c>
      <c r="M619" s="126">
        <f>IF(OR(F619="",N10="",N10&lt;=0),"",IF(LEN(F619)&lt;=N10,LEN(F619),IFERROR(FIND("♦",SUBSTITUTE(LEFT(F619,N10)," ","♦",LEN(LEFT(F619,N10))-LEN(SUBSTITUTE(LEFT(F619,N10)," ","")))),FIND(" ",F619&amp;" ",N10+1)-1)))</f>
        <v>1</v>
      </c>
      <c r="N619" s="234">
        <f t="shared" si="68"/>
        <v>602</v>
      </c>
      <c r="O619" s="165" t="str">
        <f t="shared" si="69"/>
        <v>0</v>
      </c>
      <c r="P619" s="234">
        <f t="shared" si="70"/>
        <v>1</v>
      </c>
      <c r="Q619" s="234">
        <f t="shared" si="71"/>
        <v>1</v>
      </c>
      <c r="DE619" s="152"/>
      <c r="DF619" s="160" t="s">
        <v>2155</v>
      </c>
      <c r="DG619" s="160" t="s">
        <v>122</v>
      </c>
      <c r="DH619" s="160" t="s">
        <v>125</v>
      </c>
      <c r="DI619" s="160" t="s">
        <v>2156</v>
      </c>
      <c r="DJ619" s="160" t="s">
        <v>2156</v>
      </c>
      <c r="DK619" s="160" t="s">
        <v>1259</v>
      </c>
      <c r="DL619" s="160" t="s">
        <v>1260</v>
      </c>
      <c r="DM619" s="160" t="s">
        <v>1812</v>
      </c>
      <c r="DN619" s="161" t="s">
        <v>1813</v>
      </c>
      <c r="DP619" s="130">
        <v>1</v>
      </c>
    </row>
    <row r="620" spans="2:120" ht="15">
      <c r="B620" s="231"/>
      <c r="C620" s="231"/>
      <c r="D620" s="231"/>
      <c r="E620" s="231" cm="1">
        <f t="array" ref="E620">IF(H619&lt;&gt;"",E619,IF(E619="","",IFERROR(MATCH(TRUE(),INDEX(INDEX(K:K,E619+1):K203&lt;&gt;"",0),0)+E619,"")))</f>
        <v>712</v>
      </c>
      <c r="F620" s="232" cm="1">
        <f t="array" ref="F620">IF(E620="","",IF(H619&lt;&gt;"",H619,INDEX(D:D,E620)))</f>
        <v>0</v>
      </c>
      <c r="G620" s="232" t="str">
        <f t="shared" si="66"/>
        <v>0</v>
      </c>
      <c r="H620" s="233" t="str">
        <f t="shared" si="67"/>
        <v/>
      </c>
      <c r="I620" s="231" t="str">
        <f>IF(AND(F620&lt;&gt;"",N10&gt;0,M620&gt;N10),"Mot &gt; limite","")</f>
        <v/>
      </c>
      <c r="M620" s="126">
        <f>IF(OR(F620="",N10="",N10&lt;=0),"",IF(LEN(F620)&lt;=N10,LEN(F620),IFERROR(FIND("♦",SUBSTITUTE(LEFT(F620,N10)," ","♦",LEN(LEFT(F620,N10))-LEN(SUBSTITUTE(LEFT(F620,N10)," ","")))),FIND(" ",F620&amp;" ",N10+1)-1)))</f>
        <v>1</v>
      </c>
      <c r="N620" s="234">
        <f t="shared" si="68"/>
        <v>603</v>
      </c>
      <c r="O620" s="165" t="str">
        <f t="shared" si="69"/>
        <v>0</v>
      </c>
      <c r="P620" s="234">
        <f t="shared" si="70"/>
        <v>1</v>
      </c>
      <c r="Q620" s="234">
        <f t="shared" si="71"/>
        <v>1</v>
      </c>
      <c r="DE620" s="152"/>
      <c r="DF620" s="160" t="s">
        <v>2157</v>
      </c>
      <c r="DG620" s="160" t="s">
        <v>122</v>
      </c>
      <c r="DH620" s="160" t="s">
        <v>125</v>
      </c>
      <c r="DI620" s="160" t="s">
        <v>2158</v>
      </c>
      <c r="DJ620" s="160" t="s">
        <v>2158</v>
      </c>
      <c r="DK620" s="160" t="s">
        <v>1259</v>
      </c>
      <c r="DL620" s="160" t="s">
        <v>1260</v>
      </c>
      <c r="DM620" s="160" t="s">
        <v>1812</v>
      </c>
      <c r="DN620" s="161" t="s">
        <v>1813</v>
      </c>
      <c r="DP620" s="130">
        <v>1</v>
      </c>
    </row>
    <row r="621" spans="2:120" ht="15">
      <c r="B621" s="231"/>
      <c r="C621" s="231"/>
      <c r="D621" s="231"/>
      <c r="E621" s="231" cm="1">
        <f t="array" ref="E621">IF(H620&lt;&gt;"",E620,IF(E620="","",IFERROR(MATCH(TRUE(),INDEX(INDEX(K:K,E620+1):K203&lt;&gt;"",0),0)+E620,"")))</f>
        <v>713</v>
      </c>
      <c r="F621" s="232" cm="1">
        <f t="array" ref="F621">IF(E621="","",IF(H620&lt;&gt;"",H620,INDEX(D:D,E621)))</f>
        <v>0</v>
      </c>
      <c r="G621" s="232" t="str">
        <f t="shared" si="66"/>
        <v>0</v>
      </c>
      <c r="H621" s="233" t="str">
        <f t="shared" si="67"/>
        <v/>
      </c>
      <c r="I621" s="231" t="str">
        <f>IF(AND(F621&lt;&gt;"",N10&gt;0,M621&gt;N10),"Mot &gt; limite","")</f>
        <v/>
      </c>
      <c r="M621" s="126">
        <f>IF(OR(F621="",N10="",N10&lt;=0),"",IF(LEN(F621)&lt;=N10,LEN(F621),IFERROR(FIND("♦",SUBSTITUTE(LEFT(F621,N10)," ","♦",LEN(LEFT(F621,N10))-LEN(SUBSTITUTE(LEFT(F621,N10)," ","")))),FIND(" ",F621&amp;" ",N10+1)-1)))</f>
        <v>1</v>
      </c>
      <c r="N621" s="234">
        <f t="shared" si="68"/>
        <v>604</v>
      </c>
      <c r="O621" s="165" t="str">
        <f t="shared" si="69"/>
        <v>0</v>
      </c>
      <c r="P621" s="234">
        <f t="shared" si="70"/>
        <v>1</v>
      </c>
      <c r="Q621" s="234">
        <f t="shared" si="71"/>
        <v>1</v>
      </c>
      <c r="DE621" s="152"/>
      <c r="DF621" s="160" t="s">
        <v>2159</v>
      </c>
      <c r="DG621" s="160" t="s">
        <v>122</v>
      </c>
      <c r="DH621" s="160" t="s">
        <v>125</v>
      </c>
      <c r="DI621" s="160" t="s">
        <v>2160</v>
      </c>
      <c r="DJ621" s="160" t="s">
        <v>2160</v>
      </c>
      <c r="DK621" s="160" t="s">
        <v>666</v>
      </c>
      <c r="DL621" s="160" t="s">
        <v>667</v>
      </c>
      <c r="DM621" s="160" t="s">
        <v>590</v>
      </c>
      <c r="DN621" s="161" t="s">
        <v>668</v>
      </c>
      <c r="DP621" s="130">
        <v>1</v>
      </c>
    </row>
    <row r="622" spans="2:120" ht="15">
      <c r="B622" s="231"/>
      <c r="C622" s="231"/>
      <c r="D622" s="231"/>
      <c r="E622" s="231" cm="1">
        <f t="array" ref="E622">IF(H621&lt;&gt;"",E621,IF(E621="","",IFERROR(MATCH(TRUE(),INDEX(INDEX(K:K,E621+1):K203&lt;&gt;"",0),0)+E621,"")))</f>
        <v>714</v>
      </c>
      <c r="F622" s="232" cm="1">
        <f t="array" ref="F622">IF(E622="","",IF(H621&lt;&gt;"",H621,INDEX(D:D,E622)))</f>
        <v>0</v>
      </c>
      <c r="G622" s="232" t="str">
        <f t="shared" si="66"/>
        <v>0</v>
      </c>
      <c r="H622" s="233" t="str">
        <f t="shared" si="67"/>
        <v/>
      </c>
      <c r="I622" s="231" t="str">
        <f>IF(AND(F622&lt;&gt;"",N10&gt;0,M622&gt;N10),"Mot &gt; limite","")</f>
        <v/>
      </c>
      <c r="M622" s="126">
        <f>IF(OR(F622="",N10="",N10&lt;=0),"",IF(LEN(F622)&lt;=N10,LEN(F622),IFERROR(FIND("♦",SUBSTITUTE(LEFT(F622,N10)," ","♦",LEN(LEFT(F622,N10))-LEN(SUBSTITUTE(LEFT(F622,N10)," ","")))),FIND(" ",F622&amp;" ",N10+1)-1)))</f>
        <v>1</v>
      </c>
      <c r="N622" s="234">
        <f t="shared" si="68"/>
        <v>605</v>
      </c>
      <c r="O622" s="165" t="str">
        <f t="shared" si="69"/>
        <v>0</v>
      </c>
      <c r="P622" s="234">
        <f t="shared" si="70"/>
        <v>1</v>
      </c>
      <c r="Q622" s="234">
        <f t="shared" si="71"/>
        <v>1</v>
      </c>
      <c r="DE622" s="152"/>
      <c r="DF622" s="160" t="s">
        <v>2161</v>
      </c>
      <c r="DG622" s="160" t="s">
        <v>122</v>
      </c>
      <c r="DH622" s="160" t="s">
        <v>125</v>
      </c>
      <c r="DI622" s="160" t="s">
        <v>2162</v>
      </c>
      <c r="DJ622" s="160" t="s">
        <v>2162</v>
      </c>
      <c r="DK622" s="160" t="s">
        <v>1259</v>
      </c>
      <c r="DL622" s="160" t="s">
        <v>1260</v>
      </c>
      <c r="DM622" s="160" t="s">
        <v>1812</v>
      </c>
      <c r="DN622" s="161" t="s">
        <v>1813</v>
      </c>
      <c r="DP622" s="130">
        <v>1</v>
      </c>
    </row>
    <row r="623" spans="2:120" ht="15">
      <c r="B623" s="231"/>
      <c r="C623" s="231"/>
      <c r="D623" s="231"/>
      <c r="E623" s="231" cm="1">
        <f t="array" ref="E623">IF(H622&lt;&gt;"",E622,IF(E622="","",IFERROR(MATCH(TRUE(),INDEX(INDEX(K:K,E622+1):K203&lt;&gt;"",0),0)+E622,"")))</f>
        <v>715</v>
      </c>
      <c r="F623" s="232" cm="1">
        <f t="array" ref="F623">IF(E623="","",IF(H622&lt;&gt;"",H622,INDEX(D:D,E623)))</f>
        <v>0</v>
      </c>
      <c r="G623" s="232" t="str">
        <f t="shared" si="66"/>
        <v>0</v>
      </c>
      <c r="H623" s="233" t="str">
        <f t="shared" si="67"/>
        <v/>
      </c>
      <c r="I623" s="231" t="str">
        <f>IF(AND(F623&lt;&gt;"",N10&gt;0,M623&gt;N10),"Mot &gt; limite","")</f>
        <v/>
      </c>
      <c r="M623" s="126">
        <f>IF(OR(F623="",N10="",N10&lt;=0),"",IF(LEN(F623)&lt;=N10,LEN(F623),IFERROR(FIND("♦",SUBSTITUTE(LEFT(F623,N10)," ","♦",LEN(LEFT(F623,N10))-LEN(SUBSTITUTE(LEFT(F623,N10)," ","")))),FIND(" ",F623&amp;" ",N10+1)-1)))</f>
        <v>1</v>
      </c>
      <c r="N623" s="234">
        <f t="shared" si="68"/>
        <v>606</v>
      </c>
      <c r="O623" s="165" t="str">
        <f t="shared" si="69"/>
        <v>0</v>
      </c>
      <c r="P623" s="234">
        <f t="shared" si="70"/>
        <v>1</v>
      </c>
      <c r="Q623" s="234">
        <f t="shared" si="71"/>
        <v>1</v>
      </c>
      <c r="DE623" s="152"/>
      <c r="DF623" s="160" t="s">
        <v>2163</v>
      </c>
      <c r="DG623" s="160" t="s">
        <v>122</v>
      </c>
      <c r="DH623" s="160" t="s">
        <v>125</v>
      </c>
      <c r="DI623" s="160" t="s">
        <v>2164</v>
      </c>
      <c r="DJ623" s="160" t="s">
        <v>2164</v>
      </c>
      <c r="DK623" s="160" t="s">
        <v>1259</v>
      </c>
      <c r="DL623" s="160" t="s">
        <v>1260</v>
      </c>
      <c r="DM623" s="160" t="s">
        <v>1812</v>
      </c>
      <c r="DN623" s="161" t="s">
        <v>1813</v>
      </c>
      <c r="DP623" s="130">
        <v>1</v>
      </c>
    </row>
    <row r="624" spans="2:120" ht="15">
      <c r="B624" s="231"/>
      <c r="C624" s="231"/>
      <c r="D624" s="231"/>
      <c r="E624" s="231" cm="1">
        <f t="array" ref="E624">IF(H623&lt;&gt;"",E623,IF(E623="","",IFERROR(MATCH(TRUE(),INDEX(INDEX(K:K,E623+1):K203&lt;&gt;"",0),0)+E623,"")))</f>
        <v>716</v>
      </c>
      <c r="F624" s="232" cm="1">
        <f t="array" ref="F624">IF(E624="","",IF(H623&lt;&gt;"",H623,INDEX(D:D,E624)))</f>
        <v>0</v>
      </c>
      <c r="G624" s="232" t="str">
        <f t="shared" si="66"/>
        <v>0</v>
      </c>
      <c r="H624" s="233" t="str">
        <f t="shared" si="67"/>
        <v/>
      </c>
      <c r="I624" s="231" t="str">
        <f>IF(AND(F624&lt;&gt;"",N10&gt;0,M624&gt;N10),"Mot &gt; limite","")</f>
        <v/>
      </c>
      <c r="M624" s="126">
        <f>IF(OR(F624="",N10="",N10&lt;=0),"",IF(LEN(F624)&lt;=N10,LEN(F624),IFERROR(FIND("♦",SUBSTITUTE(LEFT(F624,N10)," ","♦",LEN(LEFT(F624,N10))-LEN(SUBSTITUTE(LEFT(F624,N10)," ","")))),FIND(" ",F624&amp;" ",N10+1)-1)))</f>
        <v>1</v>
      </c>
      <c r="N624" s="234">
        <f t="shared" si="68"/>
        <v>607</v>
      </c>
      <c r="O624" s="165" t="str">
        <f t="shared" si="69"/>
        <v>0</v>
      </c>
      <c r="P624" s="234">
        <f t="shared" si="70"/>
        <v>1</v>
      </c>
      <c r="Q624" s="234">
        <f t="shared" si="71"/>
        <v>1</v>
      </c>
      <c r="DE624" s="152"/>
      <c r="DF624" s="160" t="s">
        <v>2165</v>
      </c>
      <c r="DG624" s="160" t="s">
        <v>122</v>
      </c>
      <c r="DH624" s="160" t="s">
        <v>125</v>
      </c>
      <c r="DI624" s="160" t="s">
        <v>2166</v>
      </c>
      <c r="DJ624" s="160" t="s">
        <v>2166</v>
      </c>
      <c r="DK624" s="160" t="s">
        <v>1259</v>
      </c>
      <c r="DL624" s="160" t="s">
        <v>1260</v>
      </c>
      <c r="DM624" s="160" t="s">
        <v>1812</v>
      </c>
      <c r="DN624" s="161" t="s">
        <v>1813</v>
      </c>
      <c r="DP624" s="130">
        <v>1</v>
      </c>
    </row>
    <row r="625" spans="2:120" ht="15">
      <c r="B625" s="231"/>
      <c r="C625" s="231"/>
      <c r="D625" s="231"/>
      <c r="E625" s="231" cm="1">
        <f t="array" ref="E625">IF(H624&lt;&gt;"",E624,IF(E624="","",IFERROR(MATCH(TRUE(),INDEX(INDEX(K:K,E624+1):K203&lt;&gt;"",0),0)+E624,"")))</f>
        <v>717</v>
      </c>
      <c r="F625" s="232" cm="1">
        <f t="array" ref="F625">IF(E625="","",IF(H624&lt;&gt;"",H624,INDEX(D:D,E625)))</f>
        <v>0</v>
      </c>
      <c r="G625" s="232" t="str">
        <f t="shared" si="66"/>
        <v>0</v>
      </c>
      <c r="H625" s="233" t="str">
        <f t="shared" si="67"/>
        <v/>
      </c>
      <c r="I625" s="231" t="str">
        <f>IF(AND(F625&lt;&gt;"",N10&gt;0,M625&gt;N10),"Mot &gt; limite","")</f>
        <v/>
      </c>
      <c r="M625" s="126">
        <f>IF(OR(F625="",N10="",N10&lt;=0),"",IF(LEN(F625)&lt;=N10,LEN(F625),IFERROR(FIND("♦",SUBSTITUTE(LEFT(F625,N10)," ","♦",LEN(LEFT(F625,N10))-LEN(SUBSTITUTE(LEFT(F625,N10)," ","")))),FIND(" ",F625&amp;" ",N10+1)-1)))</f>
        <v>1</v>
      </c>
      <c r="N625" s="234">
        <f t="shared" si="68"/>
        <v>608</v>
      </c>
      <c r="O625" s="165" t="str">
        <f t="shared" si="69"/>
        <v>0</v>
      </c>
      <c r="P625" s="234">
        <f t="shared" si="70"/>
        <v>1</v>
      </c>
      <c r="Q625" s="234">
        <f t="shared" si="71"/>
        <v>1</v>
      </c>
      <c r="DE625" s="152"/>
      <c r="DF625" s="160" t="s">
        <v>2167</v>
      </c>
      <c r="DG625" s="160" t="s">
        <v>122</v>
      </c>
      <c r="DH625" s="160" t="s">
        <v>125</v>
      </c>
      <c r="DI625" s="160" t="s">
        <v>2168</v>
      </c>
      <c r="DJ625" s="160" t="s">
        <v>2168</v>
      </c>
      <c r="DK625" s="160" t="s">
        <v>1259</v>
      </c>
      <c r="DL625" s="160" t="s">
        <v>1260</v>
      </c>
      <c r="DM625" s="160" t="s">
        <v>1812</v>
      </c>
      <c r="DN625" s="161" t="s">
        <v>1813</v>
      </c>
      <c r="DP625" s="130">
        <v>1</v>
      </c>
    </row>
    <row r="626" spans="2:120" ht="15">
      <c r="B626" s="231"/>
      <c r="C626" s="231"/>
      <c r="D626" s="231"/>
      <c r="E626" s="231" cm="1">
        <f t="array" ref="E626">IF(H625&lt;&gt;"",E625,IF(E625="","",IFERROR(MATCH(TRUE(),INDEX(INDEX(K:K,E625+1):K203&lt;&gt;"",0),0)+E625,"")))</f>
        <v>718</v>
      </c>
      <c r="F626" s="232" cm="1">
        <f t="array" ref="F626">IF(E626="","",IF(H625&lt;&gt;"",H625,INDEX(D:D,E626)))</f>
        <v>0</v>
      </c>
      <c r="G626" s="232" t="str">
        <f t="shared" si="66"/>
        <v>0</v>
      </c>
      <c r="H626" s="233" t="str">
        <f t="shared" si="67"/>
        <v/>
      </c>
      <c r="I626" s="231" t="str">
        <f>IF(AND(F626&lt;&gt;"",N10&gt;0,M626&gt;N10),"Mot &gt; limite","")</f>
        <v/>
      </c>
      <c r="M626" s="126">
        <f>IF(OR(F626="",N10="",N10&lt;=0),"",IF(LEN(F626)&lt;=N10,LEN(F626),IFERROR(FIND("♦",SUBSTITUTE(LEFT(F626,N10)," ","♦",LEN(LEFT(F626,N10))-LEN(SUBSTITUTE(LEFT(F626,N10)," ","")))),FIND(" ",F626&amp;" ",N10+1)-1)))</f>
        <v>1</v>
      </c>
      <c r="N626" s="234">
        <f t="shared" si="68"/>
        <v>609</v>
      </c>
      <c r="O626" s="165" t="str">
        <f t="shared" si="69"/>
        <v>0</v>
      </c>
      <c r="P626" s="234">
        <f t="shared" si="70"/>
        <v>1</v>
      </c>
      <c r="Q626" s="234">
        <f t="shared" si="71"/>
        <v>1</v>
      </c>
      <c r="DE626" s="152"/>
      <c r="DF626" s="160" t="s">
        <v>2169</v>
      </c>
      <c r="DG626" s="160" t="s">
        <v>122</v>
      </c>
      <c r="DH626" s="160" t="s">
        <v>125</v>
      </c>
      <c r="DI626" s="160" t="s">
        <v>2170</v>
      </c>
      <c r="DJ626" s="160" t="s">
        <v>2170</v>
      </c>
      <c r="DK626" s="160" t="s">
        <v>1259</v>
      </c>
      <c r="DL626" s="160" t="s">
        <v>1260</v>
      </c>
      <c r="DM626" s="160" t="s">
        <v>1812</v>
      </c>
      <c r="DN626" s="161" t="s">
        <v>1813</v>
      </c>
      <c r="DP626" s="130">
        <v>1</v>
      </c>
    </row>
    <row r="627" spans="2:120" ht="15">
      <c r="B627" s="231"/>
      <c r="C627" s="231"/>
      <c r="D627" s="231"/>
      <c r="E627" s="231" cm="1">
        <f t="array" ref="E627">IF(H626&lt;&gt;"",E626,IF(E626="","",IFERROR(MATCH(TRUE(),INDEX(INDEX(K:K,E626+1):K203&lt;&gt;"",0),0)+E626,"")))</f>
        <v>719</v>
      </c>
      <c r="F627" s="232" cm="1">
        <f t="array" ref="F627">IF(E627="","",IF(H626&lt;&gt;"",H626,INDEX(D:D,E627)))</f>
        <v>0</v>
      </c>
      <c r="G627" s="232" t="str">
        <f t="shared" si="66"/>
        <v>0</v>
      </c>
      <c r="H627" s="233" t="str">
        <f t="shared" si="67"/>
        <v/>
      </c>
      <c r="I627" s="231" t="str">
        <f>IF(AND(F627&lt;&gt;"",N10&gt;0,M627&gt;N10),"Mot &gt; limite","")</f>
        <v/>
      </c>
      <c r="M627" s="126">
        <f>IF(OR(F627="",N10="",N10&lt;=0),"",IF(LEN(F627)&lt;=N10,LEN(F627),IFERROR(FIND("♦",SUBSTITUTE(LEFT(F627,N10)," ","♦",LEN(LEFT(F627,N10))-LEN(SUBSTITUTE(LEFT(F627,N10)," ","")))),FIND(" ",F627&amp;" ",N10+1)-1)))</f>
        <v>1</v>
      </c>
      <c r="N627" s="234">
        <f t="shared" si="68"/>
        <v>610</v>
      </c>
      <c r="O627" s="165" t="str">
        <f t="shared" si="69"/>
        <v>0</v>
      </c>
      <c r="P627" s="234">
        <f t="shared" si="70"/>
        <v>1</v>
      </c>
      <c r="Q627" s="234">
        <f t="shared" si="71"/>
        <v>1</v>
      </c>
      <c r="DE627" s="152"/>
      <c r="DF627" s="160" t="s">
        <v>2171</v>
      </c>
      <c r="DG627" s="160" t="s">
        <v>122</v>
      </c>
      <c r="DH627" s="160" t="s">
        <v>125</v>
      </c>
      <c r="DI627" s="160" t="s">
        <v>2172</v>
      </c>
      <c r="DJ627" s="160" t="s">
        <v>2172</v>
      </c>
      <c r="DK627" s="160" t="s">
        <v>1259</v>
      </c>
      <c r="DL627" s="160" t="s">
        <v>1260</v>
      </c>
      <c r="DM627" s="160" t="s">
        <v>1812</v>
      </c>
      <c r="DN627" s="161" t="s">
        <v>1813</v>
      </c>
      <c r="DP627" s="130">
        <v>1</v>
      </c>
    </row>
    <row r="628" spans="2:120" ht="15">
      <c r="B628" s="231"/>
      <c r="C628" s="231"/>
      <c r="D628" s="231"/>
      <c r="E628" s="231" cm="1">
        <f t="array" ref="E628">IF(H627&lt;&gt;"",E627,IF(E627="","",IFERROR(MATCH(TRUE(),INDEX(INDEX(K:K,E627+1):K203&lt;&gt;"",0),0)+E627,"")))</f>
        <v>720</v>
      </c>
      <c r="F628" s="232" cm="1">
        <f t="array" ref="F628">IF(E628="","",IF(H627&lt;&gt;"",H627,INDEX(D:D,E628)))</f>
        <v>0</v>
      </c>
      <c r="G628" s="232" t="str">
        <f t="shared" si="66"/>
        <v>0</v>
      </c>
      <c r="H628" s="233" t="str">
        <f t="shared" si="67"/>
        <v/>
      </c>
      <c r="I628" s="231" t="str">
        <f>IF(AND(F628&lt;&gt;"",N10&gt;0,M628&gt;N10),"Mot &gt; limite","")</f>
        <v/>
      </c>
      <c r="M628" s="126">
        <f>IF(OR(F628="",N10="",N10&lt;=0),"",IF(LEN(F628)&lt;=N10,LEN(F628),IFERROR(FIND("♦",SUBSTITUTE(LEFT(F628,N10)," ","♦",LEN(LEFT(F628,N10))-LEN(SUBSTITUTE(LEFT(F628,N10)," ","")))),FIND(" ",F628&amp;" ",N10+1)-1)))</f>
        <v>1</v>
      </c>
      <c r="N628" s="234">
        <f t="shared" si="68"/>
        <v>611</v>
      </c>
      <c r="O628" s="165" t="str">
        <f t="shared" si="69"/>
        <v>0</v>
      </c>
      <c r="P628" s="234">
        <f t="shared" si="70"/>
        <v>1</v>
      </c>
      <c r="Q628" s="234">
        <f t="shared" si="71"/>
        <v>1</v>
      </c>
      <c r="DE628" s="152"/>
      <c r="DF628" s="160" t="s">
        <v>2173</v>
      </c>
      <c r="DG628" s="160" t="s">
        <v>122</v>
      </c>
      <c r="DH628" s="160" t="s">
        <v>125</v>
      </c>
      <c r="DI628" s="160" t="s">
        <v>2174</v>
      </c>
      <c r="DJ628" s="160" t="s">
        <v>2174</v>
      </c>
      <c r="DK628" s="160" t="s">
        <v>1259</v>
      </c>
      <c r="DL628" s="160" t="s">
        <v>1260</v>
      </c>
      <c r="DM628" s="160" t="s">
        <v>1812</v>
      </c>
      <c r="DN628" s="161" t="s">
        <v>1813</v>
      </c>
      <c r="DP628" s="130">
        <v>1</v>
      </c>
    </row>
    <row r="629" spans="2:120" ht="15">
      <c r="B629" s="231"/>
      <c r="C629" s="231"/>
      <c r="D629" s="231"/>
      <c r="E629" s="231" cm="1">
        <f t="array" ref="E629">IF(H628&lt;&gt;"",E628,IF(E628="","",IFERROR(MATCH(TRUE(),INDEX(INDEX(K:K,E628+1):K203&lt;&gt;"",0),0)+E628,"")))</f>
        <v>721</v>
      </c>
      <c r="F629" s="232" cm="1">
        <f t="array" ref="F629">IF(E629="","",IF(H628&lt;&gt;"",H628,INDEX(D:D,E629)))</f>
        <v>0</v>
      </c>
      <c r="G629" s="232" t="str">
        <f t="shared" si="66"/>
        <v>0</v>
      </c>
      <c r="H629" s="233" t="str">
        <f t="shared" si="67"/>
        <v/>
      </c>
      <c r="I629" s="231" t="str">
        <f>IF(AND(F629&lt;&gt;"",N10&gt;0,M629&gt;N10),"Mot &gt; limite","")</f>
        <v/>
      </c>
      <c r="M629" s="126">
        <f>IF(OR(F629="",N10="",N10&lt;=0),"",IF(LEN(F629)&lt;=N10,LEN(F629),IFERROR(FIND("♦",SUBSTITUTE(LEFT(F629,N10)," ","♦",LEN(LEFT(F629,N10))-LEN(SUBSTITUTE(LEFT(F629,N10)," ","")))),FIND(" ",F629&amp;" ",N10+1)-1)))</f>
        <v>1</v>
      </c>
      <c r="N629" s="234">
        <f t="shared" si="68"/>
        <v>612</v>
      </c>
      <c r="O629" s="165" t="str">
        <f t="shared" si="69"/>
        <v>0</v>
      </c>
      <c r="P629" s="234">
        <f t="shared" si="70"/>
        <v>1</v>
      </c>
      <c r="Q629" s="234">
        <f t="shared" si="71"/>
        <v>1</v>
      </c>
      <c r="DE629" s="152"/>
      <c r="DF629" s="160" t="s">
        <v>2175</v>
      </c>
      <c r="DG629" s="160" t="s">
        <v>122</v>
      </c>
      <c r="DH629" s="160" t="s">
        <v>125</v>
      </c>
      <c r="DI629" s="160" t="s">
        <v>2176</v>
      </c>
      <c r="DJ629" s="160" t="s">
        <v>2176</v>
      </c>
      <c r="DK629" s="160" t="s">
        <v>1259</v>
      </c>
      <c r="DL629" s="160" t="s">
        <v>1260</v>
      </c>
      <c r="DM629" s="160" t="s">
        <v>1812</v>
      </c>
      <c r="DN629" s="161" t="s">
        <v>1813</v>
      </c>
      <c r="DP629" s="130">
        <v>1</v>
      </c>
    </row>
    <row r="630" spans="2:120" ht="25.5">
      <c r="B630" s="231"/>
      <c r="C630" s="231"/>
      <c r="D630" s="231"/>
      <c r="E630" s="231" cm="1">
        <f t="array" ref="E630">IF(H629&lt;&gt;"",E629,IF(E629="","",IFERROR(MATCH(TRUE(),INDEX(INDEX(K:K,E629+1):K203&lt;&gt;"",0),0)+E629,"")))</f>
        <v>722</v>
      </c>
      <c r="F630" s="232" cm="1">
        <f t="array" ref="F630">IF(E630="","",IF(H629&lt;&gt;"",H629,INDEX(D:D,E630)))</f>
        <v>0</v>
      </c>
      <c r="G630" s="232" t="str">
        <f t="shared" si="66"/>
        <v>0</v>
      </c>
      <c r="H630" s="233" t="str">
        <f t="shared" si="67"/>
        <v/>
      </c>
      <c r="I630" s="231" t="str">
        <f>IF(AND(F630&lt;&gt;"",N10&gt;0,M630&gt;N10),"Mot &gt; limite","")</f>
        <v/>
      </c>
      <c r="M630" s="126">
        <f>IF(OR(F630="",N10="",N10&lt;=0),"",IF(LEN(F630)&lt;=N10,LEN(F630),IFERROR(FIND("♦",SUBSTITUTE(LEFT(F630,N10)," ","♦",LEN(LEFT(F630,N10))-LEN(SUBSTITUTE(LEFT(F630,N10)," ","")))),FIND(" ",F630&amp;" ",N10+1)-1)))</f>
        <v>1</v>
      </c>
      <c r="N630" s="234">
        <f t="shared" si="68"/>
        <v>613</v>
      </c>
      <c r="O630" s="165" t="str">
        <f t="shared" si="69"/>
        <v>0</v>
      </c>
      <c r="P630" s="234">
        <f t="shared" si="70"/>
        <v>1</v>
      </c>
      <c r="Q630" s="234">
        <f t="shared" si="71"/>
        <v>1</v>
      </c>
      <c r="DE630" s="152"/>
      <c r="DF630" s="160" t="s">
        <v>2177</v>
      </c>
      <c r="DG630" s="160" t="s">
        <v>122</v>
      </c>
      <c r="DH630" s="160" t="s">
        <v>125</v>
      </c>
      <c r="DI630" s="160" t="s">
        <v>287</v>
      </c>
      <c r="DJ630" s="160" t="s">
        <v>287</v>
      </c>
      <c r="DK630" s="160" t="s">
        <v>1259</v>
      </c>
      <c r="DL630" s="160" t="s">
        <v>2178</v>
      </c>
      <c r="DM630" s="160" t="s">
        <v>1812</v>
      </c>
      <c r="DN630" s="161" t="s">
        <v>1813</v>
      </c>
      <c r="DP630" s="130">
        <v>1</v>
      </c>
    </row>
    <row r="631" spans="2:120" ht="15">
      <c r="B631" s="231"/>
      <c r="C631" s="231"/>
      <c r="D631" s="231"/>
      <c r="E631" s="231" cm="1">
        <f t="array" ref="E631">IF(H630&lt;&gt;"",E630,IF(E630="","",IFERROR(MATCH(TRUE(),INDEX(INDEX(K:K,E630+1):K203&lt;&gt;"",0),0)+E630,"")))</f>
        <v>723</v>
      </c>
      <c r="F631" s="232" cm="1">
        <f t="array" ref="F631">IF(E631="","",IF(H630&lt;&gt;"",H630,INDEX(D:D,E631)))</f>
        <v>0</v>
      </c>
      <c r="G631" s="232" t="str">
        <f t="shared" si="66"/>
        <v>0</v>
      </c>
      <c r="H631" s="233" t="str">
        <f t="shared" si="67"/>
        <v/>
      </c>
      <c r="I631" s="231" t="str">
        <f>IF(AND(F631&lt;&gt;"",N10&gt;0,M631&gt;N10),"Mot &gt; limite","")</f>
        <v/>
      </c>
      <c r="M631" s="126">
        <f>IF(OR(F631="",N10="",N10&lt;=0),"",IF(LEN(F631)&lt;=N10,LEN(F631),IFERROR(FIND("♦",SUBSTITUTE(LEFT(F631,N10)," ","♦",LEN(LEFT(F631,N10))-LEN(SUBSTITUTE(LEFT(F631,N10)," ","")))),FIND(" ",F631&amp;" ",N10+1)-1)))</f>
        <v>1</v>
      </c>
      <c r="N631" s="234">
        <f t="shared" si="68"/>
        <v>614</v>
      </c>
      <c r="O631" s="165" t="str">
        <f t="shared" si="69"/>
        <v>0</v>
      </c>
      <c r="P631" s="234">
        <f t="shared" si="70"/>
        <v>1</v>
      </c>
      <c r="Q631" s="234">
        <f t="shared" si="71"/>
        <v>1</v>
      </c>
      <c r="DE631" s="152"/>
      <c r="DF631" s="160" t="s">
        <v>2179</v>
      </c>
      <c r="DG631" s="160" t="s">
        <v>122</v>
      </c>
      <c r="DH631" s="160" t="s">
        <v>125</v>
      </c>
      <c r="DI631" s="160" t="s">
        <v>2180</v>
      </c>
      <c r="DJ631" s="160" t="s">
        <v>2180</v>
      </c>
      <c r="DK631" s="160" t="s">
        <v>1259</v>
      </c>
      <c r="DL631" s="160" t="s">
        <v>1260</v>
      </c>
      <c r="DM631" s="160" t="s">
        <v>1812</v>
      </c>
      <c r="DN631" s="161" t="s">
        <v>1813</v>
      </c>
      <c r="DP631" s="130">
        <v>1</v>
      </c>
    </row>
    <row r="632" spans="2:120" ht="15">
      <c r="B632" s="231"/>
      <c r="C632" s="231"/>
      <c r="D632" s="231"/>
      <c r="E632" s="231" cm="1">
        <f t="array" ref="E632">IF(H631&lt;&gt;"",E631,IF(E631="","",IFERROR(MATCH(TRUE(),INDEX(INDEX(K:K,E631+1):K203&lt;&gt;"",0),0)+E631,"")))</f>
        <v>724</v>
      </c>
      <c r="F632" s="232" cm="1">
        <f t="array" ref="F632">IF(E632="","",IF(H631&lt;&gt;"",H631,INDEX(D:D,E632)))</f>
        <v>0</v>
      </c>
      <c r="G632" s="232" t="str">
        <f t="shared" si="66"/>
        <v>0</v>
      </c>
      <c r="H632" s="233" t="str">
        <f t="shared" si="67"/>
        <v/>
      </c>
      <c r="I632" s="231" t="str">
        <f>IF(AND(F632&lt;&gt;"",N10&gt;0,M632&gt;N10),"Mot &gt; limite","")</f>
        <v/>
      </c>
      <c r="M632" s="126">
        <f>IF(OR(F632="",N10="",N10&lt;=0),"",IF(LEN(F632)&lt;=N10,LEN(F632),IFERROR(FIND("♦",SUBSTITUTE(LEFT(F632,N10)," ","♦",LEN(LEFT(F632,N10))-LEN(SUBSTITUTE(LEFT(F632,N10)," ","")))),FIND(" ",F632&amp;" ",N10+1)-1)))</f>
        <v>1</v>
      </c>
      <c r="N632" s="234">
        <f t="shared" si="68"/>
        <v>615</v>
      </c>
      <c r="O632" s="165" t="str">
        <f t="shared" si="69"/>
        <v>0</v>
      </c>
      <c r="P632" s="234">
        <f t="shared" si="70"/>
        <v>1</v>
      </c>
      <c r="Q632" s="234">
        <f t="shared" si="71"/>
        <v>1</v>
      </c>
      <c r="DE632" s="152"/>
      <c r="DF632" s="160" t="s">
        <v>2181</v>
      </c>
      <c r="DG632" s="160" t="s">
        <v>122</v>
      </c>
      <c r="DH632" s="160" t="s">
        <v>125</v>
      </c>
      <c r="DI632" s="160" t="s">
        <v>2182</v>
      </c>
      <c r="DJ632" s="160" t="s">
        <v>2182</v>
      </c>
      <c r="DK632" s="160" t="s">
        <v>1259</v>
      </c>
      <c r="DL632" s="160" t="s">
        <v>1260</v>
      </c>
      <c r="DM632" s="160" t="s">
        <v>1812</v>
      </c>
      <c r="DN632" s="161" t="s">
        <v>1813</v>
      </c>
      <c r="DP632" s="130">
        <v>1</v>
      </c>
    </row>
    <row r="633" spans="2:120" ht="15">
      <c r="B633" s="231"/>
      <c r="C633" s="231"/>
      <c r="D633" s="231"/>
      <c r="E633" s="231" cm="1">
        <f t="array" ref="E633">IF(H632&lt;&gt;"",E632,IF(E632="","",IFERROR(MATCH(TRUE(),INDEX(INDEX(K:K,E632+1):K203&lt;&gt;"",0),0)+E632,"")))</f>
        <v>725</v>
      </c>
      <c r="F633" s="232" cm="1">
        <f t="array" ref="F633">IF(E633="","",IF(H632&lt;&gt;"",H632,INDEX(D:D,E633)))</f>
        <v>0</v>
      </c>
      <c r="G633" s="232" t="str">
        <f t="shared" si="66"/>
        <v>0</v>
      </c>
      <c r="H633" s="233" t="str">
        <f t="shared" si="67"/>
        <v/>
      </c>
      <c r="I633" s="231" t="str">
        <f>IF(AND(F633&lt;&gt;"",N10&gt;0,M633&gt;N10),"Mot &gt; limite","")</f>
        <v/>
      </c>
      <c r="M633" s="126">
        <f>IF(OR(F633="",N10="",N10&lt;=0),"",IF(LEN(F633)&lt;=N10,LEN(F633),IFERROR(FIND("♦",SUBSTITUTE(LEFT(F633,N10)," ","♦",LEN(LEFT(F633,N10))-LEN(SUBSTITUTE(LEFT(F633,N10)," ","")))),FIND(" ",F633&amp;" ",N10+1)-1)))</f>
        <v>1</v>
      </c>
      <c r="N633" s="234">
        <f t="shared" si="68"/>
        <v>616</v>
      </c>
      <c r="O633" s="165" t="str">
        <f t="shared" si="69"/>
        <v>0</v>
      </c>
      <c r="P633" s="234">
        <f t="shared" si="70"/>
        <v>1</v>
      </c>
      <c r="Q633" s="234">
        <f t="shared" si="71"/>
        <v>1</v>
      </c>
      <c r="DE633" s="152"/>
      <c r="DF633" s="160" t="s">
        <v>2183</v>
      </c>
      <c r="DG633" s="160" t="s">
        <v>122</v>
      </c>
      <c r="DH633" s="160" t="s">
        <v>125</v>
      </c>
      <c r="DI633" s="160" t="s">
        <v>2184</v>
      </c>
      <c r="DJ633" s="160" t="s">
        <v>2184</v>
      </c>
      <c r="DK633" s="160" t="s">
        <v>1259</v>
      </c>
      <c r="DL633" s="160" t="s">
        <v>1260</v>
      </c>
      <c r="DM633" s="160" t="s">
        <v>1812</v>
      </c>
      <c r="DN633" s="161" t="s">
        <v>1813</v>
      </c>
      <c r="DP633" s="130">
        <v>1</v>
      </c>
    </row>
    <row r="634" spans="2:120" ht="15">
      <c r="B634" s="231"/>
      <c r="C634" s="231"/>
      <c r="D634" s="231"/>
      <c r="E634" s="231" cm="1">
        <f t="array" ref="E634">IF(H633&lt;&gt;"",E633,IF(E633="","",IFERROR(MATCH(TRUE(),INDEX(INDEX(K:K,E633+1):K203&lt;&gt;"",0),0)+E633,"")))</f>
        <v>726</v>
      </c>
      <c r="F634" s="232" cm="1">
        <f t="array" ref="F634">IF(E634="","",IF(H633&lt;&gt;"",H633,INDEX(D:D,E634)))</f>
        <v>0</v>
      </c>
      <c r="G634" s="232" t="str">
        <f t="shared" si="66"/>
        <v>0</v>
      </c>
      <c r="H634" s="233" t="str">
        <f t="shared" si="67"/>
        <v/>
      </c>
      <c r="I634" s="231" t="str">
        <f>IF(AND(F634&lt;&gt;"",N10&gt;0,M634&gt;N10),"Mot &gt; limite","")</f>
        <v/>
      </c>
      <c r="M634" s="126">
        <f>IF(OR(F634="",N10="",N10&lt;=0),"",IF(LEN(F634)&lt;=N10,LEN(F634),IFERROR(FIND("♦",SUBSTITUTE(LEFT(F634,N10)," ","♦",LEN(LEFT(F634,N10))-LEN(SUBSTITUTE(LEFT(F634,N10)," ","")))),FIND(" ",F634&amp;" ",N10+1)-1)))</f>
        <v>1</v>
      </c>
      <c r="N634" s="234">
        <f t="shared" si="68"/>
        <v>617</v>
      </c>
      <c r="O634" s="165" t="str">
        <f t="shared" si="69"/>
        <v>0</v>
      </c>
      <c r="P634" s="234">
        <f t="shared" si="70"/>
        <v>1</v>
      </c>
      <c r="Q634" s="234">
        <f t="shared" si="71"/>
        <v>1</v>
      </c>
      <c r="DE634" s="152"/>
      <c r="DF634" s="160" t="s">
        <v>2185</v>
      </c>
      <c r="DG634" s="160" t="s">
        <v>122</v>
      </c>
      <c r="DH634" s="160" t="s">
        <v>125</v>
      </c>
      <c r="DI634" s="160" t="s">
        <v>2186</v>
      </c>
      <c r="DJ634" s="160" t="s">
        <v>2186</v>
      </c>
      <c r="DK634" s="160" t="s">
        <v>1259</v>
      </c>
      <c r="DL634" s="160" t="s">
        <v>1260</v>
      </c>
      <c r="DM634" s="160" t="s">
        <v>1812</v>
      </c>
      <c r="DN634" s="161" t="s">
        <v>1813</v>
      </c>
      <c r="DP634" s="130">
        <v>1</v>
      </c>
    </row>
    <row r="635" spans="2:120" ht="15">
      <c r="B635" s="231"/>
      <c r="C635" s="231"/>
      <c r="D635" s="231"/>
      <c r="E635" s="231" cm="1">
        <f t="array" ref="E635">IF(H634&lt;&gt;"",E634,IF(E634="","",IFERROR(MATCH(TRUE(),INDEX(INDEX(K:K,E634+1):K203&lt;&gt;"",0),0)+E634,"")))</f>
        <v>727</v>
      </c>
      <c r="F635" s="232" cm="1">
        <f t="array" ref="F635">IF(E635="","",IF(H634&lt;&gt;"",H634,INDEX(D:D,E635)))</f>
        <v>0</v>
      </c>
      <c r="G635" s="232" t="str">
        <f t="shared" si="66"/>
        <v>0</v>
      </c>
      <c r="H635" s="233" t="str">
        <f t="shared" si="67"/>
        <v/>
      </c>
      <c r="I635" s="231" t="str">
        <f>IF(AND(F635&lt;&gt;"",N10&gt;0,M635&gt;N10),"Mot &gt; limite","")</f>
        <v/>
      </c>
      <c r="M635" s="126">
        <f>IF(OR(F635="",N10="",N10&lt;=0),"",IF(LEN(F635)&lt;=N10,LEN(F635),IFERROR(FIND("♦",SUBSTITUTE(LEFT(F635,N10)," ","♦",LEN(LEFT(F635,N10))-LEN(SUBSTITUTE(LEFT(F635,N10)," ","")))),FIND(" ",F635&amp;" ",N10+1)-1)))</f>
        <v>1</v>
      </c>
      <c r="N635" s="234">
        <f t="shared" si="68"/>
        <v>618</v>
      </c>
      <c r="O635" s="165" t="str">
        <f t="shared" si="69"/>
        <v>0</v>
      </c>
      <c r="P635" s="234">
        <f t="shared" si="70"/>
        <v>1</v>
      </c>
      <c r="Q635" s="234">
        <f t="shared" si="71"/>
        <v>1</v>
      </c>
      <c r="DE635" s="152"/>
      <c r="DF635" s="160" t="s">
        <v>2187</v>
      </c>
      <c r="DG635" s="160" t="s">
        <v>122</v>
      </c>
      <c r="DH635" s="160" t="s">
        <v>125</v>
      </c>
      <c r="DI635" s="160" t="s">
        <v>2188</v>
      </c>
      <c r="DJ635" s="160" t="s">
        <v>2188</v>
      </c>
      <c r="DK635" s="160" t="s">
        <v>1259</v>
      </c>
      <c r="DL635" s="160" t="s">
        <v>1260</v>
      </c>
      <c r="DM635" s="160" t="s">
        <v>1812</v>
      </c>
      <c r="DN635" s="161" t="s">
        <v>1813</v>
      </c>
      <c r="DP635" s="130">
        <v>1</v>
      </c>
    </row>
    <row r="636" spans="2:120" ht="15">
      <c r="B636" s="231"/>
      <c r="C636" s="231"/>
      <c r="D636" s="231"/>
      <c r="E636" s="231" cm="1">
        <f t="array" ref="E636">IF(H635&lt;&gt;"",E635,IF(E635="","",IFERROR(MATCH(TRUE(),INDEX(INDEX(K:K,E635+1):K203&lt;&gt;"",0),0)+E635,"")))</f>
        <v>728</v>
      </c>
      <c r="F636" s="232" cm="1">
        <f t="array" ref="F636">IF(E636="","",IF(H635&lt;&gt;"",H635,INDEX(D:D,E636)))</f>
        <v>0</v>
      </c>
      <c r="G636" s="232" t="str">
        <f t="shared" si="66"/>
        <v>0</v>
      </c>
      <c r="H636" s="233" t="str">
        <f t="shared" si="67"/>
        <v/>
      </c>
      <c r="I636" s="231" t="str">
        <f>IF(AND(F636&lt;&gt;"",N10&gt;0,M636&gt;N10),"Mot &gt; limite","")</f>
        <v/>
      </c>
      <c r="M636" s="126">
        <f>IF(OR(F636="",N10="",N10&lt;=0),"",IF(LEN(F636)&lt;=N10,LEN(F636),IFERROR(FIND("♦",SUBSTITUTE(LEFT(F636,N10)," ","♦",LEN(LEFT(F636,N10))-LEN(SUBSTITUTE(LEFT(F636,N10)," ","")))),FIND(" ",F636&amp;" ",N10+1)-1)))</f>
        <v>1</v>
      </c>
      <c r="N636" s="234">
        <f t="shared" si="68"/>
        <v>619</v>
      </c>
      <c r="O636" s="165" t="str">
        <f t="shared" si="69"/>
        <v>0</v>
      </c>
      <c r="P636" s="234">
        <f t="shared" si="70"/>
        <v>1</v>
      </c>
      <c r="Q636" s="234">
        <f t="shared" si="71"/>
        <v>1</v>
      </c>
      <c r="DE636" s="152"/>
      <c r="DF636" s="160" t="s">
        <v>2189</v>
      </c>
      <c r="DG636" s="160" t="s">
        <v>122</v>
      </c>
      <c r="DH636" s="160" t="s">
        <v>125</v>
      </c>
      <c r="DI636" s="160" t="s">
        <v>2190</v>
      </c>
      <c r="DJ636" s="160" t="s">
        <v>2190</v>
      </c>
      <c r="DK636" s="160" t="s">
        <v>1259</v>
      </c>
      <c r="DL636" s="160" t="s">
        <v>1260</v>
      </c>
      <c r="DM636" s="160" t="s">
        <v>1812</v>
      </c>
      <c r="DN636" s="161" t="s">
        <v>1813</v>
      </c>
      <c r="DP636" s="130">
        <v>1</v>
      </c>
    </row>
    <row r="637" spans="2:120" ht="15">
      <c r="B637" s="231"/>
      <c r="C637" s="231"/>
      <c r="D637" s="231"/>
      <c r="E637" s="231" cm="1">
        <f t="array" ref="E637">IF(H636&lt;&gt;"",E636,IF(E636="","",IFERROR(MATCH(TRUE(),INDEX(INDEX(K:K,E636+1):K203&lt;&gt;"",0),0)+E636,"")))</f>
        <v>729</v>
      </c>
      <c r="F637" s="232" cm="1">
        <f t="array" ref="F637">IF(E637="","",IF(H636&lt;&gt;"",H636,INDEX(D:D,E637)))</f>
        <v>0</v>
      </c>
      <c r="G637" s="232" t="str">
        <f t="shared" si="66"/>
        <v>0</v>
      </c>
      <c r="H637" s="233" t="str">
        <f t="shared" si="67"/>
        <v/>
      </c>
      <c r="I637" s="231" t="str">
        <f>IF(AND(F637&lt;&gt;"",N10&gt;0,M637&gt;N10),"Mot &gt; limite","")</f>
        <v/>
      </c>
      <c r="M637" s="126">
        <f>IF(OR(F637="",N10="",N10&lt;=0),"",IF(LEN(F637)&lt;=N10,LEN(F637),IFERROR(FIND("♦",SUBSTITUTE(LEFT(F637,N10)," ","♦",LEN(LEFT(F637,N10))-LEN(SUBSTITUTE(LEFT(F637,N10)," ","")))),FIND(" ",F637&amp;" ",N10+1)-1)))</f>
        <v>1</v>
      </c>
      <c r="N637" s="234">
        <f t="shared" si="68"/>
        <v>620</v>
      </c>
      <c r="O637" s="165" t="str">
        <f t="shared" si="69"/>
        <v>0</v>
      </c>
      <c r="P637" s="234">
        <f t="shared" si="70"/>
        <v>1</v>
      </c>
      <c r="Q637" s="234">
        <f t="shared" si="71"/>
        <v>1</v>
      </c>
      <c r="DE637" s="152"/>
      <c r="DF637" s="160" t="s">
        <v>2191</v>
      </c>
      <c r="DG637" s="160" t="s">
        <v>122</v>
      </c>
      <c r="DH637" s="160" t="s">
        <v>125</v>
      </c>
      <c r="DI637" s="160" t="s">
        <v>2192</v>
      </c>
      <c r="DJ637" s="160" t="s">
        <v>2192</v>
      </c>
      <c r="DK637" s="160" t="s">
        <v>1259</v>
      </c>
      <c r="DL637" s="160" t="s">
        <v>1260</v>
      </c>
      <c r="DM637" s="160" t="s">
        <v>1812</v>
      </c>
      <c r="DN637" s="161" t="s">
        <v>1813</v>
      </c>
      <c r="DP637" s="130">
        <v>1</v>
      </c>
    </row>
    <row r="638" spans="2:120" ht="15">
      <c r="B638" s="231"/>
      <c r="C638" s="231"/>
      <c r="D638" s="231"/>
      <c r="E638" s="231" cm="1">
        <f t="array" ref="E638">IF(H637&lt;&gt;"",E637,IF(E637="","",IFERROR(MATCH(TRUE(),INDEX(INDEX(K:K,E637+1):K203&lt;&gt;"",0),0)+E637,"")))</f>
        <v>730</v>
      </c>
      <c r="F638" s="232" cm="1">
        <f t="array" ref="F638">IF(E638="","",IF(H637&lt;&gt;"",H637,INDEX(D:D,E638)))</f>
        <v>0</v>
      </c>
      <c r="G638" s="232" t="str">
        <f t="shared" si="66"/>
        <v>0</v>
      </c>
      <c r="H638" s="233" t="str">
        <f t="shared" si="67"/>
        <v/>
      </c>
      <c r="I638" s="231" t="str">
        <f>IF(AND(F638&lt;&gt;"",N10&gt;0,M638&gt;N10),"Mot &gt; limite","")</f>
        <v/>
      </c>
      <c r="M638" s="126">
        <f>IF(OR(F638="",N10="",N10&lt;=0),"",IF(LEN(F638)&lt;=N10,LEN(F638),IFERROR(FIND("♦",SUBSTITUTE(LEFT(F638,N10)," ","♦",LEN(LEFT(F638,N10))-LEN(SUBSTITUTE(LEFT(F638,N10)," ","")))),FIND(" ",F638&amp;" ",N10+1)-1)))</f>
        <v>1</v>
      </c>
      <c r="N638" s="234">
        <f t="shared" si="68"/>
        <v>621</v>
      </c>
      <c r="O638" s="165" t="str">
        <f t="shared" si="69"/>
        <v>0</v>
      </c>
      <c r="P638" s="234">
        <f t="shared" si="70"/>
        <v>1</v>
      </c>
      <c r="Q638" s="234">
        <f t="shared" si="71"/>
        <v>1</v>
      </c>
      <c r="DE638" s="152"/>
      <c r="DF638" s="160" t="s">
        <v>2193</v>
      </c>
      <c r="DG638" s="160" t="s">
        <v>122</v>
      </c>
      <c r="DH638" s="160" t="s">
        <v>125</v>
      </c>
      <c r="DI638" s="160" t="s">
        <v>2194</v>
      </c>
      <c r="DJ638" s="160" t="s">
        <v>2194</v>
      </c>
      <c r="DK638" s="160" t="s">
        <v>1259</v>
      </c>
      <c r="DL638" s="160" t="s">
        <v>1260</v>
      </c>
      <c r="DM638" s="160" t="s">
        <v>1812</v>
      </c>
      <c r="DN638" s="161" t="s">
        <v>1813</v>
      </c>
      <c r="DP638" s="130">
        <v>1</v>
      </c>
    </row>
    <row r="639" spans="2:120" ht="15">
      <c r="B639" s="231"/>
      <c r="C639" s="231"/>
      <c r="D639" s="231"/>
      <c r="E639" s="231" cm="1">
        <f t="array" ref="E639">IF(H638&lt;&gt;"",E638,IF(E638="","",IFERROR(MATCH(TRUE(),INDEX(INDEX(K:K,E638+1):K203&lt;&gt;"",0),0)+E638,"")))</f>
        <v>731</v>
      </c>
      <c r="F639" s="232" cm="1">
        <f t="array" ref="F639">IF(E639="","",IF(H638&lt;&gt;"",H638,INDEX(D:D,E639)))</f>
        <v>0</v>
      </c>
      <c r="G639" s="232" t="str">
        <f t="shared" si="66"/>
        <v>0</v>
      </c>
      <c r="H639" s="233" t="str">
        <f t="shared" si="67"/>
        <v/>
      </c>
      <c r="I639" s="231" t="str">
        <f>IF(AND(F639&lt;&gt;"",N10&gt;0,M639&gt;N10),"Mot &gt; limite","")</f>
        <v/>
      </c>
      <c r="M639" s="126">
        <f>IF(OR(F639="",N10="",N10&lt;=0),"",IF(LEN(F639)&lt;=N10,LEN(F639),IFERROR(FIND("♦",SUBSTITUTE(LEFT(F639,N10)," ","♦",LEN(LEFT(F639,N10))-LEN(SUBSTITUTE(LEFT(F639,N10)," ","")))),FIND(" ",F639&amp;" ",N10+1)-1)))</f>
        <v>1</v>
      </c>
      <c r="N639" s="234">
        <f t="shared" si="68"/>
        <v>622</v>
      </c>
      <c r="O639" s="165" t="str">
        <f t="shared" si="69"/>
        <v>0</v>
      </c>
      <c r="P639" s="234">
        <f t="shared" si="70"/>
        <v>1</v>
      </c>
      <c r="Q639" s="234">
        <f t="shared" si="71"/>
        <v>1</v>
      </c>
      <c r="DE639" s="152"/>
      <c r="DF639" s="160" t="s">
        <v>2195</v>
      </c>
      <c r="DG639" s="160" t="s">
        <v>122</v>
      </c>
      <c r="DH639" s="160" t="s">
        <v>125</v>
      </c>
      <c r="DI639" s="160" t="s">
        <v>2196</v>
      </c>
      <c r="DJ639" s="160" t="s">
        <v>2196</v>
      </c>
      <c r="DK639" s="160" t="s">
        <v>1259</v>
      </c>
      <c r="DL639" s="160" t="s">
        <v>1260</v>
      </c>
      <c r="DM639" s="160" t="s">
        <v>1812</v>
      </c>
      <c r="DN639" s="161" t="s">
        <v>1813</v>
      </c>
      <c r="DP639" s="130">
        <v>1</v>
      </c>
    </row>
    <row r="640" spans="2:120" ht="15">
      <c r="B640" s="231"/>
      <c r="C640" s="231"/>
      <c r="D640" s="231"/>
      <c r="E640" s="231" cm="1">
        <f t="array" ref="E640">IF(H639&lt;&gt;"",E639,IF(E639="","",IFERROR(MATCH(TRUE(),INDEX(INDEX(K:K,E639+1):K203&lt;&gt;"",0),0)+E639,"")))</f>
        <v>732</v>
      </c>
      <c r="F640" s="232" cm="1">
        <f t="array" ref="F640">IF(E640="","",IF(H639&lt;&gt;"",H639,INDEX(D:D,E640)))</f>
        <v>0</v>
      </c>
      <c r="G640" s="232" t="str">
        <f t="shared" si="66"/>
        <v>0</v>
      </c>
      <c r="H640" s="233" t="str">
        <f t="shared" si="67"/>
        <v/>
      </c>
      <c r="I640" s="231" t="str">
        <f>IF(AND(F640&lt;&gt;"",N10&gt;0,M640&gt;N10),"Mot &gt; limite","")</f>
        <v/>
      </c>
      <c r="M640" s="126">
        <f>IF(OR(F640="",N10="",N10&lt;=0),"",IF(LEN(F640)&lt;=N10,LEN(F640),IFERROR(FIND("♦",SUBSTITUTE(LEFT(F640,N10)," ","♦",LEN(LEFT(F640,N10))-LEN(SUBSTITUTE(LEFT(F640,N10)," ","")))),FIND(" ",F640&amp;" ",N10+1)-1)))</f>
        <v>1</v>
      </c>
      <c r="N640" s="234">
        <f t="shared" si="68"/>
        <v>623</v>
      </c>
      <c r="O640" s="165" t="str">
        <f t="shared" si="69"/>
        <v>0</v>
      </c>
      <c r="P640" s="234">
        <f t="shared" si="70"/>
        <v>1</v>
      </c>
      <c r="Q640" s="234">
        <f t="shared" si="71"/>
        <v>1</v>
      </c>
      <c r="DE640" s="152"/>
      <c r="DF640" s="160" t="s">
        <v>2197</v>
      </c>
      <c r="DG640" s="160" t="s">
        <v>122</v>
      </c>
      <c r="DH640" s="160" t="s">
        <v>125</v>
      </c>
      <c r="DI640" s="160" t="s">
        <v>2198</v>
      </c>
      <c r="DJ640" s="160" t="s">
        <v>2198</v>
      </c>
      <c r="DK640" s="160" t="s">
        <v>1259</v>
      </c>
      <c r="DL640" s="160" t="s">
        <v>1260</v>
      </c>
      <c r="DM640" s="160" t="s">
        <v>1812</v>
      </c>
      <c r="DN640" s="161" t="s">
        <v>1813</v>
      </c>
      <c r="DP640" s="130">
        <v>1</v>
      </c>
    </row>
    <row r="641" spans="2:120" ht="15">
      <c r="B641" s="231"/>
      <c r="C641" s="231"/>
      <c r="D641" s="231"/>
      <c r="E641" s="231" cm="1">
        <f t="array" ref="E641">IF(H640&lt;&gt;"",E640,IF(E640="","",IFERROR(MATCH(TRUE(),INDEX(INDEX(K:K,E640+1):K203&lt;&gt;"",0),0)+E640,"")))</f>
        <v>733</v>
      </c>
      <c r="F641" s="232" cm="1">
        <f t="array" ref="F641">IF(E641="","",IF(H640&lt;&gt;"",H640,INDEX(D:D,E641)))</f>
        <v>0</v>
      </c>
      <c r="G641" s="232" t="str">
        <f t="shared" si="66"/>
        <v>0</v>
      </c>
      <c r="H641" s="233" t="str">
        <f t="shared" si="67"/>
        <v/>
      </c>
      <c r="I641" s="231" t="str">
        <f>IF(AND(F641&lt;&gt;"",N10&gt;0,M641&gt;N10),"Mot &gt; limite","")</f>
        <v/>
      </c>
      <c r="M641" s="126">
        <f>IF(OR(F641="",N10="",N10&lt;=0),"",IF(LEN(F641)&lt;=N10,LEN(F641),IFERROR(FIND("♦",SUBSTITUTE(LEFT(F641,N10)," ","♦",LEN(LEFT(F641,N10))-LEN(SUBSTITUTE(LEFT(F641,N10)," ","")))),FIND(" ",F641&amp;" ",N10+1)-1)))</f>
        <v>1</v>
      </c>
      <c r="N641" s="234">
        <f t="shared" si="68"/>
        <v>624</v>
      </c>
      <c r="O641" s="165" t="str">
        <f t="shared" si="69"/>
        <v>0</v>
      </c>
      <c r="P641" s="234">
        <f t="shared" si="70"/>
        <v>1</v>
      </c>
      <c r="Q641" s="234">
        <f t="shared" si="71"/>
        <v>1</v>
      </c>
      <c r="DE641" s="152"/>
      <c r="DF641" s="160" t="s">
        <v>2199</v>
      </c>
      <c r="DG641" s="160" t="s">
        <v>122</v>
      </c>
      <c r="DH641" s="160" t="s">
        <v>125</v>
      </c>
      <c r="DI641" s="160" t="s">
        <v>2200</v>
      </c>
      <c r="DJ641" s="160" t="s">
        <v>2200</v>
      </c>
      <c r="DK641" s="160" t="s">
        <v>1259</v>
      </c>
      <c r="DL641" s="160" t="s">
        <v>1260</v>
      </c>
      <c r="DM641" s="160" t="s">
        <v>1812</v>
      </c>
      <c r="DN641" s="161" t="s">
        <v>1813</v>
      </c>
      <c r="DP641" s="130">
        <v>1</v>
      </c>
    </row>
    <row r="642" spans="2:120" ht="15">
      <c r="B642" s="231"/>
      <c r="C642" s="231"/>
      <c r="D642" s="231"/>
      <c r="E642" s="231" cm="1">
        <f t="array" ref="E642">IF(H641&lt;&gt;"",E641,IF(E641="","",IFERROR(MATCH(TRUE(),INDEX(INDEX(K:K,E641+1):K203&lt;&gt;"",0),0)+E641,"")))</f>
        <v>734</v>
      </c>
      <c r="F642" s="232" cm="1">
        <f t="array" ref="F642">IF(E642="","",IF(H641&lt;&gt;"",H641,INDEX(D:D,E642)))</f>
        <v>0</v>
      </c>
      <c r="G642" s="232" t="str">
        <f t="shared" si="66"/>
        <v>0</v>
      </c>
      <c r="H642" s="233" t="str">
        <f t="shared" si="67"/>
        <v/>
      </c>
      <c r="I642" s="231" t="str">
        <f>IF(AND(F642&lt;&gt;"",N10&gt;0,M642&gt;N10),"Mot &gt; limite","")</f>
        <v/>
      </c>
      <c r="M642" s="126">
        <f>IF(OR(F642="",N10="",N10&lt;=0),"",IF(LEN(F642)&lt;=N10,LEN(F642),IFERROR(FIND("♦",SUBSTITUTE(LEFT(F642,N10)," ","♦",LEN(LEFT(F642,N10))-LEN(SUBSTITUTE(LEFT(F642,N10)," ","")))),FIND(" ",F642&amp;" ",N10+1)-1)))</f>
        <v>1</v>
      </c>
      <c r="N642" s="234">
        <f t="shared" si="68"/>
        <v>625</v>
      </c>
      <c r="O642" s="165" t="str">
        <f t="shared" si="69"/>
        <v>0</v>
      </c>
      <c r="P642" s="234">
        <f t="shared" si="70"/>
        <v>1</v>
      </c>
      <c r="Q642" s="234">
        <f t="shared" si="71"/>
        <v>1</v>
      </c>
      <c r="DE642" s="152"/>
      <c r="DF642" s="160" t="s">
        <v>2201</v>
      </c>
      <c r="DG642" s="160" t="s">
        <v>122</v>
      </c>
      <c r="DH642" s="160" t="s">
        <v>125</v>
      </c>
      <c r="DI642" s="160" t="s">
        <v>2202</v>
      </c>
      <c r="DJ642" s="160" t="s">
        <v>2202</v>
      </c>
      <c r="DK642" s="160" t="s">
        <v>1259</v>
      </c>
      <c r="DL642" s="160" t="s">
        <v>1260</v>
      </c>
      <c r="DM642" s="160" t="s">
        <v>1812</v>
      </c>
      <c r="DN642" s="161" t="s">
        <v>1813</v>
      </c>
      <c r="DP642" s="130">
        <v>1</v>
      </c>
    </row>
    <row r="643" spans="2:120" ht="15">
      <c r="B643" s="231"/>
      <c r="C643" s="231"/>
      <c r="D643" s="231"/>
      <c r="E643" s="231" cm="1">
        <f t="array" ref="E643">IF(H642&lt;&gt;"",E642,IF(E642="","",IFERROR(MATCH(TRUE(),INDEX(INDEX(K:K,E642+1):K203&lt;&gt;"",0),0)+E642,"")))</f>
        <v>735</v>
      </c>
      <c r="F643" s="232" cm="1">
        <f t="array" ref="F643">IF(E643="","",IF(H642&lt;&gt;"",H642,INDEX(D:D,E643)))</f>
        <v>0</v>
      </c>
      <c r="G643" s="232" t="str">
        <f t="shared" si="66"/>
        <v>0</v>
      </c>
      <c r="H643" s="233" t="str">
        <f t="shared" si="67"/>
        <v/>
      </c>
      <c r="I643" s="231" t="str">
        <f>IF(AND(F643&lt;&gt;"",N10&gt;0,M643&gt;N10),"Mot &gt; limite","")</f>
        <v/>
      </c>
      <c r="M643" s="126">
        <f>IF(OR(F643="",N10="",N10&lt;=0),"",IF(LEN(F643)&lt;=N10,LEN(F643),IFERROR(FIND("♦",SUBSTITUTE(LEFT(F643,N10)," ","♦",LEN(LEFT(F643,N10))-LEN(SUBSTITUTE(LEFT(F643,N10)," ","")))),FIND(" ",F643&amp;" ",N10+1)-1)))</f>
        <v>1</v>
      </c>
      <c r="N643" s="234">
        <f t="shared" si="68"/>
        <v>626</v>
      </c>
      <c r="O643" s="165" t="str">
        <f t="shared" si="69"/>
        <v>0</v>
      </c>
      <c r="P643" s="234">
        <f t="shared" si="70"/>
        <v>1</v>
      </c>
      <c r="Q643" s="234">
        <f t="shared" si="71"/>
        <v>1</v>
      </c>
      <c r="DE643" s="152"/>
      <c r="DF643" s="160" t="s">
        <v>2203</v>
      </c>
      <c r="DG643" s="160" t="s">
        <v>122</v>
      </c>
      <c r="DH643" s="160" t="s">
        <v>125</v>
      </c>
      <c r="DI643" s="160" t="s">
        <v>2204</v>
      </c>
      <c r="DJ643" s="160" t="s">
        <v>2204</v>
      </c>
      <c r="DK643" s="160" t="s">
        <v>1259</v>
      </c>
      <c r="DL643" s="160" t="s">
        <v>1260</v>
      </c>
      <c r="DM643" s="160" t="s">
        <v>1812</v>
      </c>
      <c r="DN643" s="161" t="s">
        <v>1813</v>
      </c>
      <c r="DP643" s="130">
        <v>1</v>
      </c>
    </row>
    <row r="644" spans="2:120" ht="15">
      <c r="B644" s="231"/>
      <c r="C644" s="231"/>
      <c r="D644" s="231"/>
      <c r="E644" s="231" cm="1">
        <f t="array" ref="E644">IF(H643&lt;&gt;"",E643,IF(E643="","",IFERROR(MATCH(TRUE(),INDEX(INDEX(K:K,E643+1):K203&lt;&gt;"",0),0)+E643,"")))</f>
        <v>736</v>
      </c>
      <c r="F644" s="232" cm="1">
        <f t="array" ref="F644">IF(E644="","",IF(H643&lt;&gt;"",H643,INDEX(D:D,E644)))</f>
        <v>0</v>
      </c>
      <c r="G644" s="232" t="str">
        <f t="shared" si="66"/>
        <v>0</v>
      </c>
      <c r="H644" s="233" t="str">
        <f t="shared" si="67"/>
        <v/>
      </c>
      <c r="I644" s="231" t="str">
        <f>IF(AND(F644&lt;&gt;"",N10&gt;0,M644&gt;N10),"Mot &gt; limite","")</f>
        <v/>
      </c>
      <c r="M644" s="126">
        <f>IF(OR(F644="",N10="",N10&lt;=0),"",IF(LEN(F644)&lt;=N10,LEN(F644),IFERROR(FIND("♦",SUBSTITUTE(LEFT(F644,N10)," ","♦",LEN(LEFT(F644,N10))-LEN(SUBSTITUTE(LEFT(F644,N10)," ","")))),FIND(" ",F644&amp;" ",N10+1)-1)))</f>
        <v>1</v>
      </c>
      <c r="N644" s="234">
        <f t="shared" si="68"/>
        <v>627</v>
      </c>
      <c r="O644" s="165" t="str">
        <f t="shared" si="69"/>
        <v>0</v>
      </c>
      <c r="P644" s="234">
        <f t="shared" si="70"/>
        <v>1</v>
      </c>
      <c r="Q644" s="234">
        <f t="shared" si="71"/>
        <v>1</v>
      </c>
      <c r="DE644" s="152"/>
      <c r="DF644" s="160" t="s">
        <v>2205</v>
      </c>
      <c r="DG644" s="160" t="s">
        <v>122</v>
      </c>
      <c r="DH644" s="160" t="s">
        <v>125</v>
      </c>
      <c r="DI644" s="160" t="s">
        <v>2206</v>
      </c>
      <c r="DJ644" s="160" t="s">
        <v>2206</v>
      </c>
      <c r="DK644" s="160" t="s">
        <v>1259</v>
      </c>
      <c r="DL644" s="160" t="s">
        <v>1260</v>
      </c>
      <c r="DM644" s="160" t="s">
        <v>1812</v>
      </c>
      <c r="DN644" s="161" t="s">
        <v>1813</v>
      </c>
      <c r="DP644" s="130">
        <v>1</v>
      </c>
    </row>
    <row r="645" spans="2:120" ht="15">
      <c r="B645" s="231"/>
      <c r="C645" s="231"/>
      <c r="D645" s="231"/>
      <c r="E645" s="231" cm="1">
        <f t="array" ref="E645">IF(H644&lt;&gt;"",E644,IF(E644="","",IFERROR(MATCH(TRUE(),INDEX(INDEX(K:K,E644+1):K203&lt;&gt;"",0),0)+E644,"")))</f>
        <v>737</v>
      </c>
      <c r="F645" s="232" cm="1">
        <f t="array" ref="F645">IF(E645="","",IF(H644&lt;&gt;"",H644,INDEX(D:D,E645)))</f>
        <v>0</v>
      </c>
      <c r="G645" s="232" t="str">
        <f t="shared" si="66"/>
        <v>0</v>
      </c>
      <c r="H645" s="233" t="str">
        <f t="shared" si="67"/>
        <v/>
      </c>
      <c r="I645" s="231" t="str">
        <f>IF(AND(F645&lt;&gt;"",N10&gt;0,M645&gt;N10),"Mot &gt; limite","")</f>
        <v/>
      </c>
      <c r="M645" s="126">
        <f>IF(OR(F645="",N10="",N10&lt;=0),"",IF(LEN(F645)&lt;=N10,LEN(F645),IFERROR(FIND("♦",SUBSTITUTE(LEFT(F645,N10)," ","♦",LEN(LEFT(F645,N10))-LEN(SUBSTITUTE(LEFT(F645,N10)," ","")))),FIND(" ",F645&amp;" ",N10+1)-1)))</f>
        <v>1</v>
      </c>
      <c r="N645" s="234">
        <f t="shared" si="68"/>
        <v>628</v>
      </c>
      <c r="O645" s="165" t="str">
        <f t="shared" si="69"/>
        <v>0</v>
      </c>
      <c r="P645" s="234">
        <f t="shared" si="70"/>
        <v>1</v>
      </c>
      <c r="Q645" s="234">
        <f t="shared" si="71"/>
        <v>1</v>
      </c>
      <c r="DE645" s="152"/>
      <c r="DF645" s="160" t="s">
        <v>2207</v>
      </c>
      <c r="DG645" s="160" t="s">
        <v>122</v>
      </c>
      <c r="DH645" s="160" t="s">
        <v>125</v>
      </c>
      <c r="DI645" s="160" t="s">
        <v>2208</v>
      </c>
      <c r="DJ645" s="160" t="s">
        <v>2208</v>
      </c>
      <c r="DK645" s="160" t="s">
        <v>1259</v>
      </c>
      <c r="DL645" s="160" t="s">
        <v>1260</v>
      </c>
      <c r="DM645" s="160" t="s">
        <v>1812</v>
      </c>
      <c r="DN645" s="161" t="s">
        <v>1813</v>
      </c>
      <c r="DP645" s="130">
        <v>1</v>
      </c>
    </row>
    <row r="646" spans="2:120" ht="15">
      <c r="B646" s="231"/>
      <c r="C646" s="231"/>
      <c r="D646" s="231"/>
      <c r="E646" s="231" cm="1">
        <f t="array" ref="E646">IF(H645&lt;&gt;"",E645,IF(E645="","",IFERROR(MATCH(TRUE(),INDEX(INDEX(K:K,E645+1):K203&lt;&gt;"",0),0)+E645,"")))</f>
        <v>738</v>
      </c>
      <c r="F646" s="232" cm="1">
        <f t="array" ref="F646">IF(E646="","",IF(H645&lt;&gt;"",H645,INDEX(D:D,E646)))</f>
        <v>0</v>
      </c>
      <c r="G646" s="232" t="str">
        <f t="shared" si="66"/>
        <v>0</v>
      </c>
      <c r="H646" s="233" t="str">
        <f t="shared" si="67"/>
        <v/>
      </c>
      <c r="I646" s="231" t="str">
        <f>IF(AND(F646&lt;&gt;"",N10&gt;0,M646&gt;N10),"Mot &gt; limite","")</f>
        <v/>
      </c>
      <c r="M646" s="126">
        <f>IF(OR(F646="",N10="",N10&lt;=0),"",IF(LEN(F646)&lt;=N10,LEN(F646),IFERROR(FIND("♦",SUBSTITUTE(LEFT(F646,N10)," ","♦",LEN(LEFT(F646,N10))-LEN(SUBSTITUTE(LEFT(F646,N10)," ","")))),FIND(" ",F646&amp;" ",N10+1)-1)))</f>
        <v>1</v>
      </c>
      <c r="N646" s="234">
        <f t="shared" si="68"/>
        <v>629</v>
      </c>
      <c r="O646" s="165" t="str">
        <f t="shared" si="69"/>
        <v>0</v>
      </c>
      <c r="P646" s="234">
        <f t="shared" si="70"/>
        <v>1</v>
      </c>
      <c r="Q646" s="234">
        <f t="shared" si="71"/>
        <v>1</v>
      </c>
      <c r="DE646" s="152"/>
      <c r="DF646" s="160" t="s">
        <v>2209</v>
      </c>
      <c r="DG646" s="160" t="s">
        <v>122</v>
      </c>
      <c r="DH646" s="160" t="s">
        <v>125</v>
      </c>
      <c r="DI646" s="160" t="s">
        <v>2210</v>
      </c>
      <c r="DJ646" s="160" t="s">
        <v>2210</v>
      </c>
      <c r="DK646" s="160" t="s">
        <v>1259</v>
      </c>
      <c r="DL646" s="160" t="s">
        <v>1260</v>
      </c>
      <c r="DM646" s="160" t="s">
        <v>1812</v>
      </c>
      <c r="DN646" s="161" t="s">
        <v>1813</v>
      </c>
      <c r="DP646" s="130">
        <v>1</v>
      </c>
    </row>
    <row r="647" spans="2:120" ht="15">
      <c r="B647" s="231"/>
      <c r="C647" s="231"/>
      <c r="D647" s="231"/>
      <c r="E647" s="231" cm="1">
        <f t="array" ref="E647">IF(H646&lt;&gt;"",E646,IF(E646="","",IFERROR(MATCH(TRUE(),INDEX(INDEX(K:K,E646+1):K203&lt;&gt;"",0),0)+E646,"")))</f>
        <v>739</v>
      </c>
      <c r="F647" s="232" cm="1">
        <f t="array" ref="F647">IF(E647="","",IF(H646&lt;&gt;"",H646,INDEX(D:D,E647)))</f>
        <v>0</v>
      </c>
      <c r="G647" s="232" t="str">
        <f t="shared" si="66"/>
        <v>0</v>
      </c>
      <c r="H647" s="233" t="str">
        <f t="shared" si="67"/>
        <v/>
      </c>
      <c r="I647" s="231" t="str">
        <f>IF(AND(F647&lt;&gt;"",N10&gt;0,M647&gt;N10),"Mot &gt; limite","")</f>
        <v/>
      </c>
      <c r="M647" s="126">
        <f>IF(OR(F647="",N10="",N10&lt;=0),"",IF(LEN(F647)&lt;=N10,LEN(F647),IFERROR(FIND("♦",SUBSTITUTE(LEFT(F647,N10)," ","♦",LEN(LEFT(F647,N10))-LEN(SUBSTITUTE(LEFT(F647,N10)," ","")))),FIND(" ",F647&amp;" ",N10+1)-1)))</f>
        <v>1</v>
      </c>
      <c r="N647" s="234">
        <f t="shared" si="68"/>
        <v>630</v>
      </c>
      <c r="O647" s="165" t="str">
        <f t="shared" si="69"/>
        <v>0</v>
      </c>
      <c r="P647" s="234">
        <f t="shared" si="70"/>
        <v>1</v>
      </c>
      <c r="Q647" s="234">
        <f t="shared" si="71"/>
        <v>1</v>
      </c>
      <c r="DE647" s="152"/>
      <c r="DF647" s="160" t="s">
        <v>2211</v>
      </c>
      <c r="DG647" s="160" t="s">
        <v>122</v>
      </c>
      <c r="DH647" s="160" t="s">
        <v>125</v>
      </c>
      <c r="DI647" s="160" t="s">
        <v>2212</v>
      </c>
      <c r="DJ647" s="160" t="s">
        <v>2212</v>
      </c>
      <c r="DK647" s="160" t="s">
        <v>1259</v>
      </c>
      <c r="DL647" s="160" t="s">
        <v>1260</v>
      </c>
      <c r="DM647" s="160" t="s">
        <v>1812</v>
      </c>
      <c r="DN647" s="161" t="s">
        <v>1813</v>
      </c>
      <c r="DP647" s="130">
        <v>1</v>
      </c>
    </row>
    <row r="648" spans="2:120" ht="15">
      <c r="B648" s="231"/>
      <c r="C648" s="231"/>
      <c r="D648" s="231"/>
      <c r="E648" s="231" cm="1">
        <f t="array" ref="E648">IF(H647&lt;&gt;"",E647,IF(E647="","",IFERROR(MATCH(TRUE(),INDEX(INDEX(K:K,E647+1):K203&lt;&gt;"",0),0)+E647,"")))</f>
        <v>740</v>
      </c>
      <c r="F648" s="232" cm="1">
        <f t="array" ref="F648">IF(E648="","",IF(H647&lt;&gt;"",H647,INDEX(D:D,E648)))</f>
        <v>0</v>
      </c>
      <c r="G648" s="232" t="str">
        <f t="shared" si="66"/>
        <v>0</v>
      </c>
      <c r="H648" s="233" t="str">
        <f t="shared" si="67"/>
        <v/>
      </c>
      <c r="I648" s="231" t="str">
        <f>IF(AND(F648&lt;&gt;"",N10&gt;0,M648&gt;N10),"Mot &gt; limite","")</f>
        <v/>
      </c>
      <c r="M648" s="126">
        <f>IF(OR(F648="",N10="",N10&lt;=0),"",IF(LEN(F648)&lt;=N10,LEN(F648),IFERROR(FIND("♦",SUBSTITUTE(LEFT(F648,N10)," ","♦",LEN(LEFT(F648,N10))-LEN(SUBSTITUTE(LEFT(F648,N10)," ","")))),FIND(" ",F648&amp;" ",N10+1)-1)))</f>
        <v>1</v>
      </c>
      <c r="N648" s="234">
        <f t="shared" si="68"/>
        <v>631</v>
      </c>
      <c r="O648" s="165" t="str">
        <f t="shared" si="69"/>
        <v>0</v>
      </c>
      <c r="P648" s="234">
        <f t="shared" si="70"/>
        <v>1</v>
      </c>
      <c r="Q648" s="234">
        <f t="shared" si="71"/>
        <v>1</v>
      </c>
      <c r="DE648" s="152"/>
      <c r="DF648" s="160" t="s">
        <v>2213</v>
      </c>
      <c r="DG648" s="160" t="s">
        <v>122</v>
      </c>
      <c r="DH648" s="160" t="s">
        <v>125</v>
      </c>
      <c r="DI648" s="160" t="s">
        <v>2214</v>
      </c>
      <c r="DJ648" s="160" t="s">
        <v>2214</v>
      </c>
      <c r="DK648" s="160" t="s">
        <v>1259</v>
      </c>
      <c r="DL648" s="160" t="s">
        <v>1260</v>
      </c>
      <c r="DM648" s="160" t="s">
        <v>1812</v>
      </c>
      <c r="DN648" s="161" t="s">
        <v>1813</v>
      </c>
      <c r="DP648" s="130">
        <v>1</v>
      </c>
    </row>
    <row r="649" spans="2:120" ht="15">
      <c r="B649" s="231"/>
      <c r="C649" s="231"/>
      <c r="D649" s="231"/>
      <c r="E649" s="231" cm="1">
        <f t="array" ref="E649">IF(H648&lt;&gt;"",E648,IF(E648="","",IFERROR(MATCH(TRUE(),INDEX(INDEX(K:K,E648+1):K203&lt;&gt;"",0),0)+E648,"")))</f>
        <v>741</v>
      </c>
      <c r="F649" s="232" cm="1">
        <f t="array" ref="F649">IF(E649="","",IF(H648&lt;&gt;"",H648,INDEX(D:D,E649)))</f>
        <v>0</v>
      </c>
      <c r="G649" s="232" t="str">
        <f t="shared" si="66"/>
        <v>0</v>
      </c>
      <c r="H649" s="233" t="str">
        <f t="shared" si="67"/>
        <v/>
      </c>
      <c r="I649" s="231" t="str">
        <f>IF(AND(F649&lt;&gt;"",N10&gt;0,M649&gt;N10),"Mot &gt; limite","")</f>
        <v/>
      </c>
      <c r="M649" s="126">
        <f>IF(OR(F649="",N10="",N10&lt;=0),"",IF(LEN(F649)&lt;=N10,LEN(F649),IFERROR(FIND("♦",SUBSTITUTE(LEFT(F649,N10)," ","♦",LEN(LEFT(F649,N10))-LEN(SUBSTITUTE(LEFT(F649,N10)," ","")))),FIND(" ",F649&amp;" ",N10+1)-1)))</f>
        <v>1</v>
      </c>
      <c r="N649" s="234">
        <f t="shared" si="68"/>
        <v>632</v>
      </c>
      <c r="O649" s="165" t="str">
        <f t="shared" si="69"/>
        <v>0</v>
      </c>
      <c r="P649" s="234">
        <f t="shared" si="70"/>
        <v>1</v>
      </c>
      <c r="Q649" s="234">
        <f t="shared" si="71"/>
        <v>1</v>
      </c>
      <c r="DE649" s="152"/>
      <c r="DF649" s="160" t="s">
        <v>2215</v>
      </c>
      <c r="DG649" s="160" t="s">
        <v>122</v>
      </c>
      <c r="DH649" s="160" t="s">
        <v>125</v>
      </c>
      <c r="DI649" s="160" t="s">
        <v>2216</v>
      </c>
      <c r="DJ649" s="160" t="s">
        <v>2216</v>
      </c>
      <c r="DK649" s="160" t="s">
        <v>1259</v>
      </c>
      <c r="DL649" s="160" t="s">
        <v>1260</v>
      </c>
      <c r="DM649" s="160" t="s">
        <v>1812</v>
      </c>
      <c r="DN649" s="161" t="s">
        <v>1813</v>
      </c>
      <c r="DP649" s="130">
        <v>1</v>
      </c>
    </row>
    <row r="650" spans="2:120" ht="15">
      <c r="B650" s="231"/>
      <c r="C650" s="231"/>
      <c r="D650" s="231"/>
      <c r="E650" s="231" cm="1">
        <f t="array" ref="E650">IF(H649&lt;&gt;"",E649,IF(E649="","",IFERROR(MATCH(TRUE(),INDEX(INDEX(K:K,E649+1):K203&lt;&gt;"",0),0)+E649,"")))</f>
        <v>742</v>
      </c>
      <c r="F650" s="232" cm="1">
        <f t="array" ref="F650">IF(E650="","",IF(H649&lt;&gt;"",H649,INDEX(D:D,E650)))</f>
        <v>0</v>
      </c>
      <c r="G650" s="232" t="str">
        <f t="shared" si="66"/>
        <v>0</v>
      </c>
      <c r="H650" s="233" t="str">
        <f t="shared" si="67"/>
        <v/>
      </c>
      <c r="I650" s="231" t="str">
        <f>IF(AND(F650&lt;&gt;"",N10&gt;0,M650&gt;N10),"Mot &gt; limite","")</f>
        <v/>
      </c>
      <c r="M650" s="126">
        <f>IF(OR(F650="",N10="",N10&lt;=0),"",IF(LEN(F650)&lt;=N10,LEN(F650),IFERROR(FIND("♦",SUBSTITUTE(LEFT(F650,N10)," ","♦",LEN(LEFT(F650,N10))-LEN(SUBSTITUTE(LEFT(F650,N10)," ","")))),FIND(" ",F650&amp;" ",N10+1)-1)))</f>
        <v>1</v>
      </c>
      <c r="N650" s="234">
        <f t="shared" si="68"/>
        <v>633</v>
      </c>
      <c r="O650" s="165" t="str">
        <f t="shared" si="69"/>
        <v>0</v>
      </c>
      <c r="P650" s="234">
        <f t="shared" si="70"/>
        <v>1</v>
      </c>
      <c r="Q650" s="234">
        <f t="shared" si="71"/>
        <v>1</v>
      </c>
      <c r="DE650" s="152"/>
      <c r="DF650" s="160" t="s">
        <v>2217</v>
      </c>
      <c r="DG650" s="160" t="s">
        <v>122</v>
      </c>
      <c r="DH650" s="160" t="s">
        <v>125</v>
      </c>
      <c r="DI650" s="160" t="s">
        <v>2218</v>
      </c>
      <c r="DJ650" s="160" t="s">
        <v>2218</v>
      </c>
      <c r="DK650" s="160" t="s">
        <v>1259</v>
      </c>
      <c r="DL650" s="160" t="s">
        <v>1260</v>
      </c>
      <c r="DM650" s="160" t="s">
        <v>1812</v>
      </c>
      <c r="DN650" s="161" t="s">
        <v>1813</v>
      </c>
      <c r="DP650" s="130">
        <v>1</v>
      </c>
    </row>
    <row r="651" spans="2:120" ht="15">
      <c r="B651" s="231"/>
      <c r="C651" s="231"/>
      <c r="D651" s="231"/>
      <c r="E651" s="231" cm="1">
        <f t="array" ref="E651">IF(H650&lt;&gt;"",E650,IF(E650="","",IFERROR(MATCH(TRUE(),INDEX(INDEX(K:K,E650+1):K203&lt;&gt;"",0),0)+E650,"")))</f>
        <v>743</v>
      </c>
      <c r="F651" s="232" cm="1">
        <f t="array" ref="F651">IF(E651="","",IF(H650&lt;&gt;"",H650,INDEX(D:D,E651)))</f>
        <v>0</v>
      </c>
      <c r="G651" s="232" t="str">
        <f t="shared" si="66"/>
        <v>0</v>
      </c>
      <c r="H651" s="233" t="str">
        <f t="shared" si="67"/>
        <v/>
      </c>
      <c r="I651" s="231" t="str">
        <f>IF(AND(F651&lt;&gt;"",N10&gt;0,M651&gt;N10),"Mot &gt; limite","")</f>
        <v/>
      </c>
      <c r="M651" s="126">
        <f>IF(OR(F651="",N10="",N10&lt;=0),"",IF(LEN(F651)&lt;=N10,LEN(F651),IFERROR(FIND("♦",SUBSTITUTE(LEFT(F651,N10)," ","♦",LEN(LEFT(F651,N10))-LEN(SUBSTITUTE(LEFT(F651,N10)," ","")))),FIND(" ",F651&amp;" ",N10+1)-1)))</f>
        <v>1</v>
      </c>
      <c r="N651" s="234">
        <f t="shared" si="68"/>
        <v>634</v>
      </c>
      <c r="O651" s="165" t="str">
        <f t="shared" si="69"/>
        <v>0</v>
      </c>
      <c r="P651" s="234">
        <f t="shared" si="70"/>
        <v>1</v>
      </c>
      <c r="Q651" s="234">
        <f t="shared" si="71"/>
        <v>1</v>
      </c>
      <c r="DE651" s="152"/>
      <c r="DF651" s="160" t="s">
        <v>2219</v>
      </c>
      <c r="DG651" s="160" t="s">
        <v>122</v>
      </c>
      <c r="DH651" s="160" t="s">
        <v>125</v>
      </c>
      <c r="DI651" s="160" t="s">
        <v>2220</v>
      </c>
      <c r="DJ651" s="160" t="s">
        <v>2220</v>
      </c>
      <c r="DK651" s="160" t="s">
        <v>1259</v>
      </c>
      <c r="DL651" s="160" t="s">
        <v>1260</v>
      </c>
      <c r="DM651" s="160" t="s">
        <v>1812</v>
      </c>
      <c r="DN651" s="161" t="s">
        <v>1813</v>
      </c>
      <c r="DP651" s="130">
        <v>1</v>
      </c>
    </row>
    <row r="652" spans="2:120" ht="15">
      <c r="B652" s="231"/>
      <c r="C652" s="231"/>
      <c r="D652" s="231"/>
      <c r="E652" s="231" cm="1">
        <f t="array" ref="E652">IF(H651&lt;&gt;"",E651,IF(E651="","",IFERROR(MATCH(TRUE(),INDEX(INDEX(K:K,E651+1):K203&lt;&gt;"",0),0)+E651,"")))</f>
        <v>744</v>
      </c>
      <c r="F652" s="232" cm="1">
        <f t="array" ref="F652">IF(E652="","",IF(H651&lt;&gt;"",H651,INDEX(D:D,E652)))</f>
        <v>0</v>
      </c>
      <c r="G652" s="232" t="str">
        <f t="shared" si="66"/>
        <v>0</v>
      </c>
      <c r="H652" s="233" t="str">
        <f t="shared" si="67"/>
        <v/>
      </c>
      <c r="I652" s="231" t="str">
        <f>IF(AND(F652&lt;&gt;"",N10&gt;0,M652&gt;N10),"Mot &gt; limite","")</f>
        <v/>
      </c>
      <c r="M652" s="126">
        <f>IF(OR(F652="",N10="",N10&lt;=0),"",IF(LEN(F652)&lt;=N10,LEN(F652),IFERROR(FIND("♦",SUBSTITUTE(LEFT(F652,N10)," ","♦",LEN(LEFT(F652,N10))-LEN(SUBSTITUTE(LEFT(F652,N10)," ","")))),FIND(" ",F652&amp;" ",N10+1)-1)))</f>
        <v>1</v>
      </c>
      <c r="N652" s="234">
        <f t="shared" si="68"/>
        <v>635</v>
      </c>
      <c r="O652" s="165" t="str">
        <f t="shared" si="69"/>
        <v>0</v>
      </c>
      <c r="P652" s="234">
        <f t="shared" si="70"/>
        <v>1</v>
      </c>
      <c r="Q652" s="234">
        <f t="shared" si="71"/>
        <v>1</v>
      </c>
      <c r="DE652" s="152"/>
      <c r="DF652" s="160" t="s">
        <v>2221</v>
      </c>
      <c r="DG652" s="160" t="s">
        <v>122</v>
      </c>
      <c r="DH652" s="160" t="s">
        <v>125</v>
      </c>
      <c r="DI652" s="160" t="s">
        <v>2222</v>
      </c>
      <c r="DJ652" s="160" t="s">
        <v>2222</v>
      </c>
      <c r="DK652" s="160" t="s">
        <v>1259</v>
      </c>
      <c r="DL652" s="160" t="s">
        <v>1260</v>
      </c>
      <c r="DM652" s="160" t="s">
        <v>1812</v>
      </c>
      <c r="DN652" s="161" t="s">
        <v>1813</v>
      </c>
      <c r="DP652" s="130">
        <v>1</v>
      </c>
    </row>
    <row r="653" spans="2:120" ht="15">
      <c r="B653" s="231"/>
      <c r="C653" s="231"/>
      <c r="D653" s="231"/>
      <c r="E653" s="231" cm="1">
        <f t="array" ref="E653">IF(H652&lt;&gt;"",E652,IF(E652="","",IFERROR(MATCH(TRUE(),INDEX(INDEX(K:K,E652+1):K203&lt;&gt;"",0),0)+E652,"")))</f>
        <v>745</v>
      </c>
      <c r="F653" s="232" cm="1">
        <f t="array" ref="F653">IF(E653="","",IF(H652&lt;&gt;"",H652,INDEX(D:D,E653)))</f>
        <v>0</v>
      </c>
      <c r="G653" s="232" t="str">
        <f t="shared" si="66"/>
        <v>0</v>
      </c>
      <c r="H653" s="233" t="str">
        <f t="shared" si="67"/>
        <v/>
      </c>
      <c r="I653" s="231" t="str">
        <f>IF(AND(F653&lt;&gt;"",N10&gt;0,M653&gt;N10),"Mot &gt; limite","")</f>
        <v/>
      </c>
      <c r="M653" s="126">
        <f>IF(OR(F653="",N10="",N10&lt;=0),"",IF(LEN(F653)&lt;=N10,LEN(F653),IFERROR(FIND("♦",SUBSTITUTE(LEFT(F653,N10)," ","♦",LEN(LEFT(F653,N10))-LEN(SUBSTITUTE(LEFT(F653,N10)," ","")))),FIND(" ",F653&amp;" ",N10+1)-1)))</f>
        <v>1</v>
      </c>
      <c r="N653" s="234">
        <f t="shared" si="68"/>
        <v>636</v>
      </c>
      <c r="O653" s="165" t="str">
        <f t="shared" si="69"/>
        <v>0</v>
      </c>
      <c r="P653" s="234">
        <f t="shared" si="70"/>
        <v>1</v>
      </c>
      <c r="Q653" s="234">
        <f t="shared" si="71"/>
        <v>1</v>
      </c>
      <c r="DE653" s="152"/>
      <c r="DF653" s="160" t="s">
        <v>2223</v>
      </c>
      <c r="DG653" s="160" t="s">
        <v>122</v>
      </c>
      <c r="DH653" s="160" t="s">
        <v>125</v>
      </c>
      <c r="DI653" s="160" t="s">
        <v>2224</v>
      </c>
      <c r="DJ653" s="160" t="s">
        <v>2224</v>
      </c>
      <c r="DK653" s="160" t="s">
        <v>1259</v>
      </c>
      <c r="DL653" s="160" t="s">
        <v>1260</v>
      </c>
      <c r="DM653" s="160" t="s">
        <v>1812</v>
      </c>
      <c r="DN653" s="161" t="s">
        <v>1813</v>
      </c>
      <c r="DP653" s="130">
        <v>1</v>
      </c>
    </row>
    <row r="654" spans="2:120" ht="15">
      <c r="B654" s="231"/>
      <c r="C654" s="231"/>
      <c r="D654" s="231"/>
      <c r="E654" s="231" cm="1">
        <f t="array" ref="E654">IF(H653&lt;&gt;"",E653,IF(E653="","",IFERROR(MATCH(TRUE(),INDEX(INDEX(K:K,E653+1):K203&lt;&gt;"",0),0)+E653,"")))</f>
        <v>746</v>
      </c>
      <c r="F654" s="232" cm="1">
        <f t="array" ref="F654">IF(E654="","",IF(H653&lt;&gt;"",H653,INDEX(D:D,E654)))</f>
        <v>0</v>
      </c>
      <c r="G654" s="232" t="str">
        <f t="shared" si="66"/>
        <v>0</v>
      </c>
      <c r="H654" s="233" t="str">
        <f t="shared" si="67"/>
        <v/>
      </c>
      <c r="I654" s="231" t="str">
        <f>IF(AND(F654&lt;&gt;"",N10&gt;0,M654&gt;N10),"Mot &gt; limite","")</f>
        <v/>
      </c>
      <c r="M654" s="126">
        <f>IF(OR(F654="",N10="",N10&lt;=0),"",IF(LEN(F654)&lt;=N10,LEN(F654),IFERROR(FIND("♦",SUBSTITUTE(LEFT(F654,N10)," ","♦",LEN(LEFT(F654,N10))-LEN(SUBSTITUTE(LEFT(F654,N10)," ","")))),FIND(" ",F654&amp;" ",N10+1)-1)))</f>
        <v>1</v>
      </c>
      <c r="N654" s="234">
        <f t="shared" si="68"/>
        <v>637</v>
      </c>
      <c r="O654" s="165" t="str">
        <f t="shared" si="69"/>
        <v>0</v>
      </c>
      <c r="P654" s="234">
        <f t="shared" si="70"/>
        <v>1</v>
      </c>
      <c r="Q654" s="234">
        <f t="shared" si="71"/>
        <v>1</v>
      </c>
      <c r="DE654" s="152"/>
      <c r="DF654" s="160" t="s">
        <v>2225</v>
      </c>
      <c r="DG654" s="160" t="s">
        <v>122</v>
      </c>
      <c r="DH654" s="160" t="s">
        <v>125</v>
      </c>
      <c r="DI654" s="160" t="s">
        <v>2226</v>
      </c>
      <c r="DJ654" s="160" t="s">
        <v>2226</v>
      </c>
      <c r="DK654" s="160" t="s">
        <v>1259</v>
      </c>
      <c r="DL654" s="160" t="s">
        <v>1260</v>
      </c>
      <c r="DM654" s="160" t="s">
        <v>1812</v>
      </c>
      <c r="DN654" s="161" t="s">
        <v>1813</v>
      </c>
      <c r="DP654" s="130">
        <v>1</v>
      </c>
    </row>
    <row r="655" spans="2:120" ht="15">
      <c r="B655" s="231"/>
      <c r="C655" s="231"/>
      <c r="D655" s="231"/>
      <c r="E655" s="231" cm="1">
        <f t="array" ref="E655">IF(H654&lt;&gt;"",E654,IF(E654="","",IFERROR(MATCH(TRUE(),INDEX(INDEX(K:K,E654+1):K203&lt;&gt;"",0),0)+E654,"")))</f>
        <v>747</v>
      </c>
      <c r="F655" s="232" cm="1">
        <f t="array" ref="F655">IF(E655="","",IF(H654&lt;&gt;"",H654,INDEX(D:D,E655)))</f>
        <v>0</v>
      </c>
      <c r="G655" s="232" t="str">
        <f t="shared" si="66"/>
        <v>0</v>
      </c>
      <c r="H655" s="233" t="str">
        <f t="shared" si="67"/>
        <v/>
      </c>
      <c r="I655" s="231" t="str">
        <f>IF(AND(F655&lt;&gt;"",N10&gt;0,M655&gt;N10),"Mot &gt; limite","")</f>
        <v/>
      </c>
      <c r="M655" s="126">
        <f>IF(OR(F655="",N10="",N10&lt;=0),"",IF(LEN(F655)&lt;=N10,LEN(F655),IFERROR(FIND("♦",SUBSTITUTE(LEFT(F655,N10)," ","♦",LEN(LEFT(F655,N10))-LEN(SUBSTITUTE(LEFT(F655,N10)," ","")))),FIND(" ",F655&amp;" ",N10+1)-1)))</f>
        <v>1</v>
      </c>
      <c r="N655" s="234">
        <f t="shared" si="68"/>
        <v>638</v>
      </c>
      <c r="O655" s="165" t="str">
        <f t="shared" si="69"/>
        <v>0</v>
      </c>
      <c r="P655" s="234">
        <f t="shared" si="70"/>
        <v>1</v>
      </c>
      <c r="Q655" s="234">
        <f t="shared" si="71"/>
        <v>1</v>
      </c>
      <c r="DE655" s="152"/>
      <c r="DF655" s="160" t="s">
        <v>2227</v>
      </c>
      <c r="DG655" s="160" t="s">
        <v>122</v>
      </c>
      <c r="DH655" s="160" t="s">
        <v>125</v>
      </c>
      <c r="DI655" s="160" t="s">
        <v>2228</v>
      </c>
      <c r="DJ655" s="160" t="s">
        <v>2228</v>
      </c>
      <c r="DK655" s="160" t="s">
        <v>1259</v>
      </c>
      <c r="DL655" s="160" t="s">
        <v>1260</v>
      </c>
      <c r="DM655" s="160" t="s">
        <v>1812</v>
      </c>
      <c r="DN655" s="161" t="s">
        <v>1813</v>
      </c>
      <c r="DP655" s="130">
        <v>1</v>
      </c>
    </row>
    <row r="656" spans="2:120" ht="15">
      <c r="B656" s="231"/>
      <c r="C656" s="231"/>
      <c r="D656" s="231"/>
      <c r="E656" s="231" cm="1">
        <f t="array" ref="E656">IF(H655&lt;&gt;"",E655,IF(E655="","",IFERROR(MATCH(TRUE(),INDEX(INDEX(K:K,E655+1):K203&lt;&gt;"",0),0)+E655,"")))</f>
        <v>748</v>
      </c>
      <c r="F656" s="232" cm="1">
        <f t="array" ref="F656">IF(E656="","",IF(H655&lt;&gt;"",H655,INDEX(D:D,E656)))</f>
        <v>0</v>
      </c>
      <c r="G656" s="232" t="str">
        <f t="shared" si="66"/>
        <v>0</v>
      </c>
      <c r="H656" s="233" t="str">
        <f t="shared" si="67"/>
        <v/>
      </c>
      <c r="I656" s="231" t="str">
        <f>IF(AND(F656&lt;&gt;"",N10&gt;0,M656&gt;N10),"Mot &gt; limite","")</f>
        <v/>
      </c>
      <c r="M656" s="126">
        <f>IF(OR(F656="",N10="",N10&lt;=0),"",IF(LEN(F656)&lt;=N10,LEN(F656),IFERROR(FIND("♦",SUBSTITUTE(LEFT(F656,N10)," ","♦",LEN(LEFT(F656,N10))-LEN(SUBSTITUTE(LEFT(F656,N10)," ","")))),FIND(" ",F656&amp;" ",N10+1)-1)))</f>
        <v>1</v>
      </c>
      <c r="N656" s="234">
        <f t="shared" si="68"/>
        <v>639</v>
      </c>
      <c r="O656" s="165" t="str">
        <f t="shared" si="69"/>
        <v>0</v>
      </c>
      <c r="P656" s="234">
        <f t="shared" si="70"/>
        <v>1</v>
      </c>
      <c r="Q656" s="234">
        <f t="shared" si="71"/>
        <v>1</v>
      </c>
      <c r="DE656" s="152"/>
      <c r="DF656" s="160" t="s">
        <v>2229</v>
      </c>
      <c r="DG656" s="160" t="s">
        <v>122</v>
      </c>
      <c r="DH656" s="160" t="s">
        <v>125</v>
      </c>
      <c r="DI656" s="160" t="s">
        <v>2230</v>
      </c>
      <c r="DJ656" s="160" t="s">
        <v>2230</v>
      </c>
      <c r="DK656" s="160" t="s">
        <v>1259</v>
      </c>
      <c r="DL656" s="160" t="s">
        <v>1260</v>
      </c>
      <c r="DM656" s="160" t="s">
        <v>1812</v>
      </c>
      <c r="DN656" s="161" t="s">
        <v>1813</v>
      </c>
      <c r="DP656" s="130">
        <v>1</v>
      </c>
    </row>
    <row r="657" spans="2:120" ht="15">
      <c r="B657" s="231"/>
      <c r="C657" s="231"/>
      <c r="D657" s="231"/>
      <c r="E657" s="231" cm="1">
        <f t="array" ref="E657">IF(H656&lt;&gt;"",E656,IF(E656="","",IFERROR(MATCH(TRUE(),INDEX(INDEX(K:K,E656+1):K203&lt;&gt;"",0),0)+E656,"")))</f>
        <v>749</v>
      </c>
      <c r="F657" s="232" cm="1">
        <f t="array" ref="F657">IF(E657="","",IF(H656&lt;&gt;"",H656,INDEX(D:D,E657)))</f>
        <v>0</v>
      </c>
      <c r="G657" s="232" t="str">
        <f t="shared" si="66"/>
        <v>0</v>
      </c>
      <c r="H657" s="233" t="str">
        <f t="shared" si="67"/>
        <v/>
      </c>
      <c r="I657" s="231" t="str">
        <f>IF(AND(F657&lt;&gt;"",N10&gt;0,M657&gt;N10),"Mot &gt; limite","")</f>
        <v/>
      </c>
      <c r="M657" s="126">
        <f>IF(OR(F657="",N10="",N10&lt;=0),"",IF(LEN(F657)&lt;=N10,LEN(F657),IFERROR(FIND("♦",SUBSTITUTE(LEFT(F657,N10)," ","♦",LEN(LEFT(F657,N10))-LEN(SUBSTITUTE(LEFT(F657,N10)," ","")))),FIND(" ",F657&amp;" ",N10+1)-1)))</f>
        <v>1</v>
      </c>
      <c r="N657" s="234">
        <f t="shared" si="68"/>
        <v>640</v>
      </c>
      <c r="O657" s="165" t="str">
        <f t="shared" si="69"/>
        <v>0</v>
      </c>
      <c r="P657" s="234">
        <f t="shared" si="70"/>
        <v>1</v>
      </c>
      <c r="Q657" s="234">
        <f t="shared" si="71"/>
        <v>1</v>
      </c>
      <c r="DE657" s="152"/>
      <c r="DF657" s="160" t="s">
        <v>2231</v>
      </c>
      <c r="DG657" s="160" t="s">
        <v>122</v>
      </c>
      <c r="DH657" s="160" t="s">
        <v>125</v>
      </c>
      <c r="DI657" s="160" t="s">
        <v>2232</v>
      </c>
      <c r="DJ657" s="160" t="s">
        <v>2232</v>
      </c>
      <c r="DK657" s="160" t="s">
        <v>1259</v>
      </c>
      <c r="DL657" s="160" t="s">
        <v>1260</v>
      </c>
      <c r="DM657" s="160" t="s">
        <v>1812</v>
      </c>
      <c r="DN657" s="161" t="s">
        <v>1813</v>
      </c>
      <c r="DP657" s="130">
        <v>1</v>
      </c>
    </row>
    <row r="658" spans="2:120" ht="15">
      <c r="B658" s="231"/>
      <c r="C658" s="231"/>
      <c r="D658" s="231"/>
      <c r="E658" s="231" cm="1">
        <f t="array" ref="E658">IF(H657&lt;&gt;"",E657,IF(E657="","",IFERROR(MATCH(TRUE(),INDEX(INDEX(K:K,E657+1):K203&lt;&gt;"",0),0)+E657,"")))</f>
        <v>750</v>
      </c>
      <c r="F658" s="232" cm="1">
        <f t="array" ref="F658">IF(E658="","",IF(H657&lt;&gt;"",H657,INDEX(D:D,E658)))</f>
        <v>0</v>
      </c>
      <c r="G658" s="232" t="str">
        <f t="shared" ref="G658:G721" si="72">IF(OR(F658="",M658=""),"",LEFT(F658,M658))</f>
        <v>0</v>
      </c>
      <c r="H658" s="233" t="str">
        <f t="shared" ref="H658:H721" si="73">IF(OR(F658="",M658=""),"",TRIM(MID(F658,M658+1,99999)))</f>
        <v/>
      </c>
      <c r="I658" s="231" t="str">
        <f>IF(AND(F658&lt;&gt;"",N10&gt;0,M658&gt;N10),"Mot &gt; limite","")</f>
        <v/>
      </c>
      <c r="M658" s="126">
        <f>IF(OR(F658="",N10="",N10&lt;=0),"",IF(LEN(F658)&lt;=N10,LEN(F658),IFERROR(FIND("♦",SUBSTITUTE(LEFT(F658,N10)," ","♦",LEN(LEFT(F658,N10))-LEN(SUBSTITUTE(LEFT(F658,N10)," ","")))),FIND(" ",F658&amp;" ",N10+1)-1)))</f>
        <v>1</v>
      </c>
      <c r="N658" s="234">
        <f t="shared" ref="N658:N721" si="74">IF(O658="","",ROW()-17)</f>
        <v>641</v>
      </c>
      <c r="O658" s="165" t="str">
        <f t="shared" ref="O658:O721" si="75">G658</f>
        <v>0</v>
      </c>
      <c r="P658" s="234">
        <f t="shared" ref="P658:P721" si="76">IF(O658="","",LEN(TRIM(O658))-LEN(SUBSTITUTE(TRIM(O658)," ",""))+1)</f>
        <v>1</v>
      </c>
      <c r="Q658" s="234">
        <f t="shared" ref="Q658:Q721" si="77">IF(O658="","",LEN(O658))</f>
        <v>1</v>
      </c>
      <c r="DE658" s="152"/>
      <c r="DF658" s="160" t="s">
        <v>2233</v>
      </c>
      <c r="DG658" s="160" t="s">
        <v>122</v>
      </c>
      <c r="DH658" s="160" t="s">
        <v>125</v>
      </c>
      <c r="DI658" s="160" t="s">
        <v>2234</v>
      </c>
      <c r="DJ658" s="160" t="s">
        <v>2234</v>
      </c>
      <c r="DK658" s="160" t="s">
        <v>1259</v>
      </c>
      <c r="DL658" s="160" t="s">
        <v>1260</v>
      </c>
      <c r="DM658" s="160" t="s">
        <v>1812</v>
      </c>
      <c r="DN658" s="161" t="s">
        <v>1813</v>
      </c>
      <c r="DP658" s="130">
        <v>1</v>
      </c>
    </row>
    <row r="659" spans="2:120" ht="15">
      <c r="B659" s="231"/>
      <c r="C659" s="231"/>
      <c r="D659" s="231"/>
      <c r="E659" s="231" cm="1">
        <f t="array" ref="E659">IF(H658&lt;&gt;"",E658,IF(E658="","",IFERROR(MATCH(TRUE(),INDEX(INDEX(K:K,E658+1):K203&lt;&gt;"",0),0)+E658,"")))</f>
        <v>751</v>
      </c>
      <c r="F659" s="232" cm="1">
        <f t="array" ref="F659">IF(E659="","",IF(H658&lt;&gt;"",H658,INDEX(D:D,E659)))</f>
        <v>0</v>
      </c>
      <c r="G659" s="232" t="str">
        <f t="shared" si="72"/>
        <v>0</v>
      </c>
      <c r="H659" s="233" t="str">
        <f t="shared" si="73"/>
        <v/>
      </c>
      <c r="I659" s="231" t="str">
        <f>IF(AND(F659&lt;&gt;"",N10&gt;0,M659&gt;N10),"Mot &gt; limite","")</f>
        <v/>
      </c>
      <c r="M659" s="126">
        <f>IF(OR(F659="",N10="",N10&lt;=0),"",IF(LEN(F659)&lt;=N10,LEN(F659),IFERROR(FIND("♦",SUBSTITUTE(LEFT(F659,N10)," ","♦",LEN(LEFT(F659,N10))-LEN(SUBSTITUTE(LEFT(F659,N10)," ","")))),FIND(" ",F659&amp;" ",N10+1)-1)))</f>
        <v>1</v>
      </c>
      <c r="N659" s="234">
        <f t="shared" si="74"/>
        <v>642</v>
      </c>
      <c r="O659" s="165" t="str">
        <f t="shared" si="75"/>
        <v>0</v>
      </c>
      <c r="P659" s="234">
        <f t="shared" si="76"/>
        <v>1</v>
      </c>
      <c r="Q659" s="234">
        <f t="shared" si="77"/>
        <v>1</v>
      </c>
      <c r="DE659" s="152"/>
      <c r="DF659" s="160" t="s">
        <v>2235</v>
      </c>
      <c r="DG659" s="160" t="s">
        <v>122</v>
      </c>
      <c r="DH659" s="160" t="s">
        <v>125</v>
      </c>
      <c r="DI659" s="160" t="s">
        <v>2236</v>
      </c>
      <c r="DJ659" s="160" t="s">
        <v>2236</v>
      </c>
      <c r="DK659" s="160" t="s">
        <v>1259</v>
      </c>
      <c r="DL659" s="160" t="s">
        <v>1260</v>
      </c>
      <c r="DM659" s="160" t="s">
        <v>1812</v>
      </c>
      <c r="DN659" s="161" t="s">
        <v>1813</v>
      </c>
      <c r="DP659" s="130">
        <v>1</v>
      </c>
    </row>
    <row r="660" spans="2:120" ht="15">
      <c r="B660" s="231"/>
      <c r="C660" s="231"/>
      <c r="D660" s="231"/>
      <c r="E660" s="231" cm="1">
        <f t="array" ref="E660">IF(H659&lt;&gt;"",E659,IF(E659="","",IFERROR(MATCH(TRUE(),INDEX(INDEX(K:K,E659+1):K203&lt;&gt;"",0),0)+E659,"")))</f>
        <v>752</v>
      </c>
      <c r="F660" s="232" cm="1">
        <f t="array" ref="F660">IF(E660="","",IF(H659&lt;&gt;"",H659,INDEX(D:D,E660)))</f>
        <v>0</v>
      </c>
      <c r="G660" s="232" t="str">
        <f t="shared" si="72"/>
        <v>0</v>
      </c>
      <c r="H660" s="233" t="str">
        <f t="shared" si="73"/>
        <v/>
      </c>
      <c r="I660" s="231" t="str">
        <f>IF(AND(F660&lt;&gt;"",N10&gt;0,M660&gt;N10),"Mot &gt; limite","")</f>
        <v/>
      </c>
      <c r="M660" s="126">
        <f>IF(OR(F660="",N10="",N10&lt;=0),"",IF(LEN(F660)&lt;=N10,LEN(F660),IFERROR(FIND("♦",SUBSTITUTE(LEFT(F660,N10)," ","♦",LEN(LEFT(F660,N10))-LEN(SUBSTITUTE(LEFT(F660,N10)," ","")))),FIND(" ",F660&amp;" ",N10+1)-1)))</f>
        <v>1</v>
      </c>
      <c r="N660" s="234">
        <f t="shared" si="74"/>
        <v>643</v>
      </c>
      <c r="O660" s="165" t="str">
        <f t="shared" si="75"/>
        <v>0</v>
      </c>
      <c r="P660" s="234">
        <f t="shared" si="76"/>
        <v>1</v>
      </c>
      <c r="Q660" s="234">
        <f t="shared" si="77"/>
        <v>1</v>
      </c>
      <c r="DE660" s="152"/>
      <c r="DF660" s="160" t="s">
        <v>2237</v>
      </c>
      <c r="DG660" s="160" t="s">
        <v>122</v>
      </c>
      <c r="DH660" s="160" t="s">
        <v>125</v>
      </c>
      <c r="DI660" s="160" t="s">
        <v>2238</v>
      </c>
      <c r="DJ660" s="160" t="s">
        <v>2238</v>
      </c>
      <c r="DK660" s="160" t="s">
        <v>1259</v>
      </c>
      <c r="DL660" s="160" t="s">
        <v>1260</v>
      </c>
      <c r="DM660" s="160" t="s">
        <v>1812</v>
      </c>
      <c r="DN660" s="161" t="s">
        <v>1813</v>
      </c>
      <c r="DP660" s="130">
        <v>1</v>
      </c>
    </row>
    <row r="661" spans="2:120" ht="15">
      <c r="B661" s="231"/>
      <c r="C661" s="231"/>
      <c r="D661" s="231"/>
      <c r="E661" s="231" cm="1">
        <f t="array" ref="E661">IF(H660&lt;&gt;"",E660,IF(E660="","",IFERROR(MATCH(TRUE(),INDEX(INDEX(K:K,E660+1):K203&lt;&gt;"",0),0)+E660,"")))</f>
        <v>753</v>
      </c>
      <c r="F661" s="232" cm="1">
        <f t="array" ref="F661">IF(E661="","",IF(H660&lt;&gt;"",H660,INDEX(D:D,E661)))</f>
        <v>0</v>
      </c>
      <c r="G661" s="232" t="str">
        <f t="shared" si="72"/>
        <v>0</v>
      </c>
      <c r="H661" s="233" t="str">
        <f t="shared" si="73"/>
        <v/>
      </c>
      <c r="I661" s="231" t="str">
        <f>IF(AND(F661&lt;&gt;"",N10&gt;0,M661&gt;N10),"Mot &gt; limite","")</f>
        <v/>
      </c>
      <c r="M661" s="126">
        <f>IF(OR(F661="",N10="",N10&lt;=0),"",IF(LEN(F661)&lt;=N10,LEN(F661),IFERROR(FIND("♦",SUBSTITUTE(LEFT(F661,N10)," ","♦",LEN(LEFT(F661,N10))-LEN(SUBSTITUTE(LEFT(F661,N10)," ","")))),FIND(" ",F661&amp;" ",N10+1)-1)))</f>
        <v>1</v>
      </c>
      <c r="N661" s="234">
        <f t="shared" si="74"/>
        <v>644</v>
      </c>
      <c r="O661" s="165" t="str">
        <f t="shared" si="75"/>
        <v>0</v>
      </c>
      <c r="P661" s="234">
        <f t="shared" si="76"/>
        <v>1</v>
      </c>
      <c r="Q661" s="234">
        <f t="shared" si="77"/>
        <v>1</v>
      </c>
      <c r="DE661" s="152"/>
      <c r="DF661" s="160" t="s">
        <v>2239</v>
      </c>
      <c r="DG661" s="160" t="s">
        <v>122</v>
      </c>
      <c r="DH661" s="160" t="s">
        <v>125</v>
      </c>
      <c r="DI661" s="160" t="s">
        <v>2240</v>
      </c>
      <c r="DJ661" s="160" t="s">
        <v>2240</v>
      </c>
      <c r="DK661" s="160" t="s">
        <v>1259</v>
      </c>
      <c r="DL661" s="160" t="s">
        <v>1260</v>
      </c>
      <c r="DM661" s="160" t="s">
        <v>1812</v>
      </c>
      <c r="DN661" s="161" t="s">
        <v>1813</v>
      </c>
      <c r="DP661" s="130">
        <v>1</v>
      </c>
    </row>
    <row r="662" spans="2:120" ht="15">
      <c r="B662" s="231"/>
      <c r="C662" s="231"/>
      <c r="D662" s="231"/>
      <c r="E662" s="231" cm="1">
        <f t="array" ref="E662">IF(H661&lt;&gt;"",E661,IF(E661="","",IFERROR(MATCH(TRUE(),INDEX(INDEX(K:K,E661+1):K203&lt;&gt;"",0),0)+E661,"")))</f>
        <v>754</v>
      </c>
      <c r="F662" s="232" cm="1">
        <f t="array" ref="F662">IF(E662="","",IF(H661&lt;&gt;"",H661,INDEX(D:D,E662)))</f>
        <v>0</v>
      </c>
      <c r="G662" s="232" t="str">
        <f t="shared" si="72"/>
        <v>0</v>
      </c>
      <c r="H662" s="233" t="str">
        <f t="shared" si="73"/>
        <v/>
      </c>
      <c r="I662" s="231" t="str">
        <f>IF(AND(F662&lt;&gt;"",N10&gt;0,M662&gt;N10),"Mot &gt; limite","")</f>
        <v/>
      </c>
      <c r="M662" s="126">
        <f>IF(OR(F662="",N10="",N10&lt;=0),"",IF(LEN(F662)&lt;=N10,LEN(F662),IFERROR(FIND("♦",SUBSTITUTE(LEFT(F662,N10)," ","♦",LEN(LEFT(F662,N10))-LEN(SUBSTITUTE(LEFT(F662,N10)," ","")))),FIND(" ",F662&amp;" ",N10+1)-1)))</f>
        <v>1</v>
      </c>
      <c r="N662" s="234">
        <f t="shared" si="74"/>
        <v>645</v>
      </c>
      <c r="O662" s="165" t="str">
        <f t="shared" si="75"/>
        <v>0</v>
      </c>
      <c r="P662" s="234">
        <f t="shared" si="76"/>
        <v>1</v>
      </c>
      <c r="Q662" s="234">
        <f t="shared" si="77"/>
        <v>1</v>
      </c>
      <c r="DE662" s="152"/>
      <c r="DF662" s="160" t="s">
        <v>2241</v>
      </c>
      <c r="DG662" s="160" t="s">
        <v>122</v>
      </c>
      <c r="DH662" s="160" t="s">
        <v>125</v>
      </c>
      <c r="DI662" s="160" t="s">
        <v>2242</v>
      </c>
      <c r="DJ662" s="160" t="s">
        <v>2242</v>
      </c>
      <c r="DK662" s="160" t="s">
        <v>1259</v>
      </c>
      <c r="DL662" s="160" t="s">
        <v>1260</v>
      </c>
      <c r="DM662" s="160" t="s">
        <v>1812</v>
      </c>
      <c r="DN662" s="161" t="s">
        <v>1813</v>
      </c>
      <c r="DP662" s="130">
        <v>1</v>
      </c>
    </row>
    <row r="663" spans="2:120" ht="15">
      <c r="B663" s="231"/>
      <c r="C663" s="231"/>
      <c r="D663" s="231"/>
      <c r="E663" s="231" cm="1">
        <f t="array" ref="E663">IF(H662&lt;&gt;"",E662,IF(E662="","",IFERROR(MATCH(TRUE(),INDEX(INDEX(K:K,E662+1):K203&lt;&gt;"",0),0)+E662,"")))</f>
        <v>755</v>
      </c>
      <c r="F663" s="232" cm="1">
        <f t="array" ref="F663">IF(E663="","",IF(H662&lt;&gt;"",H662,INDEX(D:D,E663)))</f>
        <v>0</v>
      </c>
      <c r="G663" s="232" t="str">
        <f t="shared" si="72"/>
        <v>0</v>
      </c>
      <c r="H663" s="233" t="str">
        <f t="shared" si="73"/>
        <v/>
      </c>
      <c r="I663" s="231" t="str">
        <f>IF(AND(F663&lt;&gt;"",N10&gt;0,M663&gt;N10),"Mot &gt; limite","")</f>
        <v/>
      </c>
      <c r="M663" s="126">
        <f>IF(OR(F663="",N10="",N10&lt;=0),"",IF(LEN(F663)&lt;=N10,LEN(F663),IFERROR(FIND("♦",SUBSTITUTE(LEFT(F663,N10)," ","♦",LEN(LEFT(F663,N10))-LEN(SUBSTITUTE(LEFT(F663,N10)," ","")))),FIND(" ",F663&amp;" ",N10+1)-1)))</f>
        <v>1</v>
      </c>
      <c r="N663" s="234">
        <f t="shared" si="74"/>
        <v>646</v>
      </c>
      <c r="O663" s="165" t="str">
        <f t="shared" si="75"/>
        <v>0</v>
      </c>
      <c r="P663" s="234">
        <f t="shared" si="76"/>
        <v>1</v>
      </c>
      <c r="Q663" s="234">
        <f t="shared" si="77"/>
        <v>1</v>
      </c>
      <c r="DE663" s="152"/>
      <c r="DF663" s="160" t="s">
        <v>2243</v>
      </c>
      <c r="DG663" s="160" t="s">
        <v>122</v>
      </c>
      <c r="DH663" s="160" t="s">
        <v>125</v>
      </c>
      <c r="DI663" s="160" t="s">
        <v>2244</v>
      </c>
      <c r="DJ663" s="160" t="s">
        <v>2244</v>
      </c>
      <c r="DK663" s="160" t="s">
        <v>1259</v>
      </c>
      <c r="DL663" s="160" t="s">
        <v>1260</v>
      </c>
      <c r="DM663" s="160" t="s">
        <v>1812</v>
      </c>
      <c r="DN663" s="161" t="s">
        <v>1813</v>
      </c>
      <c r="DP663" s="130">
        <v>1</v>
      </c>
    </row>
    <row r="664" spans="2:120" ht="15">
      <c r="B664" s="231"/>
      <c r="C664" s="231"/>
      <c r="D664" s="231"/>
      <c r="E664" s="231" cm="1">
        <f t="array" ref="E664">IF(H663&lt;&gt;"",E663,IF(E663="","",IFERROR(MATCH(TRUE(),INDEX(INDEX(K:K,E663+1):K203&lt;&gt;"",0),0)+E663,"")))</f>
        <v>756</v>
      </c>
      <c r="F664" s="232" cm="1">
        <f t="array" ref="F664">IF(E664="","",IF(H663&lt;&gt;"",H663,INDEX(D:D,E664)))</f>
        <v>0</v>
      </c>
      <c r="G664" s="232" t="str">
        <f t="shared" si="72"/>
        <v>0</v>
      </c>
      <c r="H664" s="233" t="str">
        <f t="shared" si="73"/>
        <v/>
      </c>
      <c r="I664" s="231" t="str">
        <f>IF(AND(F664&lt;&gt;"",N10&gt;0,M664&gt;N10),"Mot &gt; limite","")</f>
        <v/>
      </c>
      <c r="M664" s="126">
        <f>IF(OR(F664="",N10="",N10&lt;=0),"",IF(LEN(F664)&lt;=N10,LEN(F664),IFERROR(FIND("♦",SUBSTITUTE(LEFT(F664,N10)," ","♦",LEN(LEFT(F664,N10))-LEN(SUBSTITUTE(LEFT(F664,N10)," ","")))),FIND(" ",F664&amp;" ",N10+1)-1)))</f>
        <v>1</v>
      </c>
      <c r="N664" s="234">
        <f t="shared" si="74"/>
        <v>647</v>
      </c>
      <c r="O664" s="165" t="str">
        <f t="shared" si="75"/>
        <v>0</v>
      </c>
      <c r="P664" s="234">
        <f t="shared" si="76"/>
        <v>1</v>
      </c>
      <c r="Q664" s="234">
        <f t="shared" si="77"/>
        <v>1</v>
      </c>
      <c r="DE664" s="152"/>
      <c r="DF664" s="160" t="s">
        <v>2245</v>
      </c>
      <c r="DG664" s="160" t="s">
        <v>122</v>
      </c>
      <c r="DH664" s="160" t="s">
        <v>125</v>
      </c>
      <c r="DI664" s="160" t="s">
        <v>2246</v>
      </c>
      <c r="DJ664" s="160" t="s">
        <v>2246</v>
      </c>
      <c r="DK664" s="160" t="s">
        <v>1259</v>
      </c>
      <c r="DL664" s="160" t="s">
        <v>1260</v>
      </c>
      <c r="DM664" s="160" t="s">
        <v>1812</v>
      </c>
      <c r="DN664" s="161" t="s">
        <v>1813</v>
      </c>
      <c r="DP664" s="130">
        <v>1</v>
      </c>
    </row>
    <row r="665" spans="2:120" ht="15">
      <c r="B665" s="231"/>
      <c r="C665" s="231"/>
      <c r="D665" s="231"/>
      <c r="E665" s="231" cm="1">
        <f t="array" ref="E665">IF(H664&lt;&gt;"",E664,IF(E664="","",IFERROR(MATCH(TRUE(),INDEX(INDEX(K:K,E664+1):K203&lt;&gt;"",0),0)+E664,"")))</f>
        <v>757</v>
      </c>
      <c r="F665" s="232" cm="1">
        <f t="array" ref="F665">IF(E665="","",IF(H664&lt;&gt;"",H664,INDEX(D:D,E665)))</f>
        <v>0</v>
      </c>
      <c r="G665" s="232" t="str">
        <f t="shared" si="72"/>
        <v>0</v>
      </c>
      <c r="H665" s="233" t="str">
        <f t="shared" si="73"/>
        <v/>
      </c>
      <c r="I665" s="231" t="str">
        <f>IF(AND(F665&lt;&gt;"",N10&gt;0,M665&gt;N10),"Mot &gt; limite","")</f>
        <v/>
      </c>
      <c r="M665" s="126">
        <f>IF(OR(F665="",N10="",N10&lt;=0),"",IF(LEN(F665)&lt;=N10,LEN(F665),IFERROR(FIND("♦",SUBSTITUTE(LEFT(F665,N10)," ","♦",LEN(LEFT(F665,N10))-LEN(SUBSTITUTE(LEFT(F665,N10)," ","")))),FIND(" ",F665&amp;" ",N10+1)-1)))</f>
        <v>1</v>
      </c>
      <c r="N665" s="234">
        <f t="shared" si="74"/>
        <v>648</v>
      </c>
      <c r="O665" s="165" t="str">
        <f t="shared" si="75"/>
        <v>0</v>
      </c>
      <c r="P665" s="234">
        <f t="shared" si="76"/>
        <v>1</v>
      </c>
      <c r="Q665" s="234">
        <f t="shared" si="77"/>
        <v>1</v>
      </c>
      <c r="DE665" s="152"/>
      <c r="DF665" s="160" t="s">
        <v>2247</v>
      </c>
      <c r="DG665" s="160" t="s">
        <v>122</v>
      </c>
      <c r="DH665" s="160" t="s">
        <v>125</v>
      </c>
      <c r="DI665" s="160" t="s">
        <v>2248</v>
      </c>
      <c r="DJ665" s="160" t="s">
        <v>2248</v>
      </c>
      <c r="DK665" s="160" t="s">
        <v>1259</v>
      </c>
      <c r="DL665" s="160" t="s">
        <v>1260</v>
      </c>
      <c r="DM665" s="160" t="s">
        <v>1812</v>
      </c>
      <c r="DN665" s="161" t="s">
        <v>1813</v>
      </c>
      <c r="DP665" s="130">
        <v>1</v>
      </c>
    </row>
    <row r="666" spans="2:120" ht="15">
      <c r="B666" s="231"/>
      <c r="C666" s="231"/>
      <c r="D666" s="231"/>
      <c r="E666" s="231" cm="1">
        <f t="array" ref="E666">IF(H665&lt;&gt;"",E665,IF(E665="","",IFERROR(MATCH(TRUE(),INDEX(INDEX(K:K,E665+1):K203&lt;&gt;"",0),0)+E665,"")))</f>
        <v>758</v>
      </c>
      <c r="F666" s="232" cm="1">
        <f t="array" ref="F666">IF(E666="","",IF(H665&lt;&gt;"",H665,INDEX(D:D,E666)))</f>
        <v>0</v>
      </c>
      <c r="G666" s="232" t="str">
        <f t="shared" si="72"/>
        <v>0</v>
      </c>
      <c r="H666" s="233" t="str">
        <f t="shared" si="73"/>
        <v/>
      </c>
      <c r="I666" s="231" t="str">
        <f>IF(AND(F666&lt;&gt;"",N10&gt;0,M666&gt;N10),"Mot &gt; limite","")</f>
        <v/>
      </c>
      <c r="M666" s="126">
        <f>IF(OR(F666="",N10="",N10&lt;=0),"",IF(LEN(F666)&lt;=N10,LEN(F666),IFERROR(FIND("♦",SUBSTITUTE(LEFT(F666,N10)," ","♦",LEN(LEFT(F666,N10))-LEN(SUBSTITUTE(LEFT(F666,N10)," ","")))),FIND(" ",F666&amp;" ",N10+1)-1)))</f>
        <v>1</v>
      </c>
      <c r="N666" s="234">
        <f t="shared" si="74"/>
        <v>649</v>
      </c>
      <c r="O666" s="165" t="str">
        <f t="shared" si="75"/>
        <v>0</v>
      </c>
      <c r="P666" s="234">
        <f t="shared" si="76"/>
        <v>1</v>
      </c>
      <c r="Q666" s="234">
        <f t="shared" si="77"/>
        <v>1</v>
      </c>
      <c r="DE666" s="152"/>
      <c r="DF666" s="160" t="s">
        <v>2249</v>
      </c>
      <c r="DG666" s="160" t="s">
        <v>122</v>
      </c>
      <c r="DH666" s="160" t="s">
        <v>125</v>
      </c>
      <c r="DI666" s="160" t="s">
        <v>2250</v>
      </c>
      <c r="DJ666" s="160" t="s">
        <v>2250</v>
      </c>
      <c r="DK666" s="160" t="s">
        <v>1259</v>
      </c>
      <c r="DL666" s="160" t="s">
        <v>1260</v>
      </c>
      <c r="DM666" s="160" t="s">
        <v>1812</v>
      </c>
      <c r="DN666" s="161" t="s">
        <v>1813</v>
      </c>
      <c r="DP666" s="130">
        <v>1</v>
      </c>
    </row>
    <row r="667" spans="2:120" ht="15">
      <c r="B667" s="231"/>
      <c r="C667" s="231"/>
      <c r="D667" s="231"/>
      <c r="E667" s="231" cm="1">
        <f t="array" ref="E667">IF(H666&lt;&gt;"",E666,IF(E666="","",IFERROR(MATCH(TRUE(),INDEX(INDEX(K:K,E666+1):K203&lt;&gt;"",0),0)+E666,"")))</f>
        <v>759</v>
      </c>
      <c r="F667" s="232" cm="1">
        <f t="array" ref="F667">IF(E667="","",IF(H666&lt;&gt;"",H666,INDEX(D:D,E667)))</f>
        <v>0</v>
      </c>
      <c r="G667" s="232" t="str">
        <f t="shared" si="72"/>
        <v>0</v>
      </c>
      <c r="H667" s="233" t="str">
        <f t="shared" si="73"/>
        <v/>
      </c>
      <c r="I667" s="231" t="str">
        <f>IF(AND(F667&lt;&gt;"",N10&gt;0,M667&gt;N10),"Mot &gt; limite","")</f>
        <v/>
      </c>
      <c r="M667" s="126">
        <f>IF(OR(F667="",N10="",N10&lt;=0),"",IF(LEN(F667)&lt;=N10,LEN(F667),IFERROR(FIND("♦",SUBSTITUTE(LEFT(F667,N10)," ","♦",LEN(LEFT(F667,N10))-LEN(SUBSTITUTE(LEFT(F667,N10)," ","")))),FIND(" ",F667&amp;" ",N10+1)-1)))</f>
        <v>1</v>
      </c>
      <c r="N667" s="234">
        <f t="shared" si="74"/>
        <v>650</v>
      </c>
      <c r="O667" s="165" t="str">
        <f t="shared" si="75"/>
        <v>0</v>
      </c>
      <c r="P667" s="234">
        <f t="shared" si="76"/>
        <v>1</v>
      </c>
      <c r="Q667" s="234">
        <f t="shared" si="77"/>
        <v>1</v>
      </c>
      <c r="DE667" s="152"/>
      <c r="DF667" s="160" t="s">
        <v>2251</v>
      </c>
      <c r="DG667" s="160" t="s">
        <v>122</v>
      </c>
      <c r="DH667" s="160" t="s">
        <v>125</v>
      </c>
      <c r="DI667" s="160" t="s">
        <v>2252</v>
      </c>
      <c r="DJ667" s="160" t="s">
        <v>2252</v>
      </c>
      <c r="DK667" s="160" t="s">
        <v>1259</v>
      </c>
      <c r="DL667" s="160" t="s">
        <v>1260</v>
      </c>
      <c r="DM667" s="160" t="s">
        <v>1812</v>
      </c>
      <c r="DN667" s="161" t="s">
        <v>1813</v>
      </c>
      <c r="DP667" s="130">
        <v>1</v>
      </c>
    </row>
    <row r="668" spans="2:120" ht="15">
      <c r="B668" s="231"/>
      <c r="C668" s="231"/>
      <c r="D668" s="231"/>
      <c r="E668" s="231" cm="1">
        <f t="array" ref="E668">IF(H667&lt;&gt;"",E667,IF(E667="","",IFERROR(MATCH(TRUE(),INDEX(INDEX(K:K,E667+1):K203&lt;&gt;"",0),0)+E667,"")))</f>
        <v>760</v>
      </c>
      <c r="F668" s="232" cm="1">
        <f t="array" ref="F668">IF(E668="","",IF(H667&lt;&gt;"",H667,INDEX(D:D,E668)))</f>
        <v>0</v>
      </c>
      <c r="G668" s="232" t="str">
        <f t="shared" si="72"/>
        <v>0</v>
      </c>
      <c r="H668" s="233" t="str">
        <f t="shared" si="73"/>
        <v/>
      </c>
      <c r="I668" s="231" t="str">
        <f>IF(AND(F668&lt;&gt;"",N10&gt;0,M668&gt;N10),"Mot &gt; limite","")</f>
        <v/>
      </c>
      <c r="M668" s="126">
        <f>IF(OR(F668="",N10="",N10&lt;=0),"",IF(LEN(F668)&lt;=N10,LEN(F668),IFERROR(FIND("♦",SUBSTITUTE(LEFT(F668,N10)," ","♦",LEN(LEFT(F668,N10))-LEN(SUBSTITUTE(LEFT(F668,N10)," ","")))),FIND(" ",F668&amp;" ",N10+1)-1)))</f>
        <v>1</v>
      </c>
      <c r="N668" s="234">
        <f t="shared" si="74"/>
        <v>651</v>
      </c>
      <c r="O668" s="165" t="str">
        <f t="shared" si="75"/>
        <v>0</v>
      </c>
      <c r="P668" s="234">
        <f t="shared" si="76"/>
        <v>1</v>
      </c>
      <c r="Q668" s="234">
        <f t="shared" si="77"/>
        <v>1</v>
      </c>
      <c r="DE668" s="152"/>
      <c r="DF668" s="160" t="s">
        <v>2253</v>
      </c>
      <c r="DG668" s="160" t="s">
        <v>122</v>
      </c>
      <c r="DH668" s="160" t="s">
        <v>125</v>
      </c>
      <c r="DI668" s="160" t="s">
        <v>2254</v>
      </c>
      <c r="DJ668" s="160" t="s">
        <v>2254</v>
      </c>
      <c r="DK668" s="160" t="s">
        <v>1259</v>
      </c>
      <c r="DL668" s="160" t="s">
        <v>1260</v>
      </c>
      <c r="DM668" s="160" t="s">
        <v>1812</v>
      </c>
      <c r="DN668" s="161" t="s">
        <v>1813</v>
      </c>
      <c r="DP668" s="130">
        <v>1</v>
      </c>
    </row>
    <row r="669" spans="2:120" ht="15">
      <c r="B669" s="231"/>
      <c r="C669" s="231"/>
      <c r="D669" s="231"/>
      <c r="E669" s="231" cm="1">
        <f t="array" ref="E669">IF(H668&lt;&gt;"",E668,IF(E668="","",IFERROR(MATCH(TRUE(),INDEX(INDEX(K:K,E668+1):K203&lt;&gt;"",0),0)+E668,"")))</f>
        <v>761</v>
      </c>
      <c r="F669" s="232" cm="1">
        <f t="array" ref="F669">IF(E669="","",IF(H668&lt;&gt;"",H668,INDEX(D:D,E669)))</f>
        <v>0</v>
      </c>
      <c r="G669" s="232" t="str">
        <f t="shared" si="72"/>
        <v>0</v>
      </c>
      <c r="H669" s="233" t="str">
        <f t="shared" si="73"/>
        <v/>
      </c>
      <c r="I669" s="231" t="str">
        <f>IF(AND(F669&lt;&gt;"",N10&gt;0,M669&gt;N10),"Mot &gt; limite","")</f>
        <v/>
      </c>
      <c r="M669" s="126">
        <f>IF(OR(F669="",N10="",N10&lt;=0),"",IF(LEN(F669)&lt;=N10,LEN(F669),IFERROR(FIND("♦",SUBSTITUTE(LEFT(F669,N10)," ","♦",LEN(LEFT(F669,N10))-LEN(SUBSTITUTE(LEFT(F669,N10)," ","")))),FIND(" ",F669&amp;" ",N10+1)-1)))</f>
        <v>1</v>
      </c>
      <c r="N669" s="234">
        <f t="shared" si="74"/>
        <v>652</v>
      </c>
      <c r="O669" s="165" t="str">
        <f t="shared" si="75"/>
        <v>0</v>
      </c>
      <c r="P669" s="234">
        <f t="shared" si="76"/>
        <v>1</v>
      </c>
      <c r="Q669" s="234">
        <f t="shared" si="77"/>
        <v>1</v>
      </c>
      <c r="DE669" s="152"/>
      <c r="DF669" s="160" t="s">
        <v>2255</v>
      </c>
      <c r="DG669" s="160" t="s">
        <v>122</v>
      </c>
      <c r="DH669" s="160" t="s">
        <v>125</v>
      </c>
      <c r="DI669" s="160" t="s">
        <v>2256</v>
      </c>
      <c r="DJ669" s="160" t="s">
        <v>2256</v>
      </c>
      <c r="DK669" s="160" t="s">
        <v>1259</v>
      </c>
      <c r="DL669" s="160" t="s">
        <v>1260</v>
      </c>
      <c r="DM669" s="160" t="s">
        <v>1812</v>
      </c>
      <c r="DN669" s="161" t="s">
        <v>1813</v>
      </c>
      <c r="DP669" s="130">
        <v>1</v>
      </c>
    </row>
    <row r="670" spans="2:120" ht="15">
      <c r="B670" s="231"/>
      <c r="C670" s="231"/>
      <c r="D670" s="231"/>
      <c r="E670" s="231" cm="1">
        <f t="array" ref="E670">IF(H669&lt;&gt;"",E669,IF(E669="","",IFERROR(MATCH(TRUE(),INDEX(INDEX(K:K,E669+1):K203&lt;&gt;"",0),0)+E669,"")))</f>
        <v>762</v>
      </c>
      <c r="F670" s="232" cm="1">
        <f t="array" ref="F670">IF(E670="","",IF(H669&lt;&gt;"",H669,INDEX(D:D,E670)))</f>
        <v>0</v>
      </c>
      <c r="G670" s="232" t="str">
        <f t="shared" si="72"/>
        <v>0</v>
      </c>
      <c r="H670" s="233" t="str">
        <f t="shared" si="73"/>
        <v/>
      </c>
      <c r="I670" s="231" t="str">
        <f>IF(AND(F670&lt;&gt;"",N10&gt;0,M670&gt;N10),"Mot &gt; limite","")</f>
        <v/>
      </c>
      <c r="M670" s="126">
        <f>IF(OR(F670="",N10="",N10&lt;=0),"",IF(LEN(F670)&lt;=N10,LEN(F670),IFERROR(FIND("♦",SUBSTITUTE(LEFT(F670,N10)," ","♦",LEN(LEFT(F670,N10))-LEN(SUBSTITUTE(LEFT(F670,N10)," ","")))),FIND(" ",F670&amp;" ",N10+1)-1)))</f>
        <v>1</v>
      </c>
      <c r="N670" s="234">
        <f t="shared" si="74"/>
        <v>653</v>
      </c>
      <c r="O670" s="165" t="str">
        <f t="shared" si="75"/>
        <v>0</v>
      </c>
      <c r="P670" s="234">
        <f t="shared" si="76"/>
        <v>1</v>
      </c>
      <c r="Q670" s="234">
        <f t="shared" si="77"/>
        <v>1</v>
      </c>
      <c r="DE670" s="152"/>
      <c r="DF670" s="160" t="s">
        <v>2257</v>
      </c>
      <c r="DG670" s="160" t="s">
        <v>122</v>
      </c>
      <c r="DH670" s="160" t="s">
        <v>125</v>
      </c>
      <c r="DI670" s="160" t="s">
        <v>2258</v>
      </c>
      <c r="DJ670" s="160" t="s">
        <v>2258</v>
      </c>
      <c r="DK670" s="160" t="s">
        <v>1259</v>
      </c>
      <c r="DL670" s="160" t="s">
        <v>1260</v>
      </c>
      <c r="DM670" s="160" t="s">
        <v>1812</v>
      </c>
      <c r="DN670" s="161" t="s">
        <v>1813</v>
      </c>
      <c r="DP670" s="130">
        <v>1</v>
      </c>
    </row>
    <row r="671" spans="2:120" ht="15">
      <c r="B671" s="231"/>
      <c r="C671" s="231"/>
      <c r="D671" s="231"/>
      <c r="E671" s="231" cm="1">
        <f t="array" ref="E671">IF(H670&lt;&gt;"",E670,IF(E670="","",IFERROR(MATCH(TRUE(),INDEX(INDEX(K:K,E670+1):K203&lt;&gt;"",0),0)+E670,"")))</f>
        <v>763</v>
      </c>
      <c r="F671" s="232" cm="1">
        <f t="array" ref="F671">IF(E671="","",IF(H670&lt;&gt;"",H670,INDEX(D:D,E671)))</f>
        <v>0</v>
      </c>
      <c r="G671" s="232" t="str">
        <f t="shared" si="72"/>
        <v>0</v>
      </c>
      <c r="H671" s="233" t="str">
        <f t="shared" si="73"/>
        <v/>
      </c>
      <c r="I671" s="231" t="str">
        <f>IF(AND(F671&lt;&gt;"",N10&gt;0,M671&gt;N10),"Mot &gt; limite","")</f>
        <v/>
      </c>
      <c r="M671" s="126">
        <f>IF(OR(F671="",N10="",N10&lt;=0),"",IF(LEN(F671)&lt;=N10,LEN(F671),IFERROR(FIND("♦",SUBSTITUTE(LEFT(F671,N10)," ","♦",LEN(LEFT(F671,N10))-LEN(SUBSTITUTE(LEFT(F671,N10)," ","")))),FIND(" ",F671&amp;" ",N10+1)-1)))</f>
        <v>1</v>
      </c>
      <c r="N671" s="234">
        <f t="shared" si="74"/>
        <v>654</v>
      </c>
      <c r="O671" s="165" t="str">
        <f t="shared" si="75"/>
        <v>0</v>
      </c>
      <c r="P671" s="234">
        <f t="shared" si="76"/>
        <v>1</v>
      </c>
      <c r="Q671" s="234">
        <f t="shared" si="77"/>
        <v>1</v>
      </c>
      <c r="DE671" s="152"/>
      <c r="DF671" s="160" t="s">
        <v>2259</v>
      </c>
      <c r="DG671" s="160" t="s">
        <v>122</v>
      </c>
      <c r="DH671" s="160" t="s">
        <v>125</v>
      </c>
      <c r="DI671" s="160" t="s">
        <v>2260</v>
      </c>
      <c r="DJ671" s="160" t="s">
        <v>2260</v>
      </c>
      <c r="DK671" s="160" t="s">
        <v>1259</v>
      </c>
      <c r="DL671" s="160" t="s">
        <v>1260</v>
      </c>
      <c r="DM671" s="160" t="s">
        <v>1812</v>
      </c>
      <c r="DN671" s="161" t="s">
        <v>1813</v>
      </c>
      <c r="DP671" s="130">
        <v>1</v>
      </c>
    </row>
    <row r="672" spans="2:120" ht="15">
      <c r="B672" s="231"/>
      <c r="C672" s="231"/>
      <c r="D672" s="231"/>
      <c r="E672" s="231" cm="1">
        <f t="array" ref="E672">IF(H671&lt;&gt;"",E671,IF(E671="","",IFERROR(MATCH(TRUE(),INDEX(INDEX(K:K,E671+1):K203&lt;&gt;"",0),0)+E671,"")))</f>
        <v>764</v>
      </c>
      <c r="F672" s="232" cm="1">
        <f t="array" ref="F672">IF(E672="","",IF(H671&lt;&gt;"",H671,INDEX(D:D,E672)))</f>
        <v>0</v>
      </c>
      <c r="G672" s="232" t="str">
        <f t="shared" si="72"/>
        <v>0</v>
      </c>
      <c r="H672" s="233" t="str">
        <f t="shared" si="73"/>
        <v/>
      </c>
      <c r="I672" s="231" t="str">
        <f>IF(AND(F672&lt;&gt;"",N10&gt;0,M672&gt;N10),"Mot &gt; limite","")</f>
        <v/>
      </c>
      <c r="M672" s="126">
        <f>IF(OR(F672="",N10="",N10&lt;=0),"",IF(LEN(F672)&lt;=N10,LEN(F672),IFERROR(FIND("♦",SUBSTITUTE(LEFT(F672,N10)," ","♦",LEN(LEFT(F672,N10))-LEN(SUBSTITUTE(LEFT(F672,N10)," ","")))),FIND(" ",F672&amp;" ",N10+1)-1)))</f>
        <v>1</v>
      </c>
      <c r="N672" s="234">
        <f t="shared" si="74"/>
        <v>655</v>
      </c>
      <c r="O672" s="165" t="str">
        <f t="shared" si="75"/>
        <v>0</v>
      </c>
      <c r="P672" s="234">
        <f t="shared" si="76"/>
        <v>1</v>
      </c>
      <c r="Q672" s="234">
        <f t="shared" si="77"/>
        <v>1</v>
      </c>
      <c r="DE672" s="152"/>
      <c r="DF672" s="160" t="s">
        <v>2261</v>
      </c>
      <c r="DG672" s="160" t="s">
        <v>122</v>
      </c>
      <c r="DH672" s="160" t="s">
        <v>125</v>
      </c>
      <c r="DI672" s="160" t="s">
        <v>2262</v>
      </c>
      <c r="DJ672" s="160" t="s">
        <v>2262</v>
      </c>
      <c r="DK672" s="160" t="s">
        <v>1259</v>
      </c>
      <c r="DL672" s="160" t="s">
        <v>1260</v>
      </c>
      <c r="DM672" s="160" t="s">
        <v>1812</v>
      </c>
      <c r="DN672" s="161" t="s">
        <v>1813</v>
      </c>
      <c r="DP672" s="130">
        <v>1</v>
      </c>
    </row>
    <row r="673" spans="2:120" ht="15">
      <c r="B673" s="231"/>
      <c r="C673" s="231"/>
      <c r="D673" s="231"/>
      <c r="E673" s="231" cm="1">
        <f t="array" ref="E673">IF(H672&lt;&gt;"",E672,IF(E672="","",IFERROR(MATCH(TRUE(),INDEX(INDEX(K:K,E672+1):K203&lt;&gt;"",0),0)+E672,"")))</f>
        <v>765</v>
      </c>
      <c r="F673" s="232" cm="1">
        <f t="array" ref="F673">IF(E673="","",IF(H672&lt;&gt;"",H672,INDEX(D:D,E673)))</f>
        <v>0</v>
      </c>
      <c r="G673" s="232" t="str">
        <f t="shared" si="72"/>
        <v>0</v>
      </c>
      <c r="H673" s="233" t="str">
        <f t="shared" si="73"/>
        <v/>
      </c>
      <c r="I673" s="231" t="str">
        <f>IF(AND(F673&lt;&gt;"",N10&gt;0,M673&gt;N10),"Mot &gt; limite","")</f>
        <v/>
      </c>
      <c r="M673" s="126">
        <f>IF(OR(F673="",N10="",N10&lt;=0),"",IF(LEN(F673)&lt;=N10,LEN(F673),IFERROR(FIND("♦",SUBSTITUTE(LEFT(F673,N10)," ","♦",LEN(LEFT(F673,N10))-LEN(SUBSTITUTE(LEFT(F673,N10)," ","")))),FIND(" ",F673&amp;" ",N10+1)-1)))</f>
        <v>1</v>
      </c>
      <c r="N673" s="234">
        <f t="shared" si="74"/>
        <v>656</v>
      </c>
      <c r="O673" s="165" t="str">
        <f t="shared" si="75"/>
        <v>0</v>
      </c>
      <c r="P673" s="234">
        <f t="shared" si="76"/>
        <v>1</v>
      </c>
      <c r="Q673" s="234">
        <f t="shared" si="77"/>
        <v>1</v>
      </c>
      <c r="DE673" s="152"/>
      <c r="DF673" s="160" t="s">
        <v>2263</v>
      </c>
      <c r="DG673" s="160" t="s">
        <v>122</v>
      </c>
      <c r="DH673" s="160" t="s">
        <v>125</v>
      </c>
      <c r="DI673" s="160" t="s">
        <v>2264</v>
      </c>
      <c r="DJ673" s="160" t="s">
        <v>2264</v>
      </c>
      <c r="DK673" s="160" t="s">
        <v>1259</v>
      </c>
      <c r="DL673" s="160" t="s">
        <v>1260</v>
      </c>
      <c r="DM673" s="160" t="s">
        <v>1812</v>
      </c>
      <c r="DN673" s="161" t="s">
        <v>1813</v>
      </c>
      <c r="DP673" s="130">
        <v>1</v>
      </c>
    </row>
    <row r="674" spans="2:120" ht="15">
      <c r="B674" s="231"/>
      <c r="C674" s="231"/>
      <c r="D674" s="231"/>
      <c r="E674" s="231" cm="1">
        <f t="array" ref="E674">IF(H673&lt;&gt;"",E673,IF(E673="","",IFERROR(MATCH(TRUE(),INDEX(INDEX(K:K,E673+1):K203&lt;&gt;"",0),0)+E673,"")))</f>
        <v>766</v>
      </c>
      <c r="F674" s="232" cm="1">
        <f t="array" ref="F674">IF(E674="","",IF(H673&lt;&gt;"",H673,INDEX(D:D,E674)))</f>
        <v>0</v>
      </c>
      <c r="G674" s="232" t="str">
        <f t="shared" si="72"/>
        <v>0</v>
      </c>
      <c r="H674" s="233" t="str">
        <f t="shared" si="73"/>
        <v/>
      </c>
      <c r="I674" s="231" t="str">
        <f>IF(AND(F674&lt;&gt;"",N10&gt;0,M674&gt;N10),"Mot &gt; limite","")</f>
        <v/>
      </c>
      <c r="M674" s="126">
        <f>IF(OR(F674="",N10="",N10&lt;=0),"",IF(LEN(F674)&lt;=N10,LEN(F674),IFERROR(FIND("♦",SUBSTITUTE(LEFT(F674,N10)," ","♦",LEN(LEFT(F674,N10))-LEN(SUBSTITUTE(LEFT(F674,N10)," ","")))),FIND(" ",F674&amp;" ",N10+1)-1)))</f>
        <v>1</v>
      </c>
      <c r="N674" s="234">
        <f t="shared" si="74"/>
        <v>657</v>
      </c>
      <c r="O674" s="165" t="str">
        <f t="shared" si="75"/>
        <v>0</v>
      </c>
      <c r="P674" s="234">
        <f t="shared" si="76"/>
        <v>1</v>
      </c>
      <c r="Q674" s="234">
        <f t="shared" si="77"/>
        <v>1</v>
      </c>
      <c r="DE674" s="152"/>
      <c r="DF674" s="160" t="s">
        <v>2265</v>
      </c>
      <c r="DG674" s="160" t="s">
        <v>122</v>
      </c>
      <c r="DH674" s="160" t="s">
        <v>125</v>
      </c>
      <c r="DI674" s="160" t="s">
        <v>2266</v>
      </c>
      <c r="DJ674" s="160" t="s">
        <v>2266</v>
      </c>
      <c r="DK674" s="160" t="s">
        <v>1259</v>
      </c>
      <c r="DL674" s="160" t="s">
        <v>1260</v>
      </c>
      <c r="DM674" s="160" t="s">
        <v>1812</v>
      </c>
      <c r="DN674" s="161" t="s">
        <v>1813</v>
      </c>
      <c r="DP674" s="130">
        <v>1</v>
      </c>
    </row>
    <row r="675" spans="2:120" ht="15">
      <c r="B675" s="231"/>
      <c r="C675" s="231"/>
      <c r="D675" s="231"/>
      <c r="E675" s="231" cm="1">
        <f t="array" ref="E675">IF(H674&lt;&gt;"",E674,IF(E674="","",IFERROR(MATCH(TRUE(),INDEX(INDEX(K:K,E674+1):K203&lt;&gt;"",0),0)+E674,"")))</f>
        <v>767</v>
      </c>
      <c r="F675" s="232" cm="1">
        <f t="array" ref="F675">IF(E675="","",IF(H674&lt;&gt;"",H674,INDEX(D:D,E675)))</f>
        <v>0</v>
      </c>
      <c r="G675" s="232" t="str">
        <f t="shared" si="72"/>
        <v>0</v>
      </c>
      <c r="H675" s="233" t="str">
        <f t="shared" si="73"/>
        <v/>
      </c>
      <c r="I675" s="231" t="str">
        <f>IF(AND(F675&lt;&gt;"",N10&gt;0,M675&gt;N10),"Mot &gt; limite","")</f>
        <v/>
      </c>
      <c r="M675" s="126">
        <f>IF(OR(F675="",N10="",N10&lt;=0),"",IF(LEN(F675)&lt;=N10,LEN(F675),IFERROR(FIND("♦",SUBSTITUTE(LEFT(F675,N10)," ","♦",LEN(LEFT(F675,N10))-LEN(SUBSTITUTE(LEFT(F675,N10)," ","")))),FIND(" ",F675&amp;" ",N10+1)-1)))</f>
        <v>1</v>
      </c>
      <c r="N675" s="234">
        <f t="shared" si="74"/>
        <v>658</v>
      </c>
      <c r="O675" s="165" t="str">
        <f t="shared" si="75"/>
        <v>0</v>
      </c>
      <c r="P675" s="234">
        <f t="shared" si="76"/>
        <v>1</v>
      </c>
      <c r="Q675" s="234">
        <f t="shared" si="77"/>
        <v>1</v>
      </c>
      <c r="DE675" s="152"/>
      <c r="DF675" s="160" t="s">
        <v>2267</v>
      </c>
      <c r="DG675" s="160" t="s">
        <v>122</v>
      </c>
      <c r="DH675" s="160" t="s">
        <v>125</v>
      </c>
      <c r="DI675" s="160" t="s">
        <v>2268</v>
      </c>
      <c r="DJ675" s="160" t="s">
        <v>2268</v>
      </c>
      <c r="DK675" s="160" t="s">
        <v>1259</v>
      </c>
      <c r="DL675" s="160" t="s">
        <v>1260</v>
      </c>
      <c r="DM675" s="160" t="s">
        <v>1812</v>
      </c>
      <c r="DN675" s="161" t="s">
        <v>1813</v>
      </c>
      <c r="DP675" s="130">
        <v>1</v>
      </c>
    </row>
    <row r="676" spans="2:120" ht="15">
      <c r="B676" s="231"/>
      <c r="C676" s="231"/>
      <c r="D676" s="231"/>
      <c r="E676" s="231" cm="1">
        <f t="array" ref="E676">IF(H675&lt;&gt;"",E675,IF(E675="","",IFERROR(MATCH(TRUE(),INDEX(INDEX(K:K,E675+1):K203&lt;&gt;"",0),0)+E675,"")))</f>
        <v>768</v>
      </c>
      <c r="F676" s="232" cm="1">
        <f t="array" ref="F676">IF(E676="","",IF(H675&lt;&gt;"",H675,INDEX(D:D,E676)))</f>
        <v>0</v>
      </c>
      <c r="G676" s="232" t="str">
        <f t="shared" si="72"/>
        <v>0</v>
      </c>
      <c r="H676" s="233" t="str">
        <f t="shared" si="73"/>
        <v/>
      </c>
      <c r="I676" s="231" t="str">
        <f>IF(AND(F676&lt;&gt;"",N10&gt;0,M676&gt;N10),"Mot &gt; limite","")</f>
        <v/>
      </c>
      <c r="M676" s="126">
        <f>IF(OR(F676="",N10="",N10&lt;=0),"",IF(LEN(F676)&lt;=N10,LEN(F676),IFERROR(FIND("♦",SUBSTITUTE(LEFT(F676,N10)," ","♦",LEN(LEFT(F676,N10))-LEN(SUBSTITUTE(LEFT(F676,N10)," ","")))),FIND(" ",F676&amp;" ",N10+1)-1)))</f>
        <v>1</v>
      </c>
      <c r="N676" s="234">
        <f t="shared" si="74"/>
        <v>659</v>
      </c>
      <c r="O676" s="165" t="str">
        <f t="shared" si="75"/>
        <v>0</v>
      </c>
      <c r="P676" s="234">
        <f t="shared" si="76"/>
        <v>1</v>
      </c>
      <c r="Q676" s="234">
        <f t="shared" si="77"/>
        <v>1</v>
      </c>
      <c r="DE676" s="152"/>
      <c r="DF676" s="160" t="s">
        <v>2269</v>
      </c>
      <c r="DG676" s="160" t="s">
        <v>122</v>
      </c>
      <c r="DH676" s="160" t="s">
        <v>125</v>
      </c>
      <c r="DI676" s="160" t="s">
        <v>2270</v>
      </c>
      <c r="DJ676" s="160" t="s">
        <v>2270</v>
      </c>
      <c r="DK676" s="160" t="s">
        <v>1259</v>
      </c>
      <c r="DL676" s="160" t="s">
        <v>1260</v>
      </c>
      <c r="DM676" s="160" t="s">
        <v>1812</v>
      </c>
      <c r="DN676" s="161" t="s">
        <v>1813</v>
      </c>
      <c r="DP676" s="130">
        <v>1</v>
      </c>
    </row>
    <row r="677" spans="2:120" ht="15">
      <c r="B677" s="231"/>
      <c r="C677" s="231"/>
      <c r="D677" s="231"/>
      <c r="E677" s="231" cm="1">
        <f t="array" ref="E677">IF(H676&lt;&gt;"",E676,IF(E676="","",IFERROR(MATCH(TRUE(),INDEX(INDEX(K:K,E676+1):K203&lt;&gt;"",0),0)+E676,"")))</f>
        <v>769</v>
      </c>
      <c r="F677" s="232" cm="1">
        <f t="array" ref="F677">IF(E677="","",IF(H676&lt;&gt;"",H676,INDEX(D:D,E677)))</f>
        <v>0</v>
      </c>
      <c r="G677" s="232" t="str">
        <f t="shared" si="72"/>
        <v>0</v>
      </c>
      <c r="H677" s="233" t="str">
        <f t="shared" si="73"/>
        <v/>
      </c>
      <c r="I677" s="231" t="str">
        <f>IF(AND(F677&lt;&gt;"",N10&gt;0,M677&gt;N10),"Mot &gt; limite","")</f>
        <v/>
      </c>
      <c r="M677" s="126">
        <f>IF(OR(F677="",N10="",N10&lt;=0),"",IF(LEN(F677)&lt;=N10,LEN(F677),IFERROR(FIND("♦",SUBSTITUTE(LEFT(F677,N10)," ","♦",LEN(LEFT(F677,N10))-LEN(SUBSTITUTE(LEFT(F677,N10)," ","")))),FIND(" ",F677&amp;" ",N10+1)-1)))</f>
        <v>1</v>
      </c>
      <c r="N677" s="234">
        <f t="shared" si="74"/>
        <v>660</v>
      </c>
      <c r="O677" s="165" t="str">
        <f t="shared" si="75"/>
        <v>0</v>
      </c>
      <c r="P677" s="234">
        <f t="shared" si="76"/>
        <v>1</v>
      </c>
      <c r="Q677" s="234">
        <f t="shared" si="77"/>
        <v>1</v>
      </c>
      <c r="DE677" s="152"/>
      <c r="DF677" s="160" t="s">
        <v>2271</v>
      </c>
      <c r="DG677" s="160" t="s">
        <v>122</v>
      </c>
      <c r="DH677" s="160" t="s">
        <v>125</v>
      </c>
      <c r="DI677" s="160" t="s">
        <v>2272</v>
      </c>
      <c r="DJ677" s="160" t="s">
        <v>2272</v>
      </c>
      <c r="DK677" s="160" t="s">
        <v>1259</v>
      </c>
      <c r="DL677" s="160" t="s">
        <v>1260</v>
      </c>
      <c r="DM677" s="160" t="s">
        <v>1812</v>
      </c>
      <c r="DN677" s="161" t="s">
        <v>1813</v>
      </c>
      <c r="DP677" s="130">
        <v>1</v>
      </c>
    </row>
    <row r="678" spans="2:120" ht="15">
      <c r="B678" s="231"/>
      <c r="C678" s="231"/>
      <c r="D678" s="231"/>
      <c r="E678" s="231" cm="1">
        <f t="array" ref="E678">IF(H677&lt;&gt;"",E677,IF(E677="","",IFERROR(MATCH(TRUE(),INDEX(INDEX(K:K,E677+1):K203&lt;&gt;"",0),0)+E677,"")))</f>
        <v>770</v>
      </c>
      <c r="F678" s="232" cm="1">
        <f t="array" ref="F678">IF(E678="","",IF(H677&lt;&gt;"",H677,INDEX(D:D,E678)))</f>
        <v>0</v>
      </c>
      <c r="G678" s="232" t="str">
        <f t="shared" si="72"/>
        <v>0</v>
      </c>
      <c r="H678" s="233" t="str">
        <f t="shared" si="73"/>
        <v/>
      </c>
      <c r="I678" s="231" t="str">
        <f>IF(AND(F678&lt;&gt;"",N10&gt;0,M678&gt;N10),"Mot &gt; limite","")</f>
        <v/>
      </c>
      <c r="M678" s="126">
        <f>IF(OR(F678="",N10="",N10&lt;=0),"",IF(LEN(F678)&lt;=N10,LEN(F678),IFERROR(FIND("♦",SUBSTITUTE(LEFT(F678,N10)," ","♦",LEN(LEFT(F678,N10))-LEN(SUBSTITUTE(LEFT(F678,N10)," ","")))),FIND(" ",F678&amp;" ",N10+1)-1)))</f>
        <v>1</v>
      </c>
      <c r="N678" s="234">
        <f t="shared" si="74"/>
        <v>661</v>
      </c>
      <c r="O678" s="165" t="str">
        <f t="shared" si="75"/>
        <v>0</v>
      </c>
      <c r="P678" s="234">
        <f t="shared" si="76"/>
        <v>1</v>
      </c>
      <c r="Q678" s="234">
        <f t="shared" si="77"/>
        <v>1</v>
      </c>
      <c r="DE678" s="152"/>
      <c r="DF678" s="160" t="s">
        <v>2273</v>
      </c>
      <c r="DG678" s="160" t="s">
        <v>122</v>
      </c>
      <c r="DH678" s="160" t="s">
        <v>125</v>
      </c>
      <c r="DI678" s="160" t="s">
        <v>2274</v>
      </c>
      <c r="DJ678" s="160" t="s">
        <v>2274</v>
      </c>
      <c r="DK678" s="160" t="s">
        <v>1259</v>
      </c>
      <c r="DL678" s="160" t="s">
        <v>1260</v>
      </c>
      <c r="DM678" s="160" t="s">
        <v>1812</v>
      </c>
      <c r="DN678" s="161" t="s">
        <v>1813</v>
      </c>
      <c r="DP678" s="130">
        <v>1</v>
      </c>
    </row>
    <row r="679" spans="2:120" ht="15">
      <c r="B679" s="231"/>
      <c r="C679" s="231"/>
      <c r="D679" s="231"/>
      <c r="E679" s="231" cm="1">
        <f t="array" ref="E679">IF(H678&lt;&gt;"",E678,IF(E678="","",IFERROR(MATCH(TRUE(),INDEX(INDEX(K:K,E678+1):K203&lt;&gt;"",0),0)+E678,"")))</f>
        <v>771</v>
      </c>
      <c r="F679" s="232" cm="1">
        <f t="array" ref="F679">IF(E679="","",IF(H678&lt;&gt;"",H678,INDEX(D:D,E679)))</f>
        <v>0</v>
      </c>
      <c r="G679" s="232" t="str">
        <f t="shared" si="72"/>
        <v>0</v>
      </c>
      <c r="H679" s="233" t="str">
        <f t="shared" si="73"/>
        <v/>
      </c>
      <c r="I679" s="231" t="str">
        <f>IF(AND(F679&lt;&gt;"",N10&gt;0,M679&gt;N10),"Mot &gt; limite","")</f>
        <v/>
      </c>
      <c r="M679" s="126">
        <f>IF(OR(F679="",N10="",N10&lt;=0),"",IF(LEN(F679)&lt;=N10,LEN(F679),IFERROR(FIND("♦",SUBSTITUTE(LEFT(F679,N10)," ","♦",LEN(LEFT(F679,N10))-LEN(SUBSTITUTE(LEFT(F679,N10)," ","")))),FIND(" ",F679&amp;" ",N10+1)-1)))</f>
        <v>1</v>
      </c>
      <c r="N679" s="234">
        <f t="shared" si="74"/>
        <v>662</v>
      </c>
      <c r="O679" s="165" t="str">
        <f t="shared" si="75"/>
        <v>0</v>
      </c>
      <c r="P679" s="234">
        <f t="shared" si="76"/>
        <v>1</v>
      </c>
      <c r="Q679" s="234">
        <f t="shared" si="77"/>
        <v>1</v>
      </c>
      <c r="DE679" s="152"/>
      <c r="DF679" s="160" t="s">
        <v>2275</v>
      </c>
      <c r="DG679" s="160" t="s">
        <v>122</v>
      </c>
      <c r="DH679" s="160" t="s">
        <v>125</v>
      </c>
      <c r="DI679" s="160" t="s">
        <v>2276</v>
      </c>
      <c r="DJ679" s="160" t="s">
        <v>2276</v>
      </c>
      <c r="DK679" s="160" t="s">
        <v>1259</v>
      </c>
      <c r="DL679" s="160" t="s">
        <v>1260</v>
      </c>
      <c r="DM679" s="160" t="s">
        <v>1812</v>
      </c>
      <c r="DN679" s="161" t="s">
        <v>1813</v>
      </c>
      <c r="DP679" s="130">
        <v>1</v>
      </c>
    </row>
    <row r="680" spans="2:120" ht="15">
      <c r="B680" s="231"/>
      <c r="C680" s="231"/>
      <c r="D680" s="231"/>
      <c r="E680" s="231" cm="1">
        <f t="array" ref="E680">IF(H679&lt;&gt;"",E679,IF(E679="","",IFERROR(MATCH(TRUE(),INDEX(INDEX(K:K,E679+1):K203&lt;&gt;"",0),0)+E679,"")))</f>
        <v>772</v>
      </c>
      <c r="F680" s="232" cm="1">
        <f t="array" ref="F680">IF(E680="","",IF(H679&lt;&gt;"",H679,INDEX(D:D,E680)))</f>
        <v>0</v>
      </c>
      <c r="G680" s="232" t="str">
        <f t="shared" si="72"/>
        <v>0</v>
      </c>
      <c r="H680" s="233" t="str">
        <f t="shared" si="73"/>
        <v/>
      </c>
      <c r="I680" s="231" t="str">
        <f>IF(AND(F680&lt;&gt;"",N10&gt;0,M680&gt;N10),"Mot &gt; limite","")</f>
        <v/>
      </c>
      <c r="M680" s="126">
        <f>IF(OR(F680="",N10="",N10&lt;=0),"",IF(LEN(F680)&lt;=N10,LEN(F680),IFERROR(FIND("♦",SUBSTITUTE(LEFT(F680,N10)," ","♦",LEN(LEFT(F680,N10))-LEN(SUBSTITUTE(LEFT(F680,N10)," ","")))),FIND(" ",F680&amp;" ",N10+1)-1)))</f>
        <v>1</v>
      </c>
      <c r="N680" s="234">
        <f t="shared" si="74"/>
        <v>663</v>
      </c>
      <c r="O680" s="165" t="str">
        <f t="shared" si="75"/>
        <v>0</v>
      </c>
      <c r="P680" s="234">
        <f t="shared" si="76"/>
        <v>1</v>
      </c>
      <c r="Q680" s="234">
        <f t="shared" si="77"/>
        <v>1</v>
      </c>
      <c r="DE680" s="152"/>
      <c r="DF680" s="160" t="s">
        <v>2277</v>
      </c>
      <c r="DG680" s="160" t="s">
        <v>122</v>
      </c>
      <c r="DH680" s="160" t="s">
        <v>125</v>
      </c>
      <c r="DI680" s="160" t="s">
        <v>2278</v>
      </c>
      <c r="DJ680" s="160" t="s">
        <v>2278</v>
      </c>
      <c r="DK680" s="160" t="s">
        <v>1259</v>
      </c>
      <c r="DL680" s="160" t="s">
        <v>1260</v>
      </c>
      <c r="DM680" s="160" t="s">
        <v>1812</v>
      </c>
      <c r="DN680" s="161" t="s">
        <v>1813</v>
      </c>
      <c r="DP680" s="130">
        <v>1</v>
      </c>
    </row>
    <row r="681" spans="2:120" ht="15">
      <c r="B681" s="231"/>
      <c r="C681" s="231"/>
      <c r="D681" s="231"/>
      <c r="E681" s="231" cm="1">
        <f t="array" ref="E681">IF(H680&lt;&gt;"",E680,IF(E680="","",IFERROR(MATCH(TRUE(),INDEX(INDEX(K:K,E680+1):K203&lt;&gt;"",0),0)+E680,"")))</f>
        <v>773</v>
      </c>
      <c r="F681" s="232" cm="1">
        <f t="array" ref="F681">IF(E681="","",IF(H680&lt;&gt;"",H680,INDEX(D:D,E681)))</f>
        <v>0</v>
      </c>
      <c r="G681" s="232" t="str">
        <f t="shared" si="72"/>
        <v>0</v>
      </c>
      <c r="H681" s="233" t="str">
        <f t="shared" si="73"/>
        <v/>
      </c>
      <c r="I681" s="231" t="str">
        <f>IF(AND(F681&lt;&gt;"",N10&gt;0,M681&gt;N10),"Mot &gt; limite","")</f>
        <v/>
      </c>
      <c r="M681" s="126">
        <f>IF(OR(F681="",N10="",N10&lt;=0),"",IF(LEN(F681)&lt;=N10,LEN(F681),IFERROR(FIND("♦",SUBSTITUTE(LEFT(F681,N10)," ","♦",LEN(LEFT(F681,N10))-LEN(SUBSTITUTE(LEFT(F681,N10)," ","")))),FIND(" ",F681&amp;" ",N10+1)-1)))</f>
        <v>1</v>
      </c>
      <c r="N681" s="234">
        <f t="shared" si="74"/>
        <v>664</v>
      </c>
      <c r="O681" s="165" t="str">
        <f t="shared" si="75"/>
        <v>0</v>
      </c>
      <c r="P681" s="234">
        <f t="shared" si="76"/>
        <v>1</v>
      </c>
      <c r="Q681" s="234">
        <f t="shared" si="77"/>
        <v>1</v>
      </c>
      <c r="DE681" s="152"/>
      <c r="DF681" s="160" t="s">
        <v>2279</v>
      </c>
      <c r="DG681" s="160" t="s">
        <v>122</v>
      </c>
      <c r="DH681" s="160" t="s">
        <v>125</v>
      </c>
      <c r="DI681" s="160" t="s">
        <v>2280</v>
      </c>
      <c r="DJ681" s="160" t="s">
        <v>2280</v>
      </c>
      <c r="DK681" s="160" t="s">
        <v>1259</v>
      </c>
      <c r="DL681" s="160" t="s">
        <v>1260</v>
      </c>
      <c r="DM681" s="160" t="s">
        <v>1812</v>
      </c>
      <c r="DN681" s="161" t="s">
        <v>1813</v>
      </c>
      <c r="DP681" s="130">
        <v>1</v>
      </c>
    </row>
    <row r="682" spans="2:120" ht="15">
      <c r="B682" s="231"/>
      <c r="C682" s="231"/>
      <c r="D682" s="231"/>
      <c r="E682" s="231" cm="1">
        <f t="array" ref="E682">IF(H681&lt;&gt;"",E681,IF(E681="","",IFERROR(MATCH(TRUE(),INDEX(INDEX(K:K,E681+1):K203&lt;&gt;"",0),0)+E681,"")))</f>
        <v>774</v>
      </c>
      <c r="F682" s="232" cm="1">
        <f t="array" ref="F682">IF(E682="","",IF(H681&lt;&gt;"",H681,INDEX(D:D,E682)))</f>
        <v>0</v>
      </c>
      <c r="G682" s="232" t="str">
        <f t="shared" si="72"/>
        <v>0</v>
      </c>
      <c r="H682" s="233" t="str">
        <f t="shared" si="73"/>
        <v/>
      </c>
      <c r="I682" s="231" t="str">
        <f>IF(AND(F682&lt;&gt;"",N10&gt;0,M682&gt;N10),"Mot &gt; limite","")</f>
        <v/>
      </c>
      <c r="M682" s="126">
        <f>IF(OR(F682="",N10="",N10&lt;=0),"",IF(LEN(F682)&lt;=N10,LEN(F682),IFERROR(FIND("♦",SUBSTITUTE(LEFT(F682,N10)," ","♦",LEN(LEFT(F682,N10))-LEN(SUBSTITUTE(LEFT(F682,N10)," ","")))),FIND(" ",F682&amp;" ",N10+1)-1)))</f>
        <v>1</v>
      </c>
      <c r="N682" s="234">
        <f t="shared" si="74"/>
        <v>665</v>
      </c>
      <c r="O682" s="165" t="str">
        <f t="shared" si="75"/>
        <v>0</v>
      </c>
      <c r="P682" s="234">
        <f t="shared" si="76"/>
        <v>1</v>
      </c>
      <c r="Q682" s="234">
        <f t="shared" si="77"/>
        <v>1</v>
      </c>
      <c r="DE682" s="152"/>
      <c r="DF682" s="160" t="s">
        <v>2281</v>
      </c>
      <c r="DG682" s="160" t="s">
        <v>122</v>
      </c>
      <c r="DH682" s="160" t="s">
        <v>125</v>
      </c>
      <c r="DI682" s="160" t="s">
        <v>2282</v>
      </c>
      <c r="DJ682" s="160" t="s">
        <v>2282</v>
      </c>
      <c r="DK682" s="160" t="s">
        <v>1259</v>
      </c>
      <c r="DL682" s="160" t="s">
        <v>1260</v>
      </c>
      <c r="DM682" s="160" t="s">
        <v>1812</v>
      </c>
      <c r="DN682" s="161" t="s">
        <v>1813</v>
      </c>
      <c r="DP682" s="130">
        <v>1</v>
      </c>
    </row>
    <row r="683" spans="2:120" ht="15">
      <c r="B683" s="231"/>
      <c r="C683" s="231"/>
      <c r="D683" s="231"/>
      <c r="E683" s="231" cm="1">
        <f t="array" ref="E683">IF(H682&lt;&gt;"",E682,IF(E682="","",IFERROR(MATCH(TRUE(),INDEX(INDEX(K:K,E682+1):K203&lt;&gt;"",0),0)+E682,"")))</f>
        <v>775</v>
      </c>
      <c r="F683" s="232" cm="1">
        <f t="array" ref="F683">IF(E683="","",IF(H682&lt;&gt;"",H682,INDEX(D:D,E683)))</f>
        <v>0</v>
      </c>
      <c r="G683" s="232" t="str">
        <f t="shared" si="72"/>
        <v>0</v>
      </c>
      <c r="H683" s="233" t="str">
        <f t="shared" si="73"/>
        <v/>
      </c>
      <c r="I683" s="231" t="str">
        <f>IF(AND(F683&lt;&gt;"",N10&gt;0,M683&gt;N10),"Mot &gt; limite","")</f>
        <v/>
      </c>
      <c r="M683" s="126">
        <f>IF(OR(F683="",N10="",N10&lt;=0),"",IF(LEN(F683)&lt;=N10,LEN(F683),IFERROR(FIND("♦",SUBSTITUTE(LEFT(F683,N10)," ","♦",LEN(LEFT(F683,N10))-LEN(SUBSTITUTE(LEFT(F683,N10)," ","")))),FIND(" ",F683&amp;" ",N10+1)-1)))</f>
        <v>1</v>
      </c>
      <c r="N683" s="234">
        <f t="shared" si="74"/>
        <v>666</v>
      </c>
      <c r="O683" s="165" t="str">
        <f t="shared" si="75"/>
        <v>0</v>
      </c>
      <c r="P683" s="234">
        <f t="shared" si="76"/>
        <v>1</v>
      </c>
      <c r="Q683" s="234">
        <f t="shared" si="77"/>
        <v>1</v>
      </c>
      <c r="DE683" s="152"/>
      <c r="DF683" s="160" t="s">
        <v>2283</v>
      </c>
      <c r="DG683" s="160" t="s">
        <v>122</v>
      </c>
      <c r="DH683" s="160" t="s">
        <v>125</v>
      </c>
      <c r="DI683" s="160" t="s">
        <v>2284</v>
      </c>
      <c r="DJ683" s="160" t="s">
        <v>2284</v>
      </c>
      <c r="DK683" s="160" t="s">
        <v>1259</v>
      </c>
      <c r="DL683" s="160" t="s">
        <v>1260</v>
      </c>
      <c r="DM683" s="160" t="s">
        <v>1812</v>
      </c>
      <c r="DN683" s="161" t="s">
        <v>1813</v>
      </c>
      <c r="DP683" s="130">
        <v>1</v>
      </c>
    </row>
    <row r="684" spans="2:120" ht="15">
      <c r="B684" s="231"/>
      <c r="C684" s="231"/>
      <c r="D684" s="231"/>
      <c r="E684" s="231" cm="1">
        <f t="array" ref="E684">IF(H683&lt;&gt;"",E683,IF(E683="","",IFERROR(MATCH(TRUE(),INDEX(INDEX(K:K,E683+1):K203&lt;&gt;"",0),0)+E683,"")))</f>
        <v>776</v>
      </c>
      <c r="F684" s="232" cm="1">
        <f t="array" ref="F684">IF(E684="","",IF(H683&lt;&gt;"",H683,INDEX(D:D,E684)))</f>
        <v>0</v>
      </c>
      <c r="G684" s="232" t="str">
        <f t="shared" si="72"/>
        <v>0</v>
      </c>
      <c r="H684" s="233" t="str">
        <f t="shared" si="73"/>
        <v/>
      </c>
      <c r="I684" s="231" t="str">
        <f>IF(AND(F684&lt;&gt;"",N10&gt;0,M684&gt;N10),"Mot &gt; limite","")</f>
        <v/>
      </c>
      <c r="M684" s="126">
        <f>IF(OR(F684="",N10="",N10&lt;=0),"",IF(LEN(F684)&lt;=N10,LEN(F684),IFERROR(FIND("♦",SUBSTITUTE(LEFT(F684,N10)," ","♦",LEN(LEFT(F684,N10))-LEN(SUBSTITUTE(LEFT(F684,N10)," ","")))),FIND(" ",F684&amp;" ",N10+1)-1)))</f>
        <v>1</v>
      </c>
      <c r="N684" s="234">
        <f t="shared" si="74"/>
        <v>667</v>
      </c>
      <c r="O684" s="165" t="str">
        <f t="shared" si="75"/>
        <v>0</v>
      </c>
      <c r="P684" s="234">
        <f t="shared" si="76"/>
        <v>1</v>
      </c>
      <c r="Q684" s="234">
        <f t="shared" si="77"/>
        <v>1</v>
      </c>
      <c r="DE684" s="152"/>
      <c r="DF684" s="160" t="s">
        <v>2285</v>
      </c>
      <c r="DG684" s="160" t="s">
        <v>122</v>
      </c>
      <c r="DH684" s="160" t="s">
        <v>125</v>
      </c>
      <c r="DI684" s="160" t="s">
        <v>2286</v>
      </c>
      <c r="DJ684" s="160" t="s">
        <v>2286</v>
      </c>
      <c r="DK684" s="160" t="s">
        <v>1259</v>
      </c>
      <c r="DL684" s="160" t="s">
        <v>1260</v>
      </c>
      <c r="DM684" s="160" t="s">
        <v>1812</v>
      </c>
      <c r="DN684" s="161" t="s">
        <v>1813</v>
      </c>
      <c r="DP684" s="130">
        <v>1</v>
      </c>
    </row>
    <row r="685" spans="2:120" ht="15">
      <c r="B685" s="231"/>
      <c r="C685" s="231"/>
      <c r="D685" s="231"/>
      <c r="E685" s="231" cm="1">
        <f t="array" ref="E685">IF(H684&lt;&gt;"",E684,IF(E684="","",IFERROR(MATCH(TRUE(),INDEX(INDEX(K:K,E684+1):K203&lt;&gt;"",0),0)+E684,"")))</f>
        <v>777</v>
      </c>
      <c r="F685" s="232" cm="1">
        <f t="array" ref="F685">IF(E685="","",IF(H684&lt;&gt;"",H684,INDEX(D:D,E685)))</f>
        <v>0</v>
      </c>
      <c r="G685" s="232" t="str">
        <f t="shared" si="72"/>
        <v>0</v>
      </c>
      <c r="H685" s="233" t="str">
        <f t="shared" si="73"/>
        <v/>
      </c>
      <c r="I685" s="231" t="str">
        <f>IF(AND(F685&lt;&gt;"",N10&gt;0,M685&gt;N10),"Mot &gt; limite","")</f>
        <v/>
      </c>
      <c r="M685" s="126">
        <f>IF(OR(F685="",N10="",N10&lt;=0),"",IF(LEN(F685)&lt;=N10,LEN(F685),IFERROR(FIND("♦",SUBSTITUTE(LEFT(F685,N10)," ","♦",LEN(LEFT(F685,N10))-LEN(SUBSTITUTE(LEFT(F685,N10)," ","")))),FIND(" ",F685&amp;" ",N10+1)-1)))</f>
        <v>1</v>
      </c>
      <c r="N685" s="234">
        <f t="shared" si="74"/>
        <v>668</v>
      </c>
      <c r="O685" s="165" t="str">
        <f t="shared" si="75"/>
        <v>0</v>
      </c>
      <c r="P685" s="234">
        <f t="shared" si="76"/>
        <v>1</v>
      </c>
      <c r="Q685" s="234">
        <f t="shared" si="77"/>
        <v>1</v>
      </c>
      <c r="DE685" s="152"/>
      <c r="DF685" s="160" t="s">
        <v>2287</v>
      </c>
      <c r="DG685" s="160" t="s">
        <v>122</v>
      </c>
      <c r="DH685" s="160" t="s">
        <v>125</v>
      </c>
      <c r="DI685" s="160" t="s">
        <v>2288</v>
      </c>
      <c r="DJ685" s="160" t="s">
        <v>2288</v>
      </c>
      <c r="DK685" s="160" t="s">
        <v>1259</v>
      </c>
      <c r="DL685" s="160" t="s">
        <v>1260</v>
      </c>
      <c r="DM685" s="160" t="s">
        <v>1812</v>
      </c>
      <c r="DN685" s="161" t="s">
        <v>1813</v>
      </c>
      <c r="DP685" s="130">
        <v>1</v>
      </c>
    </row>
    <row r="686" spans="2:120" ht="15">
      <c r="B686" s="231"/>
      <c r="C686" s="231"/>
      <c r="D686" s="231"/>
      <c r="E686" s="231" cm="1">
        <f t="array" ref="E686">IF(H685&lt;&gt;"",E685,IF(E685="","",IFERROR(MATCH(TRUE(),INDEX(INDEX(K:K,E685+1):K203&lt;&gt;"",0),0)+E685,"")))</f>
        <v>778</v>
      </c>
      <c r="F686" s="232" cm="1">
        <f t="array" ref="F686">IF(E686="","",IF(H685&lt;&gt;"",H685,INDEX(D:D,E686)))</f>
        <v>0</v>
      </c>
      <c r="G686" s="232" t="str">
        <f t="shared" si="72"/>
        <v>0</v>
      </c>
      <c r="H686" s="233" t="str">
        <f t="shared" si="73"/>
        <v/>
      </c>
      <c r="I686" s="231" t="str">
        <f>IF(AND(F686&lt;&gt;"",N10&gt;0,M686&gt;N10),"Mot &gt; limite","")</f>
        <v/>
      </c>
      <c r="M686" s="126">
        <f>IF(OR(F686="",N10="",N10&lt;=0),"",IF(LEN(F686)&lt;=N10,LEN(F686),IFERROR(FIND("♦",SUBSTITUTE(LEFT(F686,N10)," ","♦",LEN(LEFT(F686,N10))-LEN(SUBSTITUTE(LEFT(F686,N10)," ","")))),FIND(" ",F686&amp;" ",N10+1)-1)))</f>
        <v>1</v>
      </c>
      <c r="N686" s="234">
        <f t="shared" si="74"/>
        <v>669</v>
      </c>
      <c r="O686" s="165" t="str">
        <f t="shared" si="75"/>
        <v>0</v>
      </c>
      <c r="P686" s="234">
        <f t="shared" si="76"/>
        <v>1</v>
      </c>
      <c r="Q686" s="234">
        <f t="shared" si="77"/>
        <v>1</v>
      </c>
      <c r="DE686" s="152"/>
      <c r="DF686" s="160" t="s">
        <v>2289</v>
      </c>
      <c r="DG686" s="160" t="s">
        <v>122</v>
      </c>
      <c r="DH686" s="160" t="s">
        <v>125</v>
      </c>
      <c r="DI686" s="160" t="s">
        <v>2290</v>
      </c>
      <c r="DJ686" s="160" t="s">
        <v>2290</v>
      </c>
      <c r="DK686" s="160" t="s">
        <v>1259</v>
      </c>
      <c r="DL686" s="160" t="s">
        <v>1260</v>
      </c>
      <c r="DM686" s="160" t="s">
        <v>1812</v>
      </c>
      <c r="DN686" s="161" t="s">
        <v>1813</v>
      </c>
      <c r="DP686" s="130">
        <v>1</v>
      </c>
    </row>
    <row r="687" spans="2:120" ht="15">
      <c r="B687" s="231"/>
      <c r="C687" s="231"/>
      <c r="D687" s="231"/>
      <c r="E687" s="231" cm="1">
        <f t="array" ref="E687">IF(H686&lt;&gt;"",E686,IF(E686="","",IFERROR(MATCH(TRUE(),INDEX(INDEX(K:K,E686+1):K203&lt;&gt;"",0),0)+E686,"")))</f>
        <v>779</v>
      </c>
      <c r="F687" s="232" cm="1">
        <f t="array" ref="F687">IF(E687="","",IF(H686&lt;&gt;"",H686,INDEX(D:D,E687)))</f>
        <v>0</v>
      </c>
      <c r="G687" s="232" t="str">
        <f t="shared" si="72"/>
        <v>0</v>
      </c>
      <c r="H687" s="233" t="str">
        <f t="shared" si="73"/>
        <v/>
      </c>
      <c r="I687" s="231" t="str">
        <f>IF(AND(F687&lt;&gt;"",N10&gt;0,M687&gt;N10),"Mot &gt; limite","")</f>
        <v/>
      </c>
      <c r="M687" s="126">
        <f>IF(OR(F687="",N10="",N10&lt;=0),"",IF(LEN(F687)&lt;=N10,LEN(F687),IFERROR(FIND("♦",SUBSTITUTE(LEFT(F687,N10)," ","♦",LEN(LEFT(F687,N10))-LEN(SUBSTITUTE(LEFT(F687,N10)," ","")))),FIND(" ",F687&amp;" ",N10+1)-1)))</f>
        <v>1</v>
      </c>
      <c r="N687" s="234">
        <f t="shared" si="74"/>
        <v>670</v>
      </c>
      <c r="O687" s="165" t="str">
        <f t="shared" si="75"/>
        <v>0</v>
      </c>
      <c r="P687" s="234">
        <f t="shared" si="76"/>
        <v>1</v>
      </c>
      <c r="Q687" s="234">
        <f t="shared" si="77"/>
        <v>1</v>
      </c>
      <c r="DE687" s="152"/>
      <c r="DF687" s="160" t="s">
        <v>2291</v>
      </c>
      <c r="DG687" s="160" t="s">
        <v>122</v>
      </c>
      <c r="DH687" s="160" t="s">
        <v>125</v>
      </c>
      <c r="DI687" s="160" t="s">
        <v>2292</v>
      </c>
      <c r="DJ687" s="160" t="s">
        <v>2292</v>
      </c>
      <c r="DK687" s="160" t="s">
        <v>1259</v>
      </c>
      <c r="DL687" s="160" t="s">
        <v>1260</v>
      </c>
      <c r="DM687" s="160" t="s">
        <v>1812</v>
      </c>
      <c r="DN687" s="161" t="s">
        <v>1813</v>
      </c>
      <c r="DP687" s="130">
        <v>1</v>
      </c>
    </row>
    <row r="688" spans="2:120" ht="15">
      <c r="B688" s="231"/>
      <c r="C688" s="231"/>
      <c r="D688" s="231"/>
      <c r="E688" s="231" cm="1">
        <f t="array" ref="E688">IF(H687&lt;&gt;"",E687,IF(E687="","",IFERROR(MATCH(TRUE(),INDEX(INDEX(K:K,E687+1):K203&lt;&gt;"",0),0)+E687,"")))</f>
        <v>780</v>
      </c>
      <c r="F688" s="232" cm="1">
        <f t="array" ref="F688">IF(E688="","",IF(H687&lt;&gt;"",H687,INDEX(D:D,E688)))</f>
        <v>0</v>
      </c>
      <c r="G688" s="232" t="str">
        <f t="shared" si="72"/>
        <v>0</v>
      </c>
      <c r="H688" s="233" t="str">
        <f t="shared" si="73"/>
        <v/>
      </c>
      <c r="I688" s="231" t="str">
        <f>IF(AND(F688&lt;&gt;"",N10&gt;0,M688&gt;N10),"Mot &gt; limite","")</f>
        <v/>
      </c>
      <c r="M688" s="126">
        <f>IF(OR(F688="",N10="",N10&lt;=0),"",IF(LEN(F688)&lt;=N10,LEN(F688),IFERROR(FIND("♦",SUBSTITUTE(LEFT(F688,N10)," ","♦",LEN(LEFT(F688,N10))-LEN(SUBSTITUTE(LEFT(F688,N10)," ","")))),FIND(" ",F688&amp;" ",N10+1)-1)))</f>
        <v>1</v>
      </c>
      <c r="N688" s="234">
        <f t="shared" si="74"/>
        <v>671</v>
      </c>
      <c r="O688" s="165" t="str">
        <f t="shared" si="75"/>
        <v>0</v>
      </c>
      <c r="P688" s="234">
        <f t="shared" si="76"/>
        <v>1</v>
      </c>
      <c r="Q688" s="234">
        <f t="shared" si="77"/>
        <v>1</v>
      </c>
      <c r="DE688" s="152"/>
      <c r="DF688" s="160" t="s">
        <v>2293</v>
      </c>
      <c r="DG688" s="160" t="s">
        <v>122</v>
      </c>
      <c r="DH688" s="160" t="s">
        <v>125</v>
      </c>
      <c r="DI688" s="160" t="s">
        <v>2294</v>
      </c>
      <c r="DJ688" s="160" t="s">
        <v>2294</v>
      </c>
      <c r="DK688" s="160" t="s">
        <v>1259</v>
      </c>
      <c r="DL688" s="160" t="s">
        <v>1260</v>
      </c>
      <c r="DM688" s="160" t="s">
        <v>1812</v>
      </c>
      <c r="DN688" s="161" t="s">
        <v>1813</v>
      </c>
      <c r="DP688" s="130">
        <v>1</v>
      </c>
    </row>
    <row r="689" spans="2:120" ht="15">
      <c r="B689" s="231"/>
      <c r="C689" s="231"/>
      <c r="D689" s="231"/>
      <c r="E689" s="231" cm="1">
        <f t="array" ref="E689">IF(H688&lt;&gt;"",E688,IF(E688="","",IFERROR(MATCH(TRUE(),INDEX(INDEX(K:K,E688+1):K203&lt;&gt;"",0),0)+E688,"")))</f>
        <v>781</v>
      </c>
      <c r="F689" s="232" cm="1">
        <f t="array" ref="F689">IF(E689="","",IF(H688&lt;&gt;"",H688,INDEX(D:D,E689)))</f>
        <v>0</v>
      </c>
      <c r="G689" s="232" t="str">
        <f t="shared" si="72"/>
        <v>0</v>
      </c>
      <c r="H689" s="233" t="str">
        <f t="shared" si="73"/>
        <v/>
      </c>
      <c r="I689" s="231" t="str">
        <f>IF(AND(F689&lt;&gt;"",N10&gt;0,M689&gt;N10),"Mot &gt; limite","")</f>
        <v/>
      </c>
      <c r="M689" s="126">
        <f>IF(OR(F689="",N10="",N10&lt;=0),"",IF(LEN(F689)&lt;=N10,LEN(F689),IFERROR(FIND("♦",SUBSTITUTE(LEFT(F689,N10)," ","♦",LEN(LEFT(F689,N10))-LEN(SUBSTITUTE(LEFT(F689,N10)," ","")))),FIND(" ",F689&amp;" ",N10+1)-1)))</f>
        <v>1</v>
      </c>
      <c r="N689" s="234">
        <f t="shared" si="74"/>
        <v>672</v>
      </c>
      <c r="O689" s="165" t="str">
        <f t="shared" si="75"/>
        <v>0</v>
      </c>
      <c r="P689" s="234">
        <f t="shared" si="76"/>
        <v>1</v>
      </c>
      <c r="Q689" s="234">
        <f t="shared" si="77"/>
        <v>1</v>
      </c>
      <c r="DE689" s="152"/>
      <c r="DF689" s="160" t="s">
        <v>2295</v>
      </c>
      <c r="DG689" s="160" t="s">
        <v>122</v>
      </c>
      <c r="DH689" s="160" t="s">
        <v>125</v>
      </c>
      <c r="DI689" s="160" t="s">
        <v>2296</v>
      </c>
      <c r="DJ689" s="160" t="s">
        <v>2296</v>
      </c>
      <c r="DK689" s="160" t="s">
        <v>1259</v>
      </c>
      <c r="DL689" s="160" t="s">
        <v>1260</v>
      </c>
      <c r="DM689" s="160" t="s">
        <v>1812</v>
      </c>
      <c r="DN689" s="161" t="s">
        <v>1813</v>
      </c>
      <c r="DP689" s="130">
        <v>1</v>
      </c>
    </row>
    <row r="690" spans="2:120" ht="15">
      <c r="B690" s="231"/>
      <c r="C690" s="231"/>
      <c r="D690" s="231"/>
      <c r="E690" s="231" cm="1">
        <f t="array" ref="E690">IF(H689&lt;&gt;"",E689,IF(E689="","",IFERROR(MATCH(TRUE(),INDEX(INDEX(K:K,E689+1):K203&lt;&gt;"",0),0)+E689,"")))</f>
        <v>782</v>
      </c>
      <c r="F690" s="232" cm="1">
        <f t="array" ref="F690">IF(E690="","",IF(H689&lt;&gt;"",H689,INDEX(D:D,E690)))</f>
        <v>0</v>
      </c>
      <c r="G690" s="232" t="str">
        <f t="shared" si="72"/>
        <v>0</v>
      </c>
      <c r="H690" s="233" t="str">
        <f t="shared" si="73"/>
        <v/>
      </c>
      <c r="I690" s="231" t="str">
        <f>IF(AND(F690&lt;&gt;"",N10&gt;0,M690&gt;N10),"Mot &gt; limite","")</f>
        <v/>
      </c>
      <c r="M690" s="126">
        <f>IF(OR(F690="",N10="",N10&lt;=0),"",IF(LEN(F690)&lt;=N10,LEN(F690),IFERROR(FIND("♦",SUBSTITUTE(LEFT(F690,N10)," ","♦",LEN(LEFT(F690,N10))-LEN(SUBSTITUTE(LEFT(F690,N10)," ","")))),FIND(" ",F690&amp;" ",N10+1)-1)))</f>
        <v>1</v>
      </c>
      <c r="N690" s="234">
        <f t="shared" si="74"/>
        <v>673</v>
      </c>
      <c r="O690" s="165" t="str">
        <f t="shared" si="75"/>
        <v>0</v>
      </c>
      <c r="P690" s="234">
        <f t="shared" si="76"/>
        <v>1</v>
      </c>
      <c r="Q690" s="234">
        <f t="shared" si="77"/>
        <v>1</v>
      </c>
      <c r="DE690" s="152"/>
      <c r="DF690" s="160" t="s">
        <v>2297</v>
      </c>
      <c r="DG690" s="160" t="s">
        <v>122</v>
      </c>
      <c r="DH690" s="160" t="s">
        <v>125</v>
      </c>
      <c r="DI690" s="160" t="s">
        <v>2298</v>
      </c>
      <c r="DJ690" s="160" t="s">
        <v>2298</v>
      </c>
      <c r="DK690" s="160" t="s">
        <v>1259</v>
      </c>
      <c r="DL690" s="160" t="s">
        <v>1260</v>
      </c>
      <c r="DM690" s="160" t="s">
        <v>1812</v>
      </c>
      <c r="DN690" s="161" t="s">
        <v>1813</v>
      </c>
      <c r="DP690" s="130">
        <v>1</v>
      </c>
    </row>
    <row r="691" spans="2:120" ht="15">
      <c r="B691" s="231"/>
      <c r="C691" s="231"/>
      <c r="D691" s="231"/>
      <c r="E691" s="231" cm="1">
        <f t="array" ref="E691">IF(H690&lt;&gt;"",E690,IF(E690="","",IFERROR(MATCH(TRUE(),INDEX(INDEX(K:K,E690+1):K203&lt;&gt;"",0),0)+E690,"")))</f>
        <v>783</v>
      </c>
      <c r="F691" s="232" cm="1">
        <f t="array" ref="F691">IF(E691="","",IF(H690&lt;&gt;"",H690,INDEX(D:D,E691)))</f>
        <v>0</v>
      </c>
      <c r="G691" s="232" t="str">
        <f t="shared" si="72"/>
        <v>0</v>
      </c>
      <c r="H691" s="233" t="str">
        <f t="shared" si="73"/>
        <v/>
      </c>
      <c r="I691" s="231" t="str">
        <f>IF(AND(F691&lt;&gt;"",N10&gt;0,M691&gt;N10),"Mot &gt; limite","")</f>
        <v/>
      </c>
      <c r="M691" s="126">
        <f>IF(OR(F691="",N10="",N10&lt;=0),"",IF(LEN(F691)&lt;=N10,LEN(F691),IFERROR(FIND("♦",SUBSTITUTE(LEFT(F691,N10)," ","♦",LEN(LEFT(F691,N10))-LEN(SUBSTITUTE(LEFT(F691,N10)," ","")))),FIND(" ",F691&amp;" ",N10+1)-1)))</f>
        <v>1</v>
      </c>
      <c r="N691" s="234">
        <f t="shared" si="74"/>
        <v>674</v>
      </c>
      <c r="O691" s="165" t="str">
        <f t="shared" si="75"/>
        <v>0</v>
      </c>
      <c r="P691" s="234">
        <f t="shared" si="76"/>
        <v>1</v>
      </c>
      <c r="Q691" s="234">
        <f t="shared" si="77"/>
        <v>1</v>
      </c>
      <c r="DE691" s="152"/>
      <c r="DF691" s="160" t="s">
        <v>2299</v>
      </c>
      <c r="DG691" s="160" t="s">
        <v>122</v>
      </c>
      <c r="DH691" s="160" t="s">
        <v>125</v>
      </c>
      <c r="DI691" s="160" t="s">
        <v>2300</v>
      </c>
      <c r="DJ691" s="160" t="s">
        <v>2300</v>
      </c>
      <c r="DK691" s="160" t="s">
        <v>1259</v>
      </c>
      <c r="DL691" s="160" t="s">
        <v>1260</v>
      </c>
      <c r="DM691" s="160" t="s">
        <v>1812</v>
      </c>
      <c r="DN691" s="161" t="s">
        <v>1813</v>
      </c>
      <c r="DP691" s="130">
        <v>1</v>
      </c>
    </row>
    <row r="692" spans="2:120" ht="15">
      <c r="B692" s="231"/>
      <c r="C692" s="231"/>
      <c r="D692" s="231"/>
      <c r="E692" s="231" cm="1">
        <f t="array" ref="E692">IF(H691&lt;&gt;"",E691,IF(E691="","",IFERROR(MATCH(TRUE(),INDEX(INDEX(K:K,E691+1):K203&lt;&gt;"",0),0)+E691,"")))</f>
        <v>784</v>
      </c>
      <c r="F692" s="232" cm="1">
        <f t="array" ref="F692">IF(E692="","",IF(H691&lt;&gt;"",H691,INDEX(D:D,E692)))</f>
        <v>0</v>
      </c>
      <c r="G692" s="232" t="str">
        <f t="shared" si="72"/>
        <v>0</v>
      </c>
      <c r="H692" s="233" t="str">
        <f t="shared" si="73"/>
        <v/>
      </c>
      <c r="I692" s="231" t="str">
        <f>IF(AND(F692&lt;&gt;"",N10&gt;0,M692&gt;N10),"Mot &gt; limite","")</f>
        <v/>
      </c>
      <c r="M692" s="126">
        <f>IF(OR(F692="",N10="",N10&lt;=0),"",IF(LEN(F692)&lt;=N10,LEN(F692),IFERROR(FIND("♦",SUBSTITUTE(LEFT(F692,N10)," ","♦",LEN(LEFT(F692,N10))-LEN(SUBSTITUTE(LEFT(F692,N10)," ","")))),FIND(" ",F692&amp;" ",N10+1)-1)))</f>
        <v>1</v>
      </c>
      <c r="N692" s="234">
        <f t="shared" si="74"/>
        <v>675</v>
      </c>
      <c r="O692" s="165" t="str">
        <f t="shared" si="75"/>
        <v>0</v>
      </c>
      <c r="P692" s="234">
        <f t="shared" si="76"/>
        <v>1</v>
      </c>
      <c r="Q692" s="234">
        <f t="shared" si="77"/>
        <v>1</v>
      </c>
      <c r="DE692" s="152"/>
      <c r="DF692" s="160" t="s">
        <v>2301</v>
      </c>
      <c r="DG692" s="160" t="s">
        <v>122</v>
      </c>
      <c r="DH692" s="160" t="s">
        <v>125</v>
      </c>
      <c r="DI692" s="160" t="s">
        <v>2302</v>
      </c>
      <c r="DJ692" s="160" t="s">
        <v>2302</v>
      </c>
      <c r="DK692" s="160" t="s">
        <v>1259</v>
      </c>
      <c r="DL692" s="160" t="s">
        <v>1260</v>
      </c>
      <c r="DM692" s="160" t="s">
        <v>1812</v>
      </c>
      <c r="DN692" s="161" t="s">
        <v>1813</v>
      </c>
      <c r="DP692" s="130">
        <v>1</v>
      </c>
    </row>
    <row r="693" spans="2:120" ht="15">
      <c r="B693" s="231"/>
      <c r="C693" s="231"/>
      <c r="D693" s="231"/>
      <c r="E693" s="231" cm="1">
        <f t="array" ref="E693">IF(H692&lt;&gt;"",E692,IF(E692="","",IFERROR(MATCH(TRUE(),INDEX(INDEX(K:K,E692+1):K203&lt;&gt;"",0),0)+E692,"")))</f>
        <v>785</v>
      </c>
      <c r="F693" s="232" cm="1">
        <f t="array" ref="F693">IF(E693="","",IF(H692&lt;&gt;"",H692,INDEX(D:D,E693)))</f>
        <v>0</v>
      </c>
      <c r="G693" s="232" t="str">
        <f t="shared" si="72"/>
        <v>0</v>
      </c>
      <c r="H693" s="233" t="str">
        <f t="shared" si="73"/>
        <v/>
      </c>
      <c r="I693" s="231" t="str">
        <f>IF(AND(F693&lt;&gt;"",N10&gt;0,M693&gt;N10),"Mot &gt; limite","")</f>
        <v/>
      </c>
      <c r="M693" s="126">
        <f>IF(OR(F693="",N10="",N10&lt;=0),"",IF(LEN(F693)&lt;=N10,LEN(F693),IFERROR(FIND("♦",SUBSTITUTE(LEFT(F693,N10)," ","♦",LEN(LEFT(F693,N10))-LEN(SUBSTITUTE(LEFT(F693,N10)," ","")))),FIND(" ",F693&amp;" ",N10+1)-1)))</f>
        <v>1</v>
      </c>
      <c r="N693" s="234">
        <f t="shared" si="74"/>
        <v>676</v>
      </c>
      <c r="O693" s="165" t="str">
        <f t="shared" si="75"/>
        <v>0</v>
      </c>
      <c r="P693" s="234">
        <f t="shared" si="76"/>
        <v>1</v>
      </c>
      <c r="Q693" s="234">
        <f t="shared" si="77"/>
        <v>1</v>
      </c>
      <c r="DE693" s="152"/>
      <c r="DF693" s="160" t="s">
        <v>2303</v>
      </c>
      <c r="DG693" s="160" t="s">
        <v>122</v>
      </c>
      <c r="DH693" s="160" t="s">
        <v>125</v>
      </c>
      <c r="DI693" s="160" t="s">
        <v>2304</v>
      </c>
      <c r="DJ693" s="160" t="s">
        <v>2304</v>
      </c>
      <c r="DK693" s="160" t="s">
        <v>1259</v>
      </c>
      <c r="DL693" s="160" t="s">
        <v>1260</v>
      </c>
      <c r="DM693" s="160" t="s">
        <v>1812</v>
      </c>
      <c r="DN693" s="161" t="s">
        <v>1813</v>
      </c>
      <c r="DP693" s="130">
        <v>1</v>
      </c>
    </row>
    <row r="694" spans="2:120" ht="15">
      <c r="B694" s="231"/>
      <c r="C694" s="231"/>
      <c r="D694" s="231"/>
      <c r="E694" s="231" cm="1">
        <f t="array" ref="E694">IF(H693&lt;&gt;"",E693,IF(E693="","",IFERROR(MATCH(TRUE(),INDEX(INDEX(K:K,E693+1):K203&lt;&gt;"",0),0)+E693,"")))</f>
        <v>786</v>
      </c>
      <c r="F694" s="232" cm="1">
        <f t="array" ref="F694">IF(E694="","",IF(H693&lt;&gt;"",H693,INDEX(D:D,E694)))</f>
        <v>0</v>
      </c>
      <c r="G694" s="232" t="str">
        <f t="shared" si="72"/>
        <v>0</v>
      </c>
      <c r="H694" s="233" t="str">
        <f t="shared" si="73"/>
        <v/>
      </c>
      <c r="I694" s="231" t="str">
        <f>IF(AND(F694&lt;&gt;"",N10&gt;0,M694&gt;N10),"Mot &gt; limite","")</f>
        <v/>
      </c>
      <c r="M694" s="126">
        <f>IF(OR(F694="",N10="",N10&lt;=0),"",IF(LEN(F694)&lt;=N10,LEN(F694),IFERROR(FIND("♦",SUBSTITUTE(LEFT(F694,N10)," ","♦",LEN(LEFT(F694,N10))-LEN(SUBSTITUTE(LEFT(F694,N10)," ","")))),FIND(" ",F694&amp;" ",N10+1)-1)))</f>
        <v>1</v>
      </c>
      <c r="N694" s="234">
        <f t="shared" si="74"/>
        <v>677</v>
      </c>
      <c r="O694" s="165" t="str">
        <f t="shared" si="75"/>
        <v>0</v>
      </c>
      <c r="P694" s="234">
        <f t="shared" si="76"/>
        <v>1</v>
      </c>
      <c r="Q694" s="234">
        <f t="shared" si="77"/>
        <v>1</v>
      </c>
      <c r="DE694" s="152"/>
      <c r="DF694" s="160" t="s">
        <v>2305</v>
      </c>
      <c r="DG694" s="160" t="s">
        <v>122</v>
      </c>
      <c r="DH694" s="160" t="s">
        <v>125</v>
      </c>
      <c r="DI694" s="160" t="s">
        <v>2306</v>
      </c>
      <c r="DJ694" s="160" t="s">
        <v>2306</v>
      </c>
      <c r="DK694" s="160" t="s">
        <v>1259</v>
      </c>
      <c r="DL694" s="160" t="s">
        <v>1260</v>
      </c>
      <c r="DM694" s="160" t="s">
        <v>1812</v>
      </c>
      <c r="DN694" s="161" t="s">
        <v>1813</v>
      </c>
      <c r="DP694" s="130">
        <v>1</v>
      </c>
    </row>
    <row r="695" spans="2:120" ht="15">
      <c r="B695" s="231"/>
      <c r="C695" s="231"/>
      <c r="D695" s="231"/>
      <c r="E695" s="231" cm="1">
        <f t="array" ref="E695">IF(H694&lt;&gt;"",E694,IF(E694="","",IFERROR(MATCH(TRUE(),INDEX(INDEX(K:K,E694+1):K203&lt;&gt;"",0),0)+E694,"")))</f>
        <v>787</v>
      </c>
      <c r="F695" s="232" cm="1">
        <f t="array" ref="F695">IF(E695="","",IF(H694&lt;&gt;"",H694,INDEX(D:D,E695)))</f>
        <v>0</v>
      </c>
      <c r="G695" s="232" t="str">
        <f t="shared" si="72"/>
        <v>0</v>
      </c>
      <c r="H695" s="233" t="str">
        <f t="shared" si="73"/>
        <v/>
      </c>
      <c r="I695" s="231" t="str">
        <f>IF(AND(F695&lt;&gt;"",N10&gt;0,M695&gt;N10),"Mot &gt; limite","")</f>
        <v/>
      </c>
      <c r="M695" s="126">
        <f>IF(OR(F695="",N10="",N10&lt;=0),"",IF(LEN(F695)&lt;=N10,LEN(F695),IFERROR(FIND("♦",SUBSTITUTE(LEFT(F695,N10)," ","♦",LEN(LEFT(F695,N10))-LEN(SUBSTITUTE(LEFT(F695,N10)," ","")))),FIND(" ",F695&amp;" ",N10+1)-1)))</f>
        <v>1</v>
      </c>
      <c r="N695" s="234">
        <f t="shared" si="74"/>
        <v>678</v>
      </c>
      <c r="O695" s="165" t="str">
        <f t="shared" si="75"/>
        <v>0</v>
      </c>
      <c r="P695" s="234">
        <f t="shared" si="76"/>
        <v>1</v>
      </c>
      <c r="Q695" s="234">
        <f t="shared" si="77"/>
        <v>1</v>
      </c>
      <c r="DE695" s="152"/>
      <c r="DF695" s="160" t="s">
        <v>2307</v>
      </c>
      <c r="DG695" s="160" t="s">
        <v>122</v>
      </c>
      <c r="DH695" s="160" t="s">
        <v>125</v>
      </c>
      <c r="DI695" s="160" t="s">
        <v>288</v>
      </c>
      <c r="DJ695" s="160" t="s">
        <v>288</v>
      </c>
      <c r="DK695" s="160" t="s">
        <v>1259</v>
      </c>
      <c r="DL695" s="160" t="s">
        <v>1260</v>
      </c>
      <c r="DM695" s="160" t="s">
        <v>1812</v>
      </c>
      <c r="DN695" s="161" t="s">
        <v>1813</v>
      </c>
      <c r="DP695" s="130">
        <v>1</v>
      </c>
    </row>
    <row r="696" spans="2:120" ht="15">
      <c r="B696" s="231"/>
      <c r="C696" s="231"/>
      <c r="D696" s="231"/>
      <c r="E696" s="231" cm="1">
        <f t="array" ref="E696">IF(H695&lt;&gt;"",E695,IF(E695="","",IFERROR(MATCH(TRUE(),INDEX(INDEX(K:K,E695+1):K203&lt;&gt;"",0),0)+E695,"")))</f>
        <v>788</v>
      </c>
      <c r="F696" s="232" cm="1">
        <f t="array" ref="F696">IF(E696="","",IF(H695&lt;&gt;"",H695,INDEX(D:D,E696)))</f>
        <v>0</v>
      </c>
      <c r="G696" s="232" t="str">
        <f t="shared" si="72"/>
        <v>0</v>
      </c>
      <c r="H696" s="233" t="str">
        <f t="shared" si="73"/>
        <v/>
      </c>
      <c r="I696" s="231" t="str">
        <f>IF(AND(F696&lt;&gt;"",N10&gt;0,M696&gt;N10),"Mot &gt; limite","")</f>
        <v/>
      </c>
      <c r="M696" s="126">
        <f>IF(OR(F696="",N10="",N10&lt;=0),"",IF(LEN(F696)&lt;=N10,LEN(F696),IFERROR(FIND("♦",SUBSTITUTE(LEFT(F696,N10)," ","♦",LEN(LEFT(F696,N10))-LEN(SUBSTITUTE(LEFT(F696,N10)," ","")))),FIND(" ",F696&amp;" ",N10+1)-1)))</f>
        <v>1</v>
      </c>
      <c r="N696" s="234">
        <f t="shared" si="74"/>
        <v>679</v>
      </c>
      <c r="O696" s="165" t="str">
        <f t="shared" si="75"/>
        <v>0</v>
      </c>
      <c r="P696" s="234">
        <f t="shared" si="76"/>
        <v>1</v>
      </c>
      <c r="Q696" s="234">
        <f t="shared" si="77"/>
        <v>1</v>
      </c>
      <c r="DE696" s="152"/>
      <c r="DF696" s="160" t="s">
        <v>2308</v>
      </c>
      <c r="DG696" s="160" t="s">
        <v>122</v>
      </c>
      <c r="DH696" s="160" t="s">
        <v>125</v>
      </c>
      <c r="DI696" s="160" t="s">
        <v>2309</v>
      </c>
      <c r="DJ696" s="160" t="s">
        <v>2309</v>
      </c>
      <c r="DK696" s="160" t="s">
        <v>1259</v>
      </c>
      <c r="DL696" s="160" t="s">
        <v>1260</v>
      </c>
      <c r="DM696" s="160" t="s">
        <v>1812</v>
      </c>
      <c r="DN696" s="161" t="s">
        <v>1813</v>
      </c>
      <c r="DP696" s="130">
        <v>1</v>
      </c>
    </row>
    <row r="697" spans="2:120" ht="15">
      <c r="B697" s="231"/>
      <c r="C697" s="231"/>
      <c r="D697" s="231"/>
      <c r="E697" s="231" cm="1">
        <f t="array" ref="E697">IF(H696&lt;&gt;"",E696,IF(E696="","",IFERROR(MATCH(TRUE(),INDEX(INDEX(K:K,E696+1):K203&lt;&gt;"",0),0)+E696,"")))</f>
        <v>789</v>
      </c>
      <c r="F697" s="232" cm="1">
        <f t="array" ref="F697">IF(E697="","",IF(H696&lt;&gt;"",H696,INDEX(D:D,E697)))</f>
        <v>0</v>
      </c>
      <c r="G697" s="232" t="str">
        <f t="shared" si="72"/>
        <v>0</v>
      </c>
      <c r="H697" s="233" t="str">
        <f t="shared" si="73"/>
        <v/>
      </c>
      <c r="I697" s="231" t="str">
        <f>IF(AND(F697&lt;&gt;"",N10&gt;0,M697&gt;N10),"Mot &gt; limite","")</f>
        <v/>
      </c>
      <c r="M697" s="126">
        <f>IF(OR(F697="",N10="",N10&lt;=0),"",IF(LEN(F697)&lt;=N10,LEN(F697),IFERROR(FIND("♦",SUBSTITUTE(LEFT(F697,N10)," ","♦",LEN(LEFT(F697,N10))-LEN(SUBSTITUTE(LEFT(F697,N10)," ","")))),FIND(" ",F697&amp;" ",N10+1)-1)))</f>
        <v>1</v>
      </c>
      <c r="N697" s="234">
        <f t="shared" si="74"/>
        <v>680</v>
      </c>
      <c r="O697" s="165" t="str">
        <f t="shared" si="75"/>
        <v>0</v>
      </c>
      <c r="P697" s="234">
        <f t="shared" si="76"/>
        <v>1</v>
      </c>
      <c r="Q697" s="234">
        <f t="shared" si="77"/>
        <v>1</v>
      </c>
      <c r="DE697" s="152"/>
      <c r="DF697" s="160" t="s">
        <v>2310</v>
      </c>
      <c r="DG697" s="160" t="s">
        <v>122</v>
      </c>
      <c r="DH697" s="160" t="s">
        <v>125</v>
      </c>
      <c r="DI697" s="160" t="s">
        <v>2311</v>
      </c>
      <c r="DJ697" s="160" t="s">
        <v>2311</v>
      </c>
      <c r="DK697" s="160" t="s">
        <v>1259</v>
      </c>
      <c r="DL697" s="160" t="s">
        <v>1260</v>
      </c>
      <c r="DM697" s="160" t="s">
        <v>1812</v>
      </c>
      <c r="DN697" s="161" t="s">
        <v>1813</v>
      </c>
      <c r="DP697" s="130">
        <v>1</v>
      </c>
    </row>
    <row r="698" spans="2:120" ht="15">
      <c r="B698" s="231"/>
      <c r="C698" s="231"/>
      <c r="D698" s="231"/>
      <c r="E698" s="231" cm="1">
        <f t="array" ref="E698">IF(H697&lt;&gt;"",E697,IF(E697="","",IFERROR(MATCH(TRUE(),INDEX(INDEX(K:K,E697+1):K203&lt;&gt;"",0),0)+E697,"")))</f>
        <v>790</v>
      </c>
      <c r="F698" s="232" cm="1">
        <f t="array" ref="F698">IF(E698="","",IF(H697&lt;&gt;"",H697,INDEX(D:D,E698)))</f>
        <v>0</v>
      </c>
      <c r="G698" s="232" t="str">
        <f t="shared" si="72"/>
        <v>0</v>
      </c>
      <c r="H698" s="233" t="str">
        <f t="shared" si="73"/>
        <v/>
      </c>
      <c r="I698" s="231" t="str">
        <f>IF(AND(F698&lt;&gt;"",N10&gt;0,M698&gt;N10),"Mot &gt; limite","")</f>
        <v/>
      </c>
      <c r="M698" s="126">
        <f>IF(OR(F698="",N10="",N10&lt;=0),"",IF(LEN(F698)&lt;=N10,LEN(F698),IFERROR(FIND("♦",SUBSTITUTE(LEFT(F698,N10)," ","♦",LEN(LEFT(F698,N10))-LEN(SUBSTITUTE(LEFT(F698,N10)," ","")))),FIND(" ",F698&amp;" ",N10+1)-1)))</f>
        <v>1</v>
      </c>
      <c r="N698" s="234">
        <f t="shared" si="74"/>
        <v>681</v>
      </c>
      <c r="O698" s="165" t="str">
        <f t="shared" si="75"/>
        <v>0</v>
      </c>
      <c r="P698" s="234">
        <f t="shared" si="76"/>
        <v>1</v>
      </c>
      <c r="Q698" s="234">
        <f t="shared" si="77"/>
        <v>1</v>
      </c>
      <c r="DE698" s="152"/>
      <c r="DF698" s="160" t="s">
        <v>2312</v>
      </c>
      <c r="DG698" s="160" t="s">
        <v>122</v>
      </c>
      <c r="DH698" s="160" t="s">
        <v>125</v>
      </c>
      <c r="DI698" s="160" t="s">
        <v>2313</v>
      </c>
      <c r="DJ698" s="160" t="s">
        <v>2313</v>
      </c>
      <c r="DK698" s="160" t="s">
        <v>1259</v>
      </c>
      <c r="DL698" s="160" t="s">
        <v>1260</v>
      </c>
      <c r="DM698" s="160" t="s">
        <v>1812</v>
      </c>
      <c r="DN698" s="161" t="s">
        <v>1813</v>
      </c>
      <c r="DP698" s="130">
        <v>1</v>
      </c>
    </row>
    <row r="699" spans="2:120" ht="15">
      <c r="B699" s="231"/>
      <c r="C699" s="231"/>
      <c r="D699" s="231"/>
      <c r="E699" s="231" cm="1">
        <f t="array" ref="E699">IF(H698&lt;&gt;"",E698,IF(E698="","",IFERROR(MATCH(TRUE(),INDEX(INDEX(K:K,E698+1):K203&lt;&gt;"",0),0)+E698,"")))</f>
        <v>791</v>
      </c>
      <c r="F699" s="232" cm="1">
        <f t="array" ref="F699">IF(E699="","",IF(H698&lt;&gt;"",H698,INDEX(D:D,E699)))</f>
        <v>0</v>
      </c>
      <c r="G699" s="232" t="str">
        <f t="shared" si="72"/>
        <v>0</v>
      </c>
      <c r="H699" s="233" t="str">
        <f t="shared" si="73"/>
        <v/>
      </c>
      <c r="I699" s="231" t="str">
        <f>IF(AND(F699&lt;&gt;"",N10&gt;0,M699&gt;N10),"Mot &gt; limite","")</f>
        <v/>
      </c>
      <c r="M699" s="126">
        <f>IF(OR(F699="",N10="",N10&lt;=0),"",IF(LEN(F699)&lt;=N10,LEN(F699),IFERROR(FIND("♦",SUBSTITUTE(LEFT(F699,N10)," ","♦",LEN(LEFT(F699,N10))-LEN(SUBSTITUTE(LEFT(F699,N10)," ","")))),FIND(" ",F699&amp;" ",N10+1)-1)))</f>
        <v>1</v>
      </c>
      <c r="N699" s="234">
        <f t="shared" si="74"/>
        <v>682</v>
      </c>
      <c r="O699" s="165" t="str">
        <f t="shared" si="75"/>
        <v>0</v>
      </c>
      <c r="P699" s="234">
        <f t="shared" si="76"/>
        <v>1</v>
      </c>
      <c r="Q699" s="234">
        <f t="shared" si="77"/>
        <v>1</v>
      </c>
      <c r="DE699" s="152"/>
      <c r="DF699" s="160" t="s">
        <v>2314</v>
      </c>
      <c r="DG699" s="160" t="s">
        <v>122</v>
      </c>
      <c r="DH699" s="160" t="s">
        <v>125</v>
      </c>
      <c r="DI699" s="160" t="s">
        <v>2315</v>
      </c>
      <c r="DJ699" s="160" t="s">
        <v>2315</v>
      </c>
      <c r="DK699" s="160" t="s">
        <v>1259</v>
      </c>
      <c r="DL699" s="160" t="s">
        <v>1260</v>
      </c>
      <c r="DM699" s="160" t="s">
        <v>1812</v>
      </c>
      <c r="DN699" s="161" t="s">
        <v>1813</v>
      </c>
      <c r="DP699" s="130">
        <v>1</v>
      </c>
    </row>
    <row r="700" spans="2:120" ht="15">
      <c r="B700" s="231"/>
      <c r="C700" s="231"/>
      <c r="D700" s="231"/>
      <c r="E700" s="231" cm="1">
        <f t="array" ref="E700">IF(H699&lt;&gt;"",E699,IF(E699="","",IFERROR(MATCH(TRUE(),INDEX(INDEX(K:K,E699+1):K203&lt;&gt;"",0),0)+E699,"")))</f>
        <v>792</v>
      </c>
      <c r="F700" s="232" cm="1">
        <f t="array" ref="F700">IF(E700="","",IF(H699&lt;&gt;"",H699,INDEX(D:D,E700)))</f>
        <v>0</v>
      </c>
      <c r="G700" s="232" t="str">
        <f t="shared" si="72"/>
        <v>0</v>
      </c>
      <c r="H700" s="233" t="str">
        <f t="shared" si="73"/>
        <v/>
      </c>
      <c r="I700" s="231" t="str">
        <f>IF(AND(F700&lt;&gt;"",N10&gt;0,M700&gt;N10),"Mot &gt; limite","")</f>
        <v/>
      </c>
      <c r="M700" s="126">
        <f>IF(OR(F700="",N10="",N10&lt;=0),"",IF(LEN(F700)&lt;=N10,LEN(F700),IFERROR(FIND("♦",SUBSTITUTE(LEFT(F700,N10)," ","♦",LEN(LEFT(F700,N10))-LEN(SUBSTITUTE(LEFT(F700,N10)," ","")))),FIND(" ",F700&amp;" ",N10+1)-1)))</f>
        <v>1</v>
      </c>
      <c r="N700" s="234">
        <f t="shared" si="74"/>
        <v>683</v>
      </c>
      <c r="O700" s="165" t="str">
        <f t="shared" si="75"/>
        <v>0</v>
      </c>
      <c r="P700" s="234">
        <f t="shared" si="76"/>
        <v>1</v>
      </c>
      <c r="Q700" s="234">
        <f t="shared" si="77"/>
        <v>1</v>
      </c>
      <c r="DE700" s="152"/>
      <c r="DF700" s="160" t="s">
        <v>2316</v>
      </c>
      <c r="DG700" s="160" t="s">
        <v>122</v>
      </c>
      <c r="DH700" s="160" t="s">
        <v>125</v>
      </c>
      <c r="DI700" s="160" t="s">
        <v>2317</v>
      </c>
      <c r="DJ700" s="160" t="s">
        <v>2317</v>
      </c>
      <c r="DK700" s="160" t="s">
        <v>1259</v>
      </c>
      <c r="DL700" s="160" t="s">
        <v>1260</v>
      </c>
      <c r="DM700" s="160" t="s">
        <v>1812</v>
      </c>
      <c r="DN700" s="161" t="s">
        <v>1813</v>
      </c>
      <c r="DP700" s="130">
        <v>1</v>
      </c>
    </row>
    <row r="701" spans="2:120" ht="15">
      <c r="B701" s="231"/>
      <c r="C701" s="231"/>
      <c r="D701" s="231"/>
      <c r="E701" s="231" cm="1">
        <f t="array" ref="E701">IF(H700&lt;&gt;"",E700,IF(E700="","",IFERROR(MATCH(TRUE(),INDEX(INDEX(K:K,E700+1):K203&lt;&gt;"",0),0)+E700,"")))</f>
        <v>793</v>
      </c>
      <c r="F701" s="232" cm="1">
        <f t="array" ref="F701">IF(E701="","",IF(H700&lt;&gt;"",H700,INDEX(D:D,E701)))</f>
        <v>0</v>
      </c>
      <c r="G701" s="232" t="str">
        <f t="shared" si="72"/>
        <v>0</v>
      </c>
      <c r="H701" s="233" t="str">
        <f t="shared" si="73"/>
        <v/>
      </c>
      <c r="I701" s="231" t="str">
        <f>IF(AND(F701&lt;&gt;"",N10&gt;0,M701&gt;N10),"Mot &gt; limite","")</f>
        <v/>
      </c>
      <c r="M701" s="126">
        <f>IF(OR(F701="",N10="",N10&lt;=0),"",IF(LEN(F701)&lt;=N10,LEN(F701),IFERROR(FIND("♦",SUBSTITUTE(LEFT(F701,N10)," ","♦",LEN(LEFT(F701,N10))-LEN(SUBSTITUTE(LEFT(F701,N10)," ","")))),FIND(" ",F701&amp;" ",N10+1)-1)))</f>
        <v>1</v>
      </c>
      <c r="N701" s="234">
        <f t="shared" si="74"/>
        <v>684</v>
      </c>
      <c r="O701" s="165" t="str">
        <f t="shared" si="75"/>
        <v>0</v>
      </c>
      <c r="P701" s="234">
        <f t="shared" si="76"/>
        <v>1</v>
      </c>
      <c r="Q701" s="234">
        <f t="shared" si="77"/>
        <v>1</v>
      </c>
      <c r="DE701" s="152"/>
      <c r="DF701" s="160" t="s">
        <v>2318</v>
      </c>
      <c r="DG701" s="160" t="s">
        <v>122</v>
      </c>
      <c r="DH701" s="160" t="s">
        <v>125</v>
      </c>
      <c r="DI701" s="160" t="s">
        <v>2319</v>
      </c>
      <c r="DJ701" s="160" t="s">
        <v>2319</v>
      </c>
      <c r="DK701" s="160" t="s">
        <v>1259</v>
      </c>
      <c r="DL701" s="160" t="s">
        <v>1260</v>
      </c>
      <c r="DM701" s="160" t="s">
        <v>1812</v>
      </c>
      <c r="DN701" s="161" t="s">
        <v>1813</v>
      </c>
      <c r="DP701" s="130">
        <v>1</v>
      </c>
    </row>
    <row r="702" spans="2:120" ht="15">
      <c r="B702" s="231"/>
      <c r="C702" s="231"/>
      <c r="D702" s="231"/>
      <c r="E702" s="231" cm="1">
        <f t="array" ref="E702">IF(H701&lt;&gt;"",E701,IF(E701="","",IFERROR(MATCH(TRUE(),INDEX(INDEX(K:K,E701+1):K203&lt;&gt;"",0),0)+E701,"")))</f>
        <v>794</v>
      </c>
      <c r="F702" s="232" cm="1">
        <f t="array" ref="F702">IF(E702="","",IF(H701&lt;&gt;"",H701,INDEX(D:D,E702)))</f>
        <v>0</v>
      </c>
      <c r="G702" s="232" t="str">
        <f t="shared" si="72"/>
        <v>0</v>
      </c>
      <c r="H702" s="233" t="str">
        <f t="shared" si="73"/>
        <v/>
      </c>
      <c r="I702" s="231" t="str">
        <f>IF(AND(F702&lt;&gt;"",N10&gt;0,M702&gt;N10),"Mot &gt; limite","")</f>
        <v/>
      </c>
      <c r="M702" s="126">
        <f>IF(OR(F702="",N10="",N10&lt;=0),"",IF(LEN(F702)&lt;=N10,LEN(F702),IFERROR(FIND("♦",SUBSTITUTE(LEFT(F702,N10)," ","♦",LEN(LEFT(F702,N10))-LEN(SUBSTITUTE(LEFT(F702,N10)," ","")))),FIND(" ",F702&amp;" ",N10+1)-1)))</f>
        <v>1</v>
      </c>
      <c r="N702" s="234">
        <f t="shared" si="74"/>
        <v>685</v>
      </c>
      <c r="O702" s="165" t="str">
        <f t="shared" si="75"/>
        <v>0</v>
      </c>
      <c r="P702" s="234">
        <f t="shared" si="76"/>
        <v>1</v>
      </c>
      <c r="Q702" s="234">
        <f t="shared" si="77"/>
        <v>1</v>
      </c>
      <c r="DE702" s="152"/>
      <c r="DF702" s="160" t="s">
        <v>2320</v>
      </c>
      <c r="DG702" s="160" t="s">
        <v>122</v>
      </c>
      <c r="DH702" s="160" t="s">
        <v>125</v>
      </c>
      <c r="DI702" s="160" t="s">
        <v>2321</v>
      </c>
      <c r="DJ702" s="160" t="s">
        <v>2321</v>
      </c>
      <c r="DK702" s="160" t="s">
        <v>1259</v>
      </c>
      <c r="DL702" s="160" t="s">
        <v>1260</v>
      </c>
      <c r="DM702" s="160" t="s">
        <v>1812</v>
      </c>
      <c r="DN702" s="161" t="s">
        <v>1813</v>
      </c>
      <c r="DP702" s="130">
        <v>1</v>
      </c>
    </row>
    <row r="703" spans="2:120" ht="15">
      <c r="B703" s="231"/>
      <c r="C703" s="231"/>
      <c r="D703" s="231"/>
      <c r="E703" s="231" cm="1">
        <f t="array" ref="E703">IF(H702&lt;&gt;"",E702,IF(E702="","",IFERROR(MATCH(TRUE(),INDEX(INDEX(K:K,E702+1):K203&lt;&gt;"",0),0)+E702,"")))</f>
        <v>795</v>
      </c>
      <c r="F703" s="232" cm="1">
        <f t="array" ref="F703">IF(E703="","",IF(H702&lt;&gt;"",H702,INDEX(D:D,E703)))</f>
        <v>0</v>
      </c>
      <c r="G703" s="232" t="str">
        <f t="shared" si="72"/>
        <v>0</v>
      </c>
      <c r="H703" s="233" t="str">
        <f t="shared" si="73"/>
        <v/>
      </c>
      <c r="I703" s="231" t="str">
        <f>IF(AND(F703&lt;&gt;"",N10&gt;0,M703&gt;N10),"Mot &gt; limite","")</f>
        <v/>
      </c>
      <c r="M703" s="126">
        <f>IF(OR(F703="",N10="",N10&lt;=0),"",IF(LEN(F703)&lt;=N10,LEN(F703),IFERROR(FIND("♦",SUBSTITUTE(LEFT(F703,N10)," ","♦",LEN(LEFT(F703,N10))-LEN(SUBSTITUTE(LEFT(F703,N10)," ","")))),FIND(" ",F703&amp;" ",N10+1)-1)))</f>
        <v>1</v>
      </c>
      <c r="N703" s="234">
        <f t="shared" si="74"/>
        <v>686</v>
      </c>
      <c r="O703" s="165" t="str">
        <f t="shared" si="75"/>
        <v>0</v>
      </c>
      <c r="P703" s="234">
        <f t="shared" si="76"/>
        <v>1</v>
      </c>
      <c r="Q703" s="234">
        <f t="shared" si="77"/>
        <v>1</v>
      </c>
      <c r="DE703" s="152"/>
      <c r="DF703" s="160" t="s">
        <v>2322</v>
      </c>
      <c r="DG703" s="160" t="s">
        <v>122</v>
      </c>
      <c r="DH703" s="160" t="s">
        <v>125</v>
      </c>
      <c r="DI703" s="160" t="s">
        <v>2323</v>
      </c>
      <c r="DJ703" s="160" t="s">
        <v>2323</v>
      </c>
      <c r="DK703" s="160" t="s">
        <v>1259</v>
      </c>
      <c r="DL703" s="160" t="s">
        <v>1260</v>
      </c>
      <c r="DM703" s="160" t="s">
        <v>1812</v>
      </c>
      <c r="DN703" s="161" t="s">
        <v>1813</v>
      </c>
      <c r="DP703" s="130">
        <v>1</v>
      </c>
    </row>
    <row r="704" spans="2:120" ht="15">
      <c r="B704" s="231"/>
      <c r="C704" s="231"/>
      <c r="D704" s="231"/>
      <c r="E704" s="231" cm="1">
        <f t="array" ref="E704">IF(H703&lt;&gt;"",E703,IF(E703="","",IFERROR(MATCH(TRUE(),INDEX(INDEX(K:K,E703+1):K203&lt;&gt;"",0),0)+E703,"")))</f>
        <v>796</v>
      </c>
      <c r="F704" s="232" cm="1">
        <f t="array" ref="F704">IF(E704="","",IF(H703&lt;&gt;"",H703,INDEX(D:D,E704)))</f>
        <v>0</v>
      </c>
      <c r="G704" s="232" t="str">
        <f t="shared" si="72"/>
        <v>0</v>
      </c>
      <c r="H704" s="233" t="str">
        <f t="shared" si="73"/>
        <v/>
      </c>
      <c r="I704" s="231" t="str">
        <f>IF(AND(F704&lt;&gt;"",N10&gt;0,M704&gt;N10),"Mot &gt; limite","")</f>
        <v/>
      </c>
      <c r="M704" s="126">
        <f>IF(OR(F704="",N10="",N10&lt;=0),"",IF(LEN(F704)&lt;=N10,LEN(F704),IFERROR(FIND("♦",SUBSTITUTE(LEFT(F704,N10)," ","♦",LEN(LEFT(F704,N10))-LEN(SUBSTITUTE(LEFT(F704,N10)," ","")))),FIND(" ",F704&amp;" ",N10+1)-1)))</f>
        <v>1</v>
      </c>
      <c r="N704" s="234">
        <f t="shared" si="74"/>
        <v>687</v>
      </c>
      <c r="O704" s="165" t="str">
        <f t="shared" si="75"/>
        <v>0</v>
      </c>
      <c r="P704" s="234">
        <f t="shared" si="76"/>
        <v>1</v>
      </c>
      <c r="Q704" s="234">
        <f t="shared" si="77"/>
        <v>1</v>
      </c>
      <c r="DE704" s="152"/>
      <c r="DF704" s="160" t="s">
        <v>2324</v>
      </c>
      <c r="DG704" s="160" t="s">
        <v>122</v>
      </c>
      <c r="DH704" s="160" t="s">
        <v>125</v>
      </c>
      <c r="DI704" s="160" t="s">
        <v>2325</v>
      </c>
      <c r="DJ704" s="160" t="s">
        <v>2325</v>
      </c>
      <c r="DK704" s="160" t="s">
        <v>1259</v>
      </c>
      <c r="DL704" s="160" t="s">
        <v>1260</v>
      </c>
      <c r="DM704" s="160" t="s">
        <v>1812</v>
      </c>
      <c r="DN704" s="161" t="s">
        <v>1813</v>
      </c>
      <c r="DP704" s="130">
        <v>1</v>
      </c>
    </row>
    <row r="705" spans="2:120" ht="15">
      <c r="B705" s="231"/>
      <c r="C705" s="231"/>
      <c r="D705" s="231"/>
      <c r="E705" s="231" cm="1">
        <f t="array" ref="E705">IF(H704&lt;&gt;"",E704,IF(E704="","",IFERROR(MATCH(TRUE(),INDEX(INDEX(K:K,E704+1):K203&lt;&gt;"",0),0)+E704,"")))</f>
        <v>797</v>
      </c>
      <c r="F705" s="232" cm="1">
        <f t="array" ref="F705">IF(E705="","",IF(H704&lt;&gt;"",H704,INDEX(D:D,E705)))</f>
        <v>0</v>
      </c>
      <c r="G705" s="232" t="str">
        <f t="shared" si="72"/>
        <v>0</v>
      </c>
      <c r="H705" s="233" t="str">
        <f t="shared" si="73"/>
        <v/>
      </c>
      <c r="I705" s="231" t="str">
        <f>IF(AND(F705&lt;&gt;"",N10&gt;0,M705&gt;N10),"Mot &gt; limite","")</f>
        <v/>
      </c>
      <c r="M705" s="126">
        <f>IF(OR(F705="",N10="",N10&lt;=0),"",IF(LEN(F705)&lt;=N10,LEN(F705),IFERROR(FIND("♦",SUBSTITUTE(LEFT(F705,N10)," ","♦",LEN(LEFT(F705,N10))-LEN(SUBSTITUTE(LEFT(F705,N10)," ","")))),FIND(" ",F705&amp;" ",N10+1)-1)))</f>
        <v>1</v>
      </c>
      <c r="N705" s="234">
        <f t="shared" si="74"/>
        <v>688</v>
      </c>
      <c r="O705" s="165" t="str">
        <f t="shared" si="75"/>
        <v>0</v>
      </c>
      <c r="P705" s="234">
        <f t="shared" si="76"/>
        <v>1</v>
      </c>
      <c r="Q705" s="234">
        <f t="shared" si="77"/>
        <v>1</v>
      </c>
      <c r="DE705" s="152"/>
      <c r="DF705" s="160" t="s">
        <v>2326</v>
      </c>
      <c r="DG705" s="160" t="s">
        <v>122</v>
      </c>
      <c r="DH705" s="160" t="s">
        <v>125</v>
      </c>
      <c r="DI705" s="160" t="s">
        <v>2327</v>
      </c>
      <c r="DJ705" s="160" t="s">
        <v>2327</v>
      </c>
      <c r="DK705" s="160" t="s">
        <v>1259</v>
      </c>
      <c r="DL705" s="160" t="s">
        <v>1260</v>
      </c>
      <c r="DM705" s="160" t="s">
        <v>1812</v>
      </c>
      <c r="DN705" s="161" t="s">
        <v>1813</v>
      </c>
      <c r="DP705" s="130">
        <v>1</v>
      </c>
    </row>
    <row r="706" spans="2:120" ht="15">
      <c r="B706" s="231"/>
      <c r="C706" s="231"/>
      <c r="D706" s="231"/>
      <c r="E706" s="231" cm="1">
        <f t="array" ref="E706">IF(H705&lt;&gt;"",E705,IF(E705="","",IFERROR(MATCH(TRUE(),INDEX(INDEX(K:K,E705+1):K203&lt;&gt;"",0),0)+E705,"")))</f>
        <v>798</v>
      </c>
      <c r="F706" s="232" cm="1">
        <f t="array" ref="F706">IF(E706="","",IF(H705&lt;&gt;"",H705,INDEX(D:D,E706)))</f>
        <v>0</v>
      </c>
      <c r="G706" s="232" t="str">
        <f t="shared" si="72"/>
        <v>0</v>
      </c>
      <c r="H706" s="233" t="str">
        <f t="shared" si="73"/>
        <v/>
      </c>
      <c r="I706" s="231" t="str">
        <f>IF(AND(F706&lt;&gt;"",N10&gt;0,M706&gt;N10),"Mot &gt; limite","")</f>
        <v/>
      </c>
      <c r="M706" s="126">
        <f>IF(OR(F706="",N10="",N10&lt;=0),"",IF(LEN(F706)&lt;=N10,LEN(F706),IFERROR(FIND("♦",SUBSTITUTE(LEFT(F706,N10)," ","♦",LEN(LEFT(F706,N10))-LEN(SUBSTITUTE(LEFT(F706,N10)," ","")))),FIND(" ",F706&amp;" ",N10+1)-1)))</f>
        <v>1</v>
      </c>
      <c r="N706" s="234">
        <f t="shared" si="74"/>
        <v>689</v>
      </c>
      <c r="O706" s="165" t="str">
        <f t="shared" si="75"/>
        <v>0</v>
      </c>
      <c r="P706" s="234">
        <f t="shared" si="76"/>
        <v>1</v>
      </c>
      <c r="Q706" s="234">
        <f t="shared" si="77"/>
        <v>1</v>
      </c>
      <c r="DE706" s="152"/>
      <c r="DF706" s="160" t="s">
        <v>2328</v>
      </c>
      <c r="DG706" s="160" t="s">
        <v>122</v>
      </c>
      <c r="DH706" s="160" t="s">
        <v>125</v>
      </c>
      <c r="DI706" s="160" t="s">
        <v>2329</v>
      </c>
      <c r="DJ706" s="160" t="s">
        <v>2329</v>
      </c>
      <c r="DK706" s="160" t="s">
        <v>1259</v>
      </c>
      <c r="DL706" s="160" t="s">
        <v>1260</v>
      </c>
      <c r="DM706" s="160" t="s">
        <v>1812</v>
      </c>
      <c r="DN706" s="161" t="s">
        <v>1813</v>
      </c>
      <c r="DP706" s="130">
        <v>1</v>
      </c>
    </row>
    <row r="707" spans="2:120" ht="15">
      <c r="B707" s="231"/>
      <c r="C707" s="231"/>
      <c r="D707" s="231"/>
      <c r="E707" s="231" cm="1">
        <f t="array" ref="E707">IF(H706&lt;&gt;"",E706,IF(E706="","",IFERROR(MATCH(TRUE(),INDEX(INDEX(K:K,E706+1):K203&lt;&gt;"",0),0)+E706,"")))</f>
        <v>799</v>
      </c>
      <c r="F707" s="232" cm="1">
        <f t="array" ref="F707">IF(E707="","",IF(H706&lt;&gt;"",H706,INDEX(D:D,E707)))</f>
        <v>0</v>
      </c>
      <c r="G707" s="232" t="str">
        <f t="shared" si="72"/>
        <v>0</v>
      </c>
      <c r="H707" s="233" t="str">
        <f t="shared" si="73"/>
        <v/>
      </c>
      <c r="I707" s="231" t="str">
        <f>IF(AND(F707&lt;&gt;"",N10&gt;0,M707&gt;N10),"Mot &gt; limite","")</f>
        <v/>
      </c>
      <c r="M707" s="126">
        <f>IF(OR(F707="",N10="",N10&lt;=0),"",IF(LEN(F707)&lt;=N10,LEN(F707),IFERROR(FIND("♦",SUBSTITUTE(LEFT(F707,N10)," ","♦",LEN(LEFT(F707,N10))-LEN(SUBSTITUTE(LEFT(F707,N10)," ","")))),FIND(" ",F707&amp;" ",N10+1)-1)))</f>
        <v>1</v>
      </c>
      <c r="N707" s="234">
        <f t="shared" si="74"/>
        <v>690</v>
      </c>
      <c r="O707" s="165" t="str">
        <f t="shared" si="75"/>
        <v>0</v>
      </c>
      <c r="P707" s="234">
        <f t="shared" si="76"/>
        <v>1</v>
      </c>
      <c r="Q707" s="234">
        <f t="shared" si="77"/>
        <v>1</v>
      </c>
      <c r="DE707" s="152"/>
      <c r="DF707" s="160" t="s">
        <v>2330</v>
      </c>
      <c r="DG707" s="160" t="s">
        <v>122</v>
      </c>
      <c r="DH707" s="160" t="s">
        <v>125</v>
      </c>
      <c r="DI707" s="160" t="s">
        <v>2331</v>
      </c>
      <c r="DJ707" s="160" t="s">
        <v>2331</v>
      </c>
      <c r="DK707" s="160" t="s">
        <v>1259</v>
      </c>
      <c r="DL707" s="160" t="s">
        <v>1260</v>
      </c>
      <c r="DM707" s="160" t="s">
        <v>1812</v>
      </c>
      <c r="DN707" s="161" t="s">
        <v>1813</v>
      </c>
      <c r="DP707" s="130">
        <v>1</v>
      </c>
    </row>
    <row r="708" spans="2:120" ht="15">
      <c r="B708" s="231"/>
      <c r="C708" s="231"/>
      <c r="D708" s="231"/>
      <c r="E708" s="231" cm="1">
        <f t="array" ref="E708">IF(H707&lt;&gt;"",E707,IF(E707="","",IFERROR(MATCH(TRUE(),INDEX(INDEX(K:K,E707+1):K203&lt;&gt;"",0),0)+E707,"")))</f>
        <v>800</v>
      </c>
      <c r="F708" s="232" cm="1">
        <f t="array" ref="F708">IF(E708="","",IF(H707&lt;&gt;"",H707,INDEX(D:D,E708)))</f>
        <v>0</v>
      </c>
      <c r="G708" s="232" t="str">
        <f t="shared" si="72"/>
        <v>0</v>
      </c>
      <c r="H708" s="233" t="str">
        <f t="shared" si="73"/>
        <v/>
      </c>
      <c r="I708" s="231" t="str">
        <f>IF(AND(F708&lt;&gt;"",N10&gt;0,M708&gt;N10),"Mot &gt; limite","")</f>
        <v/>
      </c>
      <c r="M708" s="126">
        <f>IF(OR(F708="",N10="",N10&lt;=0),"",IF(LEN(F708)&lt;=N10,LEN(F708),IFERROR(FIND("♦",SUBSTITUTE(LEFT(F708,N10)," ","♦",LEN(LEFT(F708,N10))-LEN(SUBSTITUTE(LEFT(F708,N10)," ","")))),FIND(" ",F708&amp;" ",N10+1)-1)))</f>
        <v>1</v>
      </c>
      <c r="N708" s="234">
        <f t="shared" si="74"/>
        <v>691</v>
      </c>
      <c r="O708" s="165" t="str">
        <f t="shared" si="75"/>
        <v>0</v>
      </c>
      <c r="P708" s="234">
        <f t="shared" si="76"/>
        <v>1</v>
      </c>
      <c r="Q708" s="234">
        <f t="shared" si="77"/>
        <v>1</v>
      </c>
      <c r="DE708" s="152"/>
      <c r="DF708" s="160" t="s">
        <v>2332</v>
      </c>
      <c r="DG708" s="160" t="s">
        <v>122</v>
      </c>
      <c r="DH708" s="160" t="s">
        <v>125</v>
      </c>
      <c r="DI708" s="160" t="s">
        <v>2333</v>
      </c>
      <c r="DJ708" s="160" t="s">
        <v>2333</v>
      </c>
      <c r="DK708" s="160" t="s">
        <v>1259</v>
      </c>
      <c r="DL708" s="160" t="s">
        <v>1260</v>
      </c>
      <c r="DM708" s="160" t="s">
        <v>1812</v>
      </c>
      <c r="DN708" s="161" t="s">
        <v>1813</v>
      </c>
      <c r="DP708" s="130">
        <v>1</v>
      </c>
    </row>
    <row r="709" spans="2:120" ht="15">
      <c r="B709" s="231"/>
      <c r="C709" s="231"/>
      <c r="D709" s="231"/>
      <c r="E709" s="231" cm="1">
        <f t="array" ref="E709">IF(H708&lt;&gt;"",E708,IF(E708="","",IFERROR(MATCH(TRUE(),INDEX(INDEX(K:K,E708+1):K203&lt;&gt;"",0),0)+E708,"")))</f>
        <v>801</v>
      </c>
      <c r="F709" s="232" cm="1">
        <f t="array" ref="F709">IF(E709="","",IF(H708&lt;&gt;"",H708,INDEX(D:D,E709)))</f>
        <v>0</v>
      </c>
      <c r="G709" s="232" t="str">
        <f t="shared" si="72"/>
        <v>0</v>
      </c>
      <c r="H709" s="233" t="str">
        <f t="shared" si="73"/>
        <v/>
      </c>
      <c r="I709" s="231" t="str">
        <f>IF(AND(F709&lt;&gt;"",N10&gt;0,M709&gt;N10),"Mot &gt; limite","")</f>
        <v/>
      </c>
      <c r="M709" s="126">
        <f>IF(OR(F709="",N10="",N10&lt;=0),"",IF(LEN(F709)&lt;=N10,LEN(F709),IFERROR(FIND("♦",SUBSTITUTE(LEFT(F709,N10)," ","♦",LEN(LEFT(F709,N10))-LEN(SUBSTITUTE(LEFT(F709,N10)," ","")))),FIND(" ",F709&amp;" ",N10+1)-1)))</f>
        <v>1</v>
      </c>
      <c r="N709" s="234">
        <f t="shared" si="74"/>
        <v>692</v>
      </c>
      <c r="O709" s="165" t="str">
        <f t="shared" si="75"/>
        <v>0</v>
      </c>
      <c r="P709" s="234">
        <f t="shared" si="76"/>
        <v>1</v>
      </c>
      <c r="Q709" s="234">
        <f t="shared" si="77"/>
        <v>1</v>
      </c>
      <c r="DE709" s="152"/>
      <c r="DF709" s="160" t="s">
        <v>2334</v>
      </c>
      <c r="DG709" s="160" t="s">
        <v>122</v>
      </c>
      <c r="DH709" s="160" t="s">
        <v>125</v>
      </c>
      <c r="DI709" s="160" t="s">
        <v>2335</v>
      </c>
      <c r="DJ709" s="160" t="s">
        <v>2335</v>
      </c>
      <c r="DK709" s="160" t="s">
        <v>1259</v>
      </c>
      <c r="DL709" s="160" t="s">
        <v>1260</v>
      </c>
      <c r="DM709" s="160" t="s">
        <v>1812</v>
      </c>
      <c r="DN709" s="161" t="s">
        <v>1813</v>
      </c>
      <c r="DP709" s="130">
        <v>1</v>
      </c>
    </row>
    <row r="710" spans="2:120" ht="15">
      <c r="B710" s="231"/>
      <c r="C710" s="231"/>
      <c r="D710" s="231"/>
      <c r="E710" s="231" cm="1">
        <f t="array" ref="E710">IF(H709&lt;&gt;"",E709,IF(E709="","",IFERROR(MATCH(TRUE(),INDEX(INDEX(K:K,E709+1):K203&lt;&gt;"",0),0)+E709,"")))</f>
        <v>802</v>
      </c>
      <c r="F710" s="232" cm="1">
        <f t="array" ref="F710">IF(E710="","",IF(H709&lt;&gt;"",H709,INDEX(D:D,E710)))</f>
        <v>0</v>
      </c>
      <c r="G710" s="232" t="str">
        <f t="shared" si="72"/>
        <v>0</v>
      </c>
      <c r="H710" s="233" t="str">
        <f t="shared" si="73"/>
        <v/>
      </c>
      <c r="I710" s="231" t="str">
        <f>IF(AND(F710&lt;&gt;"",N10&gt;0,M710&gt;N10),"Mot &gt; limite","")</f>
        <v/>
      </c>
      <c r="M710" s="126">
        <f>IF(OR(F710="",N10="",N10&lt;=0),"",IF(LEN(F710)&lt;=N10,LEN(F710),IFERROR(FIND("♦",SUBSTITUTE(LEFT(F710,N10)," ","♦",LEN(LEFT(F710,N10))-LEN(SUBSTITUTE(LEFT(F710,N10)," ","")))),FIND(" ",F710&amp;" ",N10+1)-1)))</f>
        <v>1</v>
      </c>
      <c r="N710" s="234">
        <f t="shared" si="74"/>
        <v>693</v>
      </c>
      <c r="O710" s="165" t="str">
        <f t="shared" si="75"/>
        <v>0</v>
      </c>
      <c r="P710" s="234">
        <f t="shared" si="76"/>
        <v>1</v>
      </c>
      <c r="Q710" s="234">
        <f t="shared" si="77"/>
        <v>1</v>
      </c>
      <c r="DE710" s="152"/>
      <c r="DF710" s="160" t="s">
        <v>2336</v>
      </c>
      <c r="DG710" s="160" t="s">
        <v>122</v>
      </c>
      <c r="DH710" s="160" t="s">
        <v>125</v>
      </c>
      <c r="DI710" s="160" t="s">
        <v>2337</v>
      </c>
      <c r="DJ710" s="160" t="s">
        <v>2337</v>
      </c>
      <c r="DK710" s="160" t="s">
        <v>1259</v>
      </c>
      <c r="DL710" s="160" t="s">
        <v>1260</v>
      </c>
      <c r="DM710" s="160" t="s">
        <v>1812</v>
      </c>
      <c r="DN710" s="161" t="s">
        <v>1813</v>
      </c>
      <c r="DP710" s="130">
        <v>1</v>
      </c>
    </row>
    <row r="711" spans="2:120" ht="15">
      <c r="B711" s="231"/>
      <c r="C711" s="231"/>
      <c r="D711" s="231"/>
      <c r="E711" s="231" cm="1">
        <f t="array" ref="E711">IF(H710&lt;&gt;"",E710,IF(E710="","",IFERROR(MATCH(TRUE(),INDEX(INDEX(K:K,E710+1):K203&lt;&gt;"",0),0)+E710,"")))</f>
        <v>803</v>
      </c>
      <c r="F711" s="232" cm="1">
        <f t="array" ref="F711">IF(E711="","",IF(H710&lt;&gt;"",H710,INDEX(D:D,E711)))</f>
        <v>0</v>
      </c>
      <c r="G711" s="232" t="str">
        <f t="shared" si="72"/>
        <v>0</v>
      </c>
      <c r="H711" s="233" t="str">
        <f t="shared" si="73"/>
        <v/>
      </c>
      <c r="I711" s="231" t="str">
        <f>IF(AND(F711&lt;&gt;"",N10&gt;0,M711&gt;N10),"Mot &gt; limite","")</f>
        <v/>
      </c>
      <c r="M711" s="126">
        <f>IF(OR(F711="",N10="",N10&lt;=0),"",IF(LEN(F711)&lt;=N10,LEN(F711),IFERROR(FIND("♦",SUBSTITUTE(LEFT(F711,N10)," ","♦",LEN(LEFT(F711,N10))-LEN(SUBSTITUTE(LEFT(F711,N10)," ","")))),FIND(" ",F711&amp;" ",N10+1)-1)))</f>
        <v>1</v>
      </c>
      <c r="N711" s="234">
        <f t="shared" si="74"/>
        <v>694</v>
      </c>
      <c r="O711" s="165" t="str">
        <f t="shared" si="75"/>
        <v>0</v>
      </c>
      <c r="P711" s="234">
        <f t="shared" si="76"/>
        <v>1</v>
      </c>
      <c r="Q711" s="234">
        <f t="shared" si="77"/>
        <v>1</v>
      </c>
      <c r="DE711" s="152"/>
      <c r="DF711" s="160" t="s">
        <v>2338</v>
      </c>
      <c r="DG711" s="160" t="s">
        <v>122</v>
      </c>
      <c r="DH711" s="160" t="s">
        <v>125</v>
      </c>
      <c r="DI711" s="160" t="s">
        <v>2339</v>
      </c>
      <c r="DJ711" s="160" t="s">
        <v>2339</v>
      </c>
      <c r="DK711" s="160" t="s">
        <v>1259</v>
      </c>
      <c r="DL711" s="160" t="s">
        <v>1260</v>
      </c>
      <c r="DM711" s="160" t="s">
        <v>1812</v>
      </c>
      <c r="DN711" s="161" t="s">
        <v>1813</v>
      </c>
      <c r="DP711" s="130">
        <v>1</v>
      </c>
    </row>
    <row r="712" spans="2:120" ht="15">
      <c r="B712" s="231"/>
      <c r="C712" s="231"/>
      <c r="D712" s="231"/>
      <c r="E712" s="231" cm="1">
        <f t="array" ref="E712">IF(H711&lt;&gt;"",E711,IF(E711="","",IFERROR(MATCH(TRUE(),INDEX(INDEX(K:K,E711+1):K203&lt;&gt;"",0),0)+E711,"")))</f>
        <v>804</v>
      </c>
      <c r="F712" s="232" cm="1">
        <f t="array" ref="F712">IF(E712="","",IF(H711&lt;&gt;"",H711,INDEX(D:D,E712)))</f>
        <v>0</v>
      </c>
      <c r="G712" s="232" t="str">
        <f t="shared" si="72"/>
        <v>0</v>
      </c>
      <c r="H712" s="233" t="str">
        <f t="shared" si="73"/>
        <v/>
      </c>
      <c r="I712" s="231" t="str">
        <f>IF(AND(F712&lt;&gt;"",N10&gt;0,M712&gt;N10),"Mot &gt; limite","")</f>
        <v/>
      </c>
      <c r="M712" s="126">
        <f>IF(OR(F712="",N10="",N10&lt;=0),"",IF(LEN(F712)&lt;=N10,LEN(F712),IFERROR(FIND("♦",SUBSTITUTE(LEFT(F712,N10)," ","♦",LEN(LEFT(F712,N10))-LEN(SUBSTITUTE(LEFT(F712,N10)," ","")))),FIND(" ",F712&amp;" ",N10+1)-1)))</f>
        <v>1</v>
      </c>
      <c r="N712" s="234">
        <f t="shared" si="74"/>
        <v>695</v>
      </c>
      <c r="O712" s="165" t="str">
        <f t="shared" si="75"/>
        <v>0</v>
      </c>
      <c r="P712" s="234">
        <f t="shared" si="76"/>
        <v>1</v>
      </c>
      <c r="Q712" s="234">
        <f t="shared" si="77"/>
        <v>1</v>
      </c>
      <c r="DE712" s="152"/>
      <c r="DF712" s="160" t="s">
        <v>2340</v>
      </c>
      <c r="DG712" s="160" t="s">
        <v>122</v>
      </c>
      <c r="DH712" s="160" t="s">
        <v>125</v>
      </c>
      <c r="DI712" s="160" t="s">
        <v>2341</v>
      </c>
      <c r="DJ712" s="160" t="s">
        <v>2341</v>
      </c>
      <c r="DK712" s="160" t="s">
        <v>1259</v>
      </c>
      <c r="DL712" s="160" t="s">
        <v>1260</v>
      </c>
      <c r="DM712" s="160" t="s">
        <v>1812</v>
      </c>
      <c r="DN712" s="161" t="s">
        <v>1813</v>
      </c>
      <c r="DP712" s="130">
        <v>1</v>
      </c>
    </row>
    <row r="713" spans="2:120" ht="15">
      <c r="B713" s="231"/>
      <c r="C713" s="231"/>
      <c r="D713" s="231"/>
      <c r="E713" s="231" cm="1">
        <f t="array" ref="E713">IF(H712&lt;&gt;"",E712,IF(E712="","",IFERROR(MATCH(TRUE(),INDEX(INDEX(K:K,E712+1):K203&lt;&gt;"",0),0)+E712,"")))</f>
        <v>805</v>
      </c>
      <c r="F713" s="232" cm="1">
        <f t="array" ref="F713">IF(E713="","",IF(H712&lt;&gt;"",H712,INDEX(D:D,E713)))</f>
        <v>0</v>
      </c>
      <c r="G713" s="232" t="str">
        <f t="shared" si="72"/>
        <v>0</v>
      </c>
      <c r="H713" s="233" t="str">
        <f t="shared" si="73"/>
        <v/>
      </c>
      <c r="I713" s="231" t="str">
        <f>IF(AND(F713&lt;&gt;"",N10&gt;0,M713&gt;N10),"Mot &gt; limite","")</f>
        <v/>
      </c>
      <c r="M713" s="126">
        <f>IF(OR(F713="",N10="",N10&lt;=0),"",IF(LEN(F713)&lt;=N10,LEN(F713),IFERROR(FIND("♦",SUBSTITUTE(LEFT(F713,N10)," ","♦",LEN(LEFT(F713,N10))-LEN(SUBSTITUTE(LEFT(F713,N10)," ","")))),FIND(" ",F713&amp;" ",N10+1)-1)))</f>
        <v>1</v>
      </c>
      <c r="N713" s="234">
        <f t="shared" si="74"/>
        <v>696</v>
      </c>
      <c r="O713" s="165" t="str">
        <f t="shared" si="75"/>
        <v>0</v>
      </c>
      <c r="P713" s="234">
        <f t="shared" si="76"/>
        <v>1</v>
      </c>
      <c r="Q713" s="234">
        <f t="shared" si="77"/>
        <v>1</v>
      </c>
      <c r="DE713" s="152"/>
      <c r="DF713" s="160" t="s">
        <v>2342</v>
      </c>
      <c r="DG713" s="160" t="s">
        <v>122</v>
      </c>
      <c r="DH713" s="160" t="s">
        <v>125</v>
      </c>
      <c r="DI713" s="160" t="s">
        <v>2343</v>
      </c>
      <c r="DJ713" s="160" t="s">
        <v>2343</v>
      </c>
      <c r="DK713" s="160" t="s">
        <v>1259</v>
      </c>
      <c r="DL713" s="160" t="s">
        <v>1260</v>
      </c>
      <c r="DM713" s="160" t="s">
        <v>1812</v>
      </c>
      <c r="DN713" s="161" t="s">
        <v>1813</v>
      </c>
      <c r="DP713" s="130">
        <v>1</v>
      </c>
    </row>
    <row r="714" spans="2:120" ht="15">
      <c r="B714" s="231"/>
      <c r="C714" s="231"/>
      <c r="D714" s="231"/>
      <c r="E714" s="231" cm="1">
        <f t="array" ref="E714">IF(H713&lt;&gt;"",E713,IF(E713="","",IFERROR(MATCH(TRUE(),INDEX(INDEX(K:K,E713+1):K203&lt;&gt;"",0),0)+E713,"")))</f>
        <v>806</v>
      </c>
      <c r="F714" s="232" cm="1">
        <f t="array" ref="F714">IF(E714="","",IF(H713&lt;&gt;"",H713,INDEX(D:D,E714)))</f>
        <v>0</v>
      </c>
      <c r="G714" s="232" t="str">
        <f t="shared" si="72"/>
        <v>0</v>
      </c>
      <c r="H714" s="233" t="str">
        <f t="shared" si="73"/>
        <v/>
      </c>
      <c r="I714" s="231" t="str">
        <f>IF(AND(F714&lt;&gt;"",N10&gt;0,M714&gt;N10),"Mot &gt; limite","")</f>
        <v/>
      </c>
      <c r="M714" s="126">
        <f>IF(OR(F714="",N10="",N10&lt;=0),"",IF(LEN(F714)&lt;=N10,LEN(F714),IFERROR(FIND("♦",SUBSTITUTE(LEFT(F714,N10)," ","♦",LEN(LEFT(F714,N10))-LEN(SUBSTITUTE(LEFT(F714,N10)," ","")))),FIND(" ",F714&amp;" ",N10+1)-1)))</f>
        <v>1</v>
      </c>
      <c r="N714" s="234">
        <f t="shared" si="74"/>
        <v>697</v>
      </c>
      <c r="O714" s="165" t="str">
        <f t="shared" si="75"/>
        <v>0</v>
      </c>
      <c r="P714" s="234">
        <f t="shared" si="76"/>
        <v>1</v>
      </c>
      <c r="Q714" s="234">
        <f t="shared" si="77"/>
        <v>1</v>
      </c>
      <c r="DE714" s="152"/>
      <c r="DF714" s="160" t="s">
        <v>2344</v>
      </c>
      <c r="DG714" s="160" t="s">
        <v>122</v>
      </c>
      <c r="DH714" s="160" t="s">
        <v>125</v>
      </c>
      <c r="DI714" s="160" t="s">
        <v>2345</v>
      </c>
      <c r="DJ714" s="160" t="s">
        <v>2345</v>
      </c>
      <c r="DK714" s="160" t="s">
        <v>1259</v>
      </c>
      <c r="DL714" s="160" t="s">
        <v>1260</v>
      </c>
      <c r="DM714" s="160" t="s">
        <v>1812</v>
      </c>
      <c r="DN714" s="161" t="s">
        <v>1813</v>
      </c>
      <c r="DP714" s="130">
        <v>1</v>
      </c>
    </row>
    <row r="715" spans="2:120" ht="15">
      <c r="B715" s="231"/>
      <c r="C715" s="231"/>
      <c r="D715" s="231"/>
      <c r="E715" s="231" cm="1">
        <f t="array" ref="E715">IF(H714&lt;&gt;"",E714,IF(E714="","",IFERROR(MATCH(TRUE(),INDEX(INDEX(K:K,E714+1):K203&lt;&gt;"",0),0)+E714,"")))</f>
        <v>807</v>
      </c>
      <c r="F715" s="232" cm="1">
        <f t="array" ref="F715">IF(E715="","",IF(H714&lt;&gt;"",H714,INDEX(D:D,E715)))</f>
        <v>0</v>
      </c>
      <c r="G715" s="232" t="str">
        <f t="shared" si="72"/>
        <v>0</v>
      </c>
      <c r="H715" s="233" t="str">
        <f t="shared" si="73"/>
        <v/>
      </c>
      <c r="I715" s="231" t="str">
        <f>IF(AND(F715&lt;&gt;"",N10&gt;0,M715&gt;N10),"Mot &gt; limite","")</f>
        <v/>
      </c>
      <c r="M715" s="126">
        <f>IF(OR(F715="",N10="",N10&lt;=0),"",IF(LEN(F715)&lt;=N10,LEN(F715),IFERROR(FIND("♦",SUBSTITUTE(LEFT(F715,N10)," ","♦",LEN(LEFT(F715,N10))-LEN(SUBSTITUTE(LEFT(F715,N10)," ","")))),FIND(" ",F715&amp;" ",N10+1)-1)))</f>
        <v>1</v>
      </c>
      <c r="N715" s="234">
        <f t="shared" si="74"/>
        <v>698</v>
      </c>
      <c r="O715" s="165" t="str">
        <f t="shared" si="75"/>
        <v>0</v>
      </c>
      <c r="P715" s="234">
        <f t="shared" si="76"/>
        <v>1</v>
      </c>
      <c r="Q715" s="234">
        <f t="shared" si="77"/>
        <v>1</v>
      </c>
      <c r="DE715" s="152"/>
      <c r="DF715" s="160" t="s">
        <v>2346</v>
      </c>
      <c r="DG715" s="160" t="s">
        <v>122</v>
      </c>
      <c r="DH715" s="160" t="s">
        <v>125</v>
      </c>
      <c r="DI715" s="160" t="s">
        <v>2347</v>
      </c>
      <c r="DJ715" s="160" t="s">
        <v>2347</v>
      </c>
      <c r="DK715" s="160" t="s">
        <v>1259</v>
      </c>
      <c r="DL715" s="160" t="s">
        <v>1260</v>
      </c>
      <c r="DM715" s="160" t="s">
        <v>1812</v>
      </c>
      <c r="DN715" s="161" t="s">
        <v>1813</v>
      </c>
      <c r="DP715" s="130">
        <v>1</v>
      </c>
    </row>
    <row r="716" spans="2:120" ht="15">
      <c r="B716" s="231"/>
      <c r="C716" s="231"/>
      <c r="D716" s="231"/>
      <c r="E716" s="231" cm="1">
        <f t="array" ref="E716">IF(H715&lt;&gt;"",E715,IF(E715="","",IFERROR(MATCH(TRUE(),INDEX(INDEX(K:K,E715+1):K203&lt;&gt;"",0),0)+E715,"")))</f>
        <v>808</v>
      </c>
      <c r="F716" s="232" cm="1">
        <f t="array" ref="F716">IF(E716="","",IF(H715&lt;&gt;"",H715,INDEX(D:D,E716)))</f>
        <v>0</v>
      </c>
      <c r="G716" s="232" t="str">
        <f t="shared" si="72"/>
        <v>0</v>
      </c>
      <c r="H716" s="233" t="str">
        <f t="shared" si="73"/>
        <v/>
      </c>
      <c r="I716" s="231" t="str">
        <f>IF(AND(F716&lt;&gt;"",N10&gt;0,M716&gt;N10),"Mot &gt; limite","")</f>
        <v/>
      </c>
      <c r="M716" s="126">
        <f>IF(OR(F716="",N10="",N10&lt;=0),"",IF(LEN(F716)&lt;=N10,LEN(F716),IFERROR(FIND("♦",SUBSTITUTE(LEFT(F716,N10)," ","♦",LEN(LEFT(F716,N10))-LEN(SUBSTITUTE(LEFT(F716,N10)," ","")))),FIND(" ",F716&amp;" ",N10+1)-1)))</f>
        <v>1</v>
      </c>
      <c r="N716" s="234">
        <f t="shared" si="74"/>
        <v>699</v>
      </c>
      <c r="O716" s="165" t="str">
        <f t="shared" si="75"/>
        <v>0</v>
      </c>
      <c r="P716" s="234">
        <f t="shared" si="76"/>
        <v>1</v>
      </c>
      <c r="Q716" s="234">
        <f t="shared" si="77"/>
        <v>1</v>
      </c>
      <c r="DE716" s="152"/>
      <c r="DF716" s="160" t="s">
        <v>2348</v>
      </c>
      <c r="DG716" s="160" t="s">
        <v>122</v>
      </c>
      <c r="DH716" s="160" t="s">
        <v>125</v>
      </c>
      <c r="DI716" s="160" t="s">
        <v>2349</v>
      </c>
      <c r="DJ716" s="160" t="s">
        <v>2349</v>
      </c>
      <c r="DK716" s="160" t="s">
        <v>1259</v>
      </c>
      <c r="DL716" s="160" t="s">
        <v>1260</v>
      </c>
      <c r="DM716" s="160" t="s">
        <v>1812</v>
      </c>
      <c r="DN716" s="161" t="s">
        <v>1813</v>
      </c>
      <c r="DP716" s="130">
        <v>1</v>
      </c>
    </row>
    <row r="717" spans="2:120" ht="15">
      <c r="B717" s="231"/>
      <c r="C717" s="231"/>
      <c r="D717" s="231"/>
      <c r="E717" s="231" cm="1">
        <f t="array" ref="E717">IF(H716&lt;&gt;"",E716,IF(E716="","",IFERROR(MATCH(TRUE(),INDEX(INDEX(K:K,E716+1):K203&lt;&gt;"",0),0)+E716,"")))</f>
        <v>809</v>
      </c>
      <c r="F717" s="232" cm="1">
        <f t="array" ref="F717">IF(E717="","",IF(H716&lt;&gt;"",H716,INDEX(D:D,E717)))</f>
        <v>0</v>
      </c>
      <c r="G717" s="232" t="str">
        <f t="shared" si="72"/>
        <v>0</v>
      </c>
      <c r="H717" s="233" t="str">
        <f t="shared" si="73"/>
        <v/>
      </c>
      <c r="I717" s="231" t="str">
        <f>IF(AND(F717&lt;&gt;"",N10&gt;0,M717&gt;N10),"Mot &gt; limite","")</f>
        <v/>
      </c>
      <c r="M717" s="126">
        <f>IF(OR(F717="",N10="",N10&lt;=0),"",IF(LEN(F717)&lt;=N10,LEN(F717),IFERROR(FIND("♦",SUBSTITUTE(LEFT(F717,N10)," ","♦",LEN(LEFT(F717,N10))-LEN(SUBSTITUTE(LEFT(F717,N10)," ","")))),FIND(" ",F717&amp;" ",N10+1)-1)))</f>
        <v>1</v>
      </c>
      <c r="N717" s="234">
        <f t="shared" si="74"/>
        <v>700</v>
      </c>
      <c r="O717" s="165" t="str">
        <f t="shared" si="75"/>
        <v>0</v>
      </c>
      <c r="P717" s="234">
        <f t="shared" si="76"/>
        <v>1</v>
      </c>
      <c r="Q717" s="234">
        <f t="shared" si="77"/>
        <v>1</v>
      </c>
      <c r="DE717" s="152"/>
      <c r="DF717" s="160" t="s">
        <v>2350</v>
      </c>
      <c r="DG717" s="160" t="s">
        <v>122</v>
      </c>
      <c r="DH717" s="160" t="s">
        <v>125</v>
      </c>
      <c r="DI717" s="160" t="s">
        <v>2351</v>
      </c>
      <c r="DJ717" s="160" t="s">
        <v>2351</v>
      </c>
      <c r="DK717" s="160" t="s">
        <v>1259</v>
      </c>
      <c r="DL717" s="160" t="s">
        <v>1260</v>
      </c>
      <c r="DM717" s="160" t="s">
        <v>1812</v>
      </c>
      <c r="DN717" s="161" t="s">
        <v>1813</v>
      </c>
      <c r="DP717" s="130">
        <v>1</v>
      </c>
    </row>
    <row r="718" spans="2:120" ht="15">
      <c r="B718" s="231"/>
      <c r="C718" s="231"/>
      <c r="D718" s="231"/>
      <c r="E718" s="231" cm="1">
        <f t="array" ref="E718">IF(H717&lt;&gt;"",E717,IF(E717="","",IFERROR(MATCH(TRUE(),INDEX(INDEX(K:K,E717+1):K203&lt;&gt;"",0),0)+E717,"")))</f>
        <v>810</v>
      </c>
      <c r="F718" s="232" cm="1">
        <f t="array" ref="F718">IF(E718="","",IF(H717&lt;&gt;"",H717,INDEX(D:D,E718)))</f>
        <v>0</v>
      </c>
      <c r="G718" s="232" t="str">
        <f t="shared" si="72"/>
        <v>0</v>
      </c>
      <c r="H718" s="233" t="str">
        <f t="shared" si="73"/>
        <v/>
      </c>
      <c r="I718" s="231" t="str">
        <f>IF(AND(F718&lt;&gt;"",N10&gt;0,M718&gt;N10),"Mot &gt; limite","")</f>
        <v/>
      </c>
      <c r="M718" s="126">
        <f>IF(OR(F718="",N10="",N10&lt;=0),"",IF(LEN(F718)&lt;=N10,LEN(F718),IFERROR(FIND("♦",SUBSTITUTE(LEFT(F718,N10)," ","♦",LEN(LEFT(F718,N10))-LEN(SUBSTITUTE(LEFT(F718,N10)," ","")))),FIND(" ",F718&amp;" ",N10+1)-1)))</f>
        <v>1</v>
      </c>
      <c r="N718" s="234">
        <f t="shared" si="74"/>
        <v>701</v>
      </c>
      <c r="O718" s="165" t="str">
        <f t="shared" si="75"/>
        <v>0</v>
      </c>
      <c r="P718" s="234">
        <f t="shared" si="76"/>
        <v>1</v>
      </c>
      <c r="Q718" s="234">
        <f t="shared" si="77"/>
        <v>1</v>
      </c>
      <c r="DE718" s="152"/>
      <c r="DF718" s="160" t="s">
        <v>2352</v>
      </c>
      <c r="DG718" s="160" t="s">
        <v>122</v>
      </c>
      <c r="DH718" s="160" t="s">
        <v>125</v>
      </c>
      <c r="DI718" s="160" t="s">
        <v>2353</v>
      </c>
      <c r="DJ718" s="160" t="s">
        <v>2353</v>
      </c>
      <c r="DK718" s="160" t="s">
        <v>1259</v>
      </c>
      <c r="DL718" s="160" t="s">
        <v>1260</v>
      </c>
      <c r="DM718" s="160" t="s">
        <v>1812</v>
      </c>
      <c r="DN718" s="161" t="s">
        <v>1813</v>
      </c>
      <c r="DP718" s="130">
        <v>1</v>
      </c>
    </row>
    <row r="719" spans="2:120" ht="15">
      <c r="B719" s="231"/>
      <c r="C719" s="231"/>
      <c r="D719" s="231"/>
      <c r="E719" s="231" cm="1">
        <f t="array" ref="E719">IF(H718&lt;&gt;"",E718,IF(E718="","",IFERROR(MATCH(TRUE(),INDEX(INDEX(K:K,E718+1):K203&lt;&gt;"",0),0)+E718,"")))</f>
        <v>811</v>
      </c>
      <c r="F719" s="232" cm="1">
        <f t="array" ref="F719">IF(E719="","",IF(H718&lt;&gt;"",H718,INDEX(D:D,E719)))</f>
        <v>0</v>
      </c>
      <c r="G719" s="232" t="str">
        <f t="shared" si="72"/>
        <v>0</v>
      </c>
      <c r="H719" s="233" t="str">
        <f t="shared" si="73"/>
        <v/>
      </c>
      <c r="I719" s="231" t="str">
        <f>IF(AND(F719&lt;&gt;"",N10&gt;0,M719&gt;N10),"Mot &gt; limite","")</f>
        <v/>
      </c>
      <c r="M719" s="126">
        <f>IF(OR(F719="",N10="",N10&lt;=0),"",IF(LEN(F719)&lt;=N10,LEN(F719),IFERROR(FIND("♦",SUBSTITUTE(LEFT(F719,N10)," ","♦",LEN(LEFT(F719,N10))-LEN(SUBSTITUTE(LEFT(F719,N10)," ","")))),FIND(" ",F719&amp;" ",N10+1)-1)))</f>
        <v>1</v>
      </c>
      <c r="N719" s="234">
        <f t="shared" si="74"/>
        <v>702</v>
      </c>
      <c r="O719" s="165" t="str">
        <f t="shared" si="75"/>
        <v>0</v>
      </c>
      <c r="P719" s="234">
        <f t="shared" si="76"/>
        <v>1</v>
      </c>
      <c r="Q719" s="234">
        <f t="shared" si="77"/>
        <v>1</v>
      </c>
      <c r="DE719" s="152"/>
      <c r="DF719" s="160" t="s">
        <v>2354</v>
      </c>
      <c r="DG719" s="160" t="s">
        <v>122</v>
      </c>
      <c r="DH719" s="160" t="s">
        <v>125</v>
      </c>
      <c r="DI719" s="160" t="s">
        <v>2355</v>
      </c>
      <c r="DJ719" s="160" t="s">
        <v>2355</v>
      </c>
      <c r="DK719" s="160" t="s">
        <v>1259</v>
      </c>
      <c r="DL719" s="160" t="s">
        <v>1260</v>
      </c>
      <c r="DM719" s="160" t="s">
        <v>1812</v>
      </c>
      <c r="DN719" s="161" t="s">
        <v>1813</v>
      </c>
      <c r="DP719" s="130">
        <v>1</v>
      </c>
    </row>
    <row r="720" spans="2:120" ht="15">
      <c r="B720" s="231"/>
      <c r="C720" s="231"/>
      <c r="D720" s="231"/>
      <c r="E720" s="231" cm="1">
        <f t="array" ref="E720">IF(H719&lt;&gt;"",E719,IF(E719="","",IFERROR(MATCH(TRUE(),INDEX(INDEX(K:K,E719+1):K203&lt;&gt;"",0),0)+E719,"")))</f>
        <v>812</v>
      </c>
      <c r="F720" s="232" cm="1">
        <f t="array" ref="F720">IF(E720="","",IF(H719&lt;&gt;"",H719,INDEX(D:D,E720)))</f>
        <v>0</v>
      </c>
      <c r="G720" s="232" t="str">
        <f t="shared" si="72"/>
        <v>0</v>
      </c>
      <c r="H720" s="233" t="str">
        <f t="shared" si="73"/>
        <v/>
      </c>
      <c r="I720" s="231" t="str">
        <f>IF(AND(F720&lt;&gt;"",N10&gt;0,M720&gt;N10),"Mot &gt; limite","")</f>
        <v/>
      </c>
      <c r="M720" s="126">
        <f>IF(OR(F720="",N10="",N10&lt;=0),"",IF(LEN(F720)&lt;=N10,LEN(F720),IFERROR(FIND("♦",SUBSTITUTE(LEFT(F720,N10)," ","♦",LEN(LEFT(F720,N10))-LEN(SUBSTITUTE(LEFT(F720,N10)," ","")))),FIND(" ",F720&amp;" ",N10+1)-1)))</f>
        <v>1</v>
      </c>
      <c r="N720" s="234">
        <f t="shared" si="74"/>
        <v>703</v>
      </c>
      <c r="O720" s="165" t="str">
        <f t="shared" si="75"/>
        <v>0</v>
      </c>
      <c r="P720" s="234">
        <f t="shared" si="76"/>
        <v>1</v>
      </c>
      <c r="Q720" s="234">
        <f t="shared" si="77"/>
        <v>1</v>
      </c>
      <c r="DE720" s="152"/>
      <c r="DF720" s="160" t="s">
        <v>2356</v>
      </c>
      <c r="DG720" s="160" t="s">
        <v>122</v>
      </c>
      <c r="DH720" s="160" t="s">
        <v>125</v>
      </c>
      <c r="DI720" s="160" t="s">
        <v>2357</v>
      </c>
      <c r="DJ720" s="160" t="s">
        <v>2357</v>
      </c>
      <c r="DK720" s="160" t="s">
        <v>1259</v>
      </c>
      <c r="DL720" s="160" t="s">
        <v>1260</v>
      </c>
      <c r="DM720" s="160" t="s">
        <v>1812</v>
      </c>
      <c r="DN720" s="161" t="s">
        <v>1813</v>
      </c>
      <c r="DP720" s="130">
        <v>1</v>
      </c>
    </row>
    <row r="721" spans="2:120" ht="15">
      <c r="B721" s="231"/>
      <c r="C721" s="231"/>
      <c r="D721" s="231"/>
      <c r="E721" s="231" cm="1">
        <f t="array" ref="E721">IF(H720&lt;&gt;"",E720,IF(E720="","",IFERROR(MATCH(TRUE(),INDEX(INDEX(K:K,E720+1):K203&lt;&gt;"",0),0)+E720,"")))</f>
        <v>813</v>
      </c>
      <c r="F721" s="232" cm="1">
        <f t="array" ref="F721">IF(E721="","",IF(H720&lt;&gt;"",H720,INDEX(D:D,E721)))</f>
        <v>0</v>
      </c>
      <c r="G721" s="232" t="str">
        <f t="shared" si="72"/>
        <v>0</v>
      </c>
      <c r="H721" s="233" t="str">
        <f t="shared" si="73"/>
        <v/>
      </c>
      <c r="I721" s="231" t="str">
        <f>IF(AND(F721&lt;&gt;"",N10&gt;0,M721&gt;N10),"Mot &gt; limite","")</f>
        <v/>
      </c>
      <c r="M721" s="126">
        <f>IF(OR(F721="",N10="",N10&lt;=0),"",IF(LEN(F721)&lt;=N10,LEN(F721),IFERROR(FIND("♦",SUBSTITUTE(LEFT(F721,N10)," ","♦",LEN(LEFT(F721,N10))-LEN(SUBSTITUTE(LEFT(F721,N10)," ","")))),FIND(" ",F721&amp;" ",N10+1)-1)))</f>
        <v>1</v>
      </c>
      <c r="N721" s="234">
        <f t="shared" si="74"/>
        <v>704</v>
      </c>
      <c r="O721" s="165" t="str">
        <f t="shared" si="75"/>
        <v>0</v>
      </c>
      <c r="P721" s="234">
        <f t="shared" si="76"/>
        <v>1</v>
      </c>
      <c r="Q721" s="234">
        <f t="shared" si="77"/>
        <v>1</v>
      </c>
      <c r="DE721" s="152"/>
      <c r="DF721" s="160" t="s">
        <v>2358</v>
      </c>
      <c r="DG721" s="160" t="s">
        <v>122</v>
      </c>
      <c r="DH721" s="160" t="s">
        <v>125</v>
      </c>
      <c r="DI721" s="160" t="s">
        <v>2359</v>
      </c>
      <c r="DJ721" s="160" t="s">
        <v>2359</v>
      </c>
      <c r="DK721" s="160" t="s">
        <v>1259</v>
      </c>
      <c r="DL721" s="160" t="s">
        <v>1260</v>
      </c>
      <c r="DM721" s="160" t="s">
        <v>1812</v>
      </c>
      <c r="DN721" s="161" t="s">
        <v>1813</v>
      </c>
      <c r="DP721" s="130">
        <v>1</v>
      </c>
    </row>
    <row r="722" spans="2:120" ht="15">
      <c r="B722" s="231"/>
      <c r="C722" s="231"/>
      <c r="D722" s="231"/>
      <c r="E722" s="231" cm="1">
        <f t="array" ref="E722">IF(H721&lt;&gt;"",E721,IF(E721="","",IFERROR(MATCH(TRUE(),INDEX(INDEX(K:K,E721+1):K203&lt;&gt;"",0),0)+E721,"")))</f>
        <v>814</v>
      </c>
      <c r="F722" s="232" cm="1">
        <f t="array" ref="F722">IF(E722="","",IF(H721&lt;&gt;"",H721,INDEX(D:D,E722)))</f>
        <v>0</v>
      </c>
      <c r="G722" s="232" t="str">
        <f t="shared" ref="G722:G785" si="78">IF(OR(F722="",M722=""),"",LEFT(F722,M722))</f>
        <v>0</v>
      </c>
      <c r="H722" s="233" t="str">
        <f t="shared" ref="H722:H785" si="79">IF(OR(F722="",M722=""),"",TRIM(MID(F722,M722+1,99999)))</f>
        <v/>
      </c>
      <c r="I722" s="231" t="str">
        <f>IF(AND(F722&lt;&gt;"",N10&gt;0,M722&gt;N10),"Mot &gt; limite","")</f>
        <v/>
      </c>
      <c r="M722" s="126">
        <f>IF(OR(F722="",N10="",N10&lt;=0),"",IF(LEN(F722)&lt;=N10,LEN(F722),IFERROR(FIND("♦",SUBSTITUTE(LEFT(F722,N10)," ","♦",LEN(LEFT(F722,N10))-LEN(SUBSTITUTE(LEFT(F722,N10)," ","")))),FIND(" ",F722&amp;" ",N10+1)-1)))</f>
        <v>1</v>
      </c>
      <c r="N722" s="234">
        <f t="shared" ref="N722:N785" si="80">IF(O722="","",ROW()-17)</f>
        <v>705</v>
      </c>
      <c r="O722" s="165" t="str">
        <f t="shared" ref="O722:O785" si="81">G722</f>
        <v>0</v>
      </c>
      <c r="P722" s="234">
        <f t="shared" ref="P722:P785" si="82">IF(O722="","",LEN(TRIM(O722))-LEN(SUBSTITUTE(TRIM(O722)," ",""))+1)</f>
        <v>1</v>
      </c>
      <c r="Q722" s="234">
        <f t="shared" ref="Q722:Q785" si="83">IF(O722="","",LEN(O722))</f>
        <v>1</v>
      </c>
      <c r="DE722" s="152"/>
      <c r="DF722" s="160" t="s">
        <v>2360</v>
      </c>
      <c r="DG722" s="160" t="s">
        <v>122</v>
      </c>
      <c r="DH722" s="160" t="s">
        <v>125</v>
      </c>
      <c r="DI722" s="160" t="s">
        <v>2361</v>
      </c>
      <c r="DJ722" s="160" t="s">
        <v>2361</v>
      </c>
      <c r="DK722" s="160" t="s">
        <v>1259</v>
      </c>
      <c r="DL722" s="160" t="s">
        <v>1260</v>
      </c>
      <c r="DM722" s="160" t="s">
        <v>1812</v>
      </c>
      <c r="DN722" s="161" t="s">
        <v>1813</v>
      </c>
      <c r="DP722" s="130">
        <v>1</v>
      </c>
    </row>
    <row r="723" spans="2:120" ht="15">
      <c r="B723" s="231"/>
      <c r="C723" s="231"/>
      <c r="D723" s="231"/>
      <c r="E723" s="231" cm="1">
        <f t="array" ref="E723">IF(H722&lt;&gt;"",E722,IF(E722="","",IFERROR(MATCH(TRUE(),INDEX(INDEX(K:K,E722+1):K203&lt;&gt;"",0),0)+E722,"")))</f>
        <v>815</v>
      </c>
      <c r="F723" s="232" cm="1">
        <f t="array" ref="F723">IF(E723="","",IF(H722&lt;&gt;"",H722,INDEX(D:D,E723)))</f>
        <v>0</v>
      </c>
      <c r="G723" s="232" t="str">
        <f t="shared" si="78"/>
        <v>0</v>
      </c>
      <c r="H723" s="233" t="str">
        <f t="shared" si="79"/>
        <v/>
      </c>
      <c r="I723" s="231" t="str">
        <f>IF(AND(F723&lt;&gt;"",N10&gt;0,M723&gt;N10),"Mot &gt; limite","")</f>
        <v/>
      </c>
      <c r="M723" s="126">
        <f>IF(OR(F723="",N10="",N10&lt;=0),"",IF(LEN(F723)&lt;=N10,LEN(F723),IFERROR(FIND("♦",SUBSTITUTE(LEFT(F723,N10)," ","♦",LEN(LEFT(F723,N10))-LEN(SUBSTITUTE(LEFT(F723,N10)," ","")))),FIND(" ",F723&amp;" ",N10+1)-1)))</f>
        <v>1</v>
      </c>
      <c r="N723" s="234">
        <f t="shared" si="80"/>
        <v>706</v>
      </c>
      <c r="O723" s="165" t="str">
        <f t="shared" si="81"/>
        <v>0</v>
      </c>
      <c r="P723" s="234">
        <f t="shared" si="82"/>
        <v>1</v>
      </c>
      <c r="Q723" s="234">
        <f t="shared" si="83"/>
        <v>1</v>
      </c>
      <c r="DE723" s="152"/>
      <c r="DF723" s="160" t="s">
        <v>2362</v>
      </c>
      <c r="DG723" s="160" t="s">
        <v>122</v>
      </c>
      <c r="DH723" s="160" t="s">
        <v>125</v>
      </c>
      <c r="DI723" s="160" t="s">
        <v>2363</v>
      </c>
      <c r="DJ723" s="160" t="s">
        <v>2363</v>
      </c>
      <c r="DK723" s="160" t="s">
        <v>1259</v>
      </c>
      <c r="DL723" s="160" t="s">
        <v>1260</v>
      </c>
      <c r="DM723" s="160" t="s">
        <v>1812</v>
      </c>
      <c r="DN723" s="161" t="s">
        <v>1813</v>
      </c>
      <c r="DP723" s="130">
        <v>1</v>
      </c>
    </row>
    <row r="724" spans="2:120" ht="15">
      <c r="B724" s="231"/>
      <c r="C724" s="231"/>
      <c r="D724" s="231"/>
      <c r="E724" s="231" cm="1">
        <f t="array" ref="E724">IF(H723&lt;&gt;"",E723,IF(E723="","",IFERROR(MATCH(TRUE(),INDEX(INDEX(K:K,E723+1):K203&lt;&gt;"",0),0)+E723,"")))</f>
        <v>816</v>
      </c>
      <c r="F724" s="232" cm="1">
        <f t="array" ref="F724">IF(E724="","",IF(H723&lt;&gt;"",H723,INDEX(D:D,E724)))</f>
        <v>0</v>
      </c>
      <c r="G724" s="232" t="str">
        <f t="shared" si="78"/>
        <v>0</v>
      </c>
      <c r="H724" s="233" t="str">
        <f t="shared" si="79"/>
        <v/>
      </c>
      <c r="I724" s="231" t="str">
        <f>IF(AND(F724&lt;&gt;"",N10&gt;0,M724&gt;N10),"Mot &gt; limite","")</f>
        <v/>
      </c>
      <c r="M724" s="126">
        <f>IF(OR(F724="",N10="",N10&lt;=0),"",IF(LEN(F724)&lt;=N10,LEN(F724),IFERROR(FIND("♦",SUBSTITUTE(LEFT(F724,N10)," ","♦",LEN(LEFT(F724,N10))-LEN(SUBSTITUTE(LEFT(F724,N10)," ","")))),FIND(" ",F724&amp;" ",N10+1)-1)))</f>
        <v>1</v>
      </c>
      <c r="N724" s="234">
        <f t="shared" si="80"/>
        <v>707</v>
      </c>
      <c r="O724" s="165" t="str">
        <f t="shared" si="81"/>
        <v>0</v>
      </c>
      <c r="P724" s="234">
        <f t="shared" si="82"/>
        <v>1</v>
      </c>
      <c r="Q724" s="234">
        <f t="shared" si="83"/>
        <v>1</v>
      </c>
      <c r="DE724" s="152"/>
      <c r="DF724" s="160" t="s">
        <v>2364</v>
      </c>
      <c r="DG724" s="160" t="s">
        <v>122</v>
      </c>
      <c r="DH724" s="160" t="s">
        <v>125</v>
      </c>
      <c r="DI724" s="160" t="s">
        <v>2365</v>
      </c>
      <c r="DJ724" s="160" t="s">
        <v>2365</v>
      </c>
      <c r="DK724" s="160" t="s">
        <v>1259</v>
      </c>
      <c r="DL724" s="160" t="s">
        <v>1260</v>
      </c>
      <c r="DM724" s="160" t="s">
        <v>1812</v>
      </c>
      <c r="DN724" s="161" t="s">
        <v>1813</v>
      </c>
      <c r="DP724" s="130">
        <v>1</v>
      </c>
    </row>
    <row r="725" spans="2:120" ht="15">
      <c r="B725" s="231"/>
      <c r="C725" s="231"/>
      <c r="D725" s="231"/>
      <c r="E725" s="231" cm="1">
        <f t="array" ref="E725">IF(H724&lt;&gt;"",E724,IF(E724="","",IFERROR(MATCH(TRUE(),INDEX(INDEX(K:K,E724+1):K203&lt;&gt;"",0),0)+E724,"")))</f>
        <v>817</v>
      </c>
      <c r="F725" s="232" cm="1">
        <f t="array" ref="F725">IF(E725="","",IF(H724&lt;&gt;"",H724,INDEX(D:D,E725)))</f>
        <v>0</v>
      </c>
      <c r="G725" s="232" t="str">
        <f t="shared" si="78"/>
        <v>0</v>
      </c>
      <c r="H725" s="233" t="str">
        <f t="shared" si="79"/>
        <v/>
      </c>
      <c r="I725" s="231" t="str">
        <f>IF(AND(F725&lt;&gt;"",N10&gt;0,M725&gt;N10),"Mot &gt; limite","")</f>
        <v/>
      </c>
      <c r="M725" s="126">
        <f>IF(OR(F725="",N10="",N10&lt;=0),"",IF(LEN(F725)&lt;=N10,LEN(F725),IFERROR(FIND("♦",SUBSTITUTE(LEFT(F725,N10)," ","♦",LEN(LEFT(F725,N10))-LEN(SUBSTITUTE(LEFT(F725,N10)," ","")))),FIND(" ",F725&amp;" ",N10+1)-1)))</f>
        <v>1</v>
      </c>
      <c r="N725" s="234">
        <f t="shared" si="80"/>
        <v>708</v>
      </c>
      <c r="O725" s="165" t="str">
        <f t="shared" si="81"/>
        <v>0</v>
      </c>
      <c r="P725" s="234">
        <f t="shared" si="82"/>
        <v>1</v>
      </c>
      <c r="Q725" s="234">
        <f t="shared" si="83"/>
        <v>1</v>
      </c>
      <c r="DE725" s="152"/>
      <c r="DF725" s="160" t="s">
        <v>2366</v>
      </c>
      <c r="DG725" s="160" t="s">
        <v>122</v>
      </c>
      <c r="DH725" s="160" t="s">
        <v>125</v>
      </c>
      <c r="DI725" s="160" t="s">
        <v>2367</v>
      </c>
      <c r="DJ725" s="160" t="s">
        <v>2367</v>
      </c>
      <c r="DK725" s="160" t="s">
        <v>1259</v>
      </c>
      <c r="DL725" s="160" t="s">
        <v>1260</v>
      </c>
      <c r="DM725" s="160" t="s">
        <v>1812</v>
      </c>
      <c r="DN725" s="161" t="s">
        <v>1813</v>
      </c>
      <c r="DP725" s="130">
        <v>1</v>
      </c>
    </row>
    <row r="726" spans="2:120" ht="15">
      <c r="B726" s="231"/>
      <c r="C726" s="231"/>
      <c r="D726" s="231"/>
      <c r="E726" s="231" cm="1">
        <f t="array" ref="E726">IF(H725&lt;&gt;"",E725,IF(E725="","",IFERROR(MATCH(TRUE(),INDEX(INDEX(K:K,E725+1):K203&lt;&gt;"",0),0)+E725,"")))</f>
        <v>818</v>
      </c>
      <c r="F726" s="232" cm="1">
        <f t="array" ref="F726">IF(E726="","",IF(H725&lt;&gt;"",H725,INDEX(D:D,E726)))</f>
        <v>0</v>
      </c>
      <c r="G726" s="232" t="str">
        <f t="shared" si="78"/>
        <v>0</v>
      </c>
      <c r="H726" s="233" t="str">
        <f t="shared" si="79"/>
        <v/>
      </c>
      <c r="I726" s="231" t="str">
        <f>IF(AND(F726&lt;&gt;"",N10&gt;0,M726&gt;N10),"Mot &gt; limite","")</f>
        <v/>
      </c>
      <c r="M726" s="126">
        <f>IF(OR(F726="",N10="",N10&lt;=0),"",IF(LEN(F726)&lt;=N10,LEN(F726),IFERROR(FIND("♦",SUBSTITUTE(LEFT(F726,N10)," ","♦",LEN(LEFT(F726,N10))-LEN(SUBSTITUTE(LEFT(F726,N10)," ","")))),FIND(" ",F726&amp;" ",N10+1)-1)))</f>
        <v>1</v>
      </c>
      <c r="N726" s="234">
        <f t="shared" si="80"/>
        <v>709</v>
      </c>
      <c r="O726" s="165" t="str">
        <f t="shared" si="81"/>
        <v>0</v>
      </c>
      <c r="P726" s="234">
        <f t="shared" si="82"/>
        <v>1</v>
      </c>
      <c r="Q726" s="234">
        <f t="shared" si="83"/>
        <v>1</v>
      </c>
      <c r="DE726" s="152"/>
      <c r="DF726" s="160" t="s">
        <v>2368</v>
      </c>
      <c r="DG726" s="160" t="s">
        <v>122</v>
      </c>
      <c r="DH726" s="160" t="s">
        <v>125</v>
      </c>
      <c r="DI726" s="160" t="s">
        <v>2369</v>
      </c>
      <c r="DJ726" s="160" t="s">
        <v>2369</v>
      </c>
      <c r="DK726" s="160" t="s">
        <v>1259</v>
      </c>
      <c r="DL726" s="160" t="s">
        <v>1260</v>
      </c>
      <c r="DM726" s="160" t="s">
        <v>1812</v>
      </c>
      <c r="DN726" s="161" t="s">
        <v>1813</v>
      </c>
      <c r="DP726" s="130">
        <v>1</v>
      </c>
    </row>
    <row r="727" spans="2:120" ht="15">
      <c r="B727" s="231"/>
      <c r="C727" s="231"/>
      <c r="D727" s="231"/>
      <c r="E727" s="231" cm="1">
        <f t="array" ref="E727">IF(H726&lt;&gt;"",E726,IF(E726="","",IFERROR(MATCH(TRUE(),INDEX(INDEX(K:K,E726+1):K203&lt;&gt;"",0),0)+E726,"")))</f>
        <v>819</v>
      </c>
      <c r="F727" s="232" cm="1">
        <f t="array" ref="F727">IF(E727="","",IF(H726&lt;&gt;"",H726,INDEX(D:D,E727)))</f>
        <v>0</v>
      </c>
      <c r="G727" s="232" t="str">
        <f t="shared" si="78"/>
        <v>0</v>
      </c>
      <c r="H727" s="233" t="str">
        <f t="shared" si="79"/>
        <v/>
      </c>
      <c r="I727" s="231" t="str">
        <f>IF(AND(F727&lt;&gt;"",N10&gt;0,M727&gt;N10),"Mot &gt; limite","")</f>
        <v/>
      </c>
      <c r="M727" s="126">
        <f>IF(OR(F727="",N10="",N10&lt;=0),"",IF(LEN(F727)&lt;=N10,LEN(F727),IFERROR(FIND("♦",SUBSTITUTE(LEFT(F727,N10)," ","♦",LEN(LEFT(F727,N10))-LEN(SUBSTITUTE(LEFT(F727,N10)," ","")))),FIND(" ",F727&amp;" ",N10+1)-1)))</f>
        <v>1</v>
      </c>
      <c r="N727" s="234">
        <f t="shared" si="80"/>
        <v>710</v>
      </c>
      <c r="O727" s="165" t="str">
        <f t="shared" si="81"/>
        <v>0</v>
      </c>
      <c r="P727" s="234">
        <f t="shared" si="82"/>
        <v>1</v>
      </c>
      <c r="Q727" s="234">
        <f t="shared" si="83"/>
        <v>1</v>
      </c>
      <c r="DE727" s="152"/>
      <c r="DF727" s="160" t="s">
        <v>2370</v>
      </c>
      <c r="DG727" s="160" t="s">
        <v>122</v>
      </c>
      <c r="DH727" s="160" t="s">
        <v>125</v>
      </c>
      <c r="DI727" s="160" t="s">
        <v>2371</v>
      </c>
      <c r="DJ727" s="160" t="s">
        <v>2371</v>
      </c>
      <c r="DK727" s="160" t="s">
        <v>1259</v>
      </c>
      <c r="DL727" s="160" t="s">
        <v>1260</v>
      </c>
      <c r="DM727" s="160" t="s">
        <v>1812</v>
      </c>
      <c r="DN727" s="161" t="s">
        <v>1813</v>
      </c>
      <c r="DP727" s="130">
        <v>1</v>
      </c>
    </row>
    <row r="728" spans="2:120" ht="15">
      <c r="B728" s="231"/>
      <c r="C728" s="231"/>
      <c r="D728" s="231"/>
      <c r="E728" s="231" cm="1">
        <f t="array" ref="E728">IF(H727&lt;&gt;"",E727,IF(E727="","",IFERROR(MATCH(TRUE(),INDEX(INDEX(K:K,E727+1):K203&lt;&gt;"",0),0)+E727,"")))</f>
        <v>820</v>
      </c>
      <c r="F728" s="232" cm="1">
        <f t="array" ref="F728">IF(E728="","",IF(H727&lt;&gt;"",H727,INDEX(D:D,E728)))</f>
        <v>0</v>
      </c>
      <c r="G728" s="232" t="str">
        <f t="shared" si="78"/>
        <v>0</v>
      </c>
      <c r="H728" s="233" t="str">
        <f t="shared" si="79"/>
        <v/>
      </c>
      <c r="I728" s="231" t="str">
        <f>IF(AND(F728&lt;&gt;"",N10&gt;0,M728&gt;N10),"Mot &gt; limite","")</f>
        <v/>
      </c>
      <c r="M728" s="126">
        <f>IF(OR(F728="",N10="",N10&lt;=0),"",IF(LEN(F728)&lt;=N10,LEN(F728),IFERROR(FIND("♦",SUBSTITUTE(LEFT(F728,N10)," ","♦",LEN(LEFT(F728,N10))-LEN(SUBSTITUTE(LEFT(F728,N10)," ","")))),FIND(" ",F728&amp;" ",N10+1)-1)))</f>
        <v>1</v>
      </c>
      <c r="N728" s="234">
        <f t="shared" si="80"/>
        <v>711</v>
      </c>
      <c r="O728" s="165" t="str">
        <f t="shared" si="81"/>
        <v>0</v>
      </c>
      <c r="P728" s="234">
        <f t="shared" si="82"/>
        <v>1</v>
      </c>
      <c r="Q728" s="234">
        <f t="shared" si="83"/>
        <v>1</v>
      </c>
      <c r="DE728" s="152"/>
      <c r="DF728" s="160" t="s">
        <v>2372</v>
      </c>
      <c r="DG728" s="160" t="s">
        <v>122</v>
      </c>
      <c r="DH728" s="160" t="s">
        <v>125</v>
      </c>
      <c r="DI728" s="160" t="s">
        <v>2373</v>
      </c>
      <c r="DJ728" s="160" t="s">
        <v>2373</v>
      </c>
      <c r="DK728" s="160" t="s">
        <v>1259</v>
      </c>
      <c r="DL728" s="160" t="s">
        <v>1260</v>
      </c>
      <c r="DM728" s="160" t="s">
        <v>1812</v>
      </c>
      <c r="DN728" s="161" t="s">
        <v>1813</v>
      </c>
      <c r="DP728" s="130">
        <v>1</v>
      </c>
    </row>
    <row r="729" spans="2:120" ht="15">
      <c r="B729" s="231"/>
      <c r="C729" s="231"/>
      <c r="D729" s="231"/>
      <c r="E729" s="231" cm="1">
        <f t="array" ref="E729">IF(H728&lt;&gt;"",E728,IF(E728="","",IFERROR(MATCH(TRUE(),INDEX(INDEX(K:K,E728+1):K203&lt;&gt;"",0),0)+E728,"")))</f>
        <v>821</v>
      </c>
      <c r="F729" s="232" cm="1">
        <f t="array" ref="F729">IF(E729="","",IF(H728&lt;&gt;"",H728,INDEX(D:D,E729)))</f>
        <v>0</v>
      </c>
      <c r="G729" s="232" t="str">
        <f t="shared" si="78"/>
        <v>0</v>
      </c>
      <c r="H729" s="233" t="str">
        <f t="shared" si="79"/>
        <v/>
      </c>
      <c r="I729" s="231" t="str">
        <f>IF(AND(F729&lt;&gt;"",N10&gt;0,M729&gt;N10),"Mot &gt; limite","")</f>
        <v/>
      </c>
      <c r="M729" s="126">
        <f>IF(OR(F729="",N10="",N10&lt;=0),"",IF(LEN(F729)&lt;=N10,LEN(F729),IFERROR(FIND("♦",SUBSTITUTE(LEFT(F729,N10)," ","♦",LEN(LEFT(F729,N10))-LEN(SUBSTITUTE(LEFT(F729,N10)," ","")))),FIND(" ",F729&amp;" ",N10+1)-1)))</f>
        <v>1</v>
      </c>
      <c r="N729" s="234">
        <f t="shared" si="80"/>
        <v>712</v>
      </c>
      <c r="O729" s="165" t="str">
        <f t="shared" si="81"/>
        <v>0</v>
      </c>
      <c r="P729" s="234">
        <f t="shared" si="82"/>
        <v>1</v>
      </c>
      <c r="Q729" s="234">
        <f t="shared" si="83"/>
        <v>1</v>
      </c>
      <c r="DE729" s="152"/>
      <c r="DF729" s="160" t="s">
        <v>2374</v>
      </c>
      <c r="DG729" s="160" t="s">
        <v>122</v>
      </c>
      <c r="DH729" s="160" t="s">
        <v>125</v>
      </c>
      <c r="DI729" s="160" t="s">
        <v>2375</v>
      </c>
      <c r="DJ729" s="160" t="s">
        <v>2375</v>
      </c>
      <c r="DK729" s="160" t="s">
        <v>1259</v>
      </c>
      <c r="DL729" s="160" t="s">
        <v>1260</v>
      </c>
      <c r="DM729" s="160" t="s">
        <v>1812</v>
      </c>
      <c r="DN729" s="161" t="s">
        <v>1813</v>
      </c>
      <c r="DP729" s="130">
        <v>1</v>
      </c>
    </row>
    <row r="730" spans="2:120" ht="15">
      <c r="B730" s="231"/>
      <c r="C730" s="231"/>
      <c r="D730" s="231"/>
      <c r="E730" s="231" cm="1">
        <f t="array" ref="E730">IF(H729&lt;&gt;"",E729,IF(E729="","",IFERROR(MATCH(TRUE(),INDEX(INDEX(K:K,E729+1):K203&lt;&gt;"",0),0)+E729,"")))</f>
        <v>822</v>
      </c>
      <c r="F730" s="232" cm="1">
        <f t="array" ref="F730">IF(E730="","",IF(H729&lt;&gt;"",H729,INDEX(D:D,E730)))</f>
        <v>0</v>
      </c>
      <c r="G730" s="232" t="str">
        <f t="shared" si="78"/>
        <v>0</v>
      </c>
      <c r="H730" s="233" t="str">
        <f t="shared" si="79"/>
        <v/>
      </c>
      <c r="I730" s="231" t="str">
        <f>IF(AND(F730&lt;&gt;"",N10&gt;0,M730&gt;N10),"Mot &gt; limite","")</f>
        <v/>
      </c>
      <c r="M730" s="126">
        <f>IF(OR(F730="",N10="",N10&lt;=0),"",IF(LEN(F730)&lt;=N10,LEN(F730),IFERROR(FIND("♦",SUBSTITUTE(LEFT(F730,N10)," ","♦",LEN(LEFT(F730,N10))-LEN(SUBSTITUTE(LEFT(F730,N10)," ","")))),FIND(" ",F730&amp;" ",N10+1)-1)))</f>
        <v>1</v>
      </c>
      <c r="N730" s="234">
        <f t="shared" si="80"/>
        <v>713</v>
      </c>
      <c r="O730" s="165" t="str">
        <f t="shared" si="81"/>
        <v>0</v>
      </c>
      <c r="P730" s="234">
        <f t="shared" si="82"/>
        <v>1</v>
      </c>
      <c r="Q730" s="234">
        <f t="shared" si="83"/>
        <v>1</v>
      </c>
      <c r="DE730" s="152"/>
      <c r="DF730" s="160" t="s">
        <v>2376</v>
      </c>
      <c r="DG730" s="160" t="s">
        <v>122</v>
      </c>
      <c r="DH730" s="160" t="s">
        <v>125</v>
      </c>
      <c r="DI730" s="160" t="s">
        <v>2377</v>
      </c>
      <c r="DJ730" s="160" t="s">
        <v>2377</v>
      </c>
      <c r="DK730" s="160" t="s">
        <v>1259</v>
      </c>
      <c r="DL730" s="160" t="s">
        <v>1260</v>
      </c>
      <c r="DM730" s="160" t="s">
        <v>1812</v>
      </c>
      <c r="DN730" s="161" t="s">
        <v>1813</v>
      </c>
      <c r="DP730" s="130">
        <v>1</v>
      </c>
    </row>
    <row r="731" spans="2:120" ht="15">
      <c r="B731" s="231"/>
      <c r="C731" s="231"/>
      <c r="D731" s="231"/>
      <c r="E731" s="231" cm="1">
        <f t="array" ref="E731">IF(H730&lt;&gt;"",E730,IF(E730="","",IFERROR(MATCH(TRUE(),INDEX(INDEX(K:K,E730+1):K203&lt;&gt;"",0),0)+E730,"")))</f>
        <v>823</v>
      </c>
      <c r="F731" s="232" cm="1">
        <f t="array" ref="F731">IF(E731="","",IF(H730&lt;&gt;"",H730,INDEX(D:D,E731)))</f>
        <v>0</v>
      </c>
      <c r="G731" s="232" t="str">
        <f t="shared" si="78"/>
        <v>0</v>
      </c>
      <c r="H731" s="233" t="str">
        <f t="shared" si="79"/>
        <v/>
      </c>
      <c r="I731" s="231" t="str">
        <f>IF(AND(F731&lt;&gt;"",N10&gt;0,M731&gt;N10),"Mot &gt; limite","")</f>
        <v/>
      </c>
      <c r="M731" s="126">
        <f>IF(OR(F731="",N10="",N10&lt;=0),"",IF(LEN(F731)&lt;=N10,LEN(F731),IFERROR(FIND("♦",SUBSTITUTE(LEFT(F731,N10)," ","♦",LEN(LEFT(F731,N10))-LEN(SUBSTITUTE(LEFT(F731,N10)," ","")))),FIND(" ",F731&amp;" ",N10+1)-1)))</f>
        <v>1</v>
      </c>
      <c r="N731" s="234">
        <f t="shared" si="80"/>
        <v>714</v>
      </c>
      <c r="O731" s="165" t="str">
        <f t="shared" si="81"/>
        <v>0</v>
      </c>
      <c r="P731" s="234">
        <f t="shared" si="82"/>
        <v>1</v>
      </c>
      <c r="Q731" s="234">
        <f t="shared" si="83"/>
        <v>1</v>
      </c>
      <c r="DE731" s="152"/>
      <c r="DF731" s="160" t="s">
        <v>2378</v>
      </c>
      <c r="DG731" s="160" t="s">
        <v>122</v>
      </c>
      <c r="DH731" s="160" t="s">
        <v>125</v>
      </c>
      <c r="DI731" s="160" t="s">
        <v>2379</v>
      </c>
      <c r="DJ731" s="160" t="s">
        <v>2379</v>
      </c>
      <c r="DK731" s="160" t="s">
        <v>1259</v>
      </c>
      <c r="DL731" s="160" t="s">
        <v>1260</v>
      </c>
      <c r="DM731" s="160" t="s">
        <v>1812</v>
      </c>
      <c r="DN731" s="161" t="s">
        <v>1813</v>
      </c>
      <c r="DP731" s="130">
        <v>1</v>
      </c>
    </row>
    <row r="732" spans="2:120" ht="15">
      <c r="B732" s="231"/>
      <c r="C732" s="231"/>
      <c r="D732" s="231"/>
      <c r="E732" s="231" cm="1">
        <f t="array" ref="E732">IF(H731&lt;&gt;"",E731,IF(E731="","",IFERROR(MATCH(TRUE(),INDEX(INDEX(K:K,E731+1):K203&lt;&gt;"",0),0)+E731,"")))</f>
        <v>824</v>
      </c>
      <c r="F732" s="232" cm="1">
        <f t="array" ref="F732">IF(E732="","",IF(H731&lt;&gt;"",H731,INDEX(D:D,E732)))</f>
        <v>0</v>
      </c>
      <c r="G732" s="232" t="str">
        <f t="shared" si="78"/>
        <v>0</v>
      </c>
      <c r="H732" s="233" t="str">
        <f t="shared" si="79"/>
        <v/>
      </c>
      <c r="I732" s="231" t="str">
        <f>IF(AND(F732&lt;&gt;"",N10&gt;0,M732&gt;N10),"Mot &gt; limite","")</f>
        <v/>
      </c>
      <c r="M732" s="126">
        <f>IF(OR(F732="",N10="",N10&lt;=0),"",IF(LEN(F732)&lt;=N10,LEN(F732),IFERROR(FIND("♦",SUBSTITUTE(LEFT(F732,N10)," ","♦",LEN(LEFT(F732,N10))-LEN(SUBSTITUTE(LEFT(F732,N10)," ","")))),FIND(" ",F732&amp;" ",N10+1)-1)))</f>
        <v>1</v>
      </c>
      <c r="N732" s="234">
        <f t="shared" si="80"/>
        <v>715</v>
      </c>
      <c r="O732" s="165" t="str">
        <f t="shared" si="81"/>
        <v>0</v>
      </c>
      <c r="P732" s="234">
        <f t="shared" si="82"/>
        <v>1</v>
      </c>
      <c r="Q732" s="234">
        <f t="shared" si="83"/>
        <v>1</v>
      </c>
      <c r="DE732" s="152"/>
      <c r="DF732" s="160" t="s">
        <v>2380</v>
      </c>
      <c r="DG732" s="160" t="s">
        <v>122</v>
      </c>
      <c r="DH732" s="160" t="s">
        <v>125</v>
      </c>
      <c r="DI732" s="160" t="s">
        <v>2381</v>
      </c>
      <c r="DJ732" s="160" t="s">
        <v>2381</v>
      </c>
      <c r="DK732" s="160" t="s">
        <v>1259</v>
      </c>
      <c r="DL732" s="160" t="s">
        <v>1260</v>
      </c>
      <c r="DM732" s="160" t="s">
        <v>1812</v>
      </c>
      <c r="DN732" s="161" t="s">
        <v>1813</v>
      </c>
      <c r="DP732" s="130">
        <v>1</v>
      </c>
    </row>
    <row r="733" spans="2:120" ht="15">
      <c r="B733" s="231"/>
      <c r="C733" s="231"/>
      <c r="D733" s="231"/>
      <c r="E733" s="231" cm="1">
        <f t="array" ref="E733">IF(H732&lt;&gt;"",E732,IF(E732="","",IFERROR(MATCH(TRUE(),INDEX(INDEX(K:K,E732+1):K203&lt;&gt;"",0),0)+E732,"")))</f>
        <v>825</v>
      </c>
      <c r="F733" s="232" cm="1">
        <f t="array" ref="F733">IF(E733="","",IF(H732&lt;&gt;"",H732,INDEX(D:D,E733)))</f>
        <v>0</v>
      </c>
      <c r="G733" s="232" t="str">
        <f t="shared" si="78"/>
        <v>0</v>
      </c>
      <c r="H733" s="233" t="str">
        <f t="shared" si="79"/>
        <v/>
      </c>
      <c r="I733" s="231" t="str">
        <f>IF(AND(F733&lt;&gt;"",N10&gt;0,M733&gt;N10),"Mot &gt; limite","")</f>
        <v/>
      </c>
      <c r="M733" s="126">
        <f>IF(OR(F733="",N10="",N10&lt;=0),"",IF(LEN(F733)&lt;=N10,LEN(F733),IFERROR(FIND("♦",SUBSTITUTE(LEFT(F733,N10)," ","♦",LEN(LEFT(F733,N10))-LEN(SUBSTITUTE(LEFT(F733,N10)," ","")))),FIND(" ",F733&amp;" ",N10+1)-1)))</f>
        <v>1</v>
      </c>
      <c r="N733" s="234">
        <f t="shared" si="80"/>
        <v>716</v>
      </c>
      <c r="O733" s="165" t="str">
        <f t="shared" si="81"/>
        <v>0</v>
      </c>
      <c r="P733" s="234">
        <f t="shared" si="82"/>
        <v>1</v>
      </c>
      <c r="Q733" s="234">
        <f t="shared" si="83"/>
        <v>1</v>
      </c>
      <c r="DE733" s="152"/>
      <c r="DF733" s="160" t="s">
        <v>2382</v>
      </c>
      <c r="DG733" s="160" t="s">
        <v>122</v>
      </c>
      <c r="DH733" s="160" t="s">
        <v>125</v>
      </c>
      <c r="DI733" s="160" t="s">
        <v>2383</v>
      </c>
      <c r="DJ733" s="160" t="s">
        <v>2383</v>
      </c>
      <c r="DK733" s="160" t="s">
        <v>1259</v>
      </c>
      <c r="DL733" s="160" t="s">
        <v>1260</v>
      </c>
      <c r="DM733" s="160" t="s">
        <v>1812</v>
      </c>
      <c r="DN733" s="161" t="s">
        <v>1813</v>
      </c>
      <c r="DP733" s="130">
        <v>1</v>
      </c>
    </row>
    <row r="734" spans="2:120" ht="15">
      <c r="B734" s="231"/>
      <c r="C734" s="231"/>
      <c r="D734" s="231"/>
      <c r="E734" s="231" cm="1">
        <f t="array" ref="E734">IF(H733&lt;&gt;"",E733,IF(E733="","",IFERROR(MATCH(TRUE(),INDEX(INDEX(K:K,E733+1):K203&lt;&gt;"",0),0)+E733,"")))</f>
        <v>826</v>
      </c>
      <c r="F734" s="232" cm="1">
        <f t="array" ref="F734">IF(E734="","",IF(H733&lt;&gt;"",H733,INDEX(D:D,E734)))</f>
        <v>0</v>
      </c>
      <c r="G734" s="232" t="str">
        <f t="shared" si="78"/>
        <v>0</v>
      </c>
      <c r="H734" s="233" t="str">
        <f t="shared" si="79"/>
        <v/>
      </c>
      <c r="I734" s="231" t="str">
        <f>IF(AND(F734&lt;&gt;"",N10&gt;0,M734&gt;N10),"Mot &gt; limite","")</f>
        <v/>
      </c>
      <c r="M734" s="126">
        <f>IF(OR(F734="",N10="",N10&lt;=0),"",IF(LEN(F734)&lt;=N10,LEN(F734),IFERROR(FIND("♦",SUBSTITUTE(LEFT(F734,N10)," ","♦",LEN(LEFT(F734,N10))-LEN(SUBSTITUTE(LEFT(F734,N10)," ","")))),FIND(" ",F734&amp;" ",N10+1)-1)))</f>
        <v>1</v>
      </c>
      <c r="N734" s="234">
        <f t="shared" si="80"/>
        <v>717</v>
      </c>
      <c r="O734" s="165" t="str">
        <f t="shared" si="81"/>
        <v>0</v>
      </c>
      <c r="P734" s="234">
        <f t="shared" si="82"/>
        <v>1</v>
      </c>
      <c r="Q734" s="234">
        <f t="shared" si="83"/>
        <v>1</v>
      </c>
      <c r="DE734" s="152"/>
      <c r="DF734" s="160" t="s">
        <v>2384</v>
      </c>
      <c r="DG734" s="160" t="s">
        <v>122</v>
      </c>
      <c r="DH734" s="160" t="s">
        <v>125</v>
      </c>
      <c r="DI734" s="160" t="s">
        <v>2385</v>
      </c>
      <c r="DJ734" s="160" t="s">
        <v>2385</v>
      </c>
      <c r="DK734" s="160" t="s">
        <v>1259</v>
      </c>
      <c r="DL734" s="160" t="s">
        <v>1260</v>
      </c>
      <c r="DM734" s="160" t="s">
        <v>1812</v>
      </c>
      <c r="DN734" s="161" t="s">
        <v>1813</v>
      </c>
      <c r="DP734" s="130">
        <v>1</v>
      </c>
    </row>
    <row r="735" spans="2:120" ht="15">
      <c r="B735" s="231"/>
      <c r="C735" s="231"/>
      <c r="D735" s="231"/>
      <c r="E735" s="231" cm="1">
        <f t="array" ref="E735">IF(H734&lt;&gt;"",E734,IF(E734="","",IFERROR(MATCH(TRUE(),INDEX(INDEX(K:K,E734+1):K203&lt;&gt;"",0),0)+E734,"")))</f>
        <v>827</v>
      </c>
      <c r="F735" s="232" cm="1">
        <f t="array" ref="F735">IF(E735="","",IF(H734&lt;&gt;"",H734,INDEX(D:D,E735)))</f>
        <v>0</v>
      </c>
      <c r="G735" s="232" t="str">
        <f t="shared" si="78"/>
        <v>0</v>
      </c>
      <c r="H735" s="233" t="str">
        <f t="shared" si="79"/>
        <v/>
      </c>
      <c r="I735" s="231" t="str">
        <f>IF(AND(F735&lt;&gt;"",N10&gt;0,M735&gt;N10),"Mot &gt; limite","")</f>
        <v/>
      </c>
      <c r="M735" s="126">
        <f>IF(OR(F735="",N10="",N10&lt;=0),"",IF(LEN(F735)&lt;=N10,LEN(F735),IFERROR(FIND("♦",SUBSTITUTE(LEFT(F735,N10)," ","♦",LEN(LEFT(F735,N10))-LEN(SUBSTITUTE(LEFT(F735,N10)," ","")))),FIND(" ",F735&amp;" ",N10+1)-1)))</f>
        <v>1</v>
      </c>
      <c r="N735" s="234">
        <f t="shared" si="80"/>
        <v>718</v>
      </c>
      <c r="O735" s="165" t="str">
        <f t="shared" si="81"/>
        <v>0</v>
      </c>
      <c r="P735" s="234">
        <f t="shared" si="82"/>
        <v>1</v>
      </c>
      <c r="Q735" s="234">
        <f t="shared" si="83"/>
        <v>1</v>
      </c>
      <c r="DE735" s="152"/>
      <c r="DF735" s="160" t="s">
        <v>2386</v>
      </c>
      <c r="DG735" s="160" t="s">
        <v>122</v>
      </c>
      <c r="DH735" s="160" t="s">
        <v>125</v>
      </c>
      <c r="DI735" s="160" t="s">
        <v>2387</v>
      </c>
      <c r="DJ735" s="160" t="s">
        <v>2387</v>
      </c>
      <c r="DK735" s="160" t="s">
        <v>1259</v>
      </c>
      <c r="DL735" s="160" t="s">
        <v>1260</v>
      </c>
      <c r="DM735" s="160" t="s">
        <v>1812</v>
      </c>
      <c r="DN735" s="161" t="s">
        <v>1813</v>
      </c>
      <c r="DP735" s="130">
        <v>1</v>
      </c>
    </row>
    <row r="736" spans="2:120" ht="15">
      <c r="B736" s="231"/>
      <c r="C736" s="231"/>
      <c r="D736" s="231"/>
      <c r="E736" s="231" cm="1">
        <f t="array" ref="E736">IF(H735&lt;&gt;"",E735,IF(E735="","",IFERROR(MATCH(TRUE(),INDEX(INDEX(K:K,E735+1):K203&lt;&gt;"",0),0)+E735,"")))</f>
        <v>828</v>
      </c>
      <c r="F736" s="232" cm="1">
        <f t="array" ref="F736">IF(E736="","",IF(H735&lt;&gt;"",H735,INDEX(D:D,E736)))</f>
        <v>0</v>
      </c>
      <c r="G736" s="232" t="str">
        <f t="shared" si="78"/>
        <v>0</v>
      </c>
      <c r="H736" s="233" t="str">
        <f t="shared" si="79"/>
        <v/>
      </c>
      <c r="I736" s="231" t="str">
        <f>IF(AND(F736&lt;&gt;"",N10&gt;0,M736&gt;N10),"Mot &gt; limite","")</f>
        <v/>
      </c>
      <c r="M736" s="126">
        <f>IF(OR(F736="",N10="",N10&lt;=0),"",IF(LEN(F736)&lt;=N10,LEN(F736),IFERROR(FIND("♦",SUBSTITUTE(LEFT(F736,N10)," ","♦",LEN(LEFT(F736,N10))-LEN(SUBSTITUTE(LEFT(F736,N10)," ","")))),FIND(" ",F736&amp;" ",N10+1)-1)))</f>
        <v>1</v>
      </c>
      <c r="N736" s="234">
        <f t="shared" si="80"/>
        <v>719</v>
      </c>
      <c r="O736" s="165" t="str">
        <f t="shared" si="81"/>
        <v>0</v>
      </c>
      <c r="P736" s="234">
        <f t="shared" si="82"/>
        <v>1</v>
      </c>
      <c r="Q736" s="234">
        <f t="shared" si="83"/>
        <v>1</v>
      </c>
      <c r="DE736" s="152"/>
      <c r="DF736" s="160" t="s">
        <v>2388</v>
      </c>
      <c r="DG736" s="160" t="s">
        <v>122</v>
      </c>
      <c r="DH736" s="160" t="s">
        <v>125</v>
      </c>
      <c r="DI736" s="160" t="s">
        <v>2389</v>
      </c>
      <c r="DJ736" s="160" t="s">
        <v>2389</v>
      </c>
      <c r="DK736" s="160" t="s">
        <v>1259</v>
      </c>
      <c r="DL736" s="160" t="s">
        <v>1260</v>
      </c>
      <c r="DM736" s="160" t="s">
        <v>1812</v>
      </c>
      <c r="DN736" s="161" t="s">
        <v>1813</v>
      </c>
      <c r="DP736" s="130">
        <v>1</v>
      </c>
    </row>
    <row r="737" spans="2:120" ht="15">
      <c r="B737" s="231"/>
      <c r="C737" s="231"/>
      <c r="D737" s="231"/>
      <c r="E737" s="231" cm="1">
        <f t="array" ref="E737">IF(H736&lt;&gt;"",E736,IF(E736="","",IFERROR(MATCH(TRUE(),INDEX(INDEX(K:K,E736+1):K203&lt;&gt;"",0),0)+E736,"")))</f>
        <v>829</v>
      </c>
      <c r="F737" s="232" cm="1">
        <f t="array" ref="F737">IF(E737="","",IF(H736&lt;&gt;"",H736,INDEX(D:D,E737)))</f>
        <v>0</v>
      </c>
      <c r="G737" s="232" t="str">
        <f t="shared" si="78"/>
        <v>0</v>
      </c>
      <c r="H737" s="233" t="str">
        <f t="shared" si="79"/>
        <v/>
      </c>
      <c r="I737" s="231" t="str">
        <f>IF(AND(F737&lt;&gt;"",N10&gt;0,M737&gt;N10),"Mot &gt; limite","")</f>
        <v/>
      </c>
      <c r="M737" s="126">
        <f>IF(OR(F737="",N10="",N10&lt;=0),"",IF(LEN(F737)&lt;=N10,LEN(F737),IFERROR(FIND("♦",SUBSTITUTE(LEFT(F737,N10)," ","♦",LEN(LEFT(F737,N10))-LEN(SUBSTITUTE(LEFT(F737,N10)," ","")))),FIND(" ",F737&amp;" ",N10+1)-1)))</f>
        <v>1</v>
      </c>
      <c r="N737" s="234">
        <f t="shared" si="80"/>
        <v>720</v>
      </c>
      <c r="O737" s="165" t="str">
        <f t="shared" si="81"/>
        <v>0</v>
      </c>
      <c r="P737" s="234">
        <f t="shared" si="82"/>
        <v>1</v>
      </c>
      <c r="Q737" s="234">
        <f t="shared" si="83"/>
        <v>1</v>
      </c>
      <c r="DE737" s="152"/>
      <c r="DF737" s="160" t="s">
        <v>2390</v>
      </c>
      <c r="DG737" s="160" t="s">
        <v>122</v>
      </c>
      <c r="DH737" s="160" t="s">
        <v>125</v>
      </c>
      <c r="DI737" s="160" t="s">
        <v>2391</v>
      </c>
      <c r="DJ737" s="160" t="s">
        <v>2391</v>
      </c>
      <c r="DK737" s="160" t="s">
        <v>1259</v>
      </c>
      <c r="DL737" s="160" t="s">
        <v>1260</v>
      </c>
      <c r="DM737" s="160" t="s">
        <v>1812</v>
      </c>
      <c r="DN737" s="161" t="s">
        <v>1813</v>
      </c>
      <c r="DP737" s="130">
        <v>1</v>
      </c>
    </row>
    <row r="738" spans="2:120" ht="15">
      <c r="B738" s="231"/>
      <c r="C738" s="231"/>
      <c r="D738" s="231"/>
      <c r="E738" s="231" cm="1">
        <f t="array" ref="E738">IF(H737&lt;&gt;"",E737,IF(E737="","",IFERROR(MATCH(TRUE(),INDEX(INDEX(K:K,E737+1):K203&lt;&gt;"",0),0)+E737,"")))</f>
        <v>830</v>
      </c>
      <c r="F738" s="232" cm="1">
        <f t="array" ref="F738">IF(E738="","",IF(H737&lt;&gt;"",H737,INDEX(D:D,E738)))</f>
        <v>0</v>
      </c>
      <c r="G738" s="232" t="str">
        <f t="shared" si="78"/>
        <v>0</v>
      </c>
      <c r="H738" s="233" t="str">
        <f t="shared" si="79"/>
        <v/>
      </c>
      <c r="I738" s="231" t="str">
        <f>IF(AND(F738&lt;&gt;"",N10&gt;0,M738&gt;N10),"Mot &gt; limite","")</f>
        <v/>
      </c>
      <c r="M738" s="126">
        <f>IF(OR(F738="",N10="",N10&lt;=0),"",IF(LEN(F738)&lt;=N10,LEN(F738),IFERROR(FIND("♦",SUBSTITUTE(LEFT(F738,N10)," ","♦",LEN(LEFT(F738,N10))-LEN(SUBSTITUTE(LEFT(F738,N10)," ","")))),FIND(" ",F738&amp;" ",N10+1)-1)))</f>
        <v>1</v>
      </c>
      <c r="N738" s="234">
        <f t="shared" si="80"/>
        <v>721</v>
      </c>
      <c r="O738" s="165" t="str">
        <f t="shared" si="81"/>
        <v>0</v>
      </c>
      <c r="P738" s="234">
        <f t="shared" si="82"/>
        <v>1</v>
      </c>
      <c r="Q738" s="234">
        <f t="shared" si="83"/>
        <v>1</v>
      </c>
      <c r="DE738" s="152"/>
      <c r="DF738" s="160" t="s">
        <v>2392</v>
      </c>
      <c r="DG738" s="160" t="s">
        <v>122</v>
      </c>
      <c r="DH738" s="160" t="s">
        <v>125</v>
      </c>
      <c r="DI738" s="160" t="s">
        <v>2393</v>
      </c>
      <c r="DJ738" s="160" t="s">
        <v>2393</v>
      </c>
      <c r="DK738" s="160" t="s">
        <v>1259</v>
      </c>
      <c r="DL738" s="160" t="s">
        <v>1260</v>
      </c>
      <c r="DM738" s="160" t="s">
        <v>1812</v>
      </c>
      <c r="DN738" s="161" t="s">
        <v>1813</v>
      </c>
      <c r="DP738" s="130">
        <v>1</v>
      </c>
    </row>
    <row r="739" spans="2:120" ht="15">
      <c r="B739" s="231"/>
      <c r="C739" s="231"/>
      <c r="D739" s="231"/>
      <c r="E739" s="231" cm="1">
        <f t="array" ref="E739">IF(H738&lt;&gt;"",E738,IF(E738="","",IFERROR(MATCH(TRUE(),INDEX(INDEX(K:K,E738+1):K203&lt;&gt;"",0),0)+E738,"")))</f>
        <v>831</v>
      </c>
      <c r="F739" s="232" cm="1">
        <f t="array" ref="F739">IF(E739="","",IF(H738&lt;&gt;"",H738,INDEX(D:D,E739)))</f>
        <v>0</v>
      </c>
      <c r="G739" s="232" t="str">
        <f t="shared" si="78"/>
        <v>0</v>
      </c>
      <c r="H739" s="233" t="str">
        <f t="shared" si="79"/>
        <v/>
      </c>
      <c r="I739" s="231" t="str">
        <f>IF(AND(F739&lt;&gt;"",N10&gt;0,M739&gt;N10),"Mot &gt; limite","")</f>
        <v/>
      </c>
      <c r="M739" s="126">
        <f>IF(OR(F739="",N10="",N10&lt;=0),"",IF(LEN(F739)&lt;=N10,LEN(F739),IFERROR(FIND("♦",SUBSTITUTE(LEFT(F739,N10)," ","♦",LEN(LEFT(F739,N10))-LEN(SUBSTITUTE(LEFT(F739,N10)," ","")))),FIND(" ",F739&amp;" ",N10+1)-1)))</f>
        <v>1</v>
      </c>
      <c r="N739" s="234">
        <f t="shared" si="80"/>
        <v>722</v>
      </c>
      <c r="O739" s="165" t="str">
        <f t="shared" si="81"/>
        <v>0</v>
      </c>
      <c r="P739" s="234">
        <f t="shared" si="82"/>
        <v>1</v>
      </c>
      <c r="Q739" s="234">
        <f t="shared" si="83"/>
        <v>1</v>
      </c>
      <c r="DE739" s="152"/>
      <c r="DF739" s="160" t="s">
        <v>2394</v>
      </c>
      <c r="DG739" s="160" t="s">
        <v>122</v>
      </c>
      <c r="DH739" s="160" t="s">
        <v>125</v>
      </c>
      <c r="DI739" s="160" t="s">
        <v>2395</v>
      </c>
      <c r="DJ739" s="160" t="s">
        <v>2395</v>
      </c>
      <c r="DK739" s="160" t="s">
        <v>1259</v>
      </c>
      <c r="DL739" s="160" t="s">
        <v>1260</v>
      </c>
      <c r="DM739" s="160" t="s">
        <v>1812</v>
      </c>
      <c r="DN739" s="161" t="s">
        <v>1813</v>
      </c>
      <c r="DP739" s="130">
        <v>1</v>
      </c>
    </row>
    <row r="740" spans="2:120" ht="15">
      <c r="B740" s="231"/>
      <c r="C740" s="231"/>
      <c r="D740" s="231"/>
      <c r="E740" s="231" cm="1">
        <f t="array" ref="E740">IF(H739&lt;&gt;"",E739,IF(E739="","",IFERROR(MATCH(TRUE(),INDEX(INDEX(K:K,E739+1):K203&lt;&gt;"",0),0)+E739,"")))</f>
        <v>832</v>
      </c>
      <c r="F740" s="232" cm="1">
        <f t="array" ref="F740">IF(E740="","",IF(H739&lt;&gt;"",H739,INDEX(D:D,E740)))</f>
        <v>0</v>
      </c>
      <c r="G740" s="232" t="str">
        <f t="shared" si="78"/>
        <v>0</v>
      </c>
      <c r="H740" s="233" t="str">
        <f t="shared" si="79"/>
        <v/>
      </c>
      <c r="I740" s="231" t="str">
        <f>IF(AND(F740&lt;&gt;"",N10&gt;0,M740&gt;N10),"Mot &gt; limite","")</f>
        <v/>
      </c>
      <c r="M740" s="126">
        <f>IF(OR(F740="",N10="",N10&lt;=0),"",IF(LEN(F740)&lt;=N10,LEN(F740),IFERROR(FIND("♦",SUBSTITUTE(LEFT(F740,N10)," ","♦",LEN(LEFT(F740,N10))-LEN(SUBSTITUTE(LEFT(F740,N10)," ","")))),FIND(" ",F740&amp;" ",N10+1)-1)))</f>
        <v>1</v>
      </c>
      <c r="N740" s="234">
        <f t="shared" si="80"/>
        <v>723</v>
      </c>
      <c r="O740" s="165" t="str">
        <f t="shared" si="81"/>
        <v>0</v>
      </c>
      <c r="P740" s="234">
        <f t="shared" si="82"/>
        <v>1</v>
      </c>
      <c r="Q740" s="234">
        <f t="shared" si="83"/>
        <v>1</v>
      </c>
      <c r="DE740" s="152"/>
      <c r="DF740" s="160" t="s">
        <v>2396</v>
      </c>
      <c r="DG740" s="160" t="s">
        <v>122</v>
      </c>
      <c r="DH740" s="160" t="s">
        <v>125</v>
      </c>
      <c r="DI740" s="160" t="s">
        <v>2397</v>
      </c>
      <c r="DJ740" s="160" t="s">
        <v>2397</v>
      </c>
      <c r="DK740" s="160" t="s">
        <v>588</v>
      </c>
      <c r="DL740" s="160" t="s">
        <v>1895</v>
      </c>
      <c r="DM740" s="160" t="s">
        <v>590</v>
      </c>
      <c r="DN740" s="161" t="s">
        <v>591</v>
      </c>
      <c r="DP740" s="130">
        <v>1</v>
      </c>
    </row>
    <row r="741" spans="2:120" ht="15">
      <c r="B741" s="231"/>
      <c r="C741" s="231"/>
      <c r="D741" s="231"/>
      <c r="E741" s="231" cm="1">
        <f t="array" ref="E741">IF(H740&lt;&gt;"",E740,IF(E740="","",IFERROR(MATCH(TRUE(),INDEX(INDEX(K:K,E740+1):K203&lt;&gt;"",0),0)+E740,"")))</f>
        <v>833</v>
      </c>
      <c r="F741" s="232" cm="1">
        <f t="array" ref="F741">IF(E741="","",IF(H740&lt;&gt;"",H740,INDEX(D:D,E741)))</f>
        <v>0</v>
      </c>
      <c r="G741" s="232" t="str">
        <f t="shared" si="78"/>
        <v>0</v>
      </c>
      <c r="H741" s="233" t="str">
        <f t="shared" si="79"/>
        <v/>
      </c>
      <c r="I741" s="231" t="str">
        <f>IF(AND(F741&lt;&gt;"",N10&gt;0,M741&gt;N10),"Mot &gt; limite","")</f>
        <v/>
      </c>
      <c r="M741" s="126">
        <f>IF(OR(F741="",N10="",N10&lt;=0),"",IF(LEN(F741)&lt;=N10,LEN(F741),IFERROR(FIND("♦",SUBSTITUTE(LEFT(F741,N10)," ","♦",LEN(LEFT(F741,N10))-LEN(SUBSTITUTE(LEFT(F741,N10)," ","")))),FIND(" ",F741&amp;" ",N10+1)-1)))</f>
        <v>1</v>
      </c>
      <c r="N741" s="234">
        <f t="shared" si="80"/>
        <v>724</v>
      </c>
      <c r="O741" s="165" t="str">
        <f t="shared" si="81"/>
        <v>0</v>
      </c>
      <c r="P741" s="234">
        <f t="shared" si="82"/>
        <v>1</v>
      </c>
      <c r="Q741" s="234">
        <f t="shared" si="83"/>
        <v>1</v>
      </c>
      <c r="DE741" s="152"/>
      <c r="DF741" s="160" t="s">
        <v>2398</v>
      </c>
      <c r="DG741" s="160" t="s">
        <v>122</v>
      </c>
      <c r="DH741" s="160" t="s">
        <v>125</v>
      </c>
      <c r="DI741" s="160" t="s">
        <v>2399</v>
      </c>
      <c r="DJ741" s="160" t="s">
        <v>2399</v>
      </c>
      <c r="DK741" s="160" t="s">
        <v>1259</v>
      </c>
      <c r="DL741" s="160" t="s">
        <v>1260</v>
      </c>
      <c r="DM741" s="160" t="s">
        <v>1812</v>
      </c>
      <c r="DN741" s="161" t="s">
        <v>1813</v>
      </c>
      <c r="DP741" s="130">
        <v>1</v>
      </c>
    </row>
    <row r="742" spans="2:120" ht="15">
      <c r="B742" s="231"/>
      <c r="C742" s="231"/>
      <c r="D742" s="231"/>
      <c r="E742" s="231" cm="1">
        <f t="array" ref="E742">IF(H741&lt;&gt;"",E741,IF(E741="","",IFERROR(MATCH(TRUE(),INDEX(INDEX(K:K,E741+1):K203&lt;&gt;"",0),0)+E741,"")))</f>
        <v>834</v>
      </c>
      <c r="F742" s="232" cm="1">
        <f t="array" ref="F742">IF(E742="","",IF(H741&lt;&gt;"",H741,INDEX(D:D,E742)))</f>
        <v>0</v>
      </c>
      <c r="G742" s="232" t="str">
        <f t="shared" si="78"/>
        <v>0</v>
      </c>
      <c r="H742" s="233" t="str">
        <f t="shared" si="79"/>
        <v/>
      </c>
      <c r="I742" s="231" t="str">
        <f>IF(AND(F742&lt;&gt;"",N10&gt;0,M742&gt;N10),"Mot &gt; limite","")</f>
        <v/>
      </c>
      <c r="M742" s="126">
        <f>IF(OR(F742="",N10="",N10&lt;=0),"",IF(LEN(F742)&lt;=N10,LEN(F742),IFERROR(FIND("♦",SUBSTITUTE(LEFT(F742,N10)," ","♦",LEN(LEFT(F742,N10))-LEN(SUBSTITUTE(LEFT(F742,N10)," ","")))),FIND(" ",F742&amp;" ",N10+1)-1)))</f>
        <v>1</v>
      </c>
      <c r="N742" s="234">
        <f t="shared" si="80"/>
        <v>725</v>
      </c>
      <c r="O742" s="165" t="str">
        <f t="shared" si="81"/>
        <v>0</v>
      </c>
      <c r="P742" s="234">
        <f t="shared" si="82"/>
        <v>1</v>
      </c>
      <c r="Q742" s="234">
        <f t="shared" si="83"/>
        <v>1</v>
      </c>
      <c r="DE742" s="152"/>
      <c r="DF742" s="160" t="s">
        <v>2400</v>
      </c>
      <c r="DG742" s="160" t="s">
        <v>122</v>
      </c>
      <c r="DH742" s="160" t="s">
        <v>125</v>
      </c>
      <c r="DI742" s="160" t="s">
        <v>2401</v>
      </c>
      <c r="DJ742" s="160" t="s">
        <v>2401</v>
      </c>
      <c r="DK742" s="160" t="s">
        <v>1259</v>
      </c>
      <c r="DL742" s="160" t="s">
        <v>1260</v>
      </c>
      <c r="DM742" s="160" t="s">
        <v>1812</v>
      </c>
      <c r="DN742" s="161" t="s">
        <v>1813</v>
      </c>
      <c r="DP742" s="130">
        <v>1</v>
      </c>
    </row>
    <row r="743" spans="2:120" ht="15">
      <c r="B743" s="231"/>
      <c r="C743" s="231"/>
      <c r="D743" s="231"/>
      <c r="E743" s="231" cm="1">
        <f t="array" ref="E743">IF(H742&lt;&gt;"",E742,IF(E742="","",IFERROR(MATCH(TRUE(),INDEX(INDEX(K:K,E742+1):K203&lt;&gt;"",0),0)+E742,"")))</f>
        <v>835</v>
      </c>
      <c r="F743" s="232" cm="1">
        <f t="array" ref="F743">IF(E743="","",IF(H742&lt;&gt;"",H742,INDEX(D:D,E743)))</f>
        <v>0</v>
      </c>
      <c r="G743" s="232" t="str">
        <f t="shared" si="78"/>
        <v>0</v>
      </c>
      <c r="H743" s="233" t="str">
        <f t="shared" si="79"/>
        <v/>
      </c>
      <c r="I743" s="231" t="str">
        <f>IF(AND(F743&lt;&gt;"",N10&gt;0,M743&gt;N10),"Mot &gt; limite","")</f>
        <v/>
      </c>
      <c r="M743" s="126">
        <f>IF(OR(F743="",N10="",N10&lt;=0),"",IF(LEN(F743)&lt;=N10,LEN(F743),IFERROR(FIND("♦",SUBSTITUTE(LEFT(F743,N10)," ","♦",LEN(LEFT(F743,N10))-LEN(SUBSTITUTE(LEFT(F743,N10)," ","")))),FIND(" ",F743&amp;" ",N10+1)-1)))</f>
        <v>1</v>
      </c>
      <c r="N743" s="234">
        <f t="shared" si="80"/>
        <v>726</v>
      </c>
      <c r="O743" s="165" t="str">
        <f t="shared" si="81"/>
        <v>0</v>
      </c>
      <c r="P743" s="234">
        <f t="shared" si="82"/>
        <v>1</v>
      </c>
      <c r="Q743" s="234">
        <f t="shared" si="83"/>
        <v>1</v>
      </c>
      <c r="DE743" s="152"/>
      <c r="DF743" s="160" t="s">
        <v>2402</v>
      </c>
      <c r="DG743" s="160" t="s">
        <v>122</v>
      </c>
      <c r="DH743" s="160" t="s">
        <v>125</v>
      </c>
      <c r="DI743" s="160" t="s">
        <v>2403</v>
      </c>
      <c r="DJ743" s="160" t="s">
        <v>2403</v>
      </c>
      <c r="DK743" s="160" t="s">
        <v>1259</v>
      </c>
      <c r="DL743" s="160" t="s">
        <v>1260</v>
      </c>
      <c r="DM743" s="160" t="s">
        <v>1812</v>
      </c>
      <c r="DN743" s="161" t="s">
        <v>1813</v>
      </c>
      <c r="DP743" s="130">
        <v>1</v>
      </c>
    </row>
    <row r="744" spans="2:120" ht="15">
      <c r="B744" s="231"/>
      <c r="C744" s="231"/>
      <c r="D744" s="231"/>
      <c r="E744" s="231" cm="1">
        <f t="array" ref="E744">IF(H743&lt;&gt;"",E743,IF(E743="","",IFERROR(MATCH(TRUE(),INDEX(INDEX(K:K,E743+1):K203&lt;&gt;"",0),0)+E743,"")))</f>
        <v>836</v>
      </c>
      <c r="F744" s="232" cm="1">
        <f t="array" ref="F744">IF(E744="","",IF(H743&lt;&gt;"",H743,INDEX(D:D,E744)))</f>
        <v>0</v>
      </c>
      <c r="G744" s="232" t="str">
        <f t="shared" si="78"/>
        <v>0</v>
      </c>
      <c r="H744" s="233" t="str">
        <f t="shared" si="79"/>
        <v/>
      </c>
      <c r="I744" s="231" t="str">
        <f>IF(AND(F744&lt;&gt;"",N10&gt;0,M744&gt;N10),"Mot &gt; limite","")</f>
        <v/>
      </c>
      <c r="M744" s="126">
        <f>IF(OR(F744="",N10="",N10&lt;=0),"",IF(LEN(F744)&lt;=N10,LEN(F744),IFERROR(FIND("♦",SUBSTITUTE(LEFT(F744,N10)," ","♦",LEN(LEFT(F744,N10))-LEN(SUBSTITUTE(LEFT(F744,N10)," ","")))),FIND(" ",F744&amp;" ",N10+1)-1)))</f>
        <v>1</v>
      </c>
      <c r="N744" s="234">
        <f t="shared" si="80"/>
        <v>727</v>
      </c>
      <c r="O744" s="165" t="str">
        <f t="shared" si="81"/>
        <v>0</v>
      </c>
      <c r="P744" s="234">
        <f t="shared" si="82"/>
        <v>1</v>
      </c>
      <c r="Q744" s="234">
        <f t="shared" si="83"/>
        <v>1</v>
      </c>
      <c r="DE744" s="152"/>
      <c r="DF744" s="160" t="s">
        <v>2404</v>
      </c>
      <c r="DG744" s="160" t="s">
        <v>122</v>
      </c>
      <c r="DH744" s="160" t="s">
        <v>125</v>
      </c>
      <c r="DI744" s="160" t="s">
        <v>2405</v>
      </c>
      <c r="DJ744" s="160" t="s">
        <v>2405</v>
      </c>
      <c r="DK744" s="160" t="s">
        <v>1259</v>
      </c>
      <c r="DL744" s="160" t="s">
        <v>1260</v>
      </c>
      <c r="DM744" s="160" t="s">
        <v>1812</v>
      </c>
      <c r="DN744" s="161" t="s">
        <v>1813</v>
      </c>
      <c r="DP744" s="130">
        <v>1</v>
      </c>
    </row>
    <row r="745" spans="2:120" ht="15">
      <c r="B745" s="231"/>
      <c r="C745" s="231"/>
      <c r="D745" s="231"/>
      <c r="E745" s="231" cm="1">
        <f t="array" ref="E745">IF(H744&lt;&gt;"",E744,IF(E744="","",IFERROR(MATCH(TRUE(),INDEX(INDEX(K:K,E744+1):K203&lt;&gt;"",0),0)+E744,"")))</f>
        <v>837</v>
      </c>
      <c r="F745" s="232" cm="1">
        <f t="array" ref="F745">IF(E745="","",IF(H744&lt;&gt;"",H744,INDEX(D:D,E745)))</f>
        <v>0</v>
      </c>
      <c r="G745" s="232" t="str">
        <f t="shared" si="78"/>
        <v>0</v>
      </c>
      <c r="H745" s="233" t="str">
        <f t="shared" si="79"/>
        <v/>
      </c>
      <c r="I745" s="231" t="str">
        <f>IF(AND(F745&lt;&gt;"",N10&gt;0,M745&gt;N10),"Mot &gt; limite","")</f>
        <v/>
      </c>
      <c r="M745" s="126">
        <f>IF(OR(F745="",N10="",N10&lt;=0),"",IF(LEN(F745)&lt;=N10,LEN(F745),IFERROR(FIND("♦",SUBSTITUTE(LEFT(F745,N10)," ","♦",LEN(LEFT(F745,N10))-LEN(SUBSTITUTE(LEFT(F745,N10)," ","")))),FIND(" ",F745&amp;" ",N10+1)-1)))</f>
        <v>1</v>
      </c>
      <c r="N745" s="234">
        <f t="shared" si="80"/>
        <v>728</v>
      </c>
      <c r="O745" s="165" t="str">
        <f t="shared" si="81"/>
        <v>0</v>
      </c>
      <c r="P745" s="234">
        <f t="shared" si="82"/>
        <v>1</v>
      </c>
      <c r="Q745" s="234">
        <f t="shared" si="83"/>
        <v>1</v>
      </c>
      <c r="DE745" s="152"/>
      <c r="DF745" s="160" t="s">
        <v>2406</v>
      </c>
      <c r="DG745" s="160" t="s">
        <v>122</v>
      </c>
      <c r="DH745" s="160" t="s">
        <v>125</v>
      </c>
      <c r="DI745" s="160" t="s">
        <v>2407</v>
      </c>
      <c r="DJ745" s="160" t="s">
        <v>2407</v>
      </c>
      <c r="DK745" s="160" t="s">
        <v>1259</v>
      </c>
      <c r="DL745" s="160" t="s">
        <v>1260</v>
      </c>
      <c r="DM745" s="160" t="s">
        <v>1812</v>
      </c>
      <c r="DN745" s="161" t="s">
        <v>1813</v>
      </c>
      <c r="DP745" s="130">
        <v>1</v>
      </c>
    </row>
    <row r="746" spans="2:120" ht="15">
      <c r="B746" s="231"/>
      <c r="C746" s="231"/>
      <c r="D746" s="231"/>
      <c r="E746" s="231" cm="1">
        <f t="array" ref="E746">IF(H745&lt;&gt;"",E745,IF(E745="","",IFERROR(MATCH(TRUE(),INDEX(INDEX(K:K,E745+1):K203&lt;&gt;"",0),0)+E745,"")))</f>
        <v>838</v>
      </c>
      <c r="F746" s="232" cm="1">
        <f t="array" ref="F746">IF(E746="","",IF(H745&lt;&gt;"",H745,INDEX(D:D,E746)))</f>
        <v>0</v>
      </c>
      <c r="G746" s="232" t="str">
        <f t="shared" si="78"/>
        <v>0</v>
      </c>
      <c r="H746" s="233" t="str">
        <f t="shared" si="79"/>
        <v/>
      </c>
      <c r="I746" s="231" t="str">
        <f>IF(AND(F746&lt;&gt;"",N10&gt;0,M746&gt;N10),"Mot &gt; limite","")</f>
        <v/>
      </c>
      <c r="M746" s="126">
        <f>IF(OR(F746="",N10="",N10&lt;=0),"",IF(LEN(F746)&lt;=N10,LEN(F746),IFERROR(FIND("♦",SUBSTITUTE(LEFT(F746,N10)," ","♦",LEN(LEFT(F746,N10))-LEN(SUBSTITUTE(LEFT(F746,N10)," ","")))),FIND(" ",F746&amp;" ",N10+1)-1)))</f>
        <v>1</v>
      </c>
      <c r="N746" s="234">
        <f t="shared" si="80"/>
        <v>729</v>
      </c>
      <c r="O746" s="165" t="str">
        <f t="shared" si="81"/>
        <v>0</v>
      </c>
      <c r="P746" s="234">
        <f t="shared" si="82"/>
        <v>1</v>
      </c>
      <c r="Q746" s="234">
        <f t="shared" si="83"/>
        <v>1</v>
      </c>
      <c r="DE746" s="152"/>
      <c r="DF746" s="160" t="s">
        <v>2408</v>
      </c>
      <c r="DG746" s="160" t="s">
        <v>122</v>
      </c>
      <c r="DH746" s="160" t="s">
        <v>125</v>
      </c>
      <c r="DI746" s="160" t="s">
        <v>2409</v>
      </c>
      <c r="DJ746" s="160" t="s">
        <v>2409</v>
      </c>
      <c r="DK746" s="160" t="s">
        <v>588</v>
      </c>
      <c r="DL746" s="160" t="s">
        <v>1895</v>
      </c>
      <c r="DM746" s="160" t="s">
        <v>590</v>
      </c>
      <c r="DN746" s="161" t="s">
        <v>591</v>
      </c>
      <c r="DP746" s="130">
        <v>1</v>
      </c>
    </row>
    <row r="747" spans="2:120" ht="15">
      <c r="B747" s="231"/>
      <c r="C747" s="231"/>
      <c r="D747" s="231"/>
      <c r="E747" s="231" cm="1">
        <f t="array" ref="E747">IF(H746&lt;&gt;"",E746,IF(E746="","",IFERROR(MATCH(TRUE(),INDEX(INDEX(K:K,E746+1):K203&lt;&gt;"",0),0)+E746,"")))</f>
        <v>839</v>
      </c>
      <c r="F747" s="232" cm="1">
        <f t="array" ref="F747">IF(E747="","",IF(H746&lt;&gt;"",H746,INDEX(D:D,E747)))</f>
        <v>0</v>
      </c>
      <c r="G747" s="232" t="str">
        <f t="shared" si="78"/>
        <v>0</v>
      </c>
      <c r="H747" s="233" t="str">
        <f t="shared" si="79"/>
        <v/>
      </c>
      <c r="I747" s="231" t="str">
        <f>IF(AND(F747&lt;&gt;"",N10&gt;0,M747&gt;N10),"Mot &gt; limite","")</f>
        <v/>
      </c>
      <c r="M747" s="126">
        <f>IF(OR(F747="",N10="",N10&lt;=0),"",IF(LEN(F747)&lt;=N10,LEN(F747),IFERROR(FIND("♦",SUBSTITUTE(LEFT(F747,N10)," ","♦",LEN(LEFT(F747,N10))-LEN(SUBSTITUTE(LEFT(F747,N10)," ","")))),FIND(" ",F747&amp;" ",N10+1)-1)))</f>
        <v>1</v>
      </c>
      <c r="N747" s="234">
        <f t="shared" si="80"/>
        <v>730</v>
      </c>
      <c r="O747" s="165" t="str">
        <f t="shared" si="81"/>
        <v>0</v>
      </c>
      <c r="P747" s="234">
        <f t="shared" si="82"/>
        <v>1</v>
      </c>
      <c r="Q747" s="234">
        <f t="shared" si="83"/>
        <v>1</v>
      </c>
      <c r="DE747" s="152"/>
      <c r="DF747" s="160" t="s">
        <v>2410</v>
      </c>
      <c r="DG747" s="160" t="s">
        <v>122</v>
      </c>
      <c r="DH747" s="160" t="s">
        <v>125</v>
      </c>
      <c r="DI747" s="160" t="s">
        <v>2411</v>
      </c>
      <c r="DJ747" s="160" t="s">
        <v>2411</v>
      </c>
      <c r="DK747" s="160" t="s">
        <v>666</v>
      </c>
      <c r="DL747" s="160" t="s">
        <v>667</v>
      </c>
      <c r="DM747" s="160" t="s">
        <v>590</v>
      </c>
      <c r="DN747" s="161" t="s">
        <v>668</v>
      </c>
      <c r="DP747" s="130">
        <v>1</v>
      </c>
    </row>
    <row r="748" spans="2:120" ht="15">
      <c r="B748" s="231"/>
      <c r="C748" s="231"/>
      <c r="D748" s="231"/>
      <c r="E748" s="231" cm="1">
        <f t="array" ref="E748">IF(H747&lt;&gt;"",E747,IF(E747="","",IFERROR(MATCH(TRUE(),INDEX(INDEX(K:K,E747+1):K203&lt;&gt;"",0),0)+E747,"")))</f>
        <v>840</v>
      </c>
      <c r="F748" s="232" cm="1">
        <f t="array" ref="F748">IF(E748="","",IF(H747&lt;&gt;"",H747,INDEX(D:D,E748)))</f>
        <v>0</v>
      </c>
      <c r="G748" s="232" t="str">
        <f t="shared" si="78"/>
        <v>0</v>
      </c>
      <c r="H748" s="233" t="str">
        <f t="shared" si="79"/>
        <v/>
      </c>
      <c r="I748" s="231" t="str">
        <f>IF(AND(F748&lt;&gt;"",N10&gt;0,M748&gt;N10),"Mot &gt; limite","")</f>
        <v/>
      </c>
      <c r="M748" s="126">
        <f>IF(OR(F748="",N10="",N10&lt;=0),"",IF(LEN(F748)&lt;=N10,LEN(F748),IFERROR(FIND("♦",SUBSTITUTE(LEFT(F748,N10)," ","♦",LEN(LEFT(F748,N10))-LEN(SUBSTITUTE(LEFT(F748,N10)," ","")))),FIND(" ",F748&amp;" ",N10+1)-1)))</f>
        <v>1</v>
      </c>
      <c r="N748" s="234">
        <f t="shared" si="80"/>
        <v>731</v>
      </c>
      <c r="O748" s="165" t="str">
        <f t="shared" si="81"/>
        <v>0</v>
      </c>
      <c r="P748" s="234">
        <f t="shared" si="82"/>
        <v>1</v>
      </c>
      <c r="Q748" s="234">
        <f t="shared" si="83"/>
        <v>1</v>
      </c>
      <c r="DE748" s="152"/>
      <c r="DF748" s="160" t="s">
        <v>2412</v>
      </c>
      <c r="DG748" s="160" t="s">
        <v>122</v>
      </c>
      <c r="DH748" s="160" t="s">
        <v>125</v>
      </c>
      <c r="DI748" s="160" t="s">
        <v>2413</v>
      </c>
      <c r="DJ748" s="160" t="s">
        <v>2413</v>
      </c>
      <c r="DK748" s="160" t="s">
        <v>588</v>
      </c>
      <c r="DL748" s="160" t="s">
        <v>1895</v>
      </c>
      <c r="DM748" s="160" t="s">
        <v>590</v>
      </c>
      <c r="DN748" s="161" t="s">
        <v>591</v>
      </c>
      <c r="DP748" s="130">
        <v>1</v>
      </c>
    </row>
    <row r="749" spans="2:120" ht="15">
      <c r="B749" s="231"/>
      <c r="C749" s="231"/>
      <c r="D749" s="231"/>
      <c r="E749" s="231" cm="1">
        <f t="array" ref="E749">IF(H748&lt;&gt;"",E748,IF(E748="","",IFERROR(MATCH(TRUE(),INDEX(INDEX(K:K,E748+1):K203&lt;&gt;"",0),0)+E748,"")))</f>
        <v>841</v>
      </c>
      <c r="F749" s="232" cm="1">
        <f t="array" ref="F749">IF(E749="","",IF(H748&lt;&gt;"",H748,INDEX(D:D,E749)))</f>
        <v>0</v>
      </c>
      <c r="G749" s="232" t="str">
        <f t="shared" si="78"/>
        <v>0</v>
      </c>
      <c r="H749" s="233" t="str">
        <f t="shared" si="79"/>
        <v/>
      </c>
      <c r="I749" s="231" t="str">
        <f>IF(AND(F749&lt;&gt;"",N10&gt;0,M749&gt;N10),"Mot &gt; limite","")</f>
        <v/>
      </c>
      <c r="M749" s="126">
        <f>IF(OR(F749="",N10="",N10&lt;=0),"",IF(LEN(F749)&lt;=N10,LEN(F749),IFERROR(FIND("♦",SUBSTITUTE(LEFT(F749,N10)," ","♦",LEN(LEFT(F749,N10))-LEN(SUBSTITUTE(LEFT(F749,N10)," ","")))),FIND(" ",F749&amp;" ",N10+1)-1)))</f>
        <v>1</v>
      </c>
      <c r="N749" s="234">
        <f t="shared" si="80"/>
        <v>732</v>
      </c>
      <c r="O749" s="165" t="str">
        <f t="shared" si="81"/>
        <v>0</v>
      </c>
      <c r="P749" s="234">
        <f t="shared" si="82"/>
        <v>1</v>
      </c>
      <c r="Q749" s="234">
        <f t="shared" si="83"/>
        <v>1</v>
      </c>
      <c r="DE749" s="152"/>
      <c r="DF749" s="160" t="s">
        <v>2414</v>
      </c>
      <c r="DG749" s="160" t="s">
        <v>122</v>
      </c>
      <c r="DH749" s="160" t="s">
        <v>125</v>
      </c>
      <c r="DI749" s="160" t="s">
        <v>2415</v>
      </c>
      <c r="DJ749" s="160" t="s">
        <v>2415</v>
      </c>
      <c r="DK749" s="160" t="s">
        <v>1259</v>
      </c>
      <c r="DL749" s="160" t="s">
        <v>1260</v>
      </c>
      <c r="DM749" s="160" t="s">
        <v>1812</v>
      </c>
      <c r="DN749" s="161" t="s">
        <v>1813</v>
      </c>
      <c r="DP749" s="130">
        <v>1</v>
      </c>
    </row>
    <row r="750" spans="2:120" ht="15">
      <c r="B750" s="231"/>
      <c r="C750" s="231"/>
      <c r="D750" s="231"/>
      <c r="E750" s="231" cm="1">
        <f t="array" ref="E750">IF(H749&lt;&gt;"",E749,IF(E749="","",IFERROR(MATCH(TRUE(),INDEX(INDEX(K:K,E749+1):K203&lt;&gt;"",0),0)+E749,"")))</f>
        <v>842</v>
      </c>
      <c r="F750" s="232" cm="1">
        <f t="array" ref="F750">IF(E750="","",IF(H749&lt;&gt;"",H749,INDEX(D:D,E750)))</f>
        <v>0</v>
      </c>
      <c r="G750" s="232" t="str">
        <f t="shared" si="78"/>
        <v>0</v>
      </c>
      <c r="H750" s="233" t="str">
        <f t="shared" si="79"/>
        <v/>
      </c>
      <c r="I750" s="231" t="str">
        <f>IF(AND(F750&lt;&gt;"",N10&gt;0,M750&gt;N10),"Mot &gt; limite","")</f>
        <v/>
      </c>
      <c r="M750" s="126">
        <f>IF(OR(F750="",N10="",N10&lt;=0),"",IF(LEN(F750)&lt;=N10,LEN(F750),IFERROR(FIND("♦",SUBSTITUTE(LEFT(F750,N10)," ","♦",LEN(LEFT(F750,N10))-LEN(SUBSTITUTE(LEFT(F750,N10)," ","")))),FIND(" ",F750&amp;" ",N10+1)-1)))</f>
        <v>1</v>
      </c>
      <c r="N750" s="234">
        <f t="shared" si="80"/>
        <v>733</v>
      </c>
      <c r="O750" s="165" t="str">
        <f t="shared" si="81"/>
        <v>0</v>
      </c>
      <c r="P750" s="234">
        <f t="shared" si="82"/>
        <v>1</v>
      </c>
      <c r="Q750" s="234">
        <f t="shared" si="83"/>
        <v>1</v>
      </c>
      <c r="DE750" s="152"/>
      <c r="DF750" s="160" t="s">
        <v>2416</v>
      </c>
      <c r="DG750" s="160" t="s">
        <v>122</v>
      </c>
      <c r="DH750" s="160" t="s">
        <v>125</v>
      </c>
      <c r="DI750" s="160" t="s">
        <v>517</v>
      </c>
      <c r="DJ750" s="160" t="s">
        <v>517</v>
      </c>
      <c r="DK750" s="160" t="s">
        <v>1259</v>
      </c>
      <c r="DL750" s="160" t="s">
        <v>1260</v>
      </c>
      <c r="DM750" s="160" t="s">
        <v>1812</v>
      </c>
      <c r="DN750" s="161" t="s">
        <v>1813</v>
      </c>
      <c r="DP750" s="130">
        <v>1</v>
      </c>
    </row>
    <row r="751" spans="2:120" ht="15">
      <c r="B751" s="231"/>
      <c r="C751" s="231"/>
      <c r="D751" s="231"/>
      <c r="E751" s="231" cm="1">
        <f t="array" ref="E751">IF(H750&lt;&gt;"",E750,IF(E750="","",IFERROR(MATCH(TRUE(),INDEX(INDEX(K:K,E750+1):K203&lt;&gt;"",0),0)+E750,"")))</f>
        <v>843</v>
      </c>
      <c r="F751" s="232" cm="1">
        <f t="array" ref="F751">IF(E751="","",IF(H750&lt;&gt;"",H750,INDEX(D:D,E751)))</f>
        <v>0</v>
      </c>
      <c r="G751" s="232" t="str">
        <f t="shared" si="78"/>
        <v>0</v>
      </c>
      <c r="H751" s="233" t="str">
        <f t="shared" si="79"/>
        <v/>
      </c>
      <c r="I751" s="231" t="str">
        <f>IF(AND(F751&lt;&gt;"",N10&gt;0,M751&gt;N10),"Mot &gt; limite","")</f>
        <v/>
      </c>
      <c r="M751" s="126">
        <f>IF(OR(F751="",N10="",N10&lt;=0),"",IF(LEN(F751)&lt;=N10,LEN(F751),IFERROR(FIND("♦",SUBSTITUTE(LEFT(F751,N10)," ","♦",LEN(LEFT(F751,N10))-LEN(SUBSTITUTE(LEFT(F751,N10)," ","")))),FIND(" ",F751&amp;" ",N10+1)-1)))</f>
        <v>1</v>
      </c>
      <c r="N751" s="234">
        <f t="shared" si="80"/>
        <v>734</v>
      </c>
      <c r="O751" s="165" t="str">
        <f t="shared" si="81"/>
        <v>0</v>
      </c>
      <c r="P751" s="234">
        <f t="shared" si="82"/>
        <v>1</v>
      </c>
      <c r="Q751" s="234">
        <f t="shared" si="83"/>
        <v>1</v>
      </c>
      <c r="DE751" s="152"/>
      <c r="DF751" s="160" t="s">
        <v>2417</v>
      </c>
      <c r="DG751" s="160" t="s">
        <v>122</v>
      </c>
      <c r="DH751" s="160" t="s">
        <v>125</v>
      </c>
      <c r="DI751" s="160" t="s">
        <v>2418</v>
      </c>
      <c r="DJ751" s="160" t="s">
        <v>2418</v>
      </c>
      <c r="DK751" s="160" t="s">
        <v>1259</v>
      </c>
      <c r="DL751" s="160" t="s">
        <v>1260</v>
      </c>
      <c r="DM751" s="160" t="s">
        <v>1812</v>
      </c>
      <c r="DN751" s="161" t="s">
        <v>1813</v>
      </c>
      <c r="DP751" s="130">
        <v>1</v>
      </c>
    </row>
    <row r="752" spans="2:120" ht="15">
      <c r="B752" s="231"/>
      <c r="C752" s="231"/>
      <c r="D752" s="231"/>
      <c r="E752" s="231" cm="1">
        <f t="array" ref="E752">IF(H751&lt;&gt;"",E751,IF(E751="","",IFERROR(MATCH(TRUE(),INDEX(INDEX(K:K,E751+1):K203&lt;&gt;"",0),0)+E751,"")))</f>
        <v>844</v>
      </c>
      <c r="F752" s="232" cm="1">
        <f t="array" ref="F752">IF(E752="","",IF(H751&lt;&gt;"",H751,INDEX(D:D,E752)))</f>
        <v>0</v>
      </c>
      <c r="G752" s="232" t="str">
        <f t="shared" si="78"/>
        <v>0</v>
      </c>
      <c r="H752" s="233" t="str">
        <f t="shared" si="79"/>
        <v/>
      </c>
      <c r="I752" s="231" t="str">
        <f>IF(AND(F752&lt;&gt;"",N10&gt;0,M752&gt;N10),"Mot &gt; limite","")</f>
        <v/>
      </c>
      <c r="M752" s="126">
        <f>IF(OR(F752="",N10="",N10&lt;=0),"",IF(LEN(F752)&lt;=N10,LEN(F752),IFERROR(FIND("♦",SUBSTITUTE(LEFT(F752,N10)," ","♦",LEN(LEFT(F752,N10))-LEN(SUBSTITUTE(LEFT(F752,N10)," ","")))),FIND(" ",F752&amp;" ",N10+1)-1)))</f>
        <v>1</v>
      </c>
      <c r="N752" s="234">
        <f t="shared" si="80"/>
        <v>735</v>
      </c>
      <c r="O752" s="165" t="str">
        <f t="shared" si="81"/>
        <v>0</v>
      </c>
      <c r="P752" s="234">
        <f t="shared" si="82"/>
        <v>1</v>
      </c>
      <c r="Q752" s="234">
        <f t="shared" si="83"/>
        <v>1</v>
      </c>
      <c r="DE752" s="152"/>
      <c r="DF752" s="160" t="s">
        <v>2419</v>
      </c>
      <c r="DG752" s="160" t="s">
        <v>122</v>
      </c>
      <c r="DH752" s="160" t="s">
        <v>125</v>
      </c>
      <c r="DI752" s="160" t="s">
        <v>2420</v>
      </c>
      <c r="DJ752" s="160" t="s">
        <v>2420</v>
      </c>
      <c r="DK752" s="160" t="s">
        <v>1259</v>
      </c>
      <c r="DL752" s="160" t="s">
        <v>1260</v>
      </c>
      <c r="DM752" s="160" t="s">
        <v>1812</v>
      </c>
      <c r="DN752" s="161" t="s">
        <v>1813</v>
      </c>
      <c r="DP752" s="130">
        <v>1</v>
      </c>
    </row>
    <row r="753" spans="2:120" ht="15">
      <c r="B753" s="231"/>
      <c r="C753" s="231"/>
      <c r="D753" s="231"/>
      <c r="E753" s="231" cm="1">
        <f t="array" ref="E753">IF(H752&lt;&gt;"",E752,IF(E752="","",IFERROR(MATCH(TRUE(),INDEX(INDEX(K:K,E752+1):K203&lt;&gt;"",0),0)+E752,"")))</f>
        <v>845</v>
      </c>
      <c r="F753" s="232" cm="1">
        <f t="array" ref="F753">IF(E753="","",IF(H752&lt;&gt;"",H752,INDEX(D:D,E753)))</f>
        <v>0</v>
      </c>
      <c r="G753" s="232" t="str">
        <f t="shared" si="78"/>
        <v>0</v>
      </c>
      <c r="H753" s="233" t="str">
        <f t="shared" si="79"/>
        <v/>
      </c>
      <c r="I753" s="231" t="str">
        <f>IF(AND(F753&lt;&gt;"",N10&gt;0,M753&gt;N10),"Mot &gt; limite","")</f>
        <v/>
      </c>
      <c r="M753" s="126">
        <f>IF(OR(F753="",N10="",N10&lt;=0),"",IF(LEN(F753)&lt;=N10,LEN(F753),IFERROR(FIND("♦",SUBSTITUTE(LEFT(F753,N10)," ","♦",LEN(LEFT(F753,N10))-LEN(SUBSTITUTE(LEFT(F753,N10)," ","")))),FIND(" ",F753&amp;" ",N10+1)-1)))</f>
        <v>1</v>
      </c>
      <c r="N753" s="234">
        <f t="shared" si="80"/>
        <v>736</v>
      </c>
      <c r="O753" s="165" t="str">
        <f t="shared" si="81"/>
        <v>0</v>
      </c>
      <c r="P753" s="234">
        <f t="shared" si="82"/>
        <v>1</v>
      </c>
      <c r="Q753" s="234">
        <f t="shared" si="83"/>
        <v>1</v>
      </c>
      <c r="DE753" s="152"/>
      <c r="DF753" s="160" t="s">
        <v>2421</v>
      </c>
      <c r="DG753" s="160" t="s">
        <v>122</v>
      </c>
      <c r="DH753" s="160" t="s">
        <v>125</v>
      </c>
      <c r="DI753" s="160" t="s">
        <v>2422</v>
      </c>
      <c r="DJ753" s="160" t="s">
        <v>2422</v>
      </c>
      <c r="DK753" s="160" t="s">
        <v>1259</v>
      </c>
      <c r="DL753" s="160" t="s">
        <v>1260</v>
      </c>
      <c r="DM753" s="160" t="s">
        <v>1812</v>
      </c>
      <c r="DN753" s="161" t="s">
        <v>1813</v>
      </c>
      <c r="DP753" s="130">
        <v>1</v>
      </c>
    </row>
    <row r="754" spans="2:120" ht="15">
      <c r="B754" s="231"/>
      <c r="C754" s="231"/>
      <c r="D754" s="231"/>
      <c r="E754" s="231" cm="1">
        <f t="array" ref="E754">IF(H753&lt;&gt;"",E753,IF(E753="","",IFERROR(MATCH(TRUE(),INDEX(INDEX(K:K,E753+1):K203&lt;&gt;"",0),0)+E753,"")))</f>
        <v>846</v>
      </c>
      <c r="F754" s="232" cm="1">
        <f t="array" ref="F754">IF(E754="","",IF(H753&lt;&gt;"",H753,INDEX(D:D,E754)))</f>
        <v>0</v>
      </c>
      <c r="G754" s="232" t="str">
        <f t="shared" si="78"/>
        <v>0</v>
      </c>
      <c r="H754" s="233" t="str">
        <f t="shared" si="79"/>
        <v/>
      </c>
      <c r="I754" s="231" t="str">
        <f>IF(AND(F754&lt;&gt;"",N10&gt;0,M754&gt;N10),"Mot &gt; limite","")</f>
        <v/>
      </c>
      <c r="M754" s="126">
        <f>IF(OR(F754="",N10="",N10&lt;=0),"",IF(LEN(F754)&lt;=N10,LEN(F754),IFERROR(FIND("♦",SUBSTITUTE(LEFT(F754,N10)," ","♦",LEN(LEFT(F754,N10))-LEN(SUBSTITUTE(LEFT(F754,N10)," ","")))),FIND(" ",F754&amp;" ",N10+1)-1)))</f>
        <v>1</v>
      </c>
      <c r="N754" s="234">
        <f t="shared" si="80"/>
        <v>737</v>
      </c>
      <c r="O754" s="165" t="str">
        <f t="shared" si="81"/>
        <v>0</v>
      </c>
      <c r="P754" s="234">
        <f t="shared" si="82"/>
        <v>1</v>
      </c>
      <c r="Q754" s="234">
        <f t="shared" si="83"/>
        <v>1</v>
      </c>
      <c r="DE754" s="152"/>
      <c r="DF754" s="160" t="s">
        <v>2423</v>
      </c>
      <c r="DG754" s="160" t="s">
        <v>122</v>
      </c>
      <c r="DH754" s="160" t="s">
        <v>125</v>
      </c>
      <c r="DI754" s="160" t="s">
        <v>2424</v>
      </c>
      <c r="DJ754" s="160" t="s">
        <v>2424</v>
      </c>
      <c r="DK754" s="160" t="s">
        <v>1259</v>
      </c>
      <c r="DL754" s="160" t="s">
        <v>1260</v>
      </c>
      <c r="DM754" s="160" t="s">
        <v>1812</v>
      </c>
      <c r="DN754" s="161" t="s">
        <v>1813</v>
      </c>
      <c r="DP754" s="130">
        <v>1</v>
      </c>
    </row>
    <row r="755" spans="2:120" ht="15">
      <c r="B755" s="231"/>
      <c r="C755" s="231"/>
      <c r="D755" s="231"/>
      <c r="E755" s="231" cm="1">
        <f t="array" ref="E755">IF(H754&lt;&gt;"",E754,IF(E754="","",IFERROR(MATCH(TRUE(),INDEX(INDEX(K:K,E754+1):K203&lt;&gt;"",0),0)+E754,"")))</f>
        <v>847</v>
      </c>
      <c r="F755" s="232" cm="1">
        <f t="array" ref="F755">IF(E755="","",IF(H754&lt;&gt;"",H754,INDEX(D:D,E755)))</f>
        <v>0</v>
      </c>
      <c r="G755" s="232" t="str">
        <f t="shared" si="78"/>
        <v>0</v>
      </c>
      <c r="H755" s="233" t="str">
        <f t="shared" si="79"/>
        <v/>
      </c>
      <c r="I755" s="231" t="str">
        <f>IF(AND(F755&lt;&gt;"",N10&gt;0,M755&gt;N10),"Mot &gt; limite","")</f>
        <v/>
      </c>
      <c r="M755" s="126">
        <f>IF(OR(F755="",N10="",N10&lt;=0),"",IF(LEN(F755)&lt;=N10,LEN(F755),IFERROR(FIND("♦",SUBSTITUTE(LEFT(F755,N10)," ","♦",LEN(LEFT(F755,N10))-LEN(SUBSTITUTE(LEFT(F755,N10)," ","")))),FIND(" ",F755&amp;" ",N10+1)-1)))</f>
        <v>1</v>
      </c>
      <c r="N755" s="234">
        <f t="shared" si="80"/>
        <v>738</v>
      </c>
      <c r="O755" s="165" t="str">
        <f t="shared" si="81"/>
        <v>0</v>
      </c>
      <c r="P755" s="234">
        <f t="shared" si="82"/>
        <v>1</v>
      </c>
      <c r="Q755" s="234">
        <f t="shared" si="83"/>
        <v>1</v>
      </c>
      <c r="DE755" s="152"/>
      <c r="DF755" s="160" t="s">
        <v>2425</v>
      </c>
      <c r="DG755" s="160" t="s">
        <v>122</v>
      </c>
      <c r="DH755" s="160" t="s">
        <v>125</v>
      </c>
      <c r="DI755" s="160" t="s">
        <v>2426</v>
      </c>
      <c r="DJ755" s="160" t="s">
        <v>2426</v>
      </c>
      <c r="DK755" s="160" t="s">
        <v>1259</v>
      </c>
      <c r="DL755" s="160" t="s">
        <v>1260</v>
      </c>
      <c r="DM755" s="160" t="s">
        <v>1812</v>
      </c>
      <c r="DN755" s="161" t="s">
        <v>1813</v>
      </c>
      <c r="DP755" s="130">
        <v>1</v>
      </c>
    </row>
    <row r="756" spans="2:120" ht="15">
      <c r="B756" s="231"/>
      <c r="C756" s="231"/>
      <c r="D756" s="231"/>
      <c r="E756" s="231" cm="1">
        <f t="array" ref="E756">IF(H755&lt;&gt;"",E755,IF(E755="","",IFERROR(MATCH(TRUE(),INDEX(INDEX(K:K,E755+1):K203&lt;&gt;"",0),0)+E755,"")))</f>
        <v>848</v>
      </c>
      <c r="F756" s="232" cm="1">
        <f t="array" ref="F756">IF(E756="","",IF(H755&lt;&gt;"",H755,INDEX(D:D,E756)))</f>
        <v>0</v>
      </c>
      <c r="G756" s="232" t="str">
        <f t="shared" si="78"/>
        <v>0</v>
      </c>
      <c r="H756" s="233" t="str">
        <f t="shared" si="79"/>
        <v/>
      </c>
      <c r="I756" s="231" t="str">
        <f>IF(AND(F756&lt;&gt;"",N10&gt;0,M756&gt;N10),"Mot &gt; limite","")</f>
        <v/>
      </c>
      <c r="M756" s="126">
        <f>IF(OR(F756="",N10="",N10&lt;=0),"",IF(LEN(F756)&lt;=N10,LEN(F756),IFERROR(FIND("♦",SUBSTITUTE(LEFT(F756,N10)," ","♦",LEN(LEFT(F756,N10))-LEN(SUBSTITUTE(LEFT(F756,N10)," ","")))),FIND(" ",F756&amp;" ",N10+1)-1)))</f>
        <v>1</v>
      </c>
      <c r="N756" s="234">
        <f t="shared" si="80"/>
        <v>739</v>
      </c>
      <c r="O756" s="165" t="str">
        <f t="shared" si="81"/>
        <v>0</v>
      </c>
      <c r="P756" s="234">
        <f t="shared" si="82"/>
        <v>1</v>
      </c>
      <c r="Q756" s="234">
        <f t="shared" si="83"/>
        <v>1</v>
      </c>
      <c r="DE756" s="152"/>
      <c r="DF756" s="160" t="s">
        <v>2427</v>
      </c>
      <c r="DG756" s="160" t="s">
        <v>122</v>
      </c>
      <c r="DH756" s="160" t="s">
        <v>125</v>
      </c>
      <c r="DI756" s="160" t="s">
        <v>2428</v>
      </c>
      <c r="DJ756" s="160" t="s">
        <v>2428</v>
      </c>
      <c r="DK756" s="160" t="s">
        <v>588</v>
      </c>
      <c r="DL756" s="160" t="s">
        <v>1895</v>
      </c>
      <c r="DM756" s="160" t="s">
        <v>590</v>
      </c>
      <c r="DN756" s="161" t="s">
        <v>591</v>
      </c>
      <c r="DP756" s="130">
        <v>1</v>
      </c>
    </row>
    <row r="757" spans="2:120" ht="15">
      <c r="B757" s="231"/>
      <c r="C757" s="231"/>
      <c r="D757" s="231"/>
      <c r="E757" s="231" cm="1">
        <f t="array" ref="E757">IF(H756&lt;&gt;"",E756,IF(E756="","",IFERROR(MATCH(TRUE(),INDEX(INDEX(K:K,E756+1):K203&lt;&gt;"",0),0)+E756,"")))</f>
        <v>849</v>
      </c>
      <c r="F757" s="232" cm="1">
        <f t="array" ref="F757">IF(E757="","",IF(H756&lt;&gt;"",H756,INDEX(D:D,E757)))</f>
        <v>0</v>
      </c>
      <c r="G757" s="232" t="str">
        <f t="shared" si="78"/>
        <v>0</v>
      </c>
      <c r="H757" s="233" t="str">
        <f t="shared" si="79"/>
        <v/>
      </c>
      <c r="I757" s="231" t="str">
        <f>IF(AND(F757&lt;&gt;"",N10&gt;0,M757&gt;N10),"Mot &gt; limite","")</f>
        <v/>
      </c>
      <c r="M757" s="126">
        <f>IF(OR(F757="",N10="",N10&lt;=0),"",IF(LEN(F757)&lt;=N10,LEN(F757),IFERROR(FIND("♦",SUBSTITUTE(LEFT(F757,N10)," ","♦",LEN(LEFT(F757,N10))-LEN(SUBSTITUTE(LEFT(F757,N10)," ","")))),FIND(" ",F757&amp;" ",N10+1)-1)))</f>
        <v>1</v>
      </c>
      <c r="N757" s="234">
        <f t="shared" si="80"/>
        <v>740</v>
      </c>
      <c r="O757" s="165" t="str">
        <f t="shared" si="81"/>
        <v>0</v>
      </c>
      <c r="P757" s="234">
        <f t="shared" si="82"/>
        <v>1</v>
      </c>
      <c r="Q757" s="234">
        <f t="shared" si="83"/>
        <v>1</v>
      </c>
      <c r="DE757" s="152"/>
      <c r="DF757" s="160" t="s">
        <v>2429</v>
      </c>
      <c r="DG757" s="160" t="s">
        <v>122</v>
      </c>
      <c r="DH757" s="160" t="s">
        <v>125</v>
      </c>
      <c r="DI757" s="160" t="s">
        <v>2430</v>
      </c>
      <c r="DJ757" s="160" t="s">
        <v>2430</v>
      </c>
      <c r="DK757" s="160" t="s">
        <v>1259</v>
      </c>
      <c r="DL757" s="160" t="s">
        <v>1260</v>
      </c>
      <c r="DM757" s="160" t="s">
        <v>1812</v>
      </c>
      <c r="DN757" s="161" t="s">
        <v>1813</v>
      </c>
      <c r="DP757" s="130">
        <v>1</v>
      </c>
    </row>
    <row r="758" spans="2:120" ht="15">
      <c r="B758" s="231"/>
      <c r="C758" s="231"/>
      <c r="D758" s="231"/>
      <c r="E758" s="231" cm="1">
        <f t="array" ref="E758">IF(H757&lt;&gt;"",E757,IF(E757="","",IFERROR(MATCH(TRUE(),INDEX(INDEX(K:K,E757+1):K203&lt;&gt;"",0),0)+E757,"")))</f>
        <v>850</v>
      </c>
      <c r="F758" s="232" cm="1">
        <f t="array" ref="F758">IF(E758="","",IF(H757&lt;&gt;"",H757,INDEX(D:D,E758)))</f>
        <v>0</v>
      </c>
      <c r="G758" s="232" t="str">
        <f t="shared" si="78"/>
        <v>0</v>
      </c>
      <c r="H758" s="233" t="str">
        <f t="shared" si="79"/>
        <v/>
      </c>
      <c r="I758" s="231" t="str">
        <f>IF(AND(F758&lt;&gt;"",N10&gt;0,M758&gt;N10),"Mot &gt; limite","")</f>
        <v/>
      </c>
      <c r="M758" s="126">
        <f>IF(OR(F758="",N10="",N10&lt;=0),"",IF(LEN(F758)&lt;=N10,LEN(F758),IFERROR(FIND("♦",SUBSTITUTE(LEFT(F758,N10)," ","♦",LEN(LEFT(F758,N10))-LEN(SUBSTITUTE(LEFT(F758,N10)," ","")))),FIND(" ",F758&amp;" ",N10+1)-1)))</f>
        <v>1</v>
      </c>
      <c r="N758" s="234">
        <f t="shared" si="80"/>
        <v>741</v>
      </c>
      <c r="O758" s="165" t="str">
        <f t="shared" si="81"/>
        <v>0</v>
      </c>
      <c r="P758" s="234">
        <f t="shared" si="82"/>
        <v>1</v>
      </c>
      <c r="Q758" s="234">
        <f t="shared" si="83"/>
        <v>1</v>
      </c>
      <c r="DE758" s="152"/>
      <c r="DF758" s="160" t="s">
        <v>2431</v>
      </c>
      <c r="DG758" s="160" t="s">
        <v>122</v>
      </c>
      <c r="DH758" s="160" t="s">
        <v>125</v>
      </c>
      <c r="DI758" s="160" t="s">
        <v>2432</v>
      </c>
      <c r="DJ758" s="160" t="s">
        <v>2432</v>
      </c>
      <c r="DK758" s="160" t="s">
        <v>1259</v>
      </c>
      <c r="DL758" s="160" t="s">
        <v>1260</v>
      </c>
      <c r="DM758" s="160" t="s">
        <v>1812</v>
      </c>
      <c r="DN758" s="161" t="s">
        <v>1813</v>
      </c>
      <c r="DP758" s="130">
        <v>1</v>
      </c>
    </row>
    <row r="759" spans="2:120" ht="15">
      <c r="B759" s="231"/>
      <c r="C759" s="231"/>
      <c r="D759" s="231"/>
      <c r="E759" s="231" cm="1">
        <f t="array" ref="E759">IF(H758&lt;&gt;"",E758,IF(E758="","",IFERROR(MATCH(TRUE(),INDEX(INDEX(K:K,E758+1):K203&lt;&gt;"",0),0)+E758,"")))</f>
        <v>851</v>
      </c>
      <c r="F759" s="232" cm="1">
        <f t="array" ref="F759">IF(E759="","",IF(H758&lt;&gt;"",H758,INDEX(D:D,E759)))</f>
        <v>0</v>
      </c>
      <c r="G759" s="232" t="str">
        <f t="shared" si="78"/>
        <v>0</v>
      </c>
      <c r="H759" s="233" t="str">
        <f t="shared" si="79"/>
        <v/>
      </c>
      <c r="I759" s="231" t="str">
        <f>IF(AND(F759&lt;&gt;"",N10&gt;0,M759&gt;N10),"Mot &gt; limite","")</f>
        <v/>
      </c>
      <c r="M759" s="126">
        <f>IF(OR(F759="",N10="",N10&lt;=0),"",IF(LEN(F759)&lt;=N10,LEN(F759),IFERROR(FIND("♦",SUBSTITUTE(LEFT(F759,N10)," ","♦",LEN(LEFT(F759,N10))-LEN(SUBSTITUTE(LEFT(F759,N10)," ","")))),FIND(" ",F759&amp;" ",N10+1)-1)))</f>
        <v>1</v>
      </c>
      <c r="N759" s="234">
        <f t="shared" si="80"/>
        <v>742</v>
      </c>
      <c r="O759" s="165" t="str">
        <f t="shared" si="81"/>
        <v>0</v>
      </c>
      <c r="P759" s="234">
        <f t="shared" si="82"/>
        <v>1</v>
      </c>
      <c r="Q759" s="234">
        <f t="shared" si="83"/>
        <v>1</v>
      </c>
      <c r="DE759" s="152"/>
      <c r="DF759" s="160" t="s">
        <v>2433</v>
      </c>
      <c r="DG759" s="160" t="s">
        <v>122</v>
      </c>
      <c r="DH759" s="160" t="s">
        <v>125</v>
      </c>
      <c r="DI759" s="160" t="s">
        <v>2434</v>
      </c>
      <c r="DJ759" s="160" t="s">
        <v>2434</v>
      </c>
      <c r="DK759" s="160" t="s">
        <v>1259</v>
      </c>
      <c r="DL759" s="160" t="s">
        <v>1260</v>
      </c>
      <c r="DM759" s="160" t="s">
        <v>1812</v>
      </c>
      <c r="DN759" s="161" t="s">
        <v>1813</v>
      </c>
      <c r="DP759" s="130">
        <v>1</v>
      </c>
    </row>
    <row r="760" spans="2:120" ht="15">
      <c r="B760" s="231"/>
      <c r="C760" s="231"/>
      <c r="D760" s="231"/>
      <c r="E760" s="231" cm="1">
        <f t="array" ref="E760">IF(H759&lt;&gt;"",E759,IF(E759="","",IFERROR(MATCH(TRUE(),INDEX(INDEX(K:K,E759+1):K203&lt;&gt;"",0),0)+E759,"")))</f>
        <v>852</v>
      </c>
      <c r="F760" s="232" cm="1">
        <f t="array" ref="F760">IF(E760="","",IF(H759&lt;&gt;"",H759,INDEX(D:D,E760)))</f>
        <v>0</v>
      </c>
      <c r="G760" s="232" t="str">
        <f t="shared" si="78"/>
        <v>0</v>
      </c>
      <c r="H760" s="233" t="str">
        <f t="shared" si="79"/>
        <v/>
      </c>
      <c r="I760" s="231" t="str">
        <f>IF(AND(F760&lt;&gt;"",N10&gt;0,M760&gt;N10),"Mot &gt; limite","")</f>
        <v/>
      </c>
      <c r="M760" s="126">
        <f>IF(OR(F760="",N10="",N10&lt;=0),"",IF(LEN(F760)&lt;=N10,LEN(F760),IFERROR(FIND("♦",SUBSTITUTE(LEFT(F760,N10)," ","♦",LEN(LEFT(F760,N10))-LEN(SUBSTITUTE(LEFT(F760,N10)," ","")))),FIND(" ",F760&amp;" ",N10+1)-1)))</f>
        <v>1</v>
      </c>
      <c r="N760" s="234">
        <f t="shared" si="80"/>
        <v>743</v>
      </c>
      <c r="O760" s="165" t="str">
        <f t="shared" si="81"/>
        <v>0</v>
      </c>
      <c r="P760" s="234">
        <f t="shared" si="82"/>
        <v>1</v>
      </c>
      <c r="Q760" s="234">
        <f t="shared" si="83"/>
        <v>1</v>
      </c>
      <c r="DE760" s="152"/>
      <c r="DF760" s="160" t="s">
        <v>2435</v>
      </c>
      <c r="DG760" s="160" t="s">
        <v>122</v>
      </c>
      <c r="DH760" s="160" t="s">
        <v>125</v>
      </c>
      <c r="DI760" s="160" t="s">
        <v>518</v>
      </c>
      <c r="DJ760" s="160" t="s">
        <v>518</v>
      </c>
      <c r="DK760" s="160" t="s">
        <v>588</v>
      </c>
      <c r="DL760" s="160" t="s">
        <v>1895</v>
      </c>
      <c r="DM760" s="160" t="s">
        <v>590</v>
      </c>
      <c r="DN760" s="161" t="s">
        <v>591</v>
      </c>
      <c r="DP760" s="130">
        <v>1</v>
      </c>
    </row>
    <row r="761" spans="2:120" ht="15">
      <c r="B761" s="231"/>
      <c r="C761" s="231"/>
      <c r="D761" s="231"/>
      <c r="E761" s="231" cm="1">
        <f t="array" ref="E761">IF(H760&lt;&gt;"",E760,IF(E760="","",IFERROR(MATCH(TRUE(),INDEX(INDEX(K:K,E760+1):K203&lt;&gt;"",0),0)+E760,"")))</f>
        <v>853</v>
      </c>
      <c r="F761" s="232" cm="1">
        <f t="array" ref="F761">IF(E761="","",IF(H760&lt;&gt;"",H760,INDEX(D:D,E761)))</f>
        <v>0</v>
      </c>
      <c r="G761" s="232" t="str">
        <f t="shared" si="78"/>
        <v>0</v>
      </c>
      <c r="H761" s="233" t="str">
        <f t="shared" si="79"/>
        <v/>
      </c>
      <c r="I761" s="231" t="str">
        <f>IF(AND(F761&lt;&gt;"",N10&gt;0,M761&gt;N10),"Mot &gt; limite","")</f>
        <v/>
      </c>
      <c r="M761" s="126">
        <f>IF(OR(F761="",N10="",N10&lt;=0),"",IF(LEN(F761)&lt;=N10,LEN(F761),IFERROR(FIND("♦",SUBSTITUTE(LEFT(F761,N10)," ","♦",LEN(LEFT(F761,N10))-LEN(SUBSTITUTE(LEFT(F761,N10)," ","")))),FIND(" ",F761&amp;" ",N10+1)-1)))</f>
        <v>1</v>
      </c>
      <c r="N761" s="234">
        <f t="shared" si="80"/>
        <v>744</v>
      </c>
      <c r="O761" s="165" t="str">
        <f t="shared" si="81"/>
        <v>0</v>
      </c>
      <c r="P761" s="234">
        <f t="shared" si="82"/>
        <v>1</v>
      </c>
      <c r="Q761" s="234">
        <f t="shared" si="83"/>
        <v>1</v>
      </c>
      <c r="DE761" s="152"/>
      <c r="DF761" s="160" t="s">
        <v>2436</v>
      </c>
      <c r="DG761" s="160" t="s">
        <v>122</v>
      </c>
      <c r="DH761" s="160" t="s">
        <v>125</v>
      </c>
      <c r="DI761" s="160" t="s">
        <v>2437</v>
      </c>
      <c r="DJ761" s="160" t="s">
        <v>2437</v>
      </c>
      <c r="DK761" s="160" t="s">
        <v>1259</v>
      </c>
      <c r="DL761" s="160" t="s">
        <v>1260</v>
      </c>
      <c r="DM761" s="160" t="s">
        <v>1812</v>
      </c>
      <c r="DN761" s="161" t="s">
        <v>1813</v>
      </c>
      <c r="DP761" s="130">
        <v>1</v>
      </c>
    </row>
    <row r="762" spans="2:120" ht="15">
      <c r="B762" s="231"/>
      <c r="C762" s="231"/>
      <c r="D762" s="231"/>
      <c r="E762" s="231" cm="1">
        <f t="array" ref="E762">IF(H761&lt;&gt;"",E761,IF(E761="","",IFERROR(MATCH(TRUE(),INDEX(INDEX(K:K,E761+1):K203&lt;&gt;"",0),0)+E761,"")))</f>
        <v>854</v>
      </c>
      <c r="F762" s="232" cm="1">
        <f t="array" ref="F762">IF(E762="","",IF(H761&lt;&gt;"",H761,INDEX(D:D,E762)))</f>
        <v>0</v>
      </c>
      <c r="G762" s="232" t="str">
        <f t="shared" si="78"/>
        <v>0</v>
      </c>
      <c r="H762" s="233" t="str">
        <f t="shared" si="79"/>
        <v/>
      </c>
      <c r="I762" s="231" t="str">
        <f>IF(AND(F762&lt;&gt;"",N10&gt;0,M762&gt;N10),"Mot &gt; limite","")</f>
        <v/>
      </c>
      <c r="M762" s="126">
        <f>IF(OR(F762="",N10="",N10&lt;=0),"",IF(LEN(F762)&lt;=N10,LEN(F762),IFERROR(FIND("♦",SUBSTITUTE(LEFT(F762,N10)," ","♦",LEN(LEFT(F762,N10))-LEN(SUBSTITUTE(LEFT(F762,N10)," ","")))),FIND(" ",F762&amp;" ",N10+1)-1)))</f>
        <v>1</v>
      </c>
      <c r="N762" s="234">
        <f t="shared" si="80"/>
        <v>745</v>
      </c>
      <c r="O762" s="165" t="str">
        <f t="shared" si="81"/>
        <v>0</v>
      </c>
      <c r="P762" s="234">
        <f t="shared" si="82"/>
        <v>1</v>
      </c>
      <c r="Q762" s="234">
        <f t="shared" si="83"/>
        <v>1</v>
      </c>
      <c r="DE762" s="152"/>
      <c r="DF762" s="160" t="s">
        <v>2438</v>
      </c>
      <c r="DG762" s="160" t="s">
        <v>122</v>
      </c>
      <c r="DH762" s="160" t="s">
        <v>125</v>
      </c>
      <c r="DI762" s="160" t="s">
        <v>2439</v>
      </c>
      <c r="DJ762" s="160" t="s">
        <v>2439</v>
      </c>
      <c r="DK762" s="160" t="s">
        <v>1259</v>
      </c>
      <c r="DL762" s="160" t="s">
        <v>1260</v>
      </c>
      <c r="DM762" s="160" t="s">
        <v>1812</v>
      </c>
      <c r="DN762" s="161" t="s">
        <v>1813</v>
      </c>
      <c r="DP762" s="130">
        <v>1</v>
      </c>
    </row>
    <row r="763" spans="2:120" ht="15">
      <c r="B763" s="231"/>
      <c r="C763" s="231"/>
      <c r="D763" s="231"/>
      <c r="E763" s="231" cm="1">
        <f t="array" ref="E763">IF(H762&lt;&gt;"",E762,IF(E762="","",IFERROR(MATCH(TRUE(),INDEX(INDEX(K:K,E762+1):K203&lt;&gt;"",0),0)+E762,"")))</f>
        <v>855</v>
      </c>
      <c r="F763" s="232" cm="1">
        <f t="array" ref="F763">IF(E763="","",IF(H762&lt;&gt;"",H762,INDEX(D:D,E763)))</f>
        <v>0</v>
      </c>
      <c r="G763" s="232" t="str">
        <f t="shared" si="78"/>
        <v>0</v>
      </c>
      <c r="H763" s="233" t="str">
        <f t="shared" si="79"/>
        <v/>
      </c>
      <c r="I763" s="231" t="str">
        <f>IF(AND(F763&lt;&gt;"",N10&gt;0,M763&gt;N10),"Mot &gt; limite","")</f>
        <v/>
      </c>
      <c r="M763" s="126">
        <f>IF(OR(F763="",N10="",N10&lt;=0),"",IF(LEN(F763)&lt;=N10,LEN(F763),IFERROR(FIND("♦",SUBSTITUTE(LEFT(F763,N10)," ","♦",LEN(LEFT(F763,N10))-LEN(SUBSTITUTE(LEFT(F763,N10)," ","")))),FIND(" ",F763&amp;" ",N10+1)-1)))</f>
        <v>1</v>
      </c>
      <c r="N763" s="234">
        <f t="shared" si="80"/>
        <v>746</v>
      </c>
      <c r="O763" s="165" t="str">
        <f t="shared" si="81"/>
        <v>0</v>
      </c>
      <c r="P763" s="234">
        <f t="shared" si="82"/>
        <v>1</v>
      </c>
      <c r="Q763" s="234">
        <f t="shared" si="83"/>
        <v>1</v>
      </c>
      <c r="DE763" s="152"/>
      <c r="DF763" s="160" t="s">
        <v>2440</v>
      </c>
      <c r="DG763" s="160" t="s">
        <v>122</v>
      </c>
      <c r="DH763" s="160" t="s">
        <v>125</v>
      </c>
      <c r="DI763" s="160" t="s">
        <v>2441</v>
      </c>
      <c r="DJ763" s="160" t="s">
        <v>2441</v>
      </c>
      <c r="DK763" s="160" t="s">
        <v>1259</v>
      </c>
      <c r="DL763" s="160" t="s">
        <v>1260</v>
      </c>
      <c r="DM763" s="160" t="s">
        <v>1812</v>
      </c>
      <c r="DN763" s="161" t="s">
        <v>1813</v>
      </c>
      <c r="DP763" s="130">
        <v>1</v>
      </c>
    </row>
    <row r="764" spans="2:120" ht="15">
      <c r="B764" s="231"/>
      <c r="C764" s="231"/>
      <c r="D764" s="231"/>
      <c r="E764" s="231" cm="1">
        <f t="array" ref="E764">IF(H763&lt;&gt;"",E763,IF(E763="","",IFERROR(MATCH(TRUE(),INDEX(INDEX(K:K,E763+1):K203&lt;&gt;"",0),0)+E763,"")))</f>
        <v>856</v>
      </c>
      <c r="F764" s="232" cm="1">
        <f t="array" ref="F764">IF(E764="","",IF(H763&lt;&gt;"",H763,INDEX(D:D,E764)))</f>
        <v>0</v>
      </c>
      <c r="G764" s="232" t="str">
        <f t="shared" si="78"/>
        <v>0</v>
      </c>
      <c r="H764" s="233" t="str">
        <f t="shared" si="79"/>
        <v/>
      </c>
      <c r="I764" s="231" t="str">
        <f>IF(AND(F764&lt;&gt;"",N10&gt;0,M764&gt;N10),"Mot &gt; limite","")</f>
        <v/>
      </c>
      <c r="M764" s="126">
        <f>IF(OR(F764="",N10="",N10&lt;=0),"",IF(LEN(F764)&lt;=N10,LEN(F764),IFERROR(FIND("♦",SUBSTITUTE(LEFT(F764,N10)," ","♦",LEN(LEFT(F764,N10))-LEN(SUBSTITUTE(LEFT(F764,N10)," ","")))),FIND(" ",F764&amp;" ",N10+1)-1)))</f>
        <v>1</v>
      </c>
      <c r="N764" s="234">
        <f t="shared" si="80"/>
        <v>747</v>
      </c>
      <c r="O764" s="165" t="str">
        <f t="shared" si="81"/>
        <v>0</v>
      </c>
      <c r="P764" s="234">
        <f t="shared" si="82"/>
        <v>1</v>
      </c>
      <c r="Q764" s="234">
        <f t="shared" si="83"/>
        <v>1</v>
      </c>
      <c r="DE764" s="152"/>
      <c r="DF764" s="160" t="s">
        <v>2442</v>
      </c>
      <c r="DG764" s="160" t="s">
        <v>122</v>
      </c>
      <c r="DH764" s="160" t="s">
        <v>125</v>
      </c>
      <c r="DI764" s="160" t="s">
        <v>2443</v>
      </c>
      <c r="DJ764" s="160" t="s">
        <v>2443</v>
      </c>
      <c r="DK764" s="160" t="s">
        <v>1259</v>
      </c>
      <c r="DL764" s="160" t="s">
        <v>1260</v>
      </c>
      <c r="DM764" s="160" t="s">
        <v>1812</v>
      </c>
      <c r="DN764" s="161" t="s">
        <v>1813</v>
      </c>
      <c r="DP764" s="130">
        <v>1</v>
      </c>
    </row>
    <row r="765" spans="2:120" ht="15">
      <c r="B765" s="231"/>
      <c r="C765" s="231"/>
      <c r="D765" s="231"/>
      <c r="E765" s="231" cm="1">
        <f t="array" ref="E765">IF(H764&lt;&gt;"",E764,IF(E764="","",IFERROR(MATCH(TRUE(),INDEX(INDEX(K:K,E764+1):K203&lt;&gt;"",0),0)+E764,"")))</f>
        <v>857</v>
      </c>
      <c r="F765" s="232" cm="1">
        <f t="array" ref="F765">IF(E765="","",IF(H764&lt;&gt;"",H764,INDEX(D:D,E765)))</f>
        <v>0</v>
      </c>
      <c r="G765" s="232" t="str">
        <f t="shared" si="78"/>
        <v>0</v>
      </c>
      <c r="H765" s="233" t="str">
        <f t="shared" si="79"/>
        <v/>
      </c>
      <c r="I765" s="231" t="str">
        <f>IF(AND(F765&lt;&gt;"",N10&gt;0,M765&gt;N10),"Mot &gt; limite","")</f>
        <v/>
      </c>
      <c r="M765" s="126">
        <f>IF(OR(F765="",N10="",N10&lt;=0),"",IF(LEN(F765)&lt;=N10,LEN(F765),IFERROR(FIND("♦",SUBSTITUTE(LEFT(F765,N10)," ","♦",LEN(LEFT(F765,N10))-LEN(SUBSTITUTE(LEFT(F765,N10)," ","")))),FIND(" ",F765&amp;" ",N10+1)-1)))</f>
        <v>1</v>
      </c>
      <c r="N765" s="234">
        <f t="shared" si="80"/>
        <v>748</v>
      </c>
      <c r="O765" s="165" t="str">
        <f t="shared" si="81"/>
        <v>0</v>
      </c>
      <c r="P765" s="234">
        <f t="shared" si="82"/>
        <v>1</v>
      </c>
      <c r="Q765" s="234">
        <f t="shared" si="83"/>
        <v>1</v>
      </c>
      <c r="DE765" s="152"/>
      <c r="DF765" s="160" t="s">
        <v>2444</v>
      </c>
      <c r="DG765" s="160" t="s">
        <v>122</v>
      </c>
      <c r="DH765" s="160" t="s">
        <v>125</v>
      </c>
      <c r="DI765" s="160" t="s">
        <v>2445</v>
      </c>
      <c r="DJ765" s="160" t="s">
        <v>2445</v>
      </c>
      <c r="DK765" s="160" t="s">
        <v>1259</v>
      </c>
      <c r="DL765" s="160" t="s">
        <v>1260</v>
      </c>
      <c r="DM765" s="160" t="s">
        <v>1812</v>
      </c>
      <c r="DN765" s="161" t="s">
        <v>1813</v>
      </c>
      <c r="DP765" s="130">
        <v>1</v>
      </c>
    </row>
    <row r="766" spans="2:120" ht="15">
      <c r="B766" s="231"/>
      <c r="C766" s="231"/>
      <c r="D766" s="231"/>
      <c r="E766" s="231" cm="1">
        <f t="array" ref="E766">IF(H765&lt;&gt;"",E765,IF(E765="","",IFERROR(MATCH(TRUE(),INDEX(INDEX(K:K,E765+1):K203&lt;&gt;"",0),0)+E765,"")))</f>
        <v>858</v>
      </c>
      <c r="F766" s="232" cm="1">
        <f t="array" ref="F766">IF(E766="","",IF(H765&lt;&gt;"",H765,INDEX(D:D,E766)))</f>
        <v>0</v>
      </c>
      <c r="G766" s="232" t="str">
        <f t="shared" si="78"/>
        <v>0</v>
      </c>
      <c r="H766" s="233" t="str">
        <f t="shared" si="79"/>
        <v/>
      </c>
      <c r="I766" s="231" t="str">
        <f>IF(AND(F766&lt;&gt;"",N10&gt;0,M766&gt;N10),"Mot &gt; limite","")</f>
        <v/>
      </c>
      <c r="M766" s="126">
        <f>IF(OR(F766="",N10="",N10&lt;=0),"",IF(LEN(F766)&lt;=N10,LEN(F766),IFERROR(FIND("♦",SUBSTITUTE(LEFT(F766,N10)," ","♦",LEN(LEFT(F766,N10))-LEN(SUBSTITUTE(LEFT(F766,N10)," ","")))),FIND(" ",F766&amp;" ",N10+1)-1)))</f>
        <v>1</v>
      </c>
      <c r="N766" s="234">
        <f t="shared" si="80"/>
        <v>749</v>
      </c>
      <c r="O766" s="165" t="str">
        <f t="shared" si="81"/>
        <v>0</v>
      </c>
      <c r="P766" s="234">
        <f t="shared" si="82"/>
        <v>1</v>
      </c>
      <c r="Q766" s="234">
        <f t="shared" si="83"/>
        <v>1</v>
      </c>
      <c r="DE766" s="152"/>
      <c r="DF766" s="160" t="s">
        <v>2446</v>
      </c>
      <c r="DG766" s="160" t="s">
        <v>122</v>
      </c>
      <c r="DH766" s="160" t="s">
        <v>125</v>
      </c>
      <c r="DI766" s="160" t="s">
        <v>2447</v>
      </c>
      <c r="DJ766" s="160" t="s">
        <v>2447</v>
      </c>
      <c r="DK766" s="160" t="s">
        <v>1259</v>
      </c>
      <c r="DL766" s="160" t="s">
        <v>1260</v>
      </c>
      <c r="DM766" s="160" t="s">
        <v>1812</v>
      </c>
      <c r="DN766" s="161" t="s">
        <v>1813</v>
      </c>
      <c r="DP766" s="130">
        <v>1</v>
      </c>
    </row>
    <row r="767" spans="2:120" ht="15">
      <c r="B767" s="231"/>
      <c r="C767" s="231"/>
      <c r="D767" s="231"/>
      <c r="E767" s="231" cm="1">
        <f t="array" ref="E767">IF(H766&lt;&gt;"",E766,IF(E766="","",IFERROR(MATCH(TRUE(),INDEX(INDEX(K:K,E766+1):K203&lt;&gt;"",0),0)+E766,"")))</f>
        <v>859</v>
      </c>
      <c r="F767" s="232" cm="1">
        <f t="array" ref="F767">IF(E767="","",IF(H766&lt;&gt;"",H766,INDEX(D:D,E767)))</f>
        <v>0</v>
      </c>
      <c r="G767" s="232" t="str">
        <f t="shared" si="78"/>
        <v>0</v>
      </c>
      <c r="H767" s="233" t="str">
        <f t="shared" si="79"/>
        <v/>
      </c>
      <c r="I767" s="231" t="str">
        <f>IF(AND(F767&lt;&gt;"",N10&gt;0,M767&gt;N10),"Mot &gt; limite","")</f>
        <v/>
      </c>
      <c r="M767" s="126">
        <f>IF(OR(F767="",N10="",N10&lt;=0),"",IF(LEN(F767)&lt;=N10,LEN(F767),IFERROR(FIND("♦",SUBSTITUTE(LEFT(F767,N10)," ","♦",LEN(LEFT(F767,N10))-LEN(SUBSTITUTE(LEFT(F767,N10)," ","")))),FIND(" ",F767&amp;" ",N10+1)-1)))</f>
        <v>1</v>
      </c>
      <c r="N767" s="234">
        <f t="shared" si="80"/>
        <v>750</v>
      </c>
      <c r="O767" s="165" t="str">
        <f t="shared" si="81"/>
        <v>0</v>
      </c>
      <c r="P767" s="234">
        <f t="shared" si="82"/>
        <v>1</v>
      </c>
      <c r="Q767" s="234">
        <f t="shared" si="83"/>
        <v>1</v>
      </c>
      <c r="DE767" s="152"/>
      <c r="DF767" s="160" t="s">
        <v>2448</v>
      </c>
      <c r="DG767" s="160" t="s">
        <v>122</v>
      </c>
      <c r="DH767" s="160" t="s">
        <v>125</v>
      </c>
      <c r="DI767" s="160" t="s">
        <v>2449</v>
      </c>
      <c r="DJ767" s="160" t="s">
        <v>2449</v>
      </c>
      <c r="DK767" s="160" t="s">
        <v>1259</v>
      </c>
      <c r="DL767" s="160" t="s">
        <v>1260</v>
      </c>
      <c r="DM767" s="160" t="s">
        <v>1812</v>
      </c>
      <c r="DN767" s="161" t="s">
        <v>1813</v>
      </c>
      <c r="DP767" s="130">
        <v>1</v>
      </c>
    </row>
    <row r="768" spans="2:120" ht="15">
      <c r="B768" s="231"/>
      <c r="C768" s="231"/>
      <c r="D768" s="231"/>
      <c r="E768" s="231" cm="1">
        <f t="array" ref="E768">IF(H767&lt;&gt;"",E767,IF(E767="","",IFERROR(MATCH(TRUE(),INDEX(INDEX(K:K,E767+1):K203&lt;&gt;"",0),0)+E767,"")))</f>
        <v>860</v>
      </c>
      <c r="F768" s="232" cm="1">
        <f t="array" ref="F768">IF(E768="","",IF(H767&lt;&gt;"",H767,INDEX(D:D,E768)))</f>
        <v>0</v>
      </c>
      <c r="G768" s="232" t="str">
        <f t="shared" si="78"/>
        <v>0</v>
      </c>
      <c r="H768" s="233" t="str">
        <f t="shared" si="79"/>
        <v/>
      </c>
      <c r="I768" s="231" t="str">
        <f>IF(AND(F768&lt;&gt;"",N10&gt;0,M768&gt;N10),"Mot &gt; limite","")</f>
        <v/>
      </c>
      <c r="M768" s="126">
        <f>IF(OR(F768="",N10="",N10&lt;=0),"",IF(LEN(F768)&lt;=N10,LEN(F768),IFERROR(FIND("♦",SUBSTITUTE(LEFT(F768,N10)," ","♦",LEN(LEFT(F768,N10))-LEN(SUBSTITUTE(LEFT(F768,N10)," ","")))),FIND(" ",F768&amp;" ",N10+1)-1)))</f>
        <v>1</v>
      </c>
      <c r="N768" s="234">
        <f t="shared" si="80"/>
        <v>751</v>
      </c>
      <c r="O768" s="165" t="str">
        <f t="shared" si="81"/>
        <v>0</v>
      </c>
      <c r="P768" s="234">
        <f t="shared" si="82"/>
        <v>1</v>
      </c>
      <c r="Q768" s="234">
        <f t="shared" si="83"/>
        <v>1</v>
      </c>
      <c r="DE768" s="152"/>
      <c r="DF768" s="160" t="s">
        <v>2450</v>
      </c>
      <c r="DG768" s="160" t="s">
        <v>122</v>
      </c>
      <c r="DH768" s="160" t="s">
        <v>125</v>
      </c>
      <c r="DI768" s="160" t="s">
        <v>2451</v>
      </c>
      <c r="DJ768" s="160" t="s">
        <v>2451</v>
      </c>
      <c r="DK768" s="160" t="s">
        <v>1259</v>
      </c>
      <c r="DL768" s="160" t="s">
        <v>1260</v>
      </c>
      <c r="DM768" s="160" t="s">
        <v>1812</v>
      </c>
      <c r="DN768" s="161" t="s">
        <v>1813</v>
      </c>
      <c r="DP768" s="130">
        <v>1</v>
      </c>
    </row>
    <row r="769" spans="2:120" ht="15">
      <c r="B769" s="231"/>
      <c r="C769" s="231"/>
      <c r="D769" s="231"/>
      <c r="E769" s="231" cm="1">
        <f t="array" ref="E769">IF(H768&lt;&gt;"",E768,IF(E768="","",IFERROR(MATCH(TRUE(),INDEX(INDEX(K:K,E768+1):K203&lt;&gt;"",0),0)+E768,"")))</f>
        <v>861</v>
      </c>
      <c r="F769" s="232" cm="1">
        <f t="array" ref="F769">IF(E769="","",IF(H768&lt;&gt;"",H768,INDEX(D:D,E769)))</f>
        <v>0</v>
      </c>
      <c r="G769" s="232" t="str">
        <f t="shared" si="78"/>
        <v>0</v>
      </c>
      <c r="H769" s="233" t="str">
        <f t="shared" si="79"/>
        <v/>
      </c>
      <c r="I769" s="231" t="str">
        <f>IF(AND(F769&lt;&gt;"",N10&gt;0,M769&gt;N10),"Mot &gt; limite","")</f>
        <v/>
      </c>
      <c r="M769" s="126">
        <f>IF(OR(F769="",N10="",N10&lt;=0),"",IF(LEN(F769)&lt;=N10,LEN(F769),IFERROR(FIND("♦",SUBSTITUTE(LEFT(F769,N10)," ","♦",LEN(LEFT(F769,N10))-LEN(SUBSTITUTE(LEFT(F769,N10)," ","")))),FIND(" ",F769&amp;" ",N10+1)-1)))</f>
        <v>1</v>
      </c>
      <c r="N769" s="234">
        <f t="shared" si="80"/>
        <v>752</v>
      </c>
      <c r="O769" s="165" t="str">
        <f t="shared" si="81"/>
        <v>0</v>
      </c>
      <c r="P769" s="234">
        <f t="shared" si="82"/>
        <v>1</v>
      </c>
      <c r="Q769" s="234">
        <f t="shared" si="83"/>
        <v>1</v>
      </c>
      <c r="DE769" s="152"/>
      <c r="DF769" s="160" t="s">
        <v>2452</v>
      </c>
      <c r="DG769" s="160" t="s">
        <v>122</v>
      </c>
      <c r="DH769" s="160" t="s">
        <v>125</v>
      </c>
      <c r="DI769" s="160" t="s">
        <v>2453</v>
      </c>
      <c r="DJ769" s="160" t="s">
        <v>2453</v>
      </c>
      <c r="DK769" s="160" t="s">
        <v>1259</v>
      </c>
      <c r="DL769" s="160" t="s">
        <v>1260</v>
      </c>
      <c r="DM769" s="160" t="s">
        <v>1812</v>
      </c>
      <c r="DN769" s="161" t="s">
        <v>1813</v>
      </c>
      <c r="DP769" s="130">
        <v>1</v>
      </c>
    </row>
    <row r="770" spans="2:120" ht="15">
      <c r="B770" s="231"/>
      <c r="C770" s="231"/>
      <c r="D770" s="231"/>
      <c r="E770" s="231" cm="1">
        <f t="array" ref="E770">IF(H769&lt;&gt;"",E769,IF(E769="","",IFERROR(MATCH(TRUE(),INDEX(INDEX(K:K,E769+1):K203&lt;&gt;"",0),0)+E769,"")))</f>
        <v>862</v>
      </c>
      <c r="F770" s="232" cm="1">
        <f t="array" ref="F770">IF(E770="","",IF(H769&lt;&gt;"",H769,INDEX(D:D,E770)))</f>
        <v>0</v>
      </c>
      <c r="G770" s="232" t="str">
        <f t="shared" si="78"/>
        <v>0</v>
      </c>
      <c r="H770" s="233" t="str">
        <f t="shared" si="79"/>
        <v/>
      </c>
      <c r="I770" s="231" t="str">
        <f>IF(AND(F770&lt;&gt;"",N10&gt;0,M770&gt;N10),"Mot &gt; limite","")</f>
        <v/>
      </c>
      <c r="M770" s="126">
        <f>IF(OR(F770="",N10="",N10&lt;=0),"",IF(LEN(F770)&lt;=N10,LEN(F770),IFERROR(FIND("♦",SUBSTITUTE(LEFT(F770,N10)," ","♦",LEN(LEFT(F770,N10))-LEN(SUBSTITUTE(LEFT(F770,N10)," ","")))),FIND(" ",F770&amp;" ",N10+1)-1)))</f>
        <v>1</v>
      </c>
      <c r="N770" s="234">
        <f t="shared" si="80"/>
        <v>753</v>
      </c>
      <c r="O770" s="165" t="str">
        <f t="shared" si="81"/>
        <v>0</v>
      </c>
      <c r="P770" s="234">
        <f t="shared" si="82"/>
        <v>1</v>
      </c>
      <c r="Q770" s="234">
        <f t="shared" si="83"/>
        <v>1</v>
      </c>
      <c r="DE770" s="152"/>
      <c r="DF770" s="160" t="s">
        <v>2454</v>
      </c>
      <c r="DG770" s="160" t="s">
        <v>122</v>
      </c>
      <c r="DH770" s="160" t="s">
        <v>125</v>
      </c>
      <c r="DI770" s="160" t="s">
        <v>2455</v>
      </c>
      <c r="DJ770" s="160" t="s">
        <v>2455</v>
      </c>
      <c r="DK770" s="160" t="s">
        <v>1259</v>
      </c>
      <c r="DL770" s="160" t="s">
        <v>1260</v>
      </c>
      <c r="DM770" s="160" t="s">
        <v>1812</v>
      </c>
      <c r="DN770" s="161" t="s">
        <v>1813</v>
      </c>
      <c r="DP770" s="130">
        <v>1</v>
      </c>
    </row>
    <row r="771" spans="2:120" ht="15">
      <c r="B771" s="231"/>
      <c r="C771" s="231"/>
      <c r="D771" s="231"/>
      <c r="E771" s="231" cm="1">
        <f t="array" ref="E771">IF(H770&lt;&gt;"",E770,IF(E770="","",IFERROR(MATCH(TRUE(),INDEX(INDEX(K:K,E770+1):K203&lt;&gt;"",0),0)+E770,"")))</f>
        <v>863</v>
      </c>
      <c r="F771" s="232" cm="1">
        <f t="array" ref="F771">IF(E771="","",IF(H770&lt;&gt;"",H770,INDEX(D:D,E771)))</f>
        <v>0</v>
      </c>
      <c r="G771" s="232" t="str">
        <f t="shared" si="78"/>
        <v>0</v>
      </c>
      <c r="H771" s="233" t="str">
        <f t="shared" si="79"/>
        <v/>
      </c>
      <c r="I771" s="231" t="str">
        <f>IF(AND(F771&lt;&gt;"",N10&gt;0,M771&gt;N10),"Mot &gt; limite","")</f>
        <v/>
      </c>
      <c r="M771" s="126">
        <f>IF(OR(F771="",N10="",N10&lt;=0),"",IF(LEN(F771)&lt;=N10,LEN(F771),IFERROR(FIND("♦",SUBSTITUTE(LEFT(F771,N10)," ","♦",LEN(LEFT(F771,N10))-LEN(SUBSTITUTE(LEFT(F771,N10)," ","")))),FIND(" ",F771&amp;" ",N10+1)-1)))</f>
        <v>1</v>
      </c>
      <c r="N771" s="234">
        <f t="shared" si="80"/>
        <v>754</v>
      </c>
      <c r="O771" s="165" t="str">
        <f t="shared" si="81"/>
        <v>0</v>
      </c>
      <c r="P771" s="234">
        <f t="shared" si="82"/>
        <v>1</v>
      </c>
      <c r="Q771" s="234">
        <f t="shared" si="83"/>
        <v>1</v>
      </c>
      <c r="DE771" s="152"/>
      <c r="DF771" s="160" t="s">
        <v>2456</v>
      </c>
      <c r="DG771" s="160" t="s">
        <v>122</v>
      </c>
      <c r="DH771" s="160" t="s">
        <v>125</v>
      </c>
      <c r="DI771" s="160" t="s">
        <v>2457</v>
      </c>
      <c r="DJ771" s="160" t="s">
        <v>2457</v>
      </c>
      <c r="DK771" s="160" t="s">
        <v>1259</v>
      </c>
      <c r="DL771" s="160" t="s">
        <v>1260</v>
      </c>
      <c r="DM771" s="160" t="s">
        <v>1812</v>
      </c>
      <c r="DN771" s="161" t="s">
        <v>1813</v>
      </c>
      <c r="DP771" s="130">
        <v>1</v>
      </c>
    </row>
    <row r="772" spans="2:120" ht="15">
      <c r="B772" s="231"/>
      <c r="C772" s="231"/>
      <c r="D772" s="231"/>
      <c r="E772" s="231" cm="1">
        <f t="array" ref="E772">IF(H771&lt;&gt;"",E771,IF(E771="","",IFERROR(MATCH(TRUE(),INDEX(INDEX(K:K,E771+1):K203&lt;&gt;"",0),0)+E771,"")))</f>
        <v>864</v>
      </c>
      <c r="F772" s="232" cm="1">
        <f t="array" ref="F772">IF(E772="","",IF(H771&lt;&gt;"",H771,INDEX(D:D,E772)))</f>
        <v>0</v>
      </c>
      <c r="G772" s="232" t="str">
        <f t="shared" si="78"/>
        <v>0</v>
      </c>
      <c r="H772" s="233" t="str">
        <f t="shared" si="79"/>
        <v/>
      </c>
      <c r="I772" s="231" t="str">
        <f>IF(AND(F772&lt;&gt;"",N10&gt;0,M772&gt;N10),"Mot &gt; limite","")</f>
        <v/>
      </c>
      <c r="M772" s="126">
        <f>IF(OR(F772="",N10="",N10&lt;=0),"",IF(LEN(F772)&lt;=N10,LEN(F772),IFERROR(FIND("♦",SUBSTITUTE(LEFT(F772,N10)," ","♦",LEN(LEFT(F772,N10))-LEN(SUBSTITUTE(LEFT(F772,N10)," ","")))),FIND(" ",F772&amp;" ",N10+1)-1)))</f>
        <v>1</v>
      </c>
      <c r="N772" s="234">
        <f t="shared" si="80"/>
        <v>755</v>
      </c>
      <c r="O772" s="165" t="str">
        <f t="shared" si="81"/>
        <v>0</v>
      </c>
      <c r="P772" s="234">
        <f t="shared" si="82"/>
        <v>1</v>
      </c>
      <c r="Q772" s="234">
        <f t="shared" si="83"/>
        <v>1</v>
      </c>
      <c r="DE772" s="152"/>
      <c r="DF772" s="160" t="s">
        <v>2458</v>
      </c>
      <c r="DG772" s="160" t="s">
        <v>122</v>
      </c>
      <c r="DH772" s="160" t="s">
        <v>125</v>
      </c>
      <c r="DI772" s="160" t="s">
        <v>2459</v>
      </c>
      <c r="DJ772" s="160" t="s">
        <v>2459</v>
      </c>
      <c r="DK772" s="160" t="s">
        <v>1259</v>
      </c>
      <c r="DL772" s="160" t="s">
        <v>1260</v>
      </c>
      <c r="DM772" s="160" t="s">
        <v>1812</v>
      </c>
      <c r="DN772" s="161" t="s">
        <v>1813</v>
      </c>
      <c r="DP772" s="130">
        <v>1</v>
      </c>
    </row>
    <row r="773" spans="2:120" ht="15">
      <c r="B773" s="231"/>
      <c r="C773" s="231"/>
      <c r="D773" s="231"/>
      <c r="E773" s="231" cm="1">
        <f t="array" ref="E773">IF(H772&lt;&gt;"",E772,IF(E772="","",IFERROR(MATCH(TRUE(),INDEX(INDEX(K:K,E772+1):K203&lt;&gt;"",0),0)+E772,"")))</f>
        <v>865</v>
      </c>
      <c r="F773" s="232" cm="1">
        <f t="array" ref="F773">IF(E773="","",IF(H772&lt;&gt;"",H772,INDEX(D:D,E773)))</f>
        <v>0</v>
      </c>
      <c r="G773" s="232" t="str">
        <f t="shared" si="78"/>
        <v>0</v>
      </c>
      <c r="H773" s="233" t="str">
        <f t="shared" si="79"/>
        <v/>
      </c>
      <c r="I773" s="231" t="str">
        <f>IF(AND(F773&lt;&gt;"",N10&gt;0,M773&gt;N10),"Mot &gt; limite","")</f>
        <v/>
      </c>
      <c r="M773" s="126">
        <f>IF(OR(F773="",N10="",N10&lt;=0),"",IF(LEN(F773)&lt;=N10,LEN(F773),IFERROR(FIND("♦",SUBSTITUTE(LEFT(F773,N10)," ","♦",LEN(LEFT(F773,N10))-LEN(SUBSTITUTE(LEFT(F773,N10)," ","")))),FIND(" ",F773&amp;" ",N10+1)-1)))</f>
        <v>1</v>
      </c>
      <c r="N773" s="234">
        <f t="shared" si="80"/>
        <v>756</v>
      </c>
      <c r="O773" s="165" t="str">
        <f t="shared" si="81"/>
        <v>0</v>
      </c>
      <c r="P773" s="234">
        <f t="shared" si="82"/>
        <v>1</v>
      </c>
      <c r="Q773" s="234">
        <f t="shared" si="83"/>
        <v>1</v>
      </c>
      <c r="DE773" s="152"/>
      <c r="DF773" s="160" t="s">
        <v>2460</v>
      </c>
      <c r="DG773" s="160" t="s">
        <v>122</v>
      </c>
      <c r="DH773" s="160" t="s">
        <v>125</v>
      </c>
      <c r="DI773" s="160" t="s">
        <v>2461</v>
      </c>
      <c r="DJ773" s="160" t="s">
        <v>2461</v>
      </c>
      <c r="DK773" s="160" t="s">
        <v>1259</v>
      </c>
      <c r="DL773" s="160" t="s">
        <v>1260</v>
      </c>
      <c r="DM773" s="160" t="s">
        <v>1812</v>
      </c>
      <c r="DN773" s="161" t="s">
        <v>1813</v>
      </c>
      <c r="DP773" s="130">
        <v>1</v>
      </c>
    </row>
    <row r="774" spans="2:120" ht="15">
      <c r="B774" s="231"/>
      <c r="C774" s="231"/>
      <c r="D774" s="231"/>
      <c r="E774" s="231" cm="1">
        <f t="array" ref="E774">IF(H773&lt;&gt;"",E773,IF(E773="","",IFERROR(MATCH(TRUE(),INDEX(INDEX(K:K,E773+1):K203&lt;&gt;"",0),0)+E773,"")))</f>
        <v>866</v>
      </c>
      <c r="F774" s="232" cm="1">
        <f t="array" ref="F774">IF(E774="","",IF(H773&lt;&gt;"",H773,INDEX(D:D,E774)))</f>
        <v>0</v>
      </c>
      <c r="G774" s="232" t="str">
        <f t="shared" si="78"/>
        <v>0</v>
      </c>
      <c r="H774" s="233" t="str">
        <f t="shared" si="79"/>
        <v/>
      </c>
      <c r="I774" s="231" t="str">
        <f>IF(AND(F774&lt;&gt;"",N10&gt;0,M774&gt;N10),"Mot &gt; limite","")</f>
        <v/>
      </c>
      <c r="M774" s="126">
        <f>IF(OR(F774="",N10="",N10&lt;=0),"",IF(LEN(F774)&lt;=N10,LEN(F774),IFERROR(FIND("♦",SUBSTITUTE(LEFT(F774,N10)," ","♦",LEN(LEFT(F774,N10))-LEN(SUBSTITUTE(LEFT(F774,N10)," ","")))),FIND(" ",F774&amp;" ",N10+1)-1)))</f>
        <v>1</v>
      </c>
      <c r="N774" s="234">
        <f t="shared" si="80"/>
        <v>757</v>
      </c>
      <c r="O774" s="165" t="str">
        <f t="shared" si="81"/>
        <v>0</v>
      </c>
      <c r="P774" s="234">
        <f t="shared" si="82"/>
        <v>1</v>
      </c>
      <c r="Q774" s="234">
        <f t="shared" si="83"/>
        <v>1</v>
      </c>
      <c r="DE774" s="152"/>
      <c r="DF774" s="160" t="s">
        <v>2462</v>
      </c>
      <c r="DG774" s="160" t="s">
        <v>122</v>
      </c>
      <c r="DH774" s="160" t="s">
        <v>125</v>
      </c>
      <c r="DI774" s="160" t="s">
        <v>519</v>
      </c>
      <c r="DJ774" s="160" t="s">
        <v>519</v>
      </c>
      <c r="DK774" s="160" t="s">
        <v>588</v>
      </c>
      <c r="DL774" s="160" t="s">
        <v>1895</v>
      </c>
      <c r="DM774" s="160" t="s">
        <v>590</v>
      </c>
      <c r="DN774" s="161" t="s">
        <v>591</v>
      </c>
      <c r="DP774" s="130">
        <v>1</v>
      </c>
    </row>
    <row r="775" spans="2:120" ht="15">
      <c r="B775" s="231"/>
      <c r="C775" s="231"/>
      <c r="D775" s="231"/>
      <c r="E775" s="231" cm="1">
        <f t="array" ref="E775">IF(H774&lt;&gt;"",E774,IF(E774="","",IFERROR(MATCH(TRUE(),INDEX(INDEX(K:K,E774+1):K203&lt;&gt;"",0),0)+E774,"")))</f>
        <v>867</v>
      </c>
      <c r="F775" s="232" cm="1">
        <f t="array" ref="F775">IF(E775="","",IF(H774&lt;&gt;"",H774,INDEX(D:D,E775)))</f>
        <v>0</v>
      </c>
      <c r="G775" s="232" t="str">
        <f t="shared" si="78"/>
        <v>0</v>
      </c>
      <c r="H775" s="233" t="str">
        <f t="shared" si="79"/>
        <v/>
      </c>
      <c r="I775" s="231" t="str">
        <f>IF(AND(F775&lt;&gt;"",N10&gt;0,M775&gt;N10),"Mot &gt; limite","")</f>
        <v/>
      </c>
      <c r="M775" s="126">
        <f>IF(OR(F775="",N10="",N10&lt;=0),"",IF(LEN(F775)&lt;=N10,LEN(F775),IFERROR(FIND("♦",SUBSTITUTE(LEFT(F775,N10)," ","♦",LEN(LEFT(F775,N10))-LEN(SUBSTITUTE(LEFT(F775,N10)," ","")))),FIND(" ",F775&amp;" ",N10+1)-1)))</f>
        <v>1</v>
      </c>
      <c r="N775" s="234">
        <f t="shared" si="80"/>
        <v>758</v>
      </c>
      <c r="O775" s="165" t="str">
        <f t="shared" si="81"/>
        <v>0</v>
      </c>
      <c r="P775" s="234">
        <f t="shared" si="82"/>
        <v>1</v>
      </c>
      <c r="Q775" s="234">
        <f t="shared" si="83"/>
        <v>1</v>
      </c>
      <c r="DE775" s="152"/>
      <c r="DF775" s="160" t="s">
        <v>2463</v>
      </c>
      <c r="DG775" s="160" t="s">
        <v>122</v>
      </c>
      <c r="DH775" s="160" t="s">
        <v>125</v>
      </c>
      <c r="DI775" s="160" t="s">
        <v>2464</v>
      </c>
      <c r="DJ775" s="160" t="s">
        <v>289</v>
      </c>
      <c r="DK775" s="160" t="s">
        <v>588</v>
      </c>
      <c r="DL775" s="160" t="s">
        <v>1895</v>
      </c>
      <c r="DM775" s="160" t="s">
        <v>590</v>
      </c>
      <c r="DN775" s="161" t="s">
        <v>591</v>
      </c>
      <c r="DP775" s="130">
        <v>1</v>
      </c>
    </row>
    <row r="776" spans="2:120" ht="15">
      <c r="B776" s="231"/>
      <c r="C776" s="231"/>
      <c r="D776" s="231"/>
      <c r="E776" s="231" cm="1">
        <f t="array" ref="E776">IF(H775&lt;&gt;"",E775,IF(E775="","",IFERROR(MATCH(TRUE(),INDEX(INDEX(K:K,E775+1):K203&lt;&gt;"",0),0)+E775,"")))</f>
        <v>868</v>
      </c>
      <c r="F776" s="232" cm="1">
        <f t="array" ref="F776">IF(E776="","",IF(H775&lt;&gt;"",H775,INDEX(D:D,E776)))</f>
        <v>0</v>
      </c>
      <c r="G776" s="232" t="str">
        <f t="shared" si="78"/>
        <v>0</v>
      </c>
      <c r="H776" s="233" t="str">
        <f t="shared" si="79"/>
        <v/>
      </c>
      <c r="I776" s="231" t="str">
        <f>IF(AND(F776&lt;&gt;"",N10&gt;0,M776&gt;N10),"Mot &gt; limite","")</f>
        <v/>
      </c>
      <c r="M776" s="126">
        <f>IF(OR(F776="",N10="",N10&lt;=0),"",IF(LEN(F776)&lt;=N10,LEN(F776),IFERROR(FIND("♦",SUBSTITUTE(LEFT(F776,N10)," ","♦",LEN(LEFT(F776,N10))-LEN(SUBSTITUTE(LEFT(F776,N10)," ","")))),FIND(" ",F776&amp;" ",N10+1)-1)))</f>
        <v>1</v>
      </c>
      <c r="N776" s="234">
        <f t="shared" si="80"/>
        <v>759</v>
      </c>
      <c r="O776" s="165" t="str">
        <f t="shared" si="81"/>
        <v>0</v>
      </c>
      <c r="P776" s="234">
        <f t="shared" si="82"/>
        <v>1</v>
      </c>
      <c r="Q776" s="234">
        <f t="shared" si="83"/>
        <v>1</v>
      </c>
      <c r="DE776" s="152"/>
      <c r="DF776" s="160" t="s">
        <v>2465</v>
      </c>
      <c r="DG776" s="160" t="s">
        <v>122</v>
      </c>
      <c r="DH776" s="160" t="s">
        <v>125</v>
      </c>
      <c r="DI776" s="160" t="s">
        <v>2466</v>
      </c>
      <c r="DJ776" s="160" t="s">
        <v>2467</v>
      </c>
      <c r="DK776" s="160" t="s">
        <v>588</v>
      </c>
      <c r="DL776" s="160" t="s">
        <v>1895</v>
      </c>
      <c r="DM776" s="160" t="s">
        <v>590</v>
      </c>
      <c r="DN776" s="161" t="s">
        <v>591</v>
      </c>
      <c r="DP776" s="130">
        <v>1</v>
      </c>
    </row>
    <row r="777" spans="2:120" ht="15">
      <c r="B777" s="231"/>
      <c r="C777" s="231"/>
      <c r="D777" s="231"/>
      <c r="E777" s="231" cm="1">
        <f t="array" ref="E777">IF(H776&lt;&gt;"",E776,IF(E776="","",IFERROR(MATCH(TRUE(),INDEX(INDEX(K:K,E776+1):K203&lt;&gt;"",0),0)+E776,"")))</f>
        <v>869</v>
      </c>
      <c r="F777" s="232" cm="1">
        <f t="array" ref="F777">IF(E777="","",IF(H776&lt;&gt;"",H776,INDEX(D:D,E777)))</f>
        <v>0</v>
      </c>
      <c r="G777" s="232" t="str">
        <f t="shared" si="78"/>
        <v>0</v>
      </c>
      <c r="H777" s="233" t="str">
        <f t="shared" si="79"/>
        <v/>
      </c>
      <c r="I777" s="231" t="str">
        <f>IF(AND(F777&lt;&gt;"",N10&gt;0,M777&gt;N10),"Mot &gt; limite","")</f>
        <v/>
      </c>
      <c r="M777" s="126">
        <f>IF(OR(F777="",N10="",N10&lt;=0),"",IF(LEN(F777)&lt;=N10,LEN(F777),IFERROR(FIND("♦",SUBSTITUTE(LEFT(F777,N10)," ","♦",LEN(LEFT(F777,N10))-LEN(SUBSTITUTE(LEFT(F777,N10)," ","")))),FIND(" ",F777&amp;" ",N10+1)-1)))</f>
        <v>1</v>
      </c>
      <c r="N777" s="234">
        <f t="shared" si="80"/>
        <v>760</v>
      </c>
      <c r="O777" s="165" t="str">
        <f t="shared" si="81"/>
        <v>0</v>
      </c>
      <c r="P777" s="234">
        <f t="shared" si="82"/>
        <v>1</v>
      </c>
      <c r="Q777" s="234">
        <f t="shared" si="83"/>
        <v>1</v>
      </c>
      <c r="DE777" s="152"/>
      <c r="DF777" s="160" t="s">
        <v>2468</v>
      </c>
      <c r="DG777" s="160" t="s">
        <v>122</v>
      </c>
      <c r="DH777" s="160" t="s">
        <v>125</v>
      </c>
      <c r="DI777" s="160" t="s">
        <v>2469</v>
      </c>
      <c r="DJ777" s="160" t="s">
        <v>2469</v>
      </c>
      <c r="DK777" s="160" t="s">
        <v>1259</v>
      </c>
      <c r="DL777" s="160" t="s">
        <v>1260</v>
      </c>
      <c r="DM777" s="160" t="s">
        <v>1812</v>
      </c>
      <c r="DN777" s="161" t="s">
        <v>1813</v>
      </c>
      <c r="DP777" s="130">
        <v>1</v>
      </c>
    </row>
    <row r="778" spans="2:120" ht="15">
      <c r="B778" s="231"/>
      <c r="C778" s="231"/>
      <c r="D778" s="231"/>
      <c r="E778" s="231" cm="1">
        <f t="array" ref="E778">IF(H777&lt;&gt;"",E777,IF(E777="","",IFERROR(MATCH(TRUE(),INDEX(INDEX(K:K,E777+1):K203&lt;&gt;"",0),0)+E777,"")))</f>
        <v>870</v>
      </c>
      <c r="F778" s="232" cm="1">
        <f t="array" ref="F778">IF(E778="","",IF(H777&lt;&gt;"",H777,INDEX(D:D,E778)))</f>
        <v>0</v>
      </c>
      <c r="G778" s="232" t="str">
        <f t="shared" si="78"/>
        <v>0</v>
      </c>
      <c r="H778" s="233" t="str">
        <f t="shared" si="79"/>
        <v/>
      </c>
      <c r="I778" s="231" t="str">
        <f>IF(AND(F778&lt;&gt;"",N10&gt;0,M778&gt;N10),"Mot &gt; limite","")</f>
        <v/>
      </c>
      <c r="M778" s="126">
        <f>IF(OR(F778="",N10="",N10&lt;=0),"",IF(LEN(F778)&lt;=N10,LEN(F778),IFERROR(FIND("♦",SUBSTITUTE(LEFT(F778,N10)," ","♦",LEN(LEFT(F778,N10))-LEN(SUBSTITUTE(LEFT(F778,N10)," ","")))),FIND(" ",F778&amp;" ",N10+1)-1)))</f>
        <v>1</v>
      </c>
      <c r="N778" s="234">
        <f t="shared" si="80"/>
        <v>761</v>
      </c>
      <c r="O778" s="165" t="str">
        <f t="shared" si="81"/>
        <v>0</v>
      </c>
      <c r="P778" s="234">
        <f t="shared" si="82"/>
        <v>1</v>
      </c>
      <c r="Q778" s="234">
        <f t="shared" si="83"/>
        <v>1</v>
      </c>
      <c r="DE778" s="152"/>
      <c r="DF778" s="160" t="s">
        <v>2470</v>
      </c>
      <c r="DG778" s="160" t="s">
        <v>122</v>
      </c>
      <c r="DH778" s="160" t="s">
        <v>125</v>
      </c>
      <c r="DI778" s="160" t="s">
        <v>2471</v>
      </c>
      <c r="DJ778" s="160" t="s">
        <v>2471</v>
      </c>
      <c r="DK778" s="160" t="s">
        <v>1259</v>
      </c>
      <c r="DL778" s="160" t="s">
        <v>1260</v>
      </c>
      <c r="DM778" s="160" t="s">
        <v>1812</v>
      </c>
      <c r="DN778" s="161" t="s">
        <v>1813</v>
      </c>
      <c r="DP778" s="130">
        <v>1</v>
      </c>
    </row>
    <row r="779" spans="2:120" ht="15">
      <c r="B779" s="231"/>
      <c r="C779" s="231"/>
      <c r="D779" s="231"/>
      <c r="E779" s="231" cm="1">
        <f t="array" ref="E779">IF(H778&lt;&gt;"",E778,IF(E778="","",IFERROR(MATCH(TRUE(),INDEX(INDEX(K:K,E778+1):K203&lt;&gt;"",0),0)+E778,"")))</f>
        <v>871</v>
      </c>
      <c r="F779" s="232" cm="1">
        <f t="array" ref="F779">IF(E779="","",IF(H778&lt;&gt;"",H778,INDEX(D:D,E779)))</f>
        <v>0</v>
      </c>
      <c r="G779" s="232" t="str">
        <f t="shared" si="78"/>
        <v>0</v>
      </c>
      <c r="H779" s="233" t="str">
        <f t="shared" si="79"/>
        <v/>
      </c>
      <c r="I779" s="231" t="str">
        <f>IF(AND(F779&lt;&gt;"",N10&gt;0,M779&gt;N10),"Mot &gt; limite","")</f>
        <v/>
      </c>
      <c r="M779" s="126">
        <f>IF(OR(F779="",N10="",N10&lt;=0),"",IF(LEN(F779)&lt;=N10,LEN(F779),IFERROR(FIND("♦",SUBSTITUTE(LEFT(F779,N10)," ","♦",LEN(LEFT(F779,N10))-LEN(SUBSTITUTE(LEFT(F779,N10)," ","")))),FIND(" ",F779&amp;" ",N10+1)-1)))</f>
        <v>1</v>
      </c>
      <c r="N779" s="234">
        <f t="shared" si="80"/>
        <v>762</v>
      </c>
      <c r="O779" s="165" t="str">
        <f t="shared" si="81"/>
        <v>0</v>
      </c>
      <c r="P779" s="234">
        <f t="shared" si="82"/>
        <v>1</v>
      </c>
      <c r="Q779" s="234">
        <f t="shared" si="83"/>
        <v>1</v>
      </c>
      <c r="DE779" s="152"/>
      <c r="DF779" s="160" t="s">
        <v>2472</v>
      </c>
      <c r="DG779" s="160" t="s">
        <v>122</v>
      </c>
      <c r="DH779" s="160" t="s">
        <v>125</v>
      </c>
      <c r="DI779" s="160" t="s">
        <v>2473</v>
      </c>
      <c r="DJ779" s="160" t="s">
        <v>2473</v>
      </c>
      <c r="DK779" s="160" t="s">
        <v>1259</v>
      </c>
      <c r="DL779" s="160" t="s">
        <v>1260</v>
      </c>
      <c r="DM779" s="160" t="s">
        <v>1812</v>
      </c>
      <c r="DN779" s="161" t="s">
        <v>1813</v>
      </c>
      <c r="DP779" s="130">
        <v>1</v>
      </c>
    </row>
    <row r="780" spans="2:120" ht="15">
      <c r="B780" s="231"/>
      <c r="C780" s="231"/>
      <c r="D780" s="231"/>
      <c r="E780" s="231" cm="1">
        <f t="array" ref="E780">IF(H779&lt;&gt;"",E779,IF(E779="","",IFERROR(MATCH(TRUE(),INDEX(INDEX(K:K,E779+1):K203&lt;&gt;"",0),0)+E779,"")))</f>
        <v>872</v>
      </c>
      <c r="F780" s="232" cm="1">
        <f t="array" ref="F780">IF(E780="","",IF(H779&lt;&gt;"",H779,INDEX(D:D,E780)))</f>
        <v>0</v>
      </c>
      <c r="G780" s="232" t="str">
        <f t="shared" si="78"/>
        <v>0</v>
      </c>
      <c r="H780" s="233" t="str">
        <f t="shared" si="79"/>
        <v/>
      </c>
      <c r="I780" s="231" t="str">
        <f>IF(AND(F780&lt;&gt;"",N10&gt;0,M780&gt;N10),"Mot &gt; limite","")</f>
        <v/>
      </c>
      <c r="M780" s="126">
        <f>IF(OR(F780="",N10="",N10&lt;=0),"",IF(LEN(F780)&lt;=N10,LEN(F780),IFERROR(FIND("♦",SUBSTITUTE(LEFT(F780,N10)," ","♦",LEN(LEFT(F780,N10))-LEN(SUBSTITUTE(LEFT(F780,N10)," ","")))),FIND(" ",F780&amp;" ",N10+1)-1)))</f>
        <v>1</v>
      </c>
      <c r="N780" s="234">
        <f t="shared" si="80"/>
        <v>763</v>
      </c>
      <c r="O780" s="165" t="str">
        <f t="shared" si="81"/>
        <v>0</v>
      </c>
      <c r="P780" s="234">
        <f t="shared" si="82"/>
        <v>1</v>
      </c>
      <c r="Q780" s="234">
        <f t="shared" si="83"/>
        <v>1</v>
      </c>
      <c r="DE780" s="152"/>
      <c r="DF780" s="160" t="s">
        <v>2474</v>
      </c>
      <c r="DG780" s="160" t="s">
        <v>122</v>
      </c>
      <c r="DH780" s="160" t="s">
        <v>125</v>
      </c>
      <c r="DI780" s="160" t="s">
        <v>2475</v>
      </c>
      <c r="DJ780" s="160" t="s">
        <v>2475</v>
      </c>
      <c r="DK780" s="160" t="s">
        <v>1259</v>
      </c>
      <c r="DL780" s="160" t="s">
        <v>1260</v>
      </c>
      <c r="DM780" s="160" t="s">
        <v>1812</v>
      </c>
      <c r="DN780" s="161" t="s">
        <v>1813</v>
      </c>
      <c r="DP780" s="130">
        <v>1</v>
      </c>
    </row>
    <row r="781" spans="2:120" ht="15">
      <c r="B781" s="231"/>
      <c r="C781" s="231"/>
      <c r="D781" s="231"/>
      <c r="E781" s="231" cm="1">
        <f t="array" ref="E781">IF(H780&lt;&gt;"",E780,IF(E780="","",IFERROR(MATCH(TRUE(),INDEX(INDEX(K:K,E780+1):K203&lt;&gt;"",0),0)+E780,"")))</f>
        <v>873</v>
      </c>
      <c r="F781" s="232" cm="1">
        <f t="array" ref="F781">IF(E781="","",IF(H780&lt;&gt;"",H780,INDEX(D:D,E781)))</f>
        <v>0</v>
      </c>
      <c r="G781" s="232" t="str">
        <f t="shared" si="78"/>
        <v>0</v>
      </c>
      <c r="H781" s="233" t="str">
        <f t="shared" si="79"/>
        <v/>
      </c>
      <c r="I781" s="231" t="str">
        <f>IF(AND(F781&lt;&gt;"",N10&gt;0,M781&gt;N10),"Mot &gt; limite","")</f>
        <v/>
      </c>
      <c r="M781" s="126">
        <f>IF(OR(F781="",N10="",N10&lt;=0),"",IF(LEN(F781)&lt;=N10,LEN(F781),IFERROR(FIND("♦",SUBSTITUTE(LEFT(F781,N10)," ","♦",LEN(LEFT(F781,N10))-LEN(SUBSTITUTE(LEFT(F781,N10)," ","")))),FIND(" ",F781&amp;" ",N10+1)-1)))</f>
        <v>1</v>
      </c>
      <c r="N781" s="234">
        <f t="shared" si="80"/>
        <v>764</v>
      </c>
      <c r="O781" s="165" t="str">
        <f t="shared" si="81"/>
        <v>0</v>
      </c>
      <c r="P781" s="234">
        <f t="shared" si="82"/>
        <v>1</v>
      </c>
      <c r="Q781" s="234">
        <f t="shared" si="83"/>
        <v>1</v>
      </c>
      <c r="DE781" s="152"/>
      <c r="DF781" s="160" t="s">
        <v>2476</v>
      </c>
      <c r="DG781" s="160" t="s">
        <v>122</v>
      </c>
      <c r="DH781" s="160" t="s">
        <v>125</v>
      </c>
      <c r="DI781" s="160" t="s">
        <v>2477</v>
      </c>
      <c r="DJ781" s="160" t="s">
        <v>2477</v>
      </c>
      <c r="DK781" s="160" t="s">
        <v>1259</v>
      </c>
      <c r="DL781" s="160" t="s">
        <v>1260</v>
      </c>
      <c r="DM781" s="160" t="s">
        <v>1812</v>
      </c>
      <c r="DN781" s="161" t="s">
        <v>1813</v>
      </c>
      <c r="DP781" s="130">
        <v>1</v>
      </c>
    </row>
    <row r="782" spans="2:120" ht="15">
      <c r="B782" s="231"/>
      <c r="C782" s="231"/>
      <c r="D782" s="231"/>
      <c r="E782" s="231" cm="1">
        <f t="array" ref="E782">IF(H781&lt;&gt;"",E781,IF(E781="","",IFERROR(MATCH(TRUE(),INDEX(INDEX(K:K,E781+1):K203&lt;&gt;"",0),0)+E781,"")))</f>
        <v>874</v>
      </c>
      <c r="F782" s="232" cm="1">
        <f t="array" ref="F782">IF(E782="","",IF(H781&lt;&gt;"",H781,INDEX(D:D,E782)))</f>
        <v>0</v>
      </c>
      <c r="G782" s="232" t="str">
        <f t="shared" si="78"/>
        <v>0</v>
      </c>
      <c r="H782" s="233" t="str">
        <f t="shared" si="79"/>
        <v/>
      </c>
      <c r="I782" s="231" t="str">
        <f>IF(AND(F782&lt;&gt;"",N10&gt;0,M782&gt;N10),"Mot &gt; limite","")</f>
        <v/>
      </c>
      <c r="M782" s="126">
        <f>IF(OR(F782="",N10="",N10&lt;=0),"",IF(LEN(F782)&lt;=N10,LEN(F782),IFERROR(FIND("♦",SUBSTITUTE(LEFT(F782,N10)," ","♦",LEN(LEFT(F782,N10))-LEN(SUBSTITUTE(LEFT(F782,N10)," ","")))),FIND(" ",F782&amp;" ",N10+1)-1)))</f>
        <v>1</v>
      </c>
      <c r="N782" s="234">
        <f t="shared" si="80"/>
        <v>765</v>
      </c>
      <c r="O782" s="165" t="str">
        <f t="shared" si="81"/>
        <v>0</v>
      </c>
      <c r="P782" s="234">
        <f t="shared" si="82"/>
        <v>1</v>
      </c>
      <c r="Q782" s="234">
        <f t="shared" si="83"/>
        <v>1</v>
      </c>
      <c r="DE782" s="152"/>
      <c r="DF782" s="160" t="s">
        <v>2478</v>
      </c>
      <c r="DG782" s="160" t="s">
        <v>122</v>
      </c>
      <c r="DH782" s="160" t="s">
        <v>125</v>
      </c>
      <c r="DI782" s="160" t="s">
        <v>2479</v>
      </c>
      <c r="DJ782" s="160" t="s">
        <v>2479</v>
      </c>
      <c r="DK782" s="160" t="s">
        <v>1259</v>
      </c>
      <c r="DL782" s="160" t="s">
        <v>1260</v>
      </c>
      <c r="DM782" s="160" t="s">
        <v>1812</v>
      </c>
      <c r="DN782" s="161" t="s">
        <v>1813</v>
      </c>
      <c r="DP782" s="130">
        <v>1</v>
      </c>
    </row>
    <row r="783" spans="2:120" ht="15">
      <c r="B783" s="231"/>
      <c r="C783" s="231"/>
      <c r="D783" s="231"/>
      <c r="E783" s="231" cm="1">
        <f t="array" ref="E783">IF(H782&lt;&gt;"",E782,IF(E782="","",IFERROR(MATCH(TRUE(),INDEX(INDEX(K:K,E782+1):K203&lt;&gt;"",0),0)+E782,"")))</f>
        <v>875</v>
      </c>
      <c r="F783" s="232" cm="1">
        <f t="array" ref="F783">IF(E783="","",IF(H782&lt;&gt;"",H782,INDEX(D:D,E783)))</f>
        <v>0</v>
      </c>
      <c r="G783" s="232" t="str">
        <f t="shared" si="78"/>
        <v>0</v>
      </c>
      <c r="H783" s="233" t="str">
        <f t="shared" si="79"/>
        <v/>
      </c>
      <c r="I783" s="231" t="str">
        <f>IF(AND(F783&lt;&gt;"",N10&gt;0,M783&gt;N10),"Mot &gt; limite","")</f>
        <v/>
      </c>
      <c r="M783" s="126">
        <f>IF(OR(F783="",N10="",N10&lt;=0),"",IF(LEN(F783)&lt;=N10,LEN(F783),IFERROR(FIND("♦",SUBSTITUTE(LEFT(F783,N10)," ","♦",LEN(LEFT(F783,N10))-LEN(SUBSTITUTE(LEFT(F783,N10)," ","")))),FIND(" ",F783&amp;" ",N10+1)-1)))</f>
        <v>1</v>
      </c>
      <c r="N783" s="234">
        <f t="shared" si="80"/>
        <v>766</v>
      </c>
      <c r="O783" s="165" t="str">
        <f t="shared" si="81"/>
        <v>0</v>
      </c>
      <c r="P783" s="234">
        <f t="shared" si="82"/>
        <v>1</v>
      </c>
      <c r="Q783" s="234">
        <f t="shared" si="83"/>
        <v>1</v>
      </c>
      <c r="DE783" s="152"/>
      <c r="DF783" s="160" t="s">
        <v>2480</v>
      </c>
      <c r="DG783" s="160" t="s">
        <v>122</v>
      </c>
      <c r="DH783" s="160" t="s">
        <v>125</v>
      </c>
      <c r="DI783" s="160" t="s">
        <v>2481</v>
      </c>
      <c r="DJ783" s="160" t="s">
        <v>2481</v>
      </c>
      <c r="DK783" s="160" t="s">
        <v>1259</v>
      </c>
      <c r="DL783" s="160" t="s">
        <v>1260</v>
      </c>
      <c r="DM783" s="160" t="s">
        <v>1812</v>
      </c>
      <c r="DN783" s="161" t="s">
        <v>1813</v>
      </c>
      <c r="DP783" s="130">
        <v>1</v>
      </c>
    </row>
    <row r="784" spans="2:120" ht="15">
      <c r="B784" s="231"/>
      <c r="C784" s="231"/>
      <c r="D784" s="231"/>
      <c r="E784" s="231" cm="1">
        <f t="array" ref="E784">IF(H783&lt;&gt;"",E783,IF(E783="","",IFERROR(MATCH(TRUE(),INDEX(INDEX(K:K,E783+1):K203&lt;&gt;"",0),0)+E783,"")))</f>
        <v>876</v>
      </c>
      <c r="F784" s="232" cm="1">
        <f t="array" ref="F784">IF(E784="","",IF(H783&lt;&gt;"",H783,INDEX(D:D,E784)))</f>
        <v>0</v>
      </c>
      <c r="G784" s="232" t="str">
        <f t="shared" si="78"/>
        <v>0</v>
      </c>
      <c r="H784" s="233" t="str">
        <f t="shared" si="79"/>
        <v/>
      </c>
      <c r="I784" s="231" t="str">
        <f>IF(AND(F784&lt;&gt;"",N10&gt;0,M784&gt;N10),"Mot &gt; limite","")</f>
        <v/>
      </c>
      <c r="M784" s="126">
        <f>IF(OR(F784="",N10="",N10&lt;=0),"",IF(LEN(F784)&lt;=N10,LEN(F784),IFERROR(FIND("♦",SUBSTITUTE(LEFT(F784,N10)," ","♦",LEN(LEFT(F784,N10))-LEN(SUBSTITUTE(LEFT(F784,N10)," ","")))),FIND(" ",F784&amp;" ",N10+1)-1)))</f>
        <v>1</v>
      </c>
      <c r="N784" s="234">
        <f t="shared" si="80"/>
        <v>767</v>
      </c>
      <c r="O784" s="165" t="str">
        <f t="shared" si="81"/>
        <v>0</v>
      </c>
      <c r="P784" s="234">
        <f t="shared" si="82"/>
        <v>1</v>
      </c>
      <c r="Q784" s="234">
        <f t="shared" si="83"/>
        <v>1</v>
      </c>
      <c r="DE784" s="152"/>
      <c r="DF784" s="160" t="s">
        <v>2482</v>
      </c>
      <c r="DG784" s="160" t="s">
        <v>122</v>
      </c>
      <c r="DH784" s="160" t="s">
        <v>125</v>
      </c>
      <c r="DI784" s="160" t="s">
        <v>2483</v>
      </c>
      <c r="DJ784" s="160" t="s">
        <v>2483</v>
      </c>
      <c r="DK784" s="160" t="s">
        <v>1259</v>
      </c>
      <c r="DL784" s="160" t="s">
        <v>1260</v>
      </c>
      <c r="DM784" s="160" t="s">
        <v>1812</v>
      </c>
      <c r="DN784" s="161" t="s">
        <v>1813</v>
      </c>
      <c r="DP784" s="130">
        <v>1</v>
      </c>
    </row>
    <row r="785" spans="2:120" ht="15">
      <c r="B785" s="231"/>
      <c r="C785" s="231"/>
      <c r="D785" s="231"/>
      <c r="E785" s="231" cm="1">
        <f t="array" ref="E785">IF(H784&lt;&gt;"",E784,IF(E784="","",IFERROR(MATCH(TRUE(),INDEX(INDEX(K:K,E784+1):K203&lt;&gt;"",0),0)+E784,"")))</f>
        <v>877</v>
      </c>
      <c r="F785" s="232" cm="1">
        <f t="array" ref="F785">IF(E785="","",IF(H784&lt;&gt;"",H784,INDEX(D:D,E785)))</f>
        <v>0</v>
      </c>
      <c r="G785" s="232" t="str">
        <f t="shared" si="78"/>
        <v>0</v>
      </c>
      <c r="H785" s="233" t="str">
        <f t="shared" si="79"/>
        <v/>
      </c>
      <c r="I785" s="231" t="str">
        <f>IF(AND(F785&lt;&gt;"",N10&gt;0,M785&gt;N10),"Mot &gt; limite","")</f>
        <v/>
      </c>
      <c r="M785" s="126">
        <f>IF(OR(F785="",N10="",N10&lt;=0),"",IF(LEN(F785)&lt;=N10,LEN(F785),IFERROR(FIND("♦",SUBSTITUTE(LEFT(F785,N10)," ","♦",LEN(LEFT(F785,N10))-LEN(SUBSTITUTE(LEFT(F785,N10)," ","")))),FIND(" ",F785&amp;" ",N10+1)-1)))</f>
        <v>1</v>
      </c>
      <c r="N785" s="234">
        <f t="shared" si="80"/>
        <v>768</v>
      </c>
      <c r="O785" s="165" t="str">
        <f t="shared" si="81"/>
        <v>0</v>
      </c>
      <c r="P785" s="234">
        <f t="shared" si="82"/>
        <v>1</v>
      </c>
      <c r="Q785" s="234">
        <f t="shared" si="83"/>
        <v>1</v>
      </c>
      <c r="DE785" s="152"/>
      <c r="DF785" s="160" t="s">
        <v>2484</v>
      </c>
      <c r="DG785" s="160" t="s">
        <v>122</v>
      </c>
      <c r="DH785" s="160" t="s">
        <v>125</v>
      </c>
      <c r="DI785" s="160" t="s">
        <v>2485</v>
      </c>
      <c r="DJ785" s="160" t="s">
        <v>2485</v>
      </c>
      <c r="DK785" s="160" t="s">
        <v>1259</v>
      </c>
      <c r="DL785" s="160" t="s">
        <v>1260</v>
      </c>
      <c r="DM785" s="160" t="s">
        <v>1812</v>
      </c>
      <c r="DN785" s="161" t="s">
        <v>1813</v>
      </c>
      <c r="DP785" s="130">
        <v>1</v>
      </c>
    </row>
    <row r="786" spans="2:120" ht="15">
      <c r="B786" s="231"/>
      <c r="C786" s="231"/>
      <c r="D786" s="231"/>
      <c r="E786" s="231" cm="1">
        <f t="array" ref="E786">IF(H785&lt;&gt;"",E785,IF(E785="","",IFERROR(MATCH(TRUE(),INDEX(INDEX(K:K,E785+1):K203&lt;&gt;"",0),0)+E785,"")))</f>
        <v>878</v>
      </c>
      <c r="F786" s="232" cm="1">
        <f t="array" ref="F786">IF(E786="","",IF(H785&lt;&gt;"",H785,INDEX(D:D,E786)))</f>
        <v>0</v>
      </c>
      <c r="G786" s="232" t="str">
        <f t="shared" ref="G786:G849" si="84">IF(OR(F786="",M786=""),"",LEFT(F786,M786))</f>
        <v>0</v>
      </c>
      <c r="H786" s="233" t="str">
        <f t="shared" ref="H786:H849" si="85">IF(OR(F786="",M786=""),"",TRIM(MID(F786,M786+1,99999)))</f>
        <v/>
      </c>
      <c r="I786" s="231" t="str">
        <f>IF(AND(F786&lt;&gt;"",N10&gt;0,M786&gt;N10),"Mot &gt; limite","")</f>
        <v/>
      </c>
      <c r="M786" s="126">
        <f>IF(OR(F786="",N10="",N10&lt;=0),"",IF(LEN(F786)&lt;=N10,LEN(F786),IFERROR(FIND("♦",SUBSTITUTE(LEFT(F786,N10)," ","♦",LEN(LEFT(F786,N10))-LEN(SUBSTITUTE(LEFT(F786,N10)," ","")))),FIND(" ",F786&amp;" ",N10+1)-1)))</f>
        <v>1</v>
      </c>
      <c r="N786" s="234">
        <f t="shared" ref="N786:N849" si="86">IF(O786="","",ROW()-17)</f>
        <v>769</v>
      </c>
      <c r="O786" s="165" t="str">
        <f t="shared" ref="O786:O849" si="87">G786</f>
        <v>0</v>
      </c>
      <c r="P786" s="234">
        <f t="shared" ref="P786:P849" si="88">IF(O786="","",LEN(TRIM(O786))-LEN(SUBSTITUTE(TRIM(O786)," ",""))+1)</f>
        <v>1</v>
      </c>
      <c r="Q786" s="234">
        <f t="shared" ref="Q786:Q849" si="89">IF(O786="","",LEN(O786))</f>
        <v>1</v>
      </c>
      <c r="DE786" s="152"/>
      <c r="DF786" s="160" t="s">
        <v>2486</v>
      </c>
      <c r="DG786" s="160" t="s">
        <v>122</v>
      </c>
      <c r="DH786" s="160" t="s">
        <v>125</v>
      </c>
      <c r="DI786" s="160" t="s">
        <v>2487</v>
      </c>
      <c r="DJ786" s="160" t="s">
        <v>2487</v>
      </c>
      <c r="DK786" s="160" t="s">
        <v>1259</v>
      </c>
      <c r="DL786" s="160" t="s">
        <v>1260</v>
      </c>
      <c r="DM786" s="160" t="s">
        <v>1812</v>
      </c>
      <c r="DN786" s="161" t="s">
        <v>1813</v>
      </c>
      <c r="DP786" s="130">
        <v>1</v>
      </c>
    </row>
    <row r="787" spans="2:120" ht="15">
      <c r="B787" s="231"/>
      <c r="C787" s="231"/>
      <c r="D787" s="231"/>
      <c r="E787" s="231" cm="1">
        <f t="array" ref="E787">IF(H786&lt;&gt;"",E786,IF(E786="","",IFERROR(MATCH(TRUE(),INDEX(INDEX(K:K,E786+1):K203&lt;&gt;"",0),0)+E786,"")))</f>
        <v>879</v>
      </c>
      <c r="F787" s="232" cm="1">
        <f t="array" ref="F787">IF(E787="","",IF(H786&lt;&gt;"",H786,INDEX(D:D,E787)))</f>
        <v>0</v>
      </c>
      <c r="G787" s="232" t="str">
        <f t="shared" si="84"/>
        <v>0</v>
      </c>
      <c r="H787" s="233" t="str">
        <f t="shared" si="85"/>
        <v/>
      </c>
      <c r="I787" s="231" t="str">
        <f>IF(AND(F787&lt;&gt;"",N10&gt;0,M787&gt;N10),"Mot &gt; limite","")</f>
        <v/>
      </c>
      <c r="M787" s="126">
        <f>IF(OR(F787="",N10="",N10&lt;=0),"",IF(LEN(F787)&lt;=N10,LEN(F787),IFERROR(FIND("♦",SUBSTITUTE(LEFT(F787,N10)," ","♦",LEN(LEFT(F787,N10))-LEN(SUBSTITUTE(LEFT(F787,N10)," ","")))),FIND(" ",F787&amp;" ",N10+1)-1)))</f>
        <v>1</v>
      </c>
      <c r="N787" s="234">
        <f t="shared" si="86"/>
        <v>770</v>
      </c>
      <c r="O787" s="165" t="str">
        <f t="shared" si="87"/>
        <v>0</v>
      </c>
      <c r="P787" s="234">
        <f t="shared" si="88"/>
        <v>1</v>
      </c>
      <c r="Q787" s="234">
        <f t="shared" si="89"/>
        <v>1</v>
      </c>
      <c r="DE787" s="152"/>
      <c r="DF787" s="160" t="s">
        <v>2488</v>
      </c>
      <c r="DG787" s="160" t="s">
        <v>122</v>
      </c>
      <c r="DH787" s="160" t="s">
        <v>125</v>
      </c>
      <c r="DI787" s="160" t="s">
        <v>2489</v>
      </c>
      <c r="DJ787" s="160" t="s">
        <v>2489</v>
      </c>
      <c r="DK787" s="160" t="s">
        <v>1259</v>
      </c>
      <c r="DL787" s="160" t="s">
        <v>1260</v>
      </c>
      <c r="DM787" s="160" t="s">
        <v>1812</v>
      </c>
      <c r="DN787" s="161" t="s">
        <v>1813</v>
      </c>
      <c r="DP787" s="130">
        <v>1</v>
      </c>
    </row>
    <row r="788" spans="2:120" ht="15">
      <c r="B788" s="231"/>
      <c r="C788" s="231"/>
      <c r="D788" s="231"/>
      <c r="E788" s="231" cm="1">
        <f t="array" ref="E788">IF(H787&lt;&gt;"",E787,IF(E787="","",IFERROR(MATCH(TRUE(),INDEX(INDEX(K:K,E787+1):K203&lt;&gt;"",0),0)+E787,"")))</f>
        <v>880</v>
      </c>
      <c r="F788" s="232" cm="1">
        <f t="array" ref="F788">IF(E788="","",IF(H787&lt;&gt;"",H787,INDEX(D:D,E788)))</f>
        <v>0</v>
      </c>
      <c r="G788" s="232" t="str">
        <f t="shared" si="84"/>
        <v>0</v>
      </c>
      <c r="H788" s="233" t="str">
        <f t="shared" si="85"/>
        <v/>
      </c>
      <c r="I788" s="231" t="str">
        <f>IF(AND(F788&lt;&gt;"",N10&gt;0,M788&gt;N10),"Mot &gt; limite","")</f>
        <v/>
      </c>
      <c r="M788" s="126">
        <f>IF(OR(F788="",N10="",N10&lt;=0),"",IF(LEN(F788)&lt;=N10,LEN(F788),IFERROR(FIND("♦",SUBSTITUTE(LEFT(F788,N10)," ","♦",LEN(LEFT(F788,N10))-LEN(SUBSTITUTE(LEFT(F788,N10)," ","")))),FIND(" ",F788&amp;" ",N10+1)-1)))</f>
        <v>1</v>
      </c>
      <c r="N788" s="234">
        <f t="shared" si="86"/>
        <v>771</v>
      </c>
      <c r="O788" s="165" t="str">
        <f t="shared" si="87"/>
        <v>0</v>
      </c>
      <c r="P788" s="234">
        <f t="shared" si="88"/>
        <v>1</v>
      </c>
      <c r="Q788" s="234">
        <f t="shared" si="89"/>
        <v>1</v>
      </c>
      <c r="DE788" s="152"/>
      <c r="DF788" s="160" t="s">
        <v>2490</v>
      </c>
      <c r="DG788" s="160" t="s">
        <v>122</v>
      </c>
      <c r="DH788" s="160" t="s">
        <v>125</v>
      </c>
      <c r="DI788" s="160" t="s">
        <v>2491</v>
      </c>
      <c r="DJ788" s="160" t="s">
        <v>2491</v>
      </c>
      <c r="DK788" s="160" t="s">
        <v>1259</v>
      </c>
      <c r="DL788" s="160" t="s">
        <v>1260</v>
      </c>
      <c r="DM788" s="160" t="s">
        <v>1812</v>
      </c>
      <c r="DN788" s="161" t="s">
        <v>1813</v>
      </c>
      <c r="DP788" s="130">
        <v>1</v>
      </c>
    </row>
    <row r="789" spans="2:120" ht="15">
      <c r="B789" s="231"/>
      <c r="C789" s="231"/>
      <c r="D789" s="231"/>
      <c r="E789" s="231" cm="1">
        <f t="array" ref="E789">IF(H788&lt;&gt;"",E788,IF(E788="","",IFERROR(MATCH(TRUE(),INDEX(INDEX(K:K,E788+1):K203&lt;&gt;"",0),0)+E788,"")))</f>
        <v>881</v>
      </c>
      <c r="F789" s="232" cm="1">
        <f t="array" ref="F789">IF(E789="","",IF(H788&lt;&gt;"",H788,INDEX(D:D,E789)))</f>
        <v>0</v>
      </c>
      <c r="G789" s="232" t="str">
        <f t="shared" si="84"/>
        <v>0</v>
      </c>
      <c r="H789" s="233" t="str">
        <f t="shared" si="85"/>
        <v/>
      </c>
      <c r="I789" s="231" t="str">
        <f>IF(AND(F789&lt;&gt;"",N10&gt;0,M789&gt;N10),"Mot &gt; limite","")</f>
        <v/>
      </c>
      <c r="M789" s="126">
        <f>IF(OR(F789="",N10="",N10&lt;=0),"",IF(LEN(F789)&lt;=N10,LEN(F789),IFERROR(FIND("♦",SUBSTITUTE(LEFT(F789,N10)," ","♦",LEN(LEFT(F789,N10))-LEN(SUBSTITUTE(LEFT(F789,N10)," ","")))),FIND(" ",F789&amp;" ",N10+1)-1)))</f>
        <v>1</v>
      </c>
      <c r="N789" s="234">
        <f t="shared" si="86"/>
        <v>772</v>
      </c>
      <c r="O789" s="165" t="str">
        <f t="shared" si="87"/>
        <v>0</v>
      </c>
      <c r="P789" s="234">
        <f t="shared" si="88"/>
        <v>1</v>
      </c>
      <c r="Q789" s="234">
        <f t="shared" si="89"/>
        <v>1</v>
      </c>
      <c r="DE789" s="152"/>
      <c r="DF789" s="160" t="s">
        <v>2492</v>
      </c>
      <c r="DG789" s="160" t="s">
        <v>122</v>
      </c>
      <c r="DH789" s="160" t="s">
        <v>125</v>
      </c>
      <c r="DI789" s="160" t="s">
        <v>2493</v>
      </c>
      <c r="DJ789" s="160" t="s">
        <v>2493</v>
      </c>
      <c r="DK789" s="160" t="s">
        <v>1259</v>
      </c>
      <c r="DL789" s="160" t="s">
        <v>1260</v>
      </c>
      <c r="DM789" s="160" t="s">
        <v>1812</v>
      </c>
      <c r="DN789" s="161" t="s">
        <v>1813</v>
      </c>
      <c r="DP789" s="130">
        <v>1</v>
      </c>
    </row>
    <row r="790" spans="2:120" ht="15">
      <c r="B790" s="231"/>
      <c r="C790" s="231"/>
      <c r="D790" s="231"/>
      <c r="E790" s="231" cm="1">
        <f t="array" ref="E790">IF(H789&lt;&gt;"",E789,IF(E789="","",IFERROR(MATCH(TRUE(),INDEX(INDEX(K:K,E789+1):K203&lt;&gt;"",0),0)+E789,"")))</f>
        <v>882</v>
      </c>
      <c r="F790" s="232" cm="1">
        <f t="array" ref="F790">IF(E790="","",IF(H789&lt;&gt;"",H789,INDEX(D:D,E790)))</f>
        <v>0</v>
      </c>
      <c r="G790" s="232" t="str">
        <f t="shared" si="84"/>
        <v>0</v>
      </c>
      <c r="H790" s="233" t="str">
        <f t="shared" si="85"/>
        <v/>
      </c>
      <c r="I790" s="231" t="str">
        <f>IF(AND(F790&lt;&gt;"",N10&gt;0,M790&gt;N10),"Mot &gt; limite","")</f>
        <v/>
      </c>
      <c r="M790" s="126">
        <f>IF(OR(F790="",N10="",N10&lt;=0),"",IF(LEN(F790)&lt;=N10,LEN(F790),IFERROR(FIND("♦",SUBSTITUTE(LEFT(F790,N10)," ","♦",LEN(LEFT(F790,N10))-LEN(SUBSTITUTE(LEFT(F790,N10)," ","")))),FIND(" ",F790&amp;" ",N10+1)-1)))</f>
        <v>1</v>
      </c>
      <c r="N790" s="234">
        <f t="shared" si="86"/>
        <v>773</v>
      </c>
      <c r="O790" s="165" t="str">
        <f t="shared" si="87"/>
        <v>0</v>
      </c>
      <c r="P790" s="234">
        <f t="shared" si="88"/>
        <v>1</v>
      </c>
      <c r="Q790" s="234">
        <f t="shared" si="89"/>
        <v>1</v>
      </c>
      <c r="DE790" s="152"/>
      <c r="DF790" s="160" t="s">
        <v>2494</v>
      </c>
      <c r="DG790" s="160" t="s">
        <v>122</v>
      </c>
      <c r="DH790" s="160" t="s">
        <v>125</v>
      </c>
      <c r="DI790" s="160" t="s">
        <v>2495</v>
      </c>
      <c r="DJ790" s="160" t="s">
        <v>2495</v>
      </c>
      <c r="DK790" s="160" t="s">
        <v>1259</v>
      </c>
      <c r="DL790" s="160" t="s">
        <v>1260</v>
      </c>
      <c r="DM790" s="160" t="s">
        <v>1812</v>
      </c>
      <c r="DN790" s="161" t="s">
        <v>1813</v>
      </c>
      <c r="DP790" s="130">
        <v>1</v>
      </c>
    </row>
    <row r="791" spans="2:120" ht="15">
      <c r="B791" s="231"/>
      <c r="C791" s="231"/>
      <c r="D791" s="231"/>
      <c r="E791" s="231" cm="1">
        <f t="array" ref="E791">IF(H790&lt;&gt;"",E790,IF(E790="","",IFERROR(MATCH(TRUE(),INDEX(INDEX(K:K,E790+1):K203&lt;&gt;"",0),0)+E790,"")))</f>
        <v>883</v>
      </c>
      <c r="F791" s="232" cm="1">
        <f t="array" ref="F791">IF(E791="","",IF(H790&lt;&gt;"",H790,INDEX(D:D,E791)))</f>
        <v>0</v>
      </c>
      <c r="G791" s="232" t="str">
        <f t="shared" si="84"/>
        <v>0</v>
      </c>
      <c r="H791" s="233" t="str">
        <f t="shared" si="85"/>
        <v/>
      </c>
      <c r="I791" s="231" t="str">
        <f>IF(AND(F791&lt;&gt;"",N10&gt;0,M791&gt;N10),"Mot &gt; limite","")</f>
        <v/>
      </c>
      <c r="M791" s="126">
        <f>IF(OR(F791="",N10="",N10&lt;=0),"",IF(LEN(F791)&lt;=N10,LEN(F791),IFERROR(FIND("♦",SUBSTITUTE(LEFT(F791,N10)," ","♦",LEN(LEFT(F791,N10))-LEN(SUBSTITUTE(LEFT(F791,N10)," ","")))),FIND(" ",F791&amp;" ",N10+1)-1)))</f>
        <v>1</v>
      </c>
      <c r="N791" s="234">
        <f t="shared" si="86"/>
        <v>774</v>
      </c>
      <c r="O791" s="165" t="str">
        <f t="shared" si="87"/>
        <v>0</v>
      </c>
      <c r="P791" s="234">
        <f t="shared" si="88"/>
        <v>1</v>
      </c>
      <c r="Q791" s="234">
        <f t="shared" si="89"/>
        <v>1</v>
      </c>
      <c r="DE791" s="152"/>
      <c r="DF791" s="160" t="s">
        <v>2496</v>
      </c>
      <c r="DG791" s="160" t="s">
        <v>122</v>
      </c>
      <c r="DH791" s="160" t="s">
        <v>125</v>
      </c>
      <c r="DI791" s="160" t="s">
        <v>2497</v>
      </c>
      <c r="DJ791" s="160" t="s">
        <v>2497</v>
      </c>
      <c r="DK791" s="160" t="s">
        <v>1259</v>
      </c>
      <c r="DL791" s="160" t="s">
        <v>1260</v>
      </c>
      <c r="DM791" s="160" t="s">
        <v>1812</v>
      </c>
      <c r="DN791" s="161" t="s">
        <v>1813</v>
      </c>
      <c r="DP791" s="130">
        <v>1</v>
      </c>
    </row>
    <row r="792" spans="2:120" ht="15">
      <c r="B792" s="231"/>
      <c r="C792" s="231"/>
      <c r="D792" s="231"/>
      <c r="E792" s="231" cm="1">
        <f t="array" ref="E792">IF(H791&lt;&gt;"",E791,IF(E791="","",IFERROR(MATCH(TRUE(),INDEX(INDEX(K:K,E791+1):K203&lt;&gt;"",0),0)+E791,"")))</f>
        <v>884</v>
      </c>
      <c r="F792" s="232" cm="1">
        <f t="array" ref="F792">IF(E792="","",IF(H791&lt;&gt;"",H791,INDEX(D:D,E792)))</f>
        <v>0</v>
      </c>
      <c r="G792" s="232" t="str">
        <f t="shared" si="84"/>
        <v>0</v>
      </c>
      <c r="H792" s="233" t="str">
        <f t="shared" si="85"/>
        <v/>
      </c>
      <c r="I792" s="231" t="str">
        <f>IF(AND(F792&lt;&gt;"",N10&gt;0,M792&gt;N10),"Mot &gt; limite","")</f>
        <v/>
      </c>
      <c r="M792" s="126">
        <f>IF(OR(F792="",N10="",N10&lt;=0),"",IF(LEN(F792)&lt;=N10,LEN(F792),IFERROR(FIND("♦",SUBSTITUTE(LEFT(F792,N10)," ","♦",LEN(LEFT(F792,N10))-LEN(SUBSTITUTE(LEFT(F792,N10)," ","")))),FIND(" ",F792&amp;" ",N10+1)-1)))</f>
        <v>1</v>
      </c>
      <c r="N792" s="234">
        <f t="shared" si="86"/>
        <v>775</v>
      </c>
      <c r="O792" s="165" t="str">
        <f t="shared" si="87"/>
        <v>0</v>
      </c>
      <c r="P792" s="234">
        <f t="shared" si="88"/>
        <v>1</v>
      </c>
      <c r="Q792" s="234">
        <f t="shared" si="89"/>
        <v>1</v>
      </c>
      <c r="DE792" s="152"/>
      <c r="DF792" s="160" t="s">
        <v>2498</v>
      </c>
      <c r="DG792" s="160" t="s">
        <v>122</v>
      </c>
      <c r="DH792" s="160" t="s">
        <v>125</v>
      </c>
      <c r="DI792" s="160" t="s">
        <v>2499</v>
      </c>
      <c r="DJ792" s="160" t="s">
        <v>2499</v>
      </c>
      <c r="DK792" s="160" t="s">
        <v>1259</v>
      </c>
      <c r="DL792" s="160" t="s">
        <v>1260</v>
      </c>
      <c r="DM792" s="160" t="s">
        <v>1812</v>
      </c>
      <c r="DN792" s="161" t="s">
        <v>1813</v>
      </c>
      <c r="DP792" s="130">
        <v>1</v>
      </c>
    </row>
    <row r="793" spans="2:120" ht="15">
      <c r="B793" s="231"/>
      <c r="C793" s="231"/>
      <c r="D793" s="231"/>
      <c r="E793" s="231" cm="1">
        <f t="array" ref="E793">IF(H792&lt;&gt;"",E792,IF(E792="","",IFERROR(MATCH(TRUE(),INDEX(INDEX(K:K,E792+1):K203&lt;&gt;"",0),0)+E792,"")))</f>
        <v>885</v>
      </c>
      <c r="F793" s="232" cm="1">
        <f t="array" ref="F793">IF(E793="","",IF(H792&lt;&gt;"",H792,INDEX(D:D,E793)))</f>
        <v>0</v>
      </c>
      <c r="G793" s="232" t="str">
        <f t="shared" si="84"/>
        <v>0</v>
      </c>
      <c r="H793" s="233" t="str">
        <f t="shared" si="85"/>
        <v/>
      </c>
      <c r="I793" s="231" t="str">
        <f>IF(AND(F793&lt;&gt;"",N10&gt;0,M793&gt;N10),"Mot &gt; limite","")</f>
        <v/>
      </c>
      <c r="M793" s="126">
        <f>IF(OR(F793="",N10="",N10&lt;=0),"",IF(LEN(F793)&lt;=N10,LEN(F793),IFERROR(FIND("♦",SUBSTITUTE(LEFT(F793,N10)," ","♦",LEN(LEFT(F793,N10))-LEN(SUBSTITUTE(LEFT(F793,N10)," ","")))),FIND(" ",F793&amp;" ",N10+1)-1)))</f>
        <v>1</v>
      </c>
      <c r="N793" s="234">
        <f t="shared" si="86"/>
        <v>776</v>
      </c>
      <c r="O793" s="165" t="str">
        <f t="shared" si="87"/>
        <v>0</v>
      </c>
      <c r="P793" s="234">
        <f t="shared" si="88"/>
        <v>1</v>
      </c>
      <c r="Q793" s="234">
        <f t="shared" si="89"/>
        <v>1</v>
      </c>
      <c r="DE793" s="152"/>
      <c r="DF793" s="160" t="s">
        <v>2500</v>
      </c>
      <c r="DG793" s="160" t="s">
        <v>122</v>
      </c>
      <c r="DH793" s="160" t="s">
        <v>125</v>
      </c>
      <c r="DI793" s="160" t="s">
        <v>2501</v>
      </c>
      <c r="DJ793" s="160" t="s">
        <v>2501</v>
      </c>
      <c r="DK793" s="160" t="s">
        <v>1259</v>
      </c>
      <c r="DL793" s="160" t="s">
        <v>1260</v>
      </c>
      <c r="DM793" s="160" t="s">
        <v>1812</v>
      </c>
      <c r="DN793" s="161" t="s">
        <v>1813</v>
      </c>
      <c r="DP793" s="130">
        <v>1</v>
      </c>
    </row>
    <row r="794" spans="2:120" ht="15">
      <c r="B794" s="231"/>
      <c r="C794" s="231"/>
      <c r="D794" s="231"/>
      <c r="E794" s="231" cm="1">
        <f t="array" ref="E794">IF(H793&lt;&gt;"",E793,IF(E793="","",IFERROR(MATCH(TRUE(),INDEX(INDEX(K:K,E793+1):K203&lt;&gt;"",0),0)+E793,"")))</f>
        <v>886</v>
      </c>
      <c r="F794" s="232" cm="1">
        <f t="array" ref="F794">IF(E794="","",IF(H793&lt;&gt;"",H793,INDEX(D:D,E794)))</f>
        <v>0</v>
      </c>
      <c r="G794" s="232" t="str">
        <f t="shared" si="84"/>
        <v>0</v>
      </c>
      <c r="H794" s="233" t="str">
        <f t="shared" si="85"/>
        <v/>
      </c>
      <c r="I794" s="231" t="str">
        <f>IF(AND(F794&lt;&gt;"",N10&gt;0,M794&gt;N10),"Mot &gt; limite","")</f>
        <v/>
      </c>
      <c r="M794" s="126">
        <f>IF(OR(F794="",N10="",N10&lt;=0),"",IF(LEN(F794)&lt;=N10,LEN(F794),IFERROR(FIND("♦",SUBSTITUTE(LEFT(F794,N10)," ","♦",LEN(LEFT(F794,N10))-LEN(SUBSTITUTE(LEFT(F794,N10)," ","")))),FIND(" ",F794&amp;" ",N10+1)-1)))</f>
        <v>1</v>
      </c>
      <c r="N794" s="234">
        <f t="shared" si="86"/>
        <v>777</v>
      </c>
      <c r="O794" s="165" t="str">
        <f t="shared" si="87"/>
        <v>0</v>
      </c>
      <c r="P794" s="234">
        <f t="shared" si="88"/>
        <v>1</v>
      </c>
      <c r="Q794" s="234">
        <f t="shared" si="89"/>
        <v>1</v>
      </c>
      <c r="DE794" s="152"/>
      <c r="DF794" s="160" t="s">
        <v>2502</v>
      </c>
      <c r="DG794" s="160" t="s">
        <v>122</v>
      </c>
      <c r="DH794" s="160" t="s">
        <v>125</v>
      </c>
      <c r="DI794" s="160" t="s">
        <v>2503</v>
      </c>
      <c r="DJ794" s="160" t="s">
        <v>2503</v>
      </c>
      <c r="DK794" s="160" t="s">
        <v>1259</v>
      </c>
      <c r="DL794" s="160" t="s">
        <v>1260</v>
      </c>
      <c r="DM794" s="160" t="s">
        <v>1812</v>
      </c>
      <c r="DN794" s="161" t="s">
        <v>1813</v>
      </c>
      <c r="DP794" s="130">
        <v>1</v>
      </c>
    </row>
    <row r="795" spans="2:120" ht="15">
      <c r="B795" s="231"/>
      <c r="C795" s="231"/>
      <c r="D795" s="231"/>
      <c r="E795" s="231" cm="1">
        <f t="array" ref="E795">IF(H794&lt;&gt;"",E794,IF(E794="","",IFERROR(MATCH(TRUE(),INDEX(INDEX(K:K,E794+1):K203&lt;&gt;"",0),0)+E794,"")))</f>
        <v>887</v>
      </c>
      <c r="F795" s="232" cm="1">
        <f t="array" ref="F795">IF(E795="","",IF(H794&lt;&gt;"",H794,INDEX(D:D,E795)))</f>
        <v>0</v>
      </c>
      <c r="G795" s="232" t="str">
        <f t="shared" si="84"/>
        <v>0</v>
      </c>
      <c r="H795" s="233" t="str">
        <f t="shared" si="85"/>
        <v/>
      </c>
      <c r="I795" s="231" t="str">
        <f>IF(AND(F795&lt;&gt;"",N10&gt;0,M795&gt;N10),"Mot &gt; limite","")</f>
        <v/>
      </c>
      <c r="M795" s="126">
        <f>IF(OR(F795="",N10="",N10&lt;=0),"",IF(LEN(F795)&lt;=N10,LEN(F795),IFERROR(FIND("♦",SUBSTITUTE(LEFT(F795,N10)," ","♦",LEN(LEFT(F795,N10))-LEN(SUBSTITUTE(LEFT(F795,N10)," ","")))),FIND(" ",F795&amp;" ",N10+1)-1)))</f>
        <v>1</v>
      </c>
      <c r="N795" s="234">
        <f t="shared" si="86"/>
        <v>778</v>
      </c>
      <c r="O795" s="165" t="str">
        <f t="shared" si="87"/>
        <v>0</v>
      </c>
      <c r="P795" s="234">
        <f t="shared" si="88"/>
        <v>1</v>
      </c>
      <c r="Q795" s="234">
        <f t="shared" si="89"/>
        <v>1</v>
      </c>
      <c r="DE795" s="152"/>
      <c r="DF795" s="160" t="s">
        <v>2504</v>
      </c>
      <c r="DG795" s="160" t="s">
        <v>122</v>
      </c>
      <c r="DH795" s="160" t="s">
        <v>125</v>
      </c>
      <c r="DI795" s="160" t="s">
        <v>2505</v>
      </c>
      <c r="DJ795" s="160" t="s">
        <v>2505</v>
      </c>
      <c r="DK795" s="160" t="s">
        <v>1259</v>
      </c>
      <c r="DL795" s="160" t="s">
        <v>1260</v>
      </c>
      <c r="DM795" s="160" t="s">
        <v>1812</v>
      </c>
      <c r="DN795" s="161" t="s">
        <v>1813</v>
      </c>
      <c r="DP795" s="130">
        <v>1</v>
      </c>
    </row>
    <row r="796" spans="2:120" ht="15">
      <c r="B796" s="231"/>
      <c r="C796" s="231"/>
      <c r="D796" s="231"/>
      <c r="E796" s="231" cm="1">
        <f t="array" ref="E796">IF(H795&lt;&gt;"",E795,IF(E795="","",IFERROR(MATCH(TRUE(),INDEX(INDEX(K:K,E795+1):K203&lt;&gt;"",0),0)+E795,"")))</f>
        <v>888</v>
      </c>
      <c r="F796" s="232" cm="1">
        <f t="array" ref="F796">IF(E796="","",IF(H795&lt;&gt;"",H795,INDEX(D:D,E796)))</f>
        <v>0</v>
      </c>
      <c r="G796" s="232" t="str">
        <f t="shared" si="84"/>
        <v>0</v>
      </c>
      <c r="H796" s="233" t="str">
        <f t="shared" si="85"/>
        <v/>
      </c>
      <c r="I796" s="231" t="str">
        <f>IF(AND(F796&lt;&gt;"",N10&gt;0,M796&gt;N10),"Mot &gt; limite","")</f>
        <v/>
      </c>
      <c r="M796" s="126">
        <f>IF(OR(F796="",N10="",N10&lt;=0),"",IF(LEN(F796)&lt;=N10,LEN(F796),IFERROR(FIND("♦",SUBSTITUTE(LEFT(F796,N10)," ","♦",LEN(LEFT(F796,N10))-LEN(SUBSTITUTE(LEFT(F796,N10)," ","")))),FIND(" ",F796&amp;" ",N10+1)-1)))</f>
        <v>1</v>
      </c>
      <c r="N796" s="234">
        <f t="shared" si="86"/>
        <v>779</v>
      </c>
      <c r="O796" s="165" t="str">
        <f t="shared" si="87"/>
        <v>0</v>
      </c>
      <c r="P796" s="234">
        <f t="shared" si="88"/>
        <v>1</v>
      </c>
      <c r="Q796" s="234">
        <f t="shared" si="89"/>
        <v>1</v>
      </c>
      <c r="DE796" s="152"/>
      <c r="DF796" s="160" t="s">
        <v>2506</v>
      </c>
      <c r="DG796" s="160" t="s">
        <v>122</v>
      </c>
      <c r="DH796" s="160" t="s">
        <v>125</v>
      </c>
      <c r="DI796" s="160" t="s">
        <v>2507</v>
      </c>
      <c r="DJ796" s="160" t="s">
        <v>2507</v>
      </c>
      <c r="DK796" s="160" t="s">
        <v>1259</v>
      </c>
      <c r="DL796" s="160" t="s">
        <v>1260</v>
      </c>
      <c r="DM796" s="160" t="s">
        <v>1812</v>
      </c>
      <c r="DN796" s="161" t="s">
        <v>1813</v>
      </c>
      <c r="DP796" s="130">
        <v>1</v>
      </c>
    </row>
    <row r="797" spans="2:120" ht="15">
      <c r="B797" s="231"/>
      <c r="C797" s="231"/>
      <c r="D797" s="231"/>
      <c r="E797" s="231" cm="1">
        <f t="array" ref="E797">IF(H796&lt;&gt;"",E796,IF(E796="","",IFERROR(MATCH(TRUE(),INDEX(INDEX(K:K,E796+1):K203&lt;&gt;"",0),0)+E796,"")))</f>
        <v>889</v>
      </c>
      <c r="F797" s="232" cm="1">
        <f t="array" ref="F797">IF(E797="","",IF(H796&lt;&gt;"",H796,INDEX(D:D,E797)))</f>
        <v>0</v>
      </c>
      <c r="G797" s="232" t="str">
        <f t="shared" si="84"/>
        <v>0</v>
      </c>
      <c r="H797" s="233" t="str">
        <f t="shared" si="85"/>
        <v/>
      </c>
      <c r="I797" s="231" t="str">
        <f>IF(AND(F797&lt;&gt;"",N10&gt;0,M797&gt;N10),"Mot &gt; limite","")</f>
        <v/>
      </c>
      <c r="M797" s="126">
        <f>IF(OR(F797="",N10="",N10&lt;=0),"",IF(LEN(F797)&lt;=N10,LEN(F797),IFERROR(FIND("♦",SUBSTITUTE(LEFT(F797,N10)," ","♦",LEN(LEFT(F797,N10))-LEN(SUBSTITUTE(LEFT(F797,N10)," ","")))),FIND(" ",F797&amp;" ",N10+1)-1)))</f>
        <v>1</v>
      </c>
      <c r="N797" s="234">
        <f t="shared" si="86"/>
        <v>780</v>
      </c>
      <c r="O797" s="165" t="str">
        <f t="shared" si="87"/>
        <v>0</v>
      </c>
      <c r="P797" s="234">
        <f t="shared" si="88"/>
        <v>1</v>
      </c>
      <c r="Q797" s="234">
        <f t="shared" si="89"/>
        <v>1</v>
      </c>
      <c r="DE797" s="152"/>
      <c r="DF797" s="160" t="s">
        <v>2508</v>
      </c>
      <c r="DG797" s="160" t="s">
        <v>122</v>
      </c>
      <c r="DH797" s="160" t="s">
        <v>125</v>
      </c>
      <c r="DI797" s="160" t="s">
        <v>2509</v>
      </c>
      <c r="DJ797" s="160" t="s">
        <v>2509</v>
      </c>
      <c r="DK797" s="160" t="s">
        <v>1259</v>
      </c>
      <c r="DL797" s="160" t="s">
        <v>1260</v>
      </c>
      <c r="DM797" s="160" t="s">
        <v>1812</v>
      </c>
      <c r="DN797" s="161" t="s">
        <v>1813</v>
      </c>
      <c r="DP797" s="130">
        <v>1</v>
      </c>
    </row>
    <row r="798" spans="2:120" ht="15">
      <c r="B798" s="231"/>
      <c r="C798" s="231"/>
      <c r="D798" s="231"/>
      <c r="E798" s="231" cm="1">
        <f t="array" ref="E798">IF(H797&lt;&gt;"",E797,IF(E797="","",IFERROR(MATCH(TRUE(),INDEX(INDEX(K:K,E797+1):K203&lt;&gt;"",0),0)+E797,"")))</f>
        <v>890</v>
      </c>
      <c r="F798" s="232" cm="1">
        <f t="array" ref="F798">IF(E798="","",IF(H797&lt;&gt;"",H797,INDEX(D:D,E798)))</f>
        <v>0</v>
      </c>
      <c r="G798" s="232" t="str">
        <f t="shared" si="84"/>
        <v>0</v>
      </c>
      <c r="H798" s="233" t="str">
        <f t="shared" si="85"/>
        <v/>
      </c>
      <c r="I798" s="231" t="str">
        <f>IF(AND(F798&lt;&gt;"",N10&gt;0,M798&gt;N10),"Mot &gt; limite","")</f>
        <v/>
      </c>
      <c r="M798" s="126">
        <f>IF(OR(F798="",N10="",N10&lt;=0),"",IF(LEN(F798)&lt;=N10,LEN(F798),IFERROR(FIND("♦",SUBSTITUTE(LEFT(F798,N10)," ","♦",LEN(LEFT(F798,N10))-LEN(SUBSTITUTE(LEFT(F798,N10)," ","")))),FIND(" ",F798&amp;" ",N10+1)-1)))</f>
        <v>1</v>
      </c>
      <c r="N798" s="234">
        <f t="shared" si="86"/>
        <v>781</v>
      </c>
      <c r="O798" s="165" t="str">
        <f t="shared" si="87"/>
        <v>0</v>
      </c>
      <c r="P798" s="234">
        <f t="shared" si="88"/>
        <v>1</v>
      </c>
      <c r="Q798" s="234">
        <f t="shared" si="89"/>
        <v>1</v>
      </c>
      <c r="DE798" s="152"/>
      <c r="DF798" s="160" t="s">
        <v>2510</v>
      </c>
      <c r="DG798" s="160" t="s">
        <v>122</v>
      </c>
      <c r="DH798" s="160" t="s">
        <v>125</v>
      </c>
      <c r="DI798" s="160" t="s">
        <v>2511</v>
      </c>
      <c r="DJ798" s="160" t="s">
        <v>2511</v>
      </c>
      <c r="DK798" s="160" t="s">
        <v>1259</v>
      </c>
      <c r="DL798" s="160" t="s">
        <v>1260</v>
      </c>
      <c r="DM798" s="160" t="s">
        <v>1812</v>
      </c>
      <c r="DN798" s="161" t="s">
        <v>1813</v>
      </c>
      <c r="DP798" s="130">
        <v>1</v>
      </c>
    </row>
    <row r="799" spans="2:120" ht="15">
      <c r="B799" s="231"/>
      <c r="C799" s="231"/>
      <c r="D799" s="231"/>
      <c r="E799" s="231" cm="1">
        <f t="array" ref="E799">IF(H798&lt;&gt;"",E798,IF(E798="","",IFERROR(MATCH(TRUE(),INDEX(INDEX(K:K,E798+1):K203&lt;&gt;"",0),0)+E798,"")))</f>
        <v>891</v>
      </c>
      <c r="F799" s="232" cm="1">
        <f t="array" ref="F799">IF(E799="","",IF(H798&lt;&gt;"",H798,INDEX(D:D,E799)))</f>
        <v>0</v>
      </c>
      <c r="G799" s="232" t="str">
        <f t="shared" si="84"/>
        <v>0</v>
      </c>
      <c r="H799" s="233" t="str">
        <f t="shared" si="85"/>
        <v/>
      </c>
      <c r="I799" s="231" t="str">
        <f>IF(AND(F799&lt;&gt;"",N10&gt;0,M799&gt;N10),"Mot &gt; limite","")</f>
        <v/>
      </c>
      <c r="M799" s="126">
        <f>IF(OR(F799="",N10="",N10&lt;=0),"",IF(LEN(F799)&lt;=N10,LEN(F799),IFERROR(FIND("♦",SUBSTITUTE(LEFT(F799,N10)," ","♦",LEN(LEFT(F799,N10))-LEN(SUBSTITUTE(LEFT(F799,N10)," ","")))),FIND(" ",F799&amp;" ",N10+1)-1)))</f>
        <v>1</v>
      </c>
      <c r="N799" s="234">
        <f t="shared" si="86"/>
        <v>782</v>
      </c>
      <c r="O799" s="165" t="str">
        <f t="shared" si="87"/>
        <v>0</v>
      </c>
      <c r="P799" s="234">
        <f t="shared" si="88"/>
        <v>1</v>
      </c>
      <c r="Q799" s="234">
        <f t="shared" si="89"/>
        <v>1</v>
      </c>
      <c r="DE799" s="152"/>
      <c r="DF799" s="160" t="s">
        <v>2512</v>
      </c>
      <c r="DG799" s="160" t="s">
        <v>122</v>
      </c>
      <c r="DH799" s="160" t="s">
        <v>125</v>
      </c>
      <c r="DI799" s="160" t="s">
        <v>2513</v>
      </c>
      <c r="DJ799" s="160" t="s">
        <v>2513</v>
      </c>
      <c r="DK799" s="160" t="s">
        <v>1259</v>
      </c>
      <c r="DL799" s="160" t="s">
        <v>1260</v>
      </c>
      <c r="DM799" s="160" t="s">
        <v>1812</v>
      </c>
      <c r="DN799" s="161" t="s">
        <v>1813</v>
      </c>
      <c r="DP799" s="130">
        <v>1</v>
      </c>
    </row>
    <row r="800" spans="2:120" ht="15">
      <c r="B800" s="231"/>
      <c r="C800" s="231"/>
      <c r="D800" s="231"/>
      <c r="E800" s="231" cm="1">
        <f t="array" ref="E800">IF(H799&lt;&gt;"",E799,IF(E799="","",IFERROR(MATCH(TRUE(),INDEX(INDEX(K:K,E799+1):K203&lt;&gt;"",0),0)+E799,"")))</f>
        <v>892</v>
      </c>
      <c r="F800" s="232" cm="1">
        <f t="array" ref="F800">IF(E800="","",IF(H799&lt;&gt;"",H799,INDEX(D:D,E800)))</f>
        <v>0</v>
      </c>
      <c r="G800" s="232" t="str">
        <f t="shared" si="84"/>
        <v>0</v>
      </c>
      <c r="H800" s="233" t="str">
        <f t="shared" si="85"/>
        <v/>
      </c>
      <c r="I800" s="231" t="str">
        <f>IF(AND(F800&lt;&gt;"",N10&gt;0,M800&gt;N10),"Mot &gt; limite","")</f>
        <v/>
      </c>
      <c r="M800" s="126">
        <f>IF(OR(F800="",N10="",N10&lt;=0),"",IF(LEN(F800)&lt;=N10,LEN(F800),IFERROR(FIND("♦",SUBSTITUTE(LEFT(F800,N10)," ","♦",LEN(LEFT(F800,N10))-LEN(SUBSTITUTE(LEFT(F800,N10)," ","")))),FIND(" ",F800&amp;" ",N10+1)-1)))</f>
        <v>1</v>
      </c>
      <c r="N800" s="234">
        <f t="shared" si="86"/>
        <v>783</v>
      </c>
      <c r="O800" s="165" t="str">
        <f t="shared" si="87"/>
        <v>0</v>
      </c>
      <c r="P800" s="234">
        <f t="shared" si="88"/>
        <v>1</v>
      </c>
      <c r="Q800" s="234">
        <f t="shared" si="89"/>
        <v>1</v>
      </c>
      <c r="DE800" s="152"/>
      <c r="DF800" s="160" t="s">
        <v>2514</v>
      </c>
      <c r="DG800" s="160" t="s">
        <v>122</v>
      </c>
      <c r="DH800" s="160" t="s">
        <v>125</v>
      </c>
      <c r="DI800" s="160" t="s">
        <v>2515</v>
      </c>
      <c r="DJ800" s="160" t="s">
        <v>2515</v>
      </c>
      <c r="DK800" s="160" t="s">
        <v>1259</v>
      </c>
      <c r="DL800" s="160" t="s">
        <v>1260</v>
      </c>
      <c r="DM800" s="160" t="s">
        <v>1812</v>
      </c>
      <c r="DN800" s="161" t="s">
        <v>1813</v>
      </c>
      <c r="DP800" s="130">
        <v>1</v>
      </c>
    </row>
    <row r="801" spans="2:120" ht="15">
      <c r="B801" s="231"/>
      <c r="C801" s="231"/>
      <c r="D801" s="231"/>
      <c r="E801" s="231" cm="1">
        <f t="array" ref="E801">IF(H800&lt;&gt;"",E800,IF(E800="","",IFERROR(MATCH(TRUE(),INDEX(INDEX(K:K,E800+1):K203&lt;&gt;"",0),0)+E800,"")))</f>
        <v>893</v>
      </c>
      <c r="F801" s="232" cm="1">
        <f t="array" ref="F801">IF(E801="","",IF(H800&lt;&gt;"",H800,INDEX(D:D,E801)))</f>
        <v>0</v>
      </c>
      <c r="G801" s="232" t="str">
        <f t="shared" si="84"/>
        <v>0</v>
      </c>
      <c r="H801" s="233" t="str">
        <f t="shared" si="85"/>
        <v/>
      </c>
      <c r="I801" s="231" t="str">
        <f>IF(AND(F801&lt;&gt;"",N10&gt;0,M801&gt;N10),"Mot &gt; limite","")</f>
        <v/>
      </c>
      <c r="M801" s="126">
        <f>IF(OR(F801="",N10="",N10&lt;=0),"",IF(LEN(F801)&lt;=N10,LEN(F801),IFERROR(FIND("♦",SUBSTITUTE(LEFT(F801,N10)," ","♦",LEN(LEFT(F801,N10))-LEN(SUBSTITUTE(LEFT(F801,N10)," ","")))),FIND(" ",F801&amp;" ",N10+1)-1)))</f>
        <v>1</v>
      </c>
      <c r="N801" s="234">
        <f t="shared" si="86"/>
        <v>784</v>
      </c>
      <c r="O801" s="165" t="str">
        <f t="shared" si="87"/>
        <v>0</v>
      </c>
      <c r="P801" s="234">
        <f t="shared" si="88"/>
        <v>1</v>
      </c>
      <c r="Q801" s="234">
        <f t="shared" si="89"/>
        <v>1</v>
      </c>
      <c r="DE801" s="152"/>
      <c r="DF801" s="160" t="s">
        <v>2516</v>
      </c>
      <c r="DG801" s="160" t="s">
        <v>122</v>
      </c>
      <c r="DH801" s="160" t="s">
        <v>125</v>
      </c>
      <c r="DI801" s="160" t="s">
        <v>2517</v>
      </c>
      <c r="DJ801" s="160" t="s">
        <v>2517</v>
      </c>
      <c r="DK801" s="160" t="s">
        <v>1259</v>
      </c>
      <c r="DL801" s="160" t="s">
        <v>1260</v>
      </c>
      <c r="DM801" s="160" t="s">
        <v>1812</v>
      </c>
      <c r="DN801" s="161" t="s">
        <v>1813</v>
      </c>
      <c r="DP801" s="130">
        <v>1</v>
      </c>
    </row>
    <row r="802" spans="2:120" ht="15">
      <c r="B802" s="231"/>
      <c r="C802" s="231"/>
      <c r="D802" s="231"/>
      <c r="E802" s="231" cm="1">
        <f t="array" ref="E802">IF(H801&lt;&gt;"",E801,IF(E801="","",IFERROR(MATCH(TRUE(),INDEX(INDEX(K:K,E801+1):K203&lt;&gt;"",0),0)+E801,"")))</f>
        <v>894</v>
      </c>
      <c r="F802" s="232" cm="1">
        <f t="array" ref="F802">IF(E802="","",IF(H801&lt;&gt;"",H801,INDEX(D:D,E802)))</f>
        <v>0</v>
      </c>
      <c r="G802" s="232" t="str">
        <f t="shared" si="84"/>
        <v>0</v>
      </c>
      <c r="H802" s="233" t="str">
        <f t="shared" si="85"/>
        <v/>
      </c>
      <c r="I802" s="231" t="str">
        <f>IF(AND(F802&lt;&gt;"",N10&gt;0,M802&gt;N10),"Mot &gt; limite","")</f>
        <v/>
      </c>
      <c r="M802" s="126">
        <f>IF(OR(F802="",N10="",N10&lt;=0),"",IF(LEN(F802)&lt;=N10,LEN(F802),IFERROR(FIND("♦",SUBSTITUTE(LEFT(F802,N10)," ","♦",LEN(LEFT(F802,N10))-LEN(SUBSTITUTE(LEFT(F802,N10)," ","")))),FIND(" ",F802&amp;" ",N10+1)-1)))</f>
        <v>1</v>
      </c>
      <c r="N802" s="234">
        <f t="shared" si="86"/>
        <v>785</v>
      </c>
      <c r="O802" s="165" t="str">
        <f t="shared" si="87"/>
        <v>0</v>
      </c>
      <c r="P802" s="234">
        <f t="shared" si="88"/>
        <v>1</v>
      </c>
      <c r="Q802" s="234">
        <f t="shared" si="89"/>
        <v>1</v>
      </c>
      <c r="DE802" s="152"/>
      <c r="DF802" s="160" t="s">
        <v>2518</v>
      </c>
      <c r="DG802" s="160" t="s">
        <v>122</v>
      </c>
      <c r="DH802" s="160" t="s">
        <v>125</v>
      </c>
      <c r="DI802" s="160" t="s">
        <v>2519</v>
      </c>
      <c r="DJ802" s="160" t="s">
        <v>2519</v>
      </c>
      <c r="DK802" s="160" t="s">
        <v>1259</v>
      </c>
      <c r="DL802" s="160" t="s">
        <v>1260</v>
      </c>
      <c r="DM802" s="160" t="s">
        <v>1812</v>
      </c>
      <c r="DN802" s="161" t="s">
        <v>1813</v>
      </c>
      <c r="DP802" s="130">
        <v>1</v>
      </c>
    </row>
    <row r="803" spans="2:120" ht="15">
      <c r="B803" s="231"/>
      <c r="C803" s="231"/>
      <c r="D803" s="231"/>
      <c r="E803" s="231" cm="1">
        <f t="array" ref="E803">IF(H802&lt;&gt;"",E802,IF(E802="","",IFERROR(MATCH(TRUE(),INDEX(INDEX(K:K,E802+1):K203&lt;&gt;"",0),0)+E802,"")))</f>
        <v>895</v>
      </c>
      <c r="F803" s="232" cm="1">
        <f t="array" ref="F803">IF(E803="","",IF(H802&lt;&gt;"",H802,INDEX(D:D,E803)))</f>
        <v>0</v>
      </c>
      <c r="G803" s="232" t="str">
        <f t="shared" si="84"/>
        <v>0</v>
      </c>
      <c r="H803" s="233" t="str">
        <f t="shared" si="85"/>
        <v/>
      </c>
      <c r="I803" s="231" t="str">
        <f>IF(AND(F803&lt;&gt;"",N10&gt;0,M803&gt;N10),"Mot &gt; limite","")</f>
        <v/>
      </c>
      <c r="M803" s="126">
        <f>IF(OR(F803="",N10="",N10&lt;=0),"",IF(LEN(F803)&lt;=N10,LEN(F803),IFERROR(FIND("♦",SUBSTITUTE(LEFT(F803,N10)," ","♦",LEN(LEFT(F803,N10))-LEN(SUBSTITUTE(LEFT(F803,N10)," ","")))),FIND(" ",F803&amp;" ",N10+1)-1)))</f>
        <v>1</v>
      </c>
      <c r="N803" s="234">
        <f t="shared" si="86"/>
        <v>786</v>
      </c>
      <c r="O803" s="165" t="str">
        <f t="shared" si="87"/>
        <v>0</v>
      </c>
      <c r="P803" s="234">
        <f t="shared" si="88"/>
        <v>1</v>
      </c>
      <c r="Q803" s="234">
        <f t="shared" si="89"/>
        <v>1</v>
      </c>
      <c r="DE803" s="152"/>
      <c r="DF803" s="160" t="s">
        <v>2520</v>
      </c>
      <c r="DG803" s="160" t="s">
        <v>122</v>
      </c>
      <c r="DH803" s="160" t="s">
        <v>125</v>
      </c>
      <c r="DI803" s="160" t="s">
        <v>2521</v>
      </c>
      <c r="DJ803" s="160" t="s">
        <v>2521</v>
      </c>
      <c r="DK803" s="160" t="s">
        <v>1259</v>
      </c>
      <c r="DL803" s="160" t="s">
        <v>1260</v>
      </c>
      <c r="DM803" s="160" t="s">
        <v>1812</v>
      </c>
      <c r="DN803" s="161" t="s">
        <v>1813</v>
      </c>
      <c r="DP803" s="130">
        <v>1</v>
      </c>
    </row>
    <row r="804" spans="2:120" ht="15">
      <c r="B804" s="231"/>
      <c r="C804" s="231"/>
      <c r="D804" s="231"/>
      <c r="E804" s="231" cm="1">
        <f t="array" ref="E804">IF(H803&lt;&gt;"",E803,IF(E803="","",IFERROR(MATCH(TRUE(),INDEX(INDEX(K:K,E803+1):K203&lt;&gt;"",0),0)+E803,"")))</f>
        <v>896</v>
      </c>
      <c r="F804" s="232" cm="1">
        <f t="array" ref="F804">IF(E804="","",IF(H803&lt;&gt;"",H803,INDEX(D:D,E804)))</f>
        <v>0</v>
      </c>
      <c r="G804" s="232" t="str">
        <f t="shared" si="84"/>
        <v>0</v>
      </c>
      <c r="H804" s="233" t="str">
        <f t="shared" si="85"/>
        <v/>
      </c>
      <c r="I804" s="231" t="str">
        <f>IF(AND(F804&lt;&gt;"",N10&gt;0,M804&gt;N10),"Mot &gt; limite","")</f>
        <v/>
      </c>
      <c r="M804" s="126">
        <f>IF(OR(F804="",N10="",N10&lt;=0),"",IF(LEN(F804)&lt;=N10,LEN(F804),IFERROR(FIND("♦",SUBSTITUTE(LEFT(F804,N10)," ","♦",LEN(LEFT(F804,N10))-LEN(SUBSTITUTE(LEFT(F804,N10)," ","")))),FIND(" ",F804&amp;" ",N10+1)-1)))</f>
        <v>1</v>
      </c>
      <c r="N804" s="234">
        <f t="shared" si="86"/>
        <v>787</v>
      </c>
      <c r="O804" s="165" t="str">
        <f t="shared" si="87"/>
        <v>0</v>
      </c>
      <c r="P804" s="234">
        <f t="shared" si="88"/>
        <v>1</v>
      </c>
      <c r="Q804" s="234">
        <f t="shared" si="89"/>
        <v>1</v>
      </c>
      <c r="DE804" s="152"/>
      <c r="DF804" s="160" t="s">
        <v>2522</v>
      </c>
      <c r="DG804" s="160" t="s">
        <v>122</v>
      </c>
      <c r="DH804" s="160" t="s">
        <v>125</v>
      </c>
      <c r="DI804" s="160" t="s">
        <v>2523</v>
      </c>
      <c r="DJ804" s="160" t="s">
        <v>2523</v>
      </c>
      <c r="DK804" s="160" t="s">
        <v>1259</v>
      </c>
      <c r="DL804" s="160" t="s">
        <v>1260</v>
      </c>
      <c r="DM804" s="160" t="s">
        <v>1812</v>
      </c>
      <c r="DN804" s="161" t="s">
        <v>1813</v>
      </c>
      <c r="DP804" s="130">
        <v>1</v>
      </c>
    </row>
    <row r="805" spans="2:120" ht="15">
      <c r="B805" s="231"/>
      <c r="C805" s="231"/>
      <c r="D805" s="231"/>
      <c r="E805" s="231" cm="1">
        <f t="array" ref="E805">IF(H804&lt;&gt;"",E804,IF(E804="","",IFERROR(MATCH(TRUE(),INDEX(INDEX(K:K,E804+1):K203&lt;&gt;"",0),0)+E804,"")))</f>
        <v>897</v>
      </c>
      <c r="F805" s="232" cm="1">
        <f t="array" ref="F805">IF(E805="","",IF(H804&lt;&gt;"",H804,INDEX(D:D,E805)))</f>
        <v>0</v>
      </c>
      <c r="G805" s="232" t="str">
        <f t="shared" si="84"/>
        <v>0</v>
      </c>
      <c r="H805" s="233" t="str">
        <f t="shared" si="85"/>
        <v/>
      </c>
      <c r="I805" s="231" t="str">
        <f>IF(AND(F805&lt;&gt;"",N10&gt;0,M805&gt;N10),"Mot &gt; limite","")</f>
        <v/>
      </c>
      <c r="M805" s="126">
        <f>IF(OR(F805="",N10="",N10&lt;=0),"",IF(LEN(F805)&lt;=N10,LEN(F805),IFERROR(FIND("♦",SUBSTITUTE(LEFT(F805,N10)," ","♦",LEN(LEFT(F805,N10))-LEN(SUBSTITUTE(LEFT(F805,N10)," ","")))),FIND(" ",F805&amp;" ",N10+1)-1)))</f>
        <v>1</v>
      </c>
      <c r="N805" s="234">
        <f t="shared" si="86"/>
        <v>788</v>
      </c>
      <c r="O805" s="165" t="str">
        <f t="shared" si="87"/>
        <v>0</v>
      </c>
      <c r="P805" s="234">
        <f t="shared" si="88"/>
        <v>1</v>
      </c>
      <c r="Q805" s="234">
        <f t="shared" si="89"/>
        <v>1</v>
      </c>
      <c r="DE805" s="152"/>
      <c r="DF805" s="160" t="s">
        <v>2524</v>
      </c>
      <c r="DG805" s="160" t="s">
        <v>122</v>
      </c>
      <c r="DH805" s="160" t="s">
        <v>125</v>
      </c>
      <c r="DI805" s="160" t="s">
        <v>2525</v>
      </c>
      <c r="DJ805" s="160" t="s">
        <v>2525</v>
      </c>
      <c r="DK805" s="160" t="s">
        <v>1259</v>
      </c>
      <c r="DL805" s="160" t="s">
        <v>1260</v>
      </c>
      <c r="DM805" s="160" t="s">
        <v>1812</v>
      </c>
      <c r="DN805" s="161" t="s">
        <v>1813</v>
      </c>
      <c r="DP805" s="130">
        <v>1</v>
      </c>
    </row>
    <row r="806" spans="2:120" ht="15">
      <c r="B806" s="231"/>
      <c r="C806" s="231"/>
      <c r="D806" s="231"/>
      <c r="E806" s="231" cm="1">
        <f t="array" ref="E806">IF(H805&lt;&gt;"",E805,IF(E805="","",IFERROR(MATCH(TRUE(),INDEX(INDEX(K:K,E805+1):K203&lt;&gt;"",0),0)+E805,"")))</f>
        <v>898</v>
      </c>
      <c r="F806" s="232" cm="1">
        <f t="array" ref="F806">IF(E806="","",IF(H805&lt;&gt;"",H805,INDEX(D:D,E806)))</f>
        <v>0</v>
      </c>
      <c r="G806" s="232" t="str">
        <f t="shared" si="84"/>
        <v>0</v>
      </c>
      <c r="H806" s="233" t="str">
        <f t="shared" si="85"/>
        <v/>
      </c>
      <c r="I806" s="231" t="str">
        <f>IF(AND(F806&lt;&gt;"",N10&gt;0,M806&gt;N10),"Mot &gt; limite","")</f>
        <v/>
      </c>
      <c r="M806" s="126">
        <f>IF(OR(F806="",N10="",N10&lt;=0),"",IF(LEN(F806)&lt;=N10,LEN(F806),IFERROR(FIND("♦",SUBSTITUTE(LEFT(F806,N10)," ","♦",LEN(LEFT(F806,N10))-LEN(SUBSTITUTE(LEFT(F806,N10)," ","")))),FIND(" ",F806&amp;" ",N10+1)-1)))</f>
        <v>1</v>
      </c>
      <c r="N806" s="234">
        <f t="shared" si="86"/>
        <v>789</v>
      </c>
      <c r="O806" s="165" t="str">
        <f t="shared" si="87"/>
        <v>0</v>
      </c>
      <c r="P806" s="234">
        <f t="shared" si="88"/>
        <v>1</v>
      </c>
      <c r="Q806" s="234">
        <f t="shared" si="89"/>
        <v>1</v>
      </c>
      <c r="DE806" s="152"/>
      <c r="DF806" s="160" t="s">
        <v>2526</v>
      </c>
      <c r="DG806" s="160" t="s">
        <v>122</v>
      </c>
      <c r="DH806" s="160" t="s">
        <v>125</v>
      </c>
      <c r="DI806" s="160" t="s">
        <v>2527</v>
      </c>
      <c r="DJ806" s="160" t="s">
        <v>2527</v>
      </c>
      <c r="DK806" s="160" t="s">
        <v>1259</v>
      </c>
      <c r="DL806" s="160" t="s">
        <v>1260</v>
      </c>
      <c r="DM806" s="160" t="s">
        <v>1812</v>
      </c>
      <c r="DN806" s="161" t="s">
        <v>1813</v>
      </c>
      <c r="DP806" s="130">
        <v>1</v>
      </c>
    </row>
    <row r="807" spans="2:120" ht="15">
      <c r="B807" s="231"/>
      <c r="C807" s="231"/>
      <c r="D807" s="231"/>
      <c r="E807" s="231" cm="1">
        <f t="array" ref="E807">IF(H806&lt;&gt;"",E806,IF(E806="","",IFERROR(MATCH(TRUE(),INDEX(INDEX(K:K,E806+1):K203&lt;&gt;"",0),0)+E806,"")))</f>
        <v>899</v>
      </c>
      <c r="F807" s="232" cm="1">
        <f t="array" ref="F807">IF(E807="","",IF(H806&lt;&gt;"",H806,INDEX(D:D,E807)))</f>
        <v>0</v>
      </c>
      <c r="G807" s="232" t="str">
        <f t="shared" si="84"/>
        <v>0</v>
      </c>
      <c r="H807" s="233" t="str">
        <f t="shared" si="85"/>
        <v/>
      </c>
      <c r="I807" s="231" t="str">
        <f>IF(AND(F807&lt;&gt;"",N10&gt;0,M807&gt;N10),"Mot &gt; limite","")</f>
        <v/>
      </c>
      <c r="M807" s="126">
        <f>IF(OR(F807="",N10="",N10&lt;=0),"",IF(LEN(F807)&lt;=N10,LEN(F807),IFERROR(FIND("♦",SUBSTITUTE(LEFT(F807,N10)," ","♦",LEN(LEFT(F807,N10))-LEN(SUBSTITUTE(LEFT(F807,N10)," ","")))),FIND(" ",F807&amp;" ",N10+1)-1)))</f>
        <v>1</v>
      </c>
      <c r="N807" s="234">
        <f t="shared" si="86"/>
        <v>790</v>
      </c>
      <c r="O807" s="165" t="str">
        <f t="shared" si="87"/>
        <v>0</v>
      </c>
      <c r="P807" s="234">
        <f t="shared" si="88"/>
        <v>1</v>
      </c>
      <c r="Q807" s="234">
        <f t="shared" si="89"/>
        <v>1</v>
      </c>
      <c r="DE807" s="152"/>
      <c r="DF807" s="160" t="s">
        <v>2528</v>
      </c>
      <c r="DG807" s="160" t="s">
        <v>122</v>
      </c>
      <c r="DH807" s="160" t="s">
        <v>125</v>
      </c>
      <c r="DI807" s="160" t="s">
        <v>2529</v>
      </c>
      <c r="DJ807" s="160" t="s">
        <v>2529</v>
      </c>
      <c r="DK807" s="160" t="s">
        <v>1259</v>
      </c>
      <c r="DL807" s="160" t="s">
        <v>1260</v>
      </c>
      <c r="DM807" s="160" t="s">
        <v>1812</v>
      </c>
      <c r="DN807" s="161" t="s">
        <v>1813</v>
      </c>
      <c r="DP807" s="130">
        <v>1</v>
      </c>
    </row>
    <row r="808" spans="2:120" ht="15">
      <c r="B808" s="231"/>
      <c r="C808" s="231"/>
      <c r="D808" s="231"/>
      <c r="E808" s="231" cm="1">
        <f t="array" ref="E808">IF(H807&lt;&gt;"",E807,IF(E807="","",IFERROR(MATCH(TRUE(),INDEX(INDEX(K:K,E807+1):K203&lt;&gt;"",0),0)+E807,"")))</f>
        <v>900</v>
      </c>
      <c r="F808" s="232" cm="1">
        <f t="array" ref="F808">IF(E808="","",IF(H807&lt;&gt;"",H807,INDEX(D:D,E808)))</f>
        <v>0</v>
      </c>
      <c r="G808" s="232" t="str">
        <f t="shared" si="84"/>
        <v>0</v>
      </c>
      <c r="H808" s="233" t="str">
        <f t="shared" si="85"/>
        <v/>
      </c>
      <c r="I808" s="231" t="str">
        <f>IF(AND(F808&lt;&gt;"",N10&gt;0,M808&gt;N10),"Mot &gt; limite","")</f>
        <v/>
      </c>
      <c r="M808" s="126">
        <f>IF(OR(F808="",N10="",N10&lt;=0),"",IF(LEN(F808)&lt;=N10,LEN(F808),IFERROR(FIND("♦",SUBSTITUTE(LEFT(F808,N10)," ","♦",LEN(LEFT(F808,N10))-LEN(SUBSTITUTE(LEFT(F808,N10)," ","")))),FIND(" ",F808&amp;" ",N10+1)-1)))</f>
        <v>1</v>
      </c>
      <c r="N808" s="234">
        <f t="shared" si="86"/>
        <v>791</v>
      </c>
      <c r="O808" s="165" t="str">
        <f t="shared" si="87"/>
        <v>0</v>
      </c>
      <c r="P808" s="234">
        <f t="shared" si="88"/>
        <v>1</v>
      </c>
      <c r="Q808" s="234">
        <f t="shared" si="89"/>
        <v>1</v>
      </c>
      <c r="DE808" s="152"/>
      <c r="DF808" s="160" t="s">
        <v>2530</v>
      </c>
      <c r="DG808" s="160" t="s">
        <v>122</v>
      </c>
      <c r="DH808" s="160" t="s">
        <v>125</v>
      </c>
      <c r="DI808" s="160" t="s">
        <v>2531</v>
      </c>
      <c r="DJ808" s="160" t="s">
        <v>2531</v>
      </c>
      <c r="DK808" s="160" t="s">
        <v>1259</v>
      </c>
      <c r="DL808" s="160" t="s">
        <v>1260</v>
      </c>
      <c r="DM808" s="160" t="s">
        <v>1812</v>
      </c>
      <c r="DN808" s="161" t="s">
        <v>1813</v>
      </c>
      <c r="DP808" s="130">
        <v>1</v>
      </c>
    </row>
    <row r="809" spans="2:120" ht="15">
      <c r="B809" s="231"/>
      <c r="C809" s="231"/>
      <c r="D809" s="231"/>
      <c r="E809" s="231" cm="1">
        <f t="array" ref="E809">IF(H808&lt;&gt;"",E808,IF(E808="","",IFERROR(MATCH(TRUE(),INDEX(INDEX(K:K,E808+1):K203&lt;&gt;"",0),0)+E808,"")))</f>
        <v>901</v>
      </c>
      <c r="F809" s="232" cm="1">
        <f t="array" ref="F809">IF(E809="","",IF(H808&lt;&gt;"",H808,INDEX(D:D,E809)))</f>
        <v>0</v>
      </c>
      <c r="G809" s="232" t="str">
        <f t="shared" si="84"/>
        <v>0</v>
      </c>
      <c r="H809" s="233" t="str">
        <f t="shared" si="85"/>
        <v/>
      </c>
      <c r="I809" s="231" t="str">
        <f>IF(AND(F809&lt;&gt;"",N10&gt;0,M809&gt;N10),"Mot &gt; limite","")</f>
        <v/>
      </c>
      <c r="M809" s="126">
        <f>IF(OR(F809="",N10="",N10&lt;=0),"",IF(LEN(F809)&lt;=N10,LEN(F809),IFERROR(FIND("♦",SUBSTITUTE(LEFT(F809,N10)," ","♦",LEN(LEFT(F809,N10))-LEN(SUBSTITUTE(LEFT(F809,N10)," ","")))),FIND(" ",F809&amp;" ",N10+1)-1)))</f>
        <v>1</v>
      </c>
      <c r="N809" s="234">
        <f t="shared" si="86"/>
        <v>792</v>
      </c>
      <c r="O809" s="165" t="str">
        <f t="shared" si="87"/>
        <v>0</v>
      </c>
      <c r="P809" s="234">
        <f t="shared" si="88"/>
        <v>1</v>
      </c>
      <c r="Q809" s="234">
        <f t="shared" si="89"/>
        <v>1</v>
      </c>
      <c r="DE809" s="152"/>
      <c r="DF809" s="160" t="s">
        <v>2532</v>
      </c>
      <c r="DG809" s="160" t="s">
        <v>122</v>
      </c>
      <c r="DH809" s="160" t="s">
        <v>125</v>
      </c>
      <c r="DI809" s="160" t="s">
        <v>2533</v>
      </c>
      <c r="DJ809" s="160" t="s">
        <v>2533</v>
      </c>
      <c r="DK809" s="160" t="s">
        <v>1259</v>
      </c>
      <c r="DL809" s="160" t="s">
        <v>1260</v>
      </c>
      <c r="DM809" s="160" t="s">
        <v>1812</v>
      </c>
      <c r="DN809" s="161" t="s">
        <v>1813</v>
      </c>
      <c r="DP809" s="130">
        <v>1</v>
      </c>
    </row>
    <row r="810" spans="2:120" ht="15">
      <c r="B810" s="231"/>
      <c r="C810" s="231"/>
      <c r="D810" s="231"/>
      <c r="E810" s="231" cm="1">
        <f t="array" ref="E810">IF(H809&lt;&gt;"",E809,IF(E809="","",IFERROR(MATCH(TRUE(),INDEX(INDEX(K:K,E809+1):K203&lt;&gt;"",0),0)+E809,"")))</f>
        <v>902</v>
      </c>
      <c r="F810" s="232" cm="1">
        <f t="array" ref="F810">IF(E810="","",IF(H809&lt;&gt;"",H809,INDEX(D:D,E810)))</f>
        <v>0</v>
      </c>
      <c r="G810" s="232" t="str">
        <f t="shared" si="84"/>
        <v>0</v>
      </c>
      <c r="H810" s="233" t="str">
        <f t="shared" si="85"/>
        <v/>
      </c>
      <c r="I810" s="231" t="str">
        <f>IF(AND(F810&lt;&gt;"",N10&gt;0,M810&gt;N10),"Mot &gt; limite","")</f>
        <v/>
      </c>
      <c r="M810" s="126">
        <f>IF(OR(F810="",N10="",N10&lt;=0),"",IF(LEN(F810)&lt;=N10,LEN(F810),IFERROR(FIND("♦",SUBSTITUTE(LEFT(F810,N10)," ","♦",LEN(LEFT(F810,N10))-LEN(SUBSTITUTE(LEFT(F810,N10)," ","")))),FIND(" ",F810&amp;" ",N10+1)-1)))</f>
        <v>1</v>
      </c>
      <c r="N810" s="234">
        <f t="shared" si="86"/>
        <v>793</v>
      </c>
      <c r="O810" s="165" t="str">
        <f t="shared" si="87"/>
        <v>0</v>
      </c>
      <c r="P810" s="234">
        <f t="shared" si="88"/>
        <v>1</v>
      </c>
      <c r="Q810" s="234">
        <f t="shared" si="89"/>
        <v>1</v>
      </c>
      <c r="DE810" s="152"/>
      <c r="DF810" s="160" t="s">
        <v>2534</v>
      </c>
      <c r="DG810" s="160" t="s">
        <v>122</v>
      </c>
      <c r="DH810" s="160" t="s">
        <v>125</v>
      </c>
      <c r="DI810" s="160" t="s">
        <v>2535</v>
      </c>
      <c r="DJ810" s="160" t="s">
        <v>2535</v>
      </c>
      <c r="DK810" s="160" t="s">
        <v>1259</v>
      </c>
      <c r="DL810" s="160" t="s">
        <v>1260</v>
      </c>
      <c r="DM810" s="160" t="s">
        <v>1812</v>
      </c>
      <c r="DN810" s="161" t="s">
        <v>1813</v>
      </c>
      <c r="DP810" s="130">
        <v>1</v>
      </c>
    </row>
    <row r="811" spans="2:120" ht="15">
      <c r="B811" s="231"/>
      <c r="C811" s="231"/>
      <c r="D811" s="231"/>
      <c r="E811" s="231" cm="1">
        <f t="array" ref="E811">IF(H810&lt;&gt;"",E810,IF(E810="","",IFERROR(MATCH(TRUE(),INDEX(INDEX(K:K,E810+1):K203&lt;&gt;"",0),0)+E810,"")))</f>
        <v>903</v>
      </c>
      <c r="F811" s="232" cm="1">
        <f t="array" ref="F811">IF(E811="","",IF(H810&lt;&gt;"",H810,INDEX(D:D,E811)))</f>
        <v>0</v>
      </c>
      <c r="G811" s="232" t="str">
        <f t="shared" si="84"/>
        <v>0</v>
      </c>
      <c r="H811" s="233" t="str">
        <f t="shared" si="85"/>
        <v/>
      </c>
      <c r="I811" s="231" t="str">
        <f>IF(AND(F811&lt;&gt;"",N10&gt;0,M811&gt;N10),"Mot &gt; limite","")</f>
        <v/>
      </c>
      <c r="M811" s="126">
        <f>IF(OR(F811="",N10="",N10&lt;=0),"",IF(LEN(F811)&lt;=N10,LEN(F811),IFERROR(FIND("♦",SUBSTITUTE(LEFT(F811,N10)," ","♦",LEN(LEFT(F811,N10))-LEN(SUBSTITUTE(LEFT(F811,N10)," ","")))),FIND(" ",F811&amp;" ",N10+1)-1)))</f>
        <v>1</v>
      </c>
      <c r="N811" s="234">
        <f t="shared" si="86"/>
        <v>794</v>
      </c>
      <c r="O811" s="165" t="str">
        <f t="shared" si="87"/>
        <v>0</v>
      </c>
      <c r="P811" s="234">
        <f t="shared" si="88"/>
        <v>1</v>
      </c>
      <c r="Q811" s="234">
        <f t="shared" si="89"/>
        <v>1</v>
      </c>
      <c r="DE811" s="152"/>
      <c r="DF811" s="160" t="s">
        <v>2536</v>
      </c>
      <c r="DG811" s="160" t="s">
        <v>122</v>
      </c>
      <c r="DH811" s="160" t="s">
        <v>125</v>
      </c>
      <c r="DI811" s="160" t="s">
        <v>2537</v>
      </c>
      <c r="DJ811" s="160" t="s">
        <v>2537</v>
      </c>
      <c r="DK811" s="160" t="s">
        <v>1259</v>
      </c>
      <c r="DL811" s="160" t="s">
        <v>1260</v>
      </c>
      <c r="DM811" s="160" t="s">
        <v>1812</v>
      </c>
      <c r="DN811" s="161" t="s">
        <v>1813</v>
      </c>
      <c r="DP811" s="130">
        <v>1</v>
      </c>
    </row>
    <row r="812" spans="2:120" ht="15">
      <c r="B812" s="231"/>
      <c r="C812" s="231"/>
      <c r="D812" s="231"/>
      <c r="E812" s="231" cm="1">
        <f t="array" ref="E812">IF(H811&lt;&gt;"",E811,IF(E811="","",IFERROR(MATCH(TRUE(),INDEX(INDEX(K:K,E811+1):K203&lt;&gt;"",0),0)+E811,"")))</f>
        <v>904</v>
      </c>
      <c r="F812" s="232" cm="1">
        <f t="array" ref="F812">IF(E812="","",IF(H811&lt;&gt;"",H811,INDEX(D:D,E812)))</f>
        <v>0</v>
      </c>
      <c r="G812" s="232" t="str">
        <f t="shared" si="84"/>
        <v>0</v>
      </c>
      <c r="H812" s="233" t="str">
        <f t="shared" si="85"/>
        <v/>
      </c>
      <c r="I812" s="231" t="str">
        <f>IF(AND(F812&lt;&gt;"",N10&gt;0,M812&gt;N10),"Mot &gt; limite","")</f>
        <v/>
      </c>
      <c r="M812" s="126">
        <f>IF(OR(F812="",N10="",N10&lt;=0),"",IF(LEN(F812)&lt;=N10,LEN(F812),IFERROR(FIND("♦",SUBSTITUTE(LEFT(F812,N10)," ","♦",LEN(LEFT(F812,N10))-LEN(SUBSTITUTE(LEFT(F812,N10)," ","")))),FIND(" ",F812&amp;" ",N10+1)-1)))</f>
        <v>1</v>
      </c>
      <c r="N812" s="234">
        <f t="shared" si="86"/>
        <v>795</v>
      </c>
      <c r="O812" s="165" t="str">
        <f t="shared" si="87"/>
        <v>0</v>
      </c>
      <c r="P812" s="234">
        <f t="shared" si="88"/>
        <v>1</v>
      </c>
      <c r="Q812" s="234">
        <f t="shared" si="89"/>
        <v>1</v>
      </c>
      <c r="DE812" s="152"/>
      <c r="DF812" s="160" t="s">
        <v>2538</v>
      </c>
      <c r="DG812" s="160" t="s">
        <v>122</v>
      </c>
      <c r="DH812" s="160" t="s">
        <v>125</v>
      </c>
      <c r="DI812" s="160" t="s">
        <v>2539</v>
      </c>
      <c r="DJ812" s="160" t="s">
        <v>2539</v>
      </c>
      <c r="DK812" s="160" t="s">
        <v>1259</v>
      </c>
      <c r="DL812" s="160" t="s">
        <v>1260</v>
      </c>
      <c r="DM812" s="160" t="s">
        <v>1812</v>
      </c>
      <c r="DN812" s="161" t="s">
        <v>1813</v>
      </c>
      <c r="DP812" s="130">
        <v>1</v>
      </c>
    </row>
    <row r="813" spans="2:120" ht="15">
      <c r="B813" s="231"/>
      <c r="C813" s="231"/>
      <c r="D813" s="231"/>
      <c r="E813" s="231" cm="1">
        <f t="array" ref="E813">IF(H812&lt;&gt;"",E812,IF(E812="","",IFERROR(MATCH(TRUE(),INDEX(INDEX(K:K,E812+1):K203&lt;&gt;"",0),0)+E812,"")))</f>
        <v>905</v>
      </c>
      <c r="F813" s="232" cm="1">
        <f t="array" ref="F813">IF(E813="","",IF(H812&lt;&gt;"",H812,INDEX(D:D,E813)))</f>
        <v>0</v>
      </c>
      <c r="G813" s="232" t="str">
        <f t="shared" si="84"/>
        <v>0</v>
      </c>
      <c r="H813" s="233" t="str">
        <f t="shared" si="85"/>
        <v/>
      </c>
      <c r="I813" s="231" t="str">
        <f>IF(AND(F813&lt;&gt;"",N10&gt;0,M813&gt;N10),"Mot &gt; limite","")</f>
        <v/>
      </c>
      <c r="M813" s="126">
        <f>IF(OR(F813="",N10="",N10&lt;=0),"",IF(LEN(F813)&lt;=N10,LEN(F813),IFERROR(FIND("♦",SUBSTITUTE(LEFT(F813,N10)," ","♦",LEN(LEFT(F813,N10))-LEN(SUBSTITUTE(LEFT(F813,N10)," ","")))),FIND(" ",F813&amp;" ",N10+1)-1)))</f>
        <v>1</v>
      </c>
      <c r="N813" s="234">
        <f t="shared" si="86"/>
        <v>796</v>
      </c>
      <c r="O813" s="165" t="str">
        <f t="shared" si="87"/>
        <v>0</v>
      </c>
      <c r="P813" s="234">
        <f t="shared" si="88"/>
        <v>1</v>
      </c>
      <c r="Q813" s="234">
        <f t="shared" si="89"/>
        <v>1</v>
      </c>
      <c r="DE813" s="152"/>
      <c r="DF813" s="160" t="s">
        <v>2540</v>
      </c>
      <c r="DG813" s="160" t="s">
        <v>122</v>
      </c>
      <c r="DH813" s="160" t="s">
        <v>125</v>
      </c>
      <c r="DI813" s="160" t="s">
        <v>2541</v>
      </c>
      <c r="DJ813" s="160" t="s">
        <v>2541</v>
      </c>
      <c r="DK813" s="160" t="s">
        <v>1259</v>
      </c>
      <c r="DL813" s="160" t="s">
        <v>1260</v>
      </c>
      <c r="DM813" s="160" t="s">
        <v>1812</v>
      </c>
      <c r="DN813" s="161" t="s">
        <v>1813</v>
      </c>
      <c r="DP813" s="130">
        <v>1</v>
      </c>
    </row>
    <row r="814" spans="2:120" ht="15">
      <c r="B814" s="231"/>
      <c r="C814" s="231"/>
      <c r="D814" s="231"/>
      <c r="E814" s="231" cm="1">
        <f t="array" ref="E814">IF(H813&lt;&gt;"",E813,IF(E813="","",IFERROR(MATCH(TRUE(),INDEX(INDEX(K:K,E813+1):K203&lt;&gt;"",0),0)+E813,"")))</f>
        <v>906</v>
      </c>
      <c r="F814" s="232" cm="1">
        <f t="array" ref="F814">IF(E814="","",IF(H813&lt;&gt;"",H813,INDEX(D:D,E814)))</f>
        <v>0</v>
      </c>
      <c r="G814" s="232" t="str">
        <f t="shared" si="84"/>
        <v>0</v>
      </c>
      <c r="H814" s="233" t="str">
        <f t="shared" si="85"/>
        <v/>
      </c>
      <c r="I814" s="231" t="str">
        <f>IF(AND(F814&lt;&gt;"",N10&gt;0,M814&gt;N10),"Mot &gt; limite","")</f>
        <v/>
      </c>
      <c r="M814" s="126">
        <f>IF(OR(F814="",N10="",N10&lt;=0),"",IF(LEN(F814)&lt;=N10,LEN(F814),IFERROR(FIND("♦",SUBSTITUTE(LEFT(F814,N10)," ","♦",LEN(LEFT(F814,N10))-LEN(SUBSTITUTE(LEFT(F814,N10)," ","")))),FIND(" ",F814&amp;" ",N10+1)-1)))</f>
        <v>1</v>
      </c>
      <c r="N814" s="234">
        <f t="shared" si="86"/>
        <v>797</v>
      </c>
      <c r="O814" s="165" t="str">
        <f t="shared" si="87"/>
        <v>0</v>
      </c>
      <c r="P814" s="234">
        <f t="shared" si="88"/>
        <v>1</v>
      </c>
      <c r="Q814" s="234">
        <f t="shared" si="89"/>
        <v>1</v>
      </c>
      <c r="DE814" s="152"/>
      <c r="DF814" s="160" t="s">
        <v>2542</v>
      </c>
      <c r="DG814" s="160" t="s">
        <v>122</v>
      </c>
      <c r="DH814" s="160" t="s">
        <v>125</v>
      </c>
      <c r="DI814" s="160" t="s">
        <v>2543</v>
      </c>
      <c r="DJ814" s="160" t="s">
        <v>2543</v>
      </c>
      <c r="DK814" s="160" t="s">
        <v>1259</v>
      </c>
      <c r="DL814" s="160" t="s">
        <v>1260</v>
      </c>
      <c r="DM814" s="160" t="s">
        <v>1812</v>
      </c>
      <c r="DN814" s="161" t="s">
        <v>1813</v>
      </c>
      <c r="DP814" s="130">
        <v>1</v>
      </c>
    </row>
    <row r="815" spans="2:120" ht="15">
      <c r="B815" s="231"/>
      <c r="C815" s="231"/>
      <c r="D815" s="231"/>
      <c r="E815" s="231" cm="1">
        <f t="array" ref="E815">IF(H814&lt;&gt;"",E814,IF(E814="","",IFERROR(MATCH(TRUE(),INDEX(INDEX(K:K,E814+1):K203&lt;&gt;"",0),0)+E814,"")))</f>
        <v>907</v>
      </c>
      <c r="F815" s="232" cm="1">
        <f t="array" ref="F815">IF(E815="","",IF(H814&lt;&gt;"",H814,INDEX(D:D,E815)))</f>
        <v>0</v>
      </c>
      <c r="G815" s="232" t="str">
        <f t="shared" si="84"/>
        <v>0</v>
      </c>
      <c r="H815" s="233" t="str">
        <f t="shared" si="85"/>
        <v/>
      </c>
      <c r="I815" s="231" t="str">
        <f>IF(AND(F815&lt;&gt;"",N10&gt;0,M815&gt;N10),"Mot &gt; limite","")</f>
        <v/>
      </c>
      <c r="M815" s="126">
        <f>IF(OR(F815="",N10="",N10&lt;=0),"",IF(LEN(F815)&lt;=N10,LEN(F815),IFERROR(FIND("♦",SUBSTITUTE(LEFT(F815,N10)," ","♦",LEN(LEFT(F815,N10))-LEN(SUBSTITUTE(LEFT(F815,N10)," ","")))),FIND(" ",F815&amp;" ",N10+1)-1)))</f>
        <v>1</v>
      </c>
      <c r="N815" s="234">
        <f t="shared" si="86"/>
        <v>798</v>
      </c>
      <c r="O815" s="165" t="str">
        <f t="shared" si="87"/>
        <v>0</v>
      </c>
      <c r="P815" s="234">
        <f t="shared" si="88"/>
        <v>1</v>
      </c>
      <c r="Q815" s="234">
        <f t="shared" si="89"/>
        <v>1</v>
      </c>
      <c r="DE815" s="152"/>
      <c r="DF815" s="160" t="s">
        <v>2544</v>
      </c>
      <c r="DG815" s="160" t="s">
        <v>122</v>
      </c>
      <c r="DH815" s="160" t="s">
        <v>125</v>
      </c>
      <c r="DI815" s="160" t="s">
        <v>2545</v>
      </c>
      <c r="DJ815" s="160" t="s">
        <v>2545</v>
      </c>
      <c r="DK815" s="160" t="s">
        <v>1259</v>
      </c>
      <c r="DL815" s="160" t="s">
        <v>1260</v>
      </c>
      <c r="DM815" s="160" t="s">
        <v>1812</v>
      </c>
      <c r="DN815" s="161" t="s">
        <v>1813</v>
      </c>
      <c r="DP815" s="130">
        <v>1</v>
      </c>
    </row>
    <row r="816" spans="2:120" ht="15">
      <c r="B816" s="231"/>
      <c r="C816" s="231"/>
      <c r="D816" s="231"/>
      <c r="E816" s="231" cm="1">
        <f t="array" ref="E816">IF(H815&lt;&gt;"",E815,IF(E815="","",IFERROR(MATCH(TRUE(),INDEX(INDEX(K:K,E815+1):K203&lt;&gt;"",0),0)+E815,"")))</f>
        <v>908</v>
      </c>
      <c r="F816" s="232" cm="1">
        <f t="array" ref="F816">IF(E816="","",IF(H815&lt;&gt;"",H815,INDEX(D:D,E816)))</f>
        <v>0</v>
      </c>
      <c r="G816" s="232" t="str">
        <f t="shared" si="84"/>
        <v>0</v>
      </c>
      <c r="H816" s="233" t="str">
        <f t="shared" si="85"/>
        <v/>
      </c>
      <c r="I816" s="231" t="str">
        <f>IF(AND(F816&lt;&gt;"",N10&gt;0,M816&gt;N10),"Mot &gt; limite","")</f>
        <v/>
      </c>
      <c r="M816" s="126">
        <f>IF(OR(F816="",N10="",N10&lt;=0),"",IF(LEN(F816)&lt;=N10,LEN(F816),IFERROR(FIND("♦",SUBSTITUTE(LEFT(F816,N10)," ","♦",LEN(LEFT(F816,N10))-LEN(SUBSTITUTE(LEFT(F816,N10)," ","")))),FIND(" ",F816&amp;" ",N10+1)-1)))</f>
        <v>1</v>
      </c>
      <c r="N816" s="234">
        <f t="shared" si="86"/>
        <v>799</v>
      </c>
      <c r="O816" s="165" t="str">
        <f t="shared" si="87"/>
        <v>0</v>
      </c>
      <c r="P816" s="234">
        <f t="shared" si="88"/>
        <v>1</v>
      </c>
      <c r="Q816" s="234">
        <f t="shared" si="89"/>
        <v>1</v>
      </c>
      <c r="DE816" s="152"/>
      <c r="DF816" s="160" t="s">
        <v>2546</v>
      </c>
      <c r="DG816" s="160" t="s">
        <v>122</v>
      </c>
      <c r="DH816" s="160" t="s">
        <v>125</v>
      </c>
      <c r="DI816" s="160" t="s">
        <v>290</v>
      </c>
      <c r="DJ816" s="160" t="s">
        <v>290</v>
      </c>
      <c r="DK816" s="160" t="s">
        <v>1259</v>
      </c>
      <c r="DL816" s="160" t="s">
        <v>1260</v>
      </c>
      <c r="DM816" s="160" t="s">
        <v>1812</v>
      </c>
      <c r="DN816" s="161" t="s">
        <v>1813</v>
      </c>
      <c r="DP816" s="130">
        <v>1</v>
      </c>
    </row>
    <row r="817" spans="2:120" ht="15">
      <c r="B817" s="231"/>
      <c r="C817" s="231"/>
      <c r="D817" s="231"/>
      <c r="E817" s="231" cm="1">
        <f t="array" ref="E817">IF(H816&lt;&gt;"",E816,IF(E816="","",IFERROR(MATCH(TRUE(),INDEX(INDEX(K:K,E816+1):K203&lt;&gt;"",0),0)+E816,"")))</f>
        <v>909</v>
      </c>
      <c r="F817" s="232" cm="1">
        <f t="array" ref="F817">IF(E817="","",IF(H816&lt;&gt;"",H816,INDEX(D:D,E817)))</f>
        <v>0</v>
      </c>
      <c r="G817" s="232" t="str">
        <f t="shared" si="84"/>
        <v>0</v>
      </c>
      <c r="H817" s="233" t="str">
        <f t="shared" si="85"/>
        <v/>
      </c>
      <c r="I817" s="231" t="str">
        <f>IF(AND(F817&lt;&gt;"",N10&gt;0,M817&gt;N10),"Mot &gt; limite","")</f>
        <v/>
      </c>
      <c r="M817" s="126">
        <f>IF(OR(F817="",N10="",N10&lt;=0),"",IF(LEN(F817)&lt;=N10,LEN(F817),IFERROR(FIND("♦",SUBSTITUTE(LEFT(F817,N10)," ","♦",LEN(LEFT(F817,N10))-LEN(SUBSTITUTE(LEFT(F817,N10)," ","")))),FIND(" ",F817&amp;" ",N10+1)-1)))</f>
        <v>1</v>
      </c>
      <c r="N817" s="234">
        <f t="shared" si="86"/>
        <v>800</v>
      </c>
      <c r="O817" s="165" t="str">
        <f t="shared" si="87"/>
        <v>0</v>
      </c>
      <c r="P817" s="234">
        <f t="shared" si="88"/>
        <v>1</v>
      </c>
      <c r="Q817" s="234">
        <f t="shared" si="89"/>
        <v>1</v>
      </c>
      <c r="DE817" s="152"/>
      <c r="DF817" s="160" t="s">
        <v>2547</v>
      </c>
      <c r="DG817" s="160" t="s">
        <v>122</v>
      </c>
      <c r="DH817" s="160" t="s">
        <v>125</v>
      </c>
      <c r="DI817" s="160" t="s">
        <v>2548</v>
      </c>
      <c r="DJ817" s="160" t="s">
        <v>2548</v>
      </c>
      <c r="DK817" s="160" t="s">
        <v>666</v>
      </c>
      <c r="DL817" s="160" t="s">
        <v>667</v>
      </c>
      <c r="DM817" s="160" t="s">
        <v>590</v>
      </c>
      <c r="DN817" s="161" t="s">
        <v>668</v>
      </c>
      <c r="DP817" s="130">
        <v>1</v>
      </c>
    </row>
    <row r="818" spans="2:120" ht="15">
      <c r="B818" s="231"/>
      <c r="C818" s="231"/>
      <c r="D818" s="231"/>
      <c r="E818" s="231" cm="1">
        <f t="array" ref="E818">IF(H817&lt;&gt;"",E817,IF(E817="","",IFERROR(MATCH(TRUE(),INDEX(INDEX(K:K,E817+1):K203&lt;&gt;"",0),0)+E817,"")))</f>
        <v>910</v>
      </c>
      <c r="F818" s="232" cm="1">
        <f t="array" ref="F818">IF(E818="","",IF(H817&lt;&gt;"",H817,INDEX(D:D,E818)))</f>
        <v>0</v>
      </c>
      <c r="G818" s="232" t="str">
        <f t="shared" si="84"/>
        <v>0</v>
      </c>
      <c r="H818" s="233" t="str">
        <f t="shared" si="85"/>
        <v/>
      </c>
      <c r="I818" s="231" t="str">
        <f>IF(AND(F818&lt;&gt;"",N10&gt;0,M818&gt;N10),"Mot &gt; limite","")</f>
        <v/>
      </c>
      <c r="M818" s="126">
        <f>IF(OR(F818="",N10="",N10&lt;=0),"",IF(LEN(F818)&lt;=N10,LEN(F818),IFERROR(FIND("♦",SUBSTITUTE(LEFT(F818,N10)," ","♦",LEN(LEFT(F818,N10))-LEN(SUBSTITUTE(LEFT(F818,N10)," ","")))),FIND(" ",F818&amp;" ",N10+1)-1)))</f>
        <v>1</v>
      </c>
      <c r="N818" s="234">
        <f t="shared" si="86"/>
        <v>801</v>
      </c>
      <c r="O818" s="165" t="str">
        <f t="shared" si="87"/>
        <v>0</v>
      </c>
      <c r="P818" s="234">
        <f t="shared" si="88"/>
        <v>1</v>
      </c>
      <c r="Q818" s="234">
        <f t="shared" si="89"/>
        <v>1</v>
      </c>
      <c r="DE818" s="152"/>
      <c r="DF818" s="160" t="s">
        <v>2549</v>
      </c>
      <c r="DG818" s="160" t="s">
        <v>122</v>
      </c>
      <c r="DH818" s="160" t="s">
        <v>125</v>
      </c>
      <c r="DI818" s="160" t="s">
        <v>2550</v>
      </c>
      <c r="DJ818" s="160" t="s">
        <v>2550</v>
      </c>
      <c r="DK818" s="160" t="s">
        <v>666</v>
      </c>
      <c r="DL818" s="160" t="s">
        <v>667</v>
      </c>
      <c r="DM818" s="160" t="s">
        <v>590</v>
      </c>
      <c r="DN818" s="161" t="s">
        <v>668</v>
      </c>
      <c r="DP818" s="130">
        <v>1</v>
      </c>
    </row>
    <row r="819" spans="2:120" ht="15">
      <c r="B819" s="231"/>
      <c r="C819" s="231"/>
      <c r="D819" s="231"/>
      <c r="E819" s="231" cm="1">
        <f t="array" ref="E819">IF(H818&lt;&gt;"",E818,IF(E818="","",IFERROR(MATCH(TRUE(),INDEX(INDEX(K:K,E818+1):K203&lt;&gt;"",0),0)+E818,"")))</f>
        <v>911</v>
      </c>
      <c r="F819" s="232" cm="1">
        <f t="array" ref="F819">IF(E819="","",IF(H818&lt;&gt;"",H818,INDEX(D:D,E819)))</f>
        <v>0</v>
      </c>
      <c r="G819" s="232" t="str">
        <f t="shared" si="84"/>
        <v>0</v>
      </c>
      <c r="H819" s="233" t="str">
        <f t="shared" si="85"/>
        <v/>
      </c>
      <c r="I819" s="231" t="str">
        <f>IF(AND(F819&lt;&gt;"",N10&gt;0,M819&gt;N10),"Mot &gt; limite","")</f>
        <v/>
      </c>
      <c r="M819" s="126">
        <f>IF(OR(F819="",N10="",N10&lt;=0),"",IF(LEN(F819)&lt;=N10,LEN(F819),IFERROR(FIND("♦",SUBSTITUTE(LEFT(F819,N10)," ","♦",LEN(LEFT(F819,N10))-LEN(SUBSTITUTE(LEFT(F819,N10)," ","")))),FIND(" ",F819&amp;" ",N10+1)-1)))</f>
        <v>1</v>
      </c>
      <c r="N819" s="234">
        <f t="shared" si="86"/>
        <v>802</v>
      </c>
      <c r="O819" s="165" t="str">
        <f t="shared" si="87"/>
        <v>0</v>
      </c>
      <c r="P819" s="234">
        <f t="shared" si="88"/>
        <v>1</v>
      </c>
      <c r="Q819" s="234">
        <f t="shared" si="89"/>
        <v>1</v>
      </c>
      <c r="DE819" s="152"/>
      <c r="DF819" s="160" t="s">
        <v>2551</v>
      </c>
      <c r="DG819" s="160" t="s">
        <v>122</v>
      </c>
      <c r="DH819" s="160" t="s">
        <v>125</v>
      </c>
      <c r="DI819" s="160" t="s">
        <v>520</v>
      </c>
      <c r="DJ819" s="160" t="s">
        <v>520</v>
      </c>
      <c r="DK819" s="160" t="s">
        <v>1259</v>
      </c>
      <c r="DL819" s="160" t="s">
        <v>1260</v>
      </c>
      <c r="DM819" s="160" t="s">
        <v>1812</v>
      </c>
      <c r="DN819" s="161" t="s">
        <v>1813</v>
      </c>
      <c r="DP819" s="130">
        <v>1</v>
      </c>
    </row>
    <row r="820" spans="2:120" ht="15">
      <c r="B820" s="231"/>
      <c r="C820" s="231"/>
      <c r="D820" s="231"/>
      <c r="E820" s="231" cm="1">
        <f t="array" ref="E820">IF(H819&lt;&gt;"",E819,IF(E819="","",IFERROR(MATCH(TRUE(),INDEX(INDEX(K:K,E819+1):K203&lt;&gt;"",0),0)+E819,"")))</f>
        <v>912</v>
      </c>
      <c r="F820" s="232" cm="1">
        <f t="array" ref="F820">IF(E820="","",IF(H819&lt;&gt;"",H819,INDEX(D:D,E820)))</f>
        <v>0</v>
      </c>
      <c r="G820" s="232" t="str">
        <f t="shared" si="84"/>
        <v>0</v>
      </c>
      <c r="H820" s="233" t="str">
        <f t="shared" si="85"/>
        <v/>
      </c>
      <c r="I820" s="231" t="str">
        <f>IF(AND(F820&lt;&gt;"",N10&gt;0,M820&gt;N10),"Mot &gt; limite","")</f>
        <v/>
      </c>
      <c r="M820" s="126">
        <f>IF(OR(F820="",N10="",N10&lt;=0),"",IF(LEN(F820)&lt;=N10,LEN(F820),IFERROR(FIND("♦",SUBSTITUTE(LEFT(F820,N10)," ","♦",LEN(LEFT(F820,N10))-LEN(SUBSTITUTE(LEFT(F820,N10)," ","")))),FIND(" ",F820&amp;" ",N10+1)-1)))</f>
        <v>1</v>
      </c>
      <c r="N820" s="234">
        <f t="shared" si="86"/>
        <v>803</v>
      </c>
      <c r="O820" s="165" t="str">
        <f t="shared" si="87"/>
        <v>0</v>
      </c>
      <c r="P820" s="234">
        <f t="shared" si="88"/>
        <v>1</v>
      </c>
      <c r="Q820" s="234">
        <f t="shared" si="89"/>
        <v>1</v>
      </c>
      <c r="DE820" s="152"/>
      <c r="DF820" s="160" t="s">
        <v>2552</v>
      </c>
      <c r="DG820" s="160" t="s">
        <v>122</v>
      </c>
      <c r="DH820" s="160" t="s">
        <v>125</v>
      </c>
      <c r="DI820" s="160" t="s">
        <v>2553</v>
      </c>
      <c r="DJ820" s="160" t="s">
        <v>2553</v>
      </c>
      <c r="DK820" s="160" t="s">
        <v>1259</v>
      </c>
      <c r="DL820" s="160" t="s">
        <v>1260</v>
      </c>
      <c r="DM820" s="160" t="s">
        <v>1812</v>
      </c>
      <c r="DN820" s="161" t="s">
        <v>1813</v>
      </c>
      <c r="DP820" s="130">
        <v>1</v>
      </c>
    </row>
    <row r="821" spans="2:120" ht="15">
      <c r="B821" s="231"/>
      <c r="C821" s="231"/>
      <c r="D821" s="231"/>
      <c r="E821" s="231" cm="1">
        <f t="array" ref="E821">IF(H820&lt;&gt;"",E820,IF(E820="","",IFERROR(MATCH(TRUE(),INDEX(INDEX(K:K,E820+1):K203&lt;&gt;"",0),0)+E820,"")))</f>
        <v>913</v>
      </c>
      <c r="F821" s="232" cm="1">
        <f t="array" ref="F821">IF(E821="","",IF(H820&lt;&gt;"",H820,INDEX(D:D,E821)))</f>
        <v>0</v>
      </c>
      <c r="G821" s="232" t="str">
        <f t="shared" si="84"/>
        <v>0</v>
      </c>
      <c r="H821" s="233" t="str">
        <f t="shared" si="85"/>
        <v/>
      </c>
      <c r="I821" s="231" t="str">
        <f>IF(AND(F821&lt;&gt;"",N10&gt;0,M821&gt;N10),"Mot &gt; limite","")</f>
        <v/>
      </c>
      <c r="M821" s="126">
        <f>IF(OR(F821="",N10="",N10&lt;=0),"",IF(LEN(F821)&lt;=N10,LEN(F821),IFERROR(FIND("♦",SUBSTITUTE(LEFT(F821,N10)," ","♦",LEN(LEFT(F821,N10))-LEN(SUBSTITUTE(LEFT(F821,N10)," ","")))),FIND(" ",F821&amp;" ",N10+1)-1)))</f>
        <v>1</v>
      </c>
      <c r="N821" s="234">
        <f t="shared" si="86"/>
        <v>804</v>
      </c>
      <c r="O821" s="165" t="str">
        <f t="shared" si="87"/>
        <v>0</v>
      </c>
      <c r="P821" s="234">
        <f t="shared" si="88"/>
        <v>1</v>
      </c>
      <c r="Q821" s="234">
        <f t="shared" si="89"/>
        <v>1</v>
      </c>
      <c r="DE821" s="152"/>
      <c r="DF821" s="160" t="s">
        <v>2554</v>
      </c>
      <c r="DG821" s="160" t="s">
        <v>122</v>
      </c>
      <c r="DH821" s="160" t="s">
        <v>125</v>
      </c>
      <c r="DI821" s="160" t="s">
        <v>2555</v>
      </c>
      <c r="DJ821" s="160" t="s">
        <v>2555</v>
      </c>
      <c r="DK821" s="160" t="s">
        <v>1259</v>
      </c>
      <c r="DL821" s="160" t="s">
        <v>1260</v>
      </c>
      <c r="DM821" s="160" t="s">
        <v>1812</v>
      </c>
      <c r="DN821" s="161" t="s">
        <v>1813</v>
      </c>
      <c r="DP821" s="130">
        <v>1</v>
      </c>
    </row>
    <row r="822" spans="2:120" ht="15">
      <c r="B822" s="231"/>
      <c r="C822" s="231"/>
      <c r="D822" s="231"/>
      <c r="E822" s="231" cm="1">
        <f t="array" ref="E822">IF(H821&lt;&gt;"",E821,IF(E821="","",IFERROR(MATCH(TRUE(),INDEX(INDEX(K:K,E821+1):K203&lt;&gt;"",0),0)+E821,"")))</f>
        <v>914</v>
      </c>
      <c r="F822" s="232" cm="1">
        <f t="array" ref="F822">IF(E822="","",IF(H821&lt;&gt;"",H821,INDEX(D:D,E822)))</f>
        <v>0</v>
      </c>
      <c r="G822" s="232" t="str">
        <f t="shared" si="84"/>
        <v>0</v>
      </c>
      <c r="H822" s="233" t="str">
        <f t="shared" si="85"/>
        <v/>
      </c>
      <c r="I822" s="231" t="str">
        <f>IF(AND(F822&lt;&gt;"",N10&gt;0,M822&gt;N10),"Mot &gt; limite","")</f>
        <v/>
      </c>
      <c r="M822" s="126">
        <f>IF(OR(F822="",N10="",N10&lt;=0),"",IF(LEN(F822)&lt;=N10,LEN(F822),IFERROR(FIND("♦",SUBSTITUTE(LEFT(F822,N10)," ","♦",LEN(LEFT(F822,N10))-LEN(SUBSTITUTE(LEFT(F822,N10)," ","")))),FIND(" ",F822&amp;" ",N10+1)-1)))</f>
        <v>1</v>
      </c>
      <c r="N822" s="234">
        <f t="shared" si="86"/>
        <v>805</v>
      </c>
      <c r="O822" s="165" t="str">
        <f t="shared" si="87"/>
        <v>0</v>
      </c>
      <c r="P822" s="234">
        <f t="shared" si="88"/>
        <v>1</v>
      </c>
      <c r="Q822" s="234">
        <f t="shared" si="89"/>
        <v>1</v>
      </c>
      <c r="DE822" s="152"/>
      <c r="DF822" s="160" t="s">
        <v>2556</v>
      </c>
      <c r="DG822" s="160" t="s">
        <v>122</v>
      </c>
      <c r="DH822" s="160" t="s">
        <v>125</v>
      </c>
      <c r="DI822" s="160" t="s">
        <v>2557</v>
      </c>
      <c r="DJ822" s="160" t="s">
        <v>2557</v>
      </c>
      <c r="DK822" s="160" t="s">
        <v>1259</v>
      </c>
      <c r="DL822" s="160" t="s">
        <v>1260</v>
      </c>
      <c r="DM822" s="160" t="s">
        <v>1812</v>
      </c>
      <c r="DN822" s="161" t="s">
        <v>1813</v>
      </c>
      <c r="DP822" s="130">
        <v>1</v>
      </c>
    </row>
    <row r="823" spans="2:120" ht="15">
      <c r="B823" s="231"/>
      <c r="C823" s="231"/>
      <c r="D823" s="231"/>
      <c r="E823" s="231" cm="1">
        <f t="array" ref="E823">IF(H822&lt;&gt;"",E822,IF(E822="","",IFERROR(MATCH(TRUE(),INDEX(INDEX(K:K,E822+1):K203&lt;&gt;"",0),0)+E822,"")))</f>
        <v>915</v>
      </c>
      <c r="F823" s="232" cm="1">
        <f t="array" ref="F823">IF(E823="","",IF(H822&lt;&gt;"",H822,INDEX(D:D,E823)))</f>
        <v>0</v>
      </c>
      <c r="G823" s="232" t="str">
        <f t="shared" si="84"/>
        <v>0</v>
      </c>
      <c r="H823" s="233" t="str">
        <f t="shared" si="85"/>
        <v/>
      </c>
      <c r="I823" s="231" t="str">
        <f>IF(AND(F823&lt;&gt;"",N10&gt;0,M823&gt;N10),"Mot &gt; limite","")</f>
        <v/>
      </c>
      <c r="M823" s="126">
        <f>IF(OR(F823="",N10="",N10&lt;=0),"",IF(LEN(F823)&lt;=N10,LEN(F823),IFERROR(FIND("♦",SUBSTITUTE(LEFT(F823,N10)," ","♦",LEN(LEFT(F823,N10))-LEN(SUBSTITUTE(LEFT(F823,N10)," ","")))),FIND(" ",F823&amp;" ",N10+1)-1)))</f>
        <v>1</v>
      </c>
      <c r="N823" s="234">
        <f t="shared" si="86"/>
        <v>806</v>
      </c>
      <c r="O823" s="165" t="str">
        <f t="shared" si="87"/>
        <v>0</v>
      </c>
      <c r="P823" s="234">
        <f t="shared" si="88"/>
        <v>1</v>
      </c>
      <c r="Q823" s="234">
        <f t="shared" si="89"/>
        <v>1</v>
      </c>
      <c r="DE823" s="152"/>
      <c r="DF823" s="160" t="s">
        <v>2558</v>
      </c>
      <c r="DG823" s="160" t="s">
        <v>122</v>
      </c>
      <c r="DH823" s="160" t="s">
        <v>125</v>
      </c>
      <c r="DI823" s="160" t="s">
        <v>2559</v>
      </c>
      <c r="DJ823" s="160" t="s">
        <v>2559</v>
      </c>
      <c r="DK823" s="160" t="s">
        <v>1259</v>
      </c>
      <c r="DL823" s="160" t="s">
        <v>1260</v>
      </c>
      <c r="DM823" s="160" t="s">
        <v>1812</v>
      </c>
      <c r="DN823" s="161" t="s">
        <v>1813</v>
      </c>
      <c r="DP823" s="130">
        <v>1</v>
      </c>
    </row>
    <row r="824" spans="2:120" ht="15">
      <c r="B824" s="231"/>
      <c r="C824" s="231"/>
      <c r="D824" s="231"/>
      <c r="E824" s="231" cm="1">
        <f t="array" ref="E824">IF(H823&lt;&gt;"",E823,IF(E823="","",IFERROR(MATCH(TRUE(),INDEX(INDEX(K:K,E823+1):K203&lt;&gt;"",0),0)+E823,"")))</f>
        <v>916</v>
      </c>
      <c r="F824" s="232" cm="1">
        <f t="array" ref="F824">IF(E824="","",IF(H823&lt;&gt;"",H823,INDEX(D:D,E824)))</f>
        <v>0</v>
      </c>
      <c r="G824" s="232" t="str">
        <f t="shared" si="84"/>
        <v>0</v>
      </c>
      <c r="H824" s="233" t="str">
        <f t="shared" si="85"/>
        <v/>
      </c>
      <c r="I824" s="231" t="str">
        <f>IF(AND(F824&lt;&gt;"",N10&gt;0,M824&gt;N10),"Mot &gt; limite","")</f>
        <v/>
      </c>
      <c r="M824" s="126">
        <f>IF(OR(F824="",N10="",N10&lt;=0),"",IF(LEN(F824)&lt;=N10,LEN(F824),IFERROR(FIND("♦",SUBSTITUTE(LEFT(F824,N10)," ","♦",LEN(LEFT(F824,N10))-LEN(SUBSTITUTE(LEFT(F824,N10)," ","")))),FIND(" ",F824&amp;" ",N10+1)-1)))</f>
        <v>1</v>
      </c>
      <c r="N824" s="234">
        <f t="shared" si="86"/>
        <v>807</v>
      </c>
      <c r="O824" s="165" t="str">
        <f t="shared" si="87"/>
        <v>0</v>
      </c>
      <c r="P824" s="234">
        <f t="shared" si="88"/>
        <v>1</v>
      </c>
      <c r="Q824" s="234">
        <f t="shared" si="89"/>
        <v>1</v>
      </c>
      <c r="DE824" s="152"/>
      <c r="DF824" s="160" t="s">
        <v>2560</v>
      </c>
      <c r="DG824" s="160" t="s">
        <v>122</v>
      </c>
      <c r="DH824" s="160" t="s">
        <v>125</v>
      </c>
      <c r="DI824" s="160" t="s">
        <v>2561</v>
      </c>
      <c r="DJ824" s="160" t="s">
        <v>2561</v>
      </c>
      <c r="DK824" s="160" t="s">
        <v>1259</v>
      </c>
      <c r="DL824" s="160" t="s">
        <v>1260</v>
      </c>
      <c r="DM824" s="160" t="s">
        <v>1812</v>
      </c>
      <c r="DN824" s="161" t="s">
        <v>1813</v>
      </c>
      <c r="DP824" s="130">
        <v>1</v>
      </c>
    </row>
    <row r="825" spans="2:120" ht="15">
      <c r="B825" s="231"/>
      <c r="C825" s="231"/>
      <c r="D825" s="231"/>
      <c r="E825" s="231" cm="1">
        <f t="array" ref="E825">IF(H824&lt;&gt;"",E824,IF(E824="","",IFERROR(MATCH(TRUE(),INDEX(INDEX(K:K,E824+1):K203&lt;&gt;"",0),0)+E824,"")))</f>
        <v>917</v>
      </c>
      <c r="F825" s="232" cm="1">
        <f t="array" ref="F825">IF(E825="","",IF(H824&lt;&gt;"",H824,INDEX(D:D,E825)))</f>
        <v>0</v>
      </c>
      <c r="G825" s="232" t="str">
        <f t="shared" si="84"/>
        <v>0</v>
      </c>
      <c r="H825" s="233" t="str">
        <f t="shared" si="85"/>
        <v/>
      </c>
      <c r="I825" s="231" t="str">
        <f>IF(AND(F825&lt;&gt;"",N10&gt;0,M825&gt;N10),"Mot &gt; limite","")</f>
        <v/>
      </c>
      <c r="M825" s="126">
        <f>IF(OR(F825="",N10="",N10&lt;=0),"",IF(LEN(F825)&lt;=N10,LEN(F825),IFERROR(FIND("♦",SUBSTITUTE(LEFT(F825,N10)," ","♦",LEN(LEFT(F825,N10))-LEN(SUBSTITUTE(LEFT(F825,N10)," ","")))),FIND(" ",F825&amp;" ",N10+1)-1)))</f>
        <v>1</v>
      </c>
      <c r="N825" s="234">
        <f t="shared" si="86"/>
        <v>808</v>
      </c>
      <c r="O825" s="165" t="str">
        <f t="shared" si="87"/>
        <v>0</v>
      </c>
      <c r="P825" s="234">
        <f t="shared" si="88"/>
        <v>1</v>
      </c>
      <c r="Q825" s="234">
        <f t="shared" si="89"/>
        <v>1</v>
      </c>
      <c r="DE825" s="152"/>
      <c r="DF825" s="160" t="s">
        <v>2562</v>
      </c>
      <c r="DG825" s="160" t="s">
        <v>122</v>
      </c>
      <c r="DH825" s="160" t="s">
        <v>125</v>
      </c>
      <c r="DI825" s="160" t="s">
        <v>2563</v>
      </c>
      <c r="DJ825" s="160" t="s">
        <v>2563</v>
      </c>
      <c r="DK825" s="160" t="s">
        <v>1259</v>
      </c>
      <c r="DL825" s="160" t="s">
        <v>1260</v>
      </c>
      <c r="DM825" s="160" t="s">
        <v>1812</v>
      </c>
      <c r="DN825" s="161" t="s">
        <v>1813</v>
      </c>
      <c r="DP825" s="130">
        <v>1</v>
      </c>
    </row>
    <row r="826" spans="2:120" ht="15">
      <c r="B826" s="231"/>
      <c r="C826" s="231"/>
      <c r="D826" s="231"/>
      <c r="E826" s="231" cm="1">
        <f t="array" ref="E826">IF(H825&lt;&gt;"",E825,IF(E825="","",IFERROR(MATCH(TRUE(),INDEX(INDEX(K:K,E825+1):K203&lt;&gt;"",0),0)+E825,"")))</f>
        <v>918</v>
      </c>
      <c r="F826" s="232" cm="1">
        <f t="array" ref="F826">IF(E826="","",IF(H825&lt;&gt;"",H825,INDEX(D:D,E826)))</f>
        <v>0</v>
      </c>
      <c r="G826" s="232" t="str">
        <f t="shared" si="84"/>
        <v>0</v>
      </c>
      <c r="H826" s="233" t="str">
        <f t="shared" si="85"/>
        <v/>
      </c>
      <c r="I826" s="231" t="str">
        <f>IF(AND(F826&lt;&gt;"",N10&gt;0,M826&gt;N10),"Mot &gt; limite","")</f>
        <v/>
      </c>
      <c r="M826" s="126">
        <f>IF(OR(F826="",N10="",N10&lt;=0),"",IF(LEN(F826)&lt;=N10,LEN(F826),IFERROR(FIND("♦",SUBSTITUTE(LEFT(F826,N10)," ","♦",LEN(LEFT(F826,N10))-LEN(SUBSTITUTE(LEFT(F826,N10)," ","")))),FIND(" ",F826&amp;" ",N10+1)-1)))</f>
        <v>1</v>
      </c>
      <c r="N826" s="234">
        <f t="shared" si="86"/>
        <v>809</v>
      </c>
      <c r="O826" s="165" t="str">
        <f t="shared" si="87"/>
        <v>0</v>
      </c>
      <c r="P826" s="234">
        <f t="shared" si="88"/>
        <v>1</v>
      </c>
      <c r="Q826" s="234">
        <f t="shared" si="89"/>
        <v>1</v>
      </c>
      <c r="DE826" s="152"/>
      <c r="DF826" s="160" t="s">
        <v>2564</v>
      </c>
      <c r="DG826" s="160" t="s">
        <v>122</v>
      </c>
      <c r="DH826" s="160" t="s">
        <v>125</v>
      </c>
      <c r="DI826" s="160" t="s">
        <v>2565</v>
      </c>
      <c r="DJ826" s="160" t="s">
        <v>2565</v>
      </c>
      <c r="DK826" s="160" t="s">
        <v>1259</v>
      </c>
      <c r="DL826" s="160" t="s">
        <v>1260</v>
      </c>
      <c r="DM826" s="160" t="s">
        <v>1812</v>
      </c>
      <c r="DN826" s="161" t="s">
        <v>1813</v>
      </c>
      <c r="DP826" s="130">
        <v>1</v>
      </c>
    </row>
    <row r="827" spans="2:120" ht="15">
      <c r="B827" s="231"/>
      <c r="C827" s="231"/>
      <c r="D827" s="231"/>
      <c r="E827" s="231" cm="1">
        <f t="array" ref="E827">IF(H826&lt;&gt;"",E826,IF(E826="","",IFERROR(MATCH(TRUE(),INDEX(INDEX(K:K,E826+1):K203&lt;&gt;"",0),0)+E826,"")))</f>
        <v>919</v>
      </c>
      <c r="F827" s="232" cm="1">
        <f t="array" ref="F827">IF(E827="","",IF(H826&lt;&gt;"",H826,INDEX(D:D,E827)))</f>
        <v>0</v>
      </c>
      <c r="G827" s="232" t="str">
        <f t="shared" si="84"/>
        <v>0</v>
      </c>
      <c r="H827" s="233" t="str">
        <f t="shared" si="85"/>
        <v/>
      </c>
      <c r="I827" s="231" t="str">
        <f>IF(AND(F827&lt;&gt;"",N10&gt;0,M827&gt;N10),"Mot &gt; limite","")</f>
        <v/>
      </c>
      <c r="M827" s="126">
        <f>IF(OR(F827="",N10="",N10&lt;=0),"",IF(LEN(F827)&lt;=N10,LEN(F827),IFERROR(FIND("♦",SUBSTITUTE(LEFT(F827,N10)," ","♦",LEN(LEFT(F827,N10))-LEN(SUBSTITUTE(LEFT(F827,N10)," ","")))),FIND(" ",F827&amp;" ",N10+1)-1)))</f>
        <v>1</v>
      </c>
      <c r="N827" s="234">
        <f t="shared" si="86"/>
        <v>810</v>
      </c>
      <c r="O827" s="165" t="str">
        <f t="shared" si="87"/>
        <v>0</v>
      </c>
      <c r="P827" s="234">
        <f t="shared" si="88"/>
        <v>1</v>
      </c>
      <c r="Q827" s="234">
        <f t="shared" si="89"/>
        <v>1</v>
      </c>
      <c r="DE827" s="152"/>
      <c r="DF827" s="160" t="s">
        <v>2566</v>
      </c>
      <c r="DG827" s="160" t="s">
        <v>122</v>
      </c>
      <c r="DH827" s="160" t="s">
        <v>125</v>
      </c>
      <c r="DI827" s="160" t="s">
        <v>521</v>
      </c>
      <c r="DJ827" s="160" t="s">
        <v>521</v>
      </c>
      <c r="DK827" s="160" t="s">
        <v>588</v>
      </c>
      <c r="DL827" s="160" t="s">
        <v>1895</v>
      </c>
      <c r="DM827" s="160" t="s">
        <v>590</v>
      </c>
      <c r="DN827" s="161" t="s">
        <v>591</v>
      </c>
      <c r="DP827" s="130">
        <v>1</v>
      </c>
    </row>
    <row r="828" spans="2:120" ht="15">
      <c r="B828" s="231"/>
      <c r="C828" s="231"/>
      <c r="D828" s="231"/>
      <c r="E828" s="231" cm="1">
        <f t="array" ref="E828">IF(H827&lt;&gt;"",E827,IF(E827="","",IFERROR(MATCH(TRUE(),INDEX(INDEX(K:K,E827+1):K203&lt;&gt;"",0),0)+E827,"")))</f>
        <v>920</v>
      </c>
      <c r="F828" s="232" cm="1">
        <f t="array" ref="F828">IF(E828="","",IF(H827&lt;&gt;"",H827,INDEX(D:D,E828)))</f>
        <v>0</v>
      </c>
      <c r="G828" s="232" t="str">
        <f t="shared" si="84"/>
        <v>0</v>
      </c>
      <c r="H828" s="233" t="str">
        <f t="shared" si="85"/>
        <v/>
      </c>
      <c r="I828" s="231" t="str">
        <f>IF(AND(F828&lt;&gt;"",N10&gt;0,M828&gt;N10),"Mot &gt; limite","")</f>
        <v/>
      </c>
      <c r="M828" s="126">
        <f>IF(OR(F828="",N10="",N10&lt;=0),"",IF(LEN(F828)&lt;=N10,LEN(F828),IFERROR(FIND("♦",SUBSTITUTE(LEFT(F828,N10)," ","♦",LEN(LEFT(F828,N10))-LEN(SUBSTITUTE(LEFT(F828,N10)," ","")))),FIND(" ",F828&amp;" ",N10+1)-1)))</f>
        <v>1</v>
      </c>
      <c r="N828" s="234">
        <f t="shared" si="86"/>
        <v>811</v>
      </c>
      <c r="O828" s="165" t="str">
        <f t="shared" si="87"/>
        <v>0</v>
      </c>
      <c r="P828" s="234">
        <f t="shared" si="88"/>
        <v>1</v>
      </c>
      <c r="Q828" s="234">
        <f t="shared" si="89"/>
        <v>1</v>
      </c>
      <c r="DE828" s="152"/>
      <c r="DF828" s="160" t="s">
        <v>2567</v>
      </c>
      <c r="DG828" s="160" t="s">
        <v>122</v>
      </c>
      <c r="DH828" s="160" t="s">
        <v>125</v>
      </c>
      <c r="DI828" s="160" t="s">
        <v>2568</v>
      </c>
      <c r="DJ828" s="160" t="s">
        <v>2568</v>
      </c>
      <c r="DK828" s="160" t="s">
        <v>1259</v>
      </c>
      <c r="DL828" s="160" t="s">
        <v>1260</v>
      </c>
      <c r="DM828" s="160" t="s">
        <v>1812</v>
      </c>
      <c r="DN828" s="161" t="s">
        <v>1813</v>
      </c>
      <c r="DP828" s="130">
        <v>1</v>
      </c>
    </row>
    <row r="829" spans="2:120" ht="15">
      <c r="B829" s="231"/>
      <c r="C829" s="231"/>
      <c r="D829" s="231"/>
      <c r="E829" s="231" cm="1">
        <f t="array" ref="E829">IF(H828&lt;&gt;"",E828,IF(E828="","",IFERROR(MATCH(TRUE(),INDEX(INDEX(K:K,E828+1):K203&lt;&gt;"",0),0)+E828,"")))</f>
        <v>921</v>
      </c>
      <c r="F829" s="232" cm="1">
        <f t="array" ref="F829">IF(E829="","",IF(H828&lt;&gt;"",H828,INDEX(D:D,E829)))</f>
        <v>0</v>
      </c>
      <c r="G829" s="232" t="str">
        <f t="shared" si="84"/>
        <v>0</v>
      </c>
      <c r="H829" s="233" t="str">
        <f t="shared" si="85"/>
        <v/>
      </c>
      <c r="I829" s="231" t="str">
        <f>IF(AND(F829&lt;&gt;"",N10&gt;0,M829&gt;N10),"Mot &gt; limite","")</f>
        <v/>
      </c>
      <c r="M829" s="126">
        <f>IF(OR(F829="",N10="",N10&lt;=0),"",IF(LEN(F829)&lt;=N10,LEN(F829),IFERROR(FIND("♦",SUBSTITUTE(LEFT(F829,N10)," ","♦",LEN(LEFT(F829,N10))-LEN(SUBSTITUTE(LEFT(F829,N10)," ","")))),FIND(" ",F829&amp;" ",N10+1)-1)))</f>
        <v>1</v>
      </c>
      <c r="N829" s="234">
        <f t="shared" si="86"/>
        <v>812</v>
      </c>
      <c r="O829" s="165" t="str">
        <f t="shared" si="87"/>
        <v>0</v>
      </c>
      <c r="P829" s="234">
        <f t="shared" si="88"/>
        <v>1</v>
      </c>
      <c r="Q829" s="234">
        <f t="shared" si="89"/>
        <v>1</v>
      </c>
      <c r="DE829" s="152"/>
      <c r="DF829" s="160" t="s">
        <v>2569</v>
      </c>
      <c r="DG829" s="160" t="s">
        <v>122</v>
      </c>
      <c r="DH829" s="160" t="s">
        <v>125</v>
      </c>
      <c r="DI829" s="160" t="s">
        <v>2570</v>
      </c>
      <c r="DJ829" s="160" t="s">
        <v>2570</v>
      </c>
      <c r="DK829" s="160" t="s">
        <v>1259</v>
      </c>
      <c r="DL829" s="160" t="s">
        <v>1260</v>
      </c>
      <c r="DM829" s="160" t="s">
        <v>1812</v>
      </c>
      <c r="DN829" s="161" t="s">
        <v>1813</v>
      </c>
      <c r="DP829" s="130">
        <v>1</v>
      </c>
    </row>
    <row r="830" spans="2:120" ht="15">
      <c r="B830" s="231"/>
      <c r="C830" s="231"/>
      <c r="D830" s="231"/>
      <c r="E830" s="231" cm="1">
        <f t="array" ref="E830">IF(H829&lt;&gt;"",E829,IF(E829="","",IFERROR(MATCH(TRUE(),INDEX(INDEX(K:K,E829+1):K203&lt;&gt;"",0),0)+E829,"")))</f>
        <v>922</v>
      </c>
      <c r="F830" s="232" cm="1">
        <f t="array" ref="F830">IF(E830="","",IF(H829&lt;&gt;"",H829,INDEX(D:D,E830)))</f>
        <v>0</v>
      </c>
      <c r="G830" s="232" t="str">
        <f t="shared" si="84"/>
        <v>0</v>
      </c>
      <c r="H830" s="233" t="str">
        <f t="shared" si="85"/>
        <v/>
      </c>
      <c r="I830" s="231" t="str">
        <f>IF(AND(F830&lt;&gt;"",N10&gt;0,M830&gt;N10),"Mot &gt; limite","")</f>
        <v/>
      </c>
      <c r="M830" s="126">
        <f>IF(OR(F830="",N10="",N10&lt;=0),"",IF(LEN(F830)&lt;=N10,LEN(F830),IFERROR(FIND("♦",SUBSTITUTE(LEFT(F830,N10)," ","♦",LEN(LEFT(F830,N10))-LEN(SUBSTITUTE(LEFT(F830,N10)," ","")))),FIND(" ",F830&amp;" ",N10+1)-1)))</f>
        <v>1</v>
      </c>
      <c r="N830" s="234">
        <f t="shared" si="86"/>
        <v>813</v>
      </c>
      <c r="O830" s="165" t="str">
        <f t="shared" si="87"/>
        <v>0</v>
      </c>
      <c r="P830" s="234">
        <f t="shared" si="88"/>
        <v>1</v>
      </c>
      <c r="Q830" s="234">
        <f t="shared" si="89"/>
        <v>1</v>
      </c>
      <c r="DE830" s="152"/>
      <c r="DF830" s="160" t="s">
        <v>2571</v>
      </c>
      <c r="DG830" s="160" t="s">
        <v>122</v>
      </c>
      <c r="DH830" s="160" t="s">
        <v>125</v>
      </c>
      <c r="DI830" s="160" t="s">
        <v>2572</v>
      </c>
      <c r="DJ830" s="160" t="s">
        <v>2572</v>
      </c>
      <c r="DK830" s="160" t="s">
        <v>1259</v>
      </c>
      <c r="DL830" s="160" t="s">
        <v>1260</v>
      </c>
      <c r="DM830" s="160" t="s">
        <v>1812</v>
      </c>
      <c r="DN830" s="161" t="s">
        <v>1813</v>
      </c>
      <c r="DP830" s="130">
        <v>1</v>
      </c>
    </row>
    <row r="831" spans="2:120" ht="15">
      <c r="B831" s="231"/>
      <c r="C831" s="231"/>
      <c r="D831" s="231"/>
      <c r="E831" s="231" cm="1">
        <f t="array" ref="E831">IF(H830&lt;&gt;"",E830,IF(E830="","",IFERROR(MATCH(TRUE(),INDEX(INDEX(K:K,E830+1):K203&lt;&gt;"",0),0)+E830,"")))</f>
        <v>923</v>
      </c>
      <c r="F831" s="232" cm="1">
        <f t="array" ref="F831">IF(E831="","",IF(H830&lt;&gt;"",H830,INDEX(D:D,E831)))</f>
        <v>0</v>
      </c>
      <c r="G831" s="232" t="str">
        <f t="shared" si="84"/>
        <v>0</v>
      </c>
      <c r="H831" s="233" t="str">
        <f t="shared" si="85"/>
        <v/>
      </c>
      <c r="I831" s="231" t="str">
        <f>IF(AND(F831&lt;&gt;"",N10&gt;0,M831&gt;N10),"Mot &gt; limite","")</f>
        <v/>
      </c>
      <c r="M831" s="126">
        <f>IF(OR(F831="",N10="",N10&lt;=0),"",IF(LEN(F831)&lt;=N10,LEN(F831),IFERROR(FIND("♦",SUBSTITUTE(LEFT(F831,N10)," ","♦",LEN(LEFT(F831,N10))-LEN(SUBSTITUTE(LEFT(F831,N10)," ","")))),FIND(" ",F831&amp;" ",N10+1)-1)))</f>
        <v>1</v>
      </c>
      <c r="N831" s="234">
        <f t="shared" si="86"/>
        <v>814</v>
      </c>
      <c r="O831" s="165" t="str">
        <f t="shared" si="87"/>
        <v>0</v>
      </c>
      <c r="P831" s="234">
        <f t="shared" si="88"/>
        <v>1</v>
      </c>
      <c r="Q831" s="234">
        <f t="shared" si="89"/>
        <v>1</v>
      </c>
      <c r="DE831" s="152"/>
      <c r="DF831" s="160" t="s">
        <v>2573</v>
      </c>
      <c r="DG831" s="160" t="s">
        <v>122</v>
      </c>
      <c r="DH831" s="160" t="s">
        <v>125</v>
      </c>
      <c r="DI831" s="160" t="s">
        <v>2574</v>
      </c>
      <c r="DJ831" s="160" t="s">
        <v>2574</v>
      </c>
      <c r="DK831" s="160" t="s">
        <v>1259</v>
      </c>
      <c r="DL831" s="160" t="s">
        <v>1260</v>
      </c>
      <c r="DM831" s="160" t="s">
        <v>1812</v>
      </c>
      <c r="DN831" s="161" t="s">
        <v>1813</v>
      </c>
      <c r="DP831" s="130">
        <v>1</v>
      </c>
    </row>
    <row r="832" spans="2:120" ht="15">
      <c r="B832" s="231"/>
      <c r="C832" s="231"/>
      <c r="D832" s="231"/>
      <c r="E832" s="231" cm="1">
        <f t="array" ref="E832">IF(H831&lt;&gt;"",E831,IF(E831="","",IFERROR(MATCH(TRUE(),INDEX(INDEX(K:K,E831+1):K203&lt;&gt;"",0),0)+E831,"")))</f>
        <v>924</v>
      </c>
      <c r="F832" s="232" cm="1">
        <f t="array" ref="F832">IF(E832="","",IF(H831&lt;&gt;"",H831,INDEX(D:D,E832)))</f>
        <v>0</v>
      </c>
      <c r="G832" s="232" t="str">
        <f t="shared" si="84"/>
        <v>0</v>
      </c>
      <c r="H832" s="233" t="str">
        <f t="shared" si="85"/>
        <v/>
      </c>
      <c r="I832" s="231" t="str">
        <f>IF(AND(F832&lt;&gt;"",N10&gt;0,M832&gt;N10),"Mot &gt; limite","")</f>
        <v/>
      </c>
      <c r="M832" s="126">
        <f>IF(OR(F832="",N10="",N10&lt;=0),"",IF(LEN(F832)&lt;=N10,LEN(F832),IFERROR(FIND("♦",SUBSTITUTE(LEFT(F832,N10)," ","♦",LEN(LEFT(F832,N10))-LEN(SUBSTITUTE(LEFT(F832,N10)," ","")))),FIND(" ",F832&amp;" ",N10+1)-1)))</f>
        <v>1</v>
      </c>
      <c r="N832" s="234">
        <f t="shared" si="86"/>
        <v>815</v>
      </c>
      <c r="O832" s="165" t="str">
        <f t="shared" si="87"/>
        <v>0</v>
      </c>
      <c r="P832" s="234">
        <f t="shared" si="88"/>
        <v>1</v>
      </c>
      <c r="Q832" s="234">
        <f t="shared" si="89"/>
        <v>1</v>
      </c>
      <c r="DE832" s="152"/>
      <c r="DF832" s="160" t="s">
        <v>2575</v>
      </c>
      <c r="DG832" s="160" t="s">
        <v>122</v>
      </c>
      <c r="DH832" s="160" t="s">
        <v>125</v>
      </c>
      <c r="DI832" s="160" t="s">
        <v>2576</v>
      </c>
      <c r="DJ832" s="160" t="s">
        <v>2576</v>
      </c>
      <c r="DK832" s="160" t="s">
        <v>1259</v>
      </c>
      <c r="DL832" s="160" t="s">
        <v>1260</v>
      </c>
      <c r="DM832" s="160" t="s">
        <v>1812</v>
      </c>
      <c r="DN832" s="161" t="s">
        <v>1813</v>
      </c>
      <c r="DP832" s="130">
        <v>1</v>
      </c>
    </row>
    <row r="833" spans="2:120" ht="15">
      <c r="B833" s="231"/>
      <c r="C833" s="231"/>
      <c r="D833" s="231"/>
      <c r="E833" s="231" cm="1">
        <f t="array" ref="E833">IF(H832&lt;&gt;"",E832,IF(E832="","",IFERROR(MATCH(TRUE(),INDEX(INDEX(K:K,E832+1):K203&lt;&gt;"",0),0)+E832,"")))</f>
        <v>925</v>
      </c>
      <c r="F833" s="232" cm="1">
        <f t="array" ref="F833">IF(E833="","",IF(H832&lt;&gt;"",H832,INDEX(D:D,E833)))</f>
        <v>0</v>
      </c>
      <c r="G833" s="232" t="str">
        <f t="shared" si="84"/>
        <v>0</v>
      </c>
      <c r="H833" s="233" t="str">
        <f t="shared" si="85"/>
        <v/>
      </c>
      <c r="I833" s="231" t="str">
        <f>IF(AND(F833&lt;&gt;"",N10&gt;0,M833&gt;N10),"Mot &gt; limite","")</f>
        <v/>
      </c>
      <c r="M833" s="126">
        <f>IF(OR(F833="",N10="",N10&lt;=0),"",IF(LEN(F833)&lt;=N10,LEN(F833),IFERROR(FIND("♦",SUBSTITUTE(LEFT(F833,N10)," ","♦",LEN(LEFT(F833,N10))-LEN(SUBSTITUTE(LEFT(F833,N10)," ","")))),FIND(" ",F833&amp;" ",N10+1)-1)))</f>
        <v>1</v>
      </c>
      <c r="N833" s="234">
        <f t="shared" si="86"/>
        <v>816</v>
      </c>
      <c r="O833" s="165" t="str">
        <f t="shared" si="87"/>
        <v>0</v>
      </c>
      <c r="P833" s="234">
        <f t="shared" si="88"/>
        <v>1</v>
      </c>
      <c r="Q833" s="234">
        <f t="shared" si="89"/>
        <v>1</v>
      </c>
      <c r="DE833" s="152"/>
      <c r="DF833" s="160" t="s">
        <v>2577</v>
      </c>
      <c r="DG833" s="160" t="s">
        <v>122</v>
      </c>
      <c r="DH833" s="160" t="s">
        <v>125</v>
      </c>
      <c r="DI833" s="160" t="s">
        <v>2578</v>
      </c>
      <c r="DJ833" s="160" t="s">
        <v>2578</v>
      </c>
      <c r="DK833" s="160" t="s">
        <v>1259</v>
      </c>
      <c r="DL833" s="160" t="s">
        <v>1260</v>
      </c>
      <c r="DM833" s="160" t="s">
        <v>1812</v>
      </c>
      <c r="DN833" s="161" t="s">
        <v>1813</v>
      </c>
      <c r="DP833" s="130">
        <v>1</v>
      </c>
    </row>
    <row r="834" spans="2:120" ht="15">
      <c r="B834" s="231"/>
      <c r="C834" s="231"/>
      <c r="D834" s="231"/>
      <c r="E834" s="231" cm="1">
        <f t="array" ref="E834">IF(H833&lt;&gt;"",E833,IF(E833="","",IFERROR(MATCH(TRUE(),INDEX(INDEX(K:K,E833+1):K203&lt;&gt;"",0),0)+E833,"")))</f>
        <v>926</v>
      </c>
      <c r="F834" s="232" cm="1">
        <f t="array" ref="F834">IF(E834="","",IF(H833&lt;&gt;"",H833,INDEX(D:D,E834)))</f>
        <v>0</v>
      </c>
      <c r="G834" s="232" t="str">
        <f t="shared" si="84"/>
        <v>0</v>
      </c>
      <c r="H834" s="233" t="str">
        <f t="shared" si="85"/>
        <v/>
      </c>
      <c r="I834" s="231" t="str">
        <f>IF(AND(F834&lt;&gt;"",N10&gt;0,M834&gt;N10),"Mot &gt; limite","")</f>
        <v/>
      </c>
      <c r="M834" s="126">
        <f>IF(OR(F834="",N10="",N10&lt;=0),"",IF(LEN(F834)&lt;=N10,LEN(F834),IFERROR(FIND("♦",SUBSTITUTE(LEFT(F834,N10)," ","♦",LEN(LEFT(F834,N10))-LEN(SUBSTITUTE(LEFT(F834,N10)," ","")))),FIND(" ",F834&amp;" ",N10+1)-1)))</f>
        <v>1</v>
      </c>
      <c r="N834" s="234">
        <f t="shared" si="86"/>
        <v>817</v>
      </c>
      <c r="O834" s="165" t="str">
        <f t="shared" si="87"/>
        <v>0</v>
      </c>
      <c r="P834" s="234">
        <f t="shared" si="88"/>
        <v>1</v>
      </c>
      <c r="Q834" s="234">
        <f t="shared" si="89"/>
        <v>1</v>
      </c>
      <c r="DE834" s="152"/>
      <c r="DF834" s="160" t="s">
        <v>2579</v>
      </c>
      <c r="DG834" s="160" t="s">
        <v>122</v>
      </c>
      <c r="DH834" s="160" t="s">
        <v>125</v>
      </c>
      <c r="DI834" s="160" t="s">
        <v>2580</v>
      </c>
      <c r="DJ834" s="160" t="s">
        <v>2580</v>
      </c>
      <c r="DK834" s="160" t="s">
        <v>1259</v>
      </c>
      <c r="DL834" s="160" t="s">
        <v>1260</v>
      </c>
      <c r="DM834" s="160" t="s">
        <v>1812</v>
      </c>
      <c r="DN834" s="161" t="s">
        <v>1813</v>
      </c>
      <c r="DP834" s="130">
        <v>1</v>
      </c>
    </row>
    <row r="835" spans="2:120" ht="15">
      <c r="B835" s="231"/>
      <c r="C835" s="231"/>
      <c r="D835" s="231"/>
      <c r="E835" s="231" cm="1">
        <f t="array" ref="E835">IF(H834&lt;&gt;"",E834,IF(E834="","",IFERROR(MATCH(TRUE(),INDEX(INDEX(K:K,E834+1):K203&lt;&gt;"",0),0)+E834,"")))</f>
        <v>927</v>
      </c>
      <c r="F835" s="232" cm="1">
        <f t="array" ref="F835">IF(E835="","",IF(H834&lt;&gt;"",H834,INDEX(D:D,E835)))</f>
        <v>0</v>
      </c>
      <c r="G835" s="232" t="str">
        <f t="shared" si="84"/>
        <v>0</v>
      </c>
      <c r="H835" s="233" t="str">
        <f t="shared" si="85"/>
        <v/>
      </c>
      <c r="I835" s="231" t="str">
        <f>IF(AND(F835&lt;&gt;"",N10&gt;0,M835&gt;N10),"Mot &gt; limite","")</f>
        <v/>
      </c>
      <c r="M835" s="126">
        <f>IF(OR(F835="",N10="",N10&lt;=0),"",IF(LEN(F835)&lt;=N10,LEN(F835),IFERROR(FIND("♦",SUBSTITUTE(LEFT(F835,N10)," ","♦",LEN(LEFT(F835,N10))-LEN(SUBSTITUTE(LEFT(F835,N10)," ","")))),FIND(" ",F835&amp;" ",N10+1)-1)))</f>
        <v>1</v>
      </c>
      <c r="N835" s="234">
        <f t="shared" si="86"/>
        <v>818</v>
      </c>
      <c r="O835" s="165" t="str">
        <f t="shared" si="87"/>
        <v>0</v>
      </c>
      <c r="P835" s="234">
        <f t="shared" si="88"/>
        <v>1</v>
      </c>
      <c r="Q835" s="234">
        <f t="shared" si="89"/>
        <v>1</v>
      </c>
      <c r="DE835" s="152"/>
      <c r="DF835" s="160" t="s">
        <v>2581</v>
      </c>
      <c r="DG835" s="160" t="s">
        <v>122</v>
      </c>
      <c r="DH835" s="160" t="s">
        <v>125</v>
      </c>
      <c r="DI835" s="160" t="s">
        <v>2582</v>
      </c>
      <c r="DJ835" s="160" t="s">
        <v>2582</v>
      </c>
      <c r="DK835" s="160" t="s">
        <v>1259</v>
      </c>
      <c r="DL835" s="160" t="s">
        <v>1260</v>
      </c>
      <c r="DM835" s="160" t="s">
        <v>1812</v>
      </c>
      <c r="DN835" s="161" t="s">
        <v>1813</v>
      </c>
      <c r="DP835" s="130">
        <v>1</v>
      </c>
    </row>
    <row r="836" spans="2:120" ht="15">
      <c r="B836" s="231"/>
      <c r="C836" s="231"/>
      <c r="D836" s="231"/>
      <c r="E836" s="231" cm="1">
        <f t="array" ref="E836">IF(H835&lt;&gt;"",E835,IF(E835="","",IFERROR(MATCH(TRUE(),INDEX(INDEX(K:K,E835+1):K203&lt;&gt;"",0),0)+E835,"")))</f>
        <v>928</v>
      </c>
      <c r="F836" s="232" cm="1">
        <f t="array" ref="F836">IF(E836="","",IF(H835&lt;&gt;"",H835,INDEX(D:D,E836)))</f>
        <v>0</v>
      </c>
      <c r="G836" s="232" t="str">
        <f t="shared" si="84"/>
        <v>0</v>
      </c>
      <c r="H836" s="233" t="str">
        <f t="shared" si="85"/>
        <v/>
      </c>
      <c r="I836" s="231" t="str">
        <f>IF(AND(F836&lt;&gt;"",N10&gt;0,M836&gt;N10),"Mot &gt; limite","")</f>
        <v/>
      </c>
      <c r="M836" s="126">
        <f>IF(OR(F836="",N10="",N10&lt;=0),"",IF(LEN(F836)&lt;=N10,LEN(F836),IFERROR(FIND("♦",SUBSTITUTE(LEFT(F836,N10)," ","♦",LEN(LEFT(F836,N10))-LEN(SUBSTITUTE(LEFT(F836,N10)," ","")))),FIND(" ",F836&amp;" ",N10+1)-1)))</f>
        <v>1</v>
      </c>
      <c r="N836" s="234">
        <f t="shared" si="86"/>
        <v>819</v>
      </c>
      <c r="O836" s="165" t="str">
        <f t="shared" si="87"/>
        <v>0</v>
      </c>
      <c r="P836" s="234">
        <f t="shared" si="88"/>
        <v>1</v>
      </c>
      <c r="Q836" s="234">
        <f t="shared" si="89"/>
        <v>1</v>
      </c>
      <c r="DE836" s="152"/>
      <c r="DF836" s="160" t="s">
        <v>2583</v>
      </c>
      <c r="DG836" s="160" t="s">
        <v>122</v>
      </c>
      <c r="DH836" s="160" t="s">
        <v>125</v>
      </c>
      <c r="DI836" s="160" t="s">
        <v>2584</v>
      </c>
      <c r="DJ836" s="160" t="s">
        <v>2584</v>
      </c>
      <c r="DK836" s="160" t="s">
        <v>1259</v>
      </c>
      <c r="DL836" s="160" t="s">
        <v>1260</v>
      </c>
      <c r="DM836" s="160" t="s">
        <v>1812</v>
      </c>
      <c r="DN836" s="161" t="s">
        <v>1813</v>
      </c>
      <c r="DP836" s="130">
        <v>1</v>
      </c>
    </row>
    <row r="837" spans="2:120" ht="15">
      <c r="B837" s="231"/>
      <c r="C837" s="231"/>
      <c r="D837" s="231"/>
      <c r="E837" s="231" cm="1">
        <f t="array" ref="E837">IF(H836&lt;&gt;"",E836,IF(E836="","",IFERROR(MATCH(TRUE(),INDEX(INDEX(K:K,E836+1):K203&lt;&gt;"",0),0)+E836,"")))</f>
        <v>929</v>
      </c>
      <c r="F837" s="232" cm="1">
        <f t="array" ref="F837">IF(E837="","",IF(H836&lt;&gt;"",H836,INDEX(D:D,E837)))</f>
        <v>0</v>
      </c>
      <c r="G837" s="232" t="str">
        <f t="shared" si="84"/>
        <v>0</v>
      </c>
      <c r="H837" s="233" t="str">
        <f t="shared" si="85"/>
        <v/>
      </c>
      <c r="I837" s="231" t="str">
        <f>IF(AND(F837&lt;&gt;"",N10&gt;0,M837&gt;N10),"Mot &gt; limite","")</f>
        <v/>
      </c>
      <c r="M837" s="126">
        <f>IF(OR(F837="",N10="",N10&lt;=0),"",IF(LEN(F837)&lt;=N10,LEN(F837),IFERROR(FIND("♦",SUBSTITUTE(LEFT(F837,N10)," ","♦",LEN(LEFT(F837,N10))-LEN(SUBSTITUTE(LEFT(F837,N10)," ","")))),FIND(" ",F837&amp;" ",N10+1)-1)))</f>
        <v>1</v>
      </c>
      <c r="N837" s="234">
        <f t="shared" si="86"/>
        <v>820</v>
      </c>
      <c r="O837" s="165" t="str">
        <f t="shared" si="87"/>
        <v>0</v>
      </c>
      <c r="P837" s="234">
        <f t="shared" si="88"/>
        <v>1</v>
      </c>
      <c r="Q837" s="234">
        <f t="shared" si="89"/>
        <v>1</v>
      </c>
      <c r="DE837" s="152"/>
      <c r="DF837" s="160" t="s">
        <v>2585</v>
      </c>
      <c r="DG837" s="160" t="s">
        <v>122</v>
      </c>
      <c r="DH837" s="160" t="s">
        <v>125</v>
      </c>
      <c r="DI837" s="160" t="s">
        <v>2586</v>
      </c>
      <c r="DJ837" s="160" t="s">
        <v>2586</v>
      </c>
      <c r="DK837" s="160" t="s">
        <v>1259</v>
      </c>
      <c r="DL837" s="160" t="s">
        <v>1260</v>
      </c>
      <c r="DM837" s="160" t="s">
        <v>1812</v>
      </c>
      <c r="DN837" s="161" t="s">
        <v>1813</v>
      </c>
      <c r="DP837" s="130">
        <v>1</v>
      </c>
    </row>
    <row r="838" spans="2:120" ht="15">
      <c r="B838" s="231"/>
      <c r="C838" s="231"/>
      <c r="D838" s="231"/>
      <c r="E838" s="231" cm="1">
        <f t="array" ref="E838">IF(H837&lt;&gt;"",E837,IF(E837="","",IFERROR(MATCH(TRUE(),INDEX(INDEX(K:K,E837+1):K203&lt;&gt;"",0),0)+E837,"")))</f>
        <v>930</v>
      </c>
      <c r="F838" s="232" cm="1">
        <f t="array" ref="F838">IF(E838="","",IF(H837&lt;&gt;"",H837,INDEX(D:D,E838)))</f>
        <v>0</v>
      </c>
      <c r="G838" s="232" t="str">
        <f t="shared" si="84"/>
        <v>0</v>
      </c>
      <c r="H838" s="233" t="str">
        <f t="shared" si="85"/>
        <v/>
      </c>
      <c r="I838" s="231" t="str">
        <f>IF(AND(F838&lt;&gt;"",N10&gt;0,M838&gt;N10),"Mot &gt; limite","")</f>
        <v/>
      </c>
      <c r="M838" s="126">
        <f>IF(OR(F838="",N10="",N10&lt;=0),"",IF(LEN(F838)&lt;=N10,LEN(F838),IFERROR(FIND("♦",SUBSTITUTE(LEFT(F838,N10)," ","♦",LEN(LEFT(F838,N10))-LEN(SUBSTITUTE(LEFT(F838,N10)," ","")))),FIND(" ",F838&amp;" ",N10+1)-1)))</f>
        <v>1</v>
      </c>
      <c r="N838" s="234">
        <f t="shared" si="86"/>
        <v>821</v>
      </c>
      <c r="O838" s="165" t="str">
        <f t="shared" si="87"/>
        <v>0</v>
      </c>
      <c r="P838" s="234">
        <f t="shared" si="88"/>
        <v>1</v>
      </c>
      <c r="Q838" s="234">
        <f t="shared" si="89"/>
        <v>1</v>
      </c>
      <c r="DE838" s="152"/>
      <c r="DF838" s="160" t="s">
        <v>2587</v>
      </c>
      <c r="DG838" s="160" t="s">
        <v>122</v>
      </c>
      <c r="DH838" s="160" t="s">
        <v>125</v>
      </c>
      <c r="DI838" s="160" t="s">
        <v>2588</v>
      </c>
      <c r="DJ838" s="160" t="s">
        <v>2588</v>
      </c>
      <c r="DK838" s="160" t="s">
        <v>1259</v>
      </c>
      <c r="DL838" s="160" t="s">
        <v>1260</v>
      </c>
      <c r="DM838" s="160" t="s">
        <v>1812</v>
      </c>
      <c r="DN838" s="161" t="s">
        <v>1813</v>
      </c>
      <c r="DP838" s="130">
        <v>1</v>
      </c>
    </row>
    <row r="839" spans="2:120" ht="15">
      <c r="B839" s="231"/>
      <c r="C839" s="231"/>
      <c r="D839" s="231"/>
      <c r="E839" s="231" cm="1">
        <f t="array" ref="E839">IF(H838&lt;&gt;"",E838,IF(E838="","",IFERROR(MATCH(TRUE(),INDEX(INDEX(K:K,E838+1):K203&lt;&gt;"",0),0)+E838,"")))</f>
        <v>931</v>
      </c>
      <c r="F839" s="232" cm="1">
        <f t="array" ref="F839">IF(E839="","",IF(H838&lt;&gt;"",H838,INDEX(D:D,E839)))</f>
        <v>0</v>
      </c>
      <c r="G839" s="232" t="str">
        <f t="shared" si="84"/>
        <v>0</v>
      </c>
      <c r="H839" s="233" t="str">
        <f t="shared" si="85"/>
        <v/>
      </c>
      <c r="I839" s="231" t="str">
        <f>IF(AND(F839&lt;&gt;"",N10&gt;0,M839&gt;N10),"Mot &gt; limite","")</f>
        <v/>
      </c>
      <c r="M839" s="126">
        <f>IF(OR(F839="",N10="",N10&lt;=0),"",IF(LEN(F839)&lt;=N10,LEN(F839),IFERROR(FIND("♦",SUBSTITUTE(LEFT(F839,N10)," ","♦",LEN(LEFT(F839,N10))-LEN(SUBSTITUTE(LEFT(F839,N10)," ","")))),FIND(" ",F839&amp;" ",N10+1)-1)))</f>
        <v>1</v>
      </c>
      <c r="N839" s="234">
        <f t="shared" si="86"/>
        <v>822</v>
      </c>
      <c r="O839" s="165" t="str">
        <f t="shared" si="87"/>
        <v>0</v>
      </c>
      <c r="P839" s="234">
        <f t="shared" si="88"/>
        <v>1</v>
      </c>
      <c r="Q839" s="234">
        <f t="shared" si="89"/>
        <v>1</v>
      </c>
      <c r="DE839" s="152"/>
      <c r="DF839" s="160" t="s">
        <v>2589</v>
      </c>
      <c r="DG839" s="160" t="s">
        <v>122</v>
      </c>
      <c r="DH839" s="160" t="s">
        <v>125</v>
      </c>
      <c r="DI839" s="160" t="s">
        <v>2590</v>
      </c>
      <c r="DJ839" s="160" t="s">
        <v>2590</v>
      </c>
      <c r="DK839" s="160" t="s">
        <v>1259</v>
      </c>
      <c r="DL839" s="160" t="s">
        <v>1260</v>
      </c>
      <c r="DM839" s="160" t="s">
        <v>1812</v>
      </c>
      <c r="DN839" s="161" t="s">
        <v>1813</v>
      </c>
      <c r="DP839" s="130">
        <v>1</v>
      </c>
    </row>
    <row r="840" spans="2:120" ht="15">
      <c r="B840" s="231"/>
      <c r="C840" s="231"/>
      <c r="D840" s="231"/>
      <c r="E840" s="231" cm="1">
        <f t="array" ref="E840">IF(H839&lt;&gt;"",E839,IF(E839="","",IFERROR(MATCH(TRUE(),INDEX(INDEX(K:K,E839+1):K203&lt;&gt;"",0),0)+E839,"")))</f>
        <v>932</v>
      </c>
      <c r="F840" s="232" cm="1">
        <f t="array" ref="F840">IF(E840="","",IF(H839&lt;&gt;"",H839,INDEX(D:D,E840)))</f>
        <v>0</v>
      </c>
      <c r="G840" s="232" t="str">
        <f t="shared" si="84"/>
        <v>0</v>
      </c>
      <c r="H840" s="233" t="str">
        <f t="shared" si="85"/>
        <v/>
      </c>
      <c r="I840" s="231" t="str">
        <f>IF(AND(F840&lt;&gt;"",N10&gt;0,M840&gt;N10),"Mot &gt; limite","")</f>
        <v/>
      </c>
      <c r="M840" s="126">
        <f>IF(OR(F840="",N10="",N10&lt;=0),"",IF(LEN(F840)&lt;=N10,LEN(F840),IFERROR(FIND("♦",SUBSTITUTE(LEFT(F840,N10)," ","♦",LEN(LEFT(F840,N10))-LEN(SUBSTITUTE(LEFT(F840,N10)," ","")))),FIND(" ",F840&amp;" ",N10+1)-1)))</f>
        <v>1</v>
      </c>
      <c r="N840" s="234">
        <f t="shared" si="86"/>
        <v>823</v>
      </c>
      <c r="O840" s="165" t="str">
        <f t="shared" si="87"/>
        <v>0</v>
      </c>
      <c r="P840" s="234">
        <f t="shared" si="88"/>
        <v>1</v>
      </c>
      <c r="Q840" s="234">
        <f t="shared" si="89"/>
        <v>1</v>
      </c>
      <c r="DE840" s="152"/>
      <c r="DF840" s="160" t="s">
        <v>2591</v>
      </c>
      <c r="DG840" s="160" t="s">
        <v>122</v>
      </c>
      <c r="DH840" s="160" t="s">
        <v>125</v>
      </c>
      <c r="DI840" s="160" t="s">
        <v>2592</v>
      </c>
      <c r="DJ840" s="160" t="s">
        <v>2592</v>
      </c>
      <c r="DK840" s="160" t="s">
        <v>1259</v>
      </c>
      <c r="DL840" s="160" t="s">
        <v>1260</v>
      </c>
      <c r="DM840" s="160" t="s">
        <v>1812</v>
      </c>
      <c r="DN840" s="161" t="s">
        <v>1813</v>
      </c>
      <c r="DP840" s="130">
        <v>1</v>
      </c>
    </row>
    <row r="841" spans="2:120" ht="15">
      <c r="B841" s="231"/>
      <c r="C841" s="231"/>
      <c r="D841" s="231"/>
      <c r="E841" s="231" cm="1">
        <f t="array" ref="E841">IF(H840&lt;&gt;"",E840,IF(E840="","",IFERROR(MATCH(TRUE(),INDEX(INDEX(K:K,E840+1):K203&lt;&gt;"",0),0)+E840,"")))</f>
        <v>933</v>
      </c>
      <c r="F841" s="232" cm="1">
        <f t="array" ref="F841">IF(E841="","",IF(H840&lt;&gt;"",H840,INDEX(D:D,E841)))</f>
        <v>0</v>
      </c>
      <c r="G841" s="232" t="str">
        <f t="shared" si="84"/>
        <v>0</v>
      </c>
      <c r="H841" s="233" t="str">
        <f t="shared" si="85"/>
        <v/>
      </c>
      <c r="I841" s="231" t="str">
        <f>IF(AND(F841&lt;&gt;"",N10&gt;0,M841&gt;N10),"Mot &gt; limite","")</f>
        <v/>
      </c>
      <c r="M841" s="126">
        <f>IF(OR(F841="",N10="",N10&lt;=0),"",IF(LEN(F841)&lt;=N10,LEN(F841),IFERROR(FIND("♦",SUBSTITUTE(LEFT(F841,N10)," ","♦",LEN(LEFT(F841,N10))-LEN(SUBSTITUTE(LEFT(F841,N10)," ","")))),FIND(" ",F841&amp;" ",N10+1)-1)))</f>
        <v>1</v>
      </c>
      <c r="N841" s="234">
        <f t="shared" si="86"/>
        <v>824</v>
      </c>
      <c r="O841" s="165" t="str">
        <f t="shared" si="87"/>
        <v>0</v>
      </c>
      <c r="P841" s="234">
        <f t="shared" si="88"/>
        <v>1</v>
      </c>
      <c r="Q841" s="234">
        <f t="shared" si="89"/>
        <v>1</v>
      </c>
      <c r="DE841" s="152"/>
      <c r="DF841" s="160" t="s">
        <v>2593</v>
      </c>
      <c r="DG841" s="160" t="s">
        <v>122</v>
      </c>
      <c r="DH841" s="160" t="s">
        <v>125</v>
      </c>
      <c r="DI841" s="160" t="s">
        <v>2594</v>
      </c>
      <c r="DJ841" s="160" t="s">
        <v>2594</v>
      </c>
      <c r="DK841" s="160" t="s">
        <v>1259</v>
      </c>
      <c r="DL841" s="160" t="s">
        <v>1260</v>
      </c>
      <c r="DM841" s="160" t="s">
        <v>1812</v>
      </c>
      <c r="DN841" s="161" t="s">
        <v>1813</v>
      </c>
      <c r="DP841" s="130">
        <v>1</v>
      </c>
    </row>
    <row r="842" spans="2:120" ht="15">
      <c r="B842" s="231"/>
      <c r="C842" s="231"/>
      <c r="D842" s="231"/>
      <c r="E842" s="231" cm="1">
        <f t="array" ref="E842">IF(H841&lt;&gt;"",E841,IF(E841="","",IFERROR(MATCH(TRUE(),INDEX(INDEX(K:K,E841+1):K203&lt;&gt;"",0),0)+E841,"")))</f>
        <v>934</v>
      </c>
      <c r="F842" s="232" cm="1">
        <f t="array" ref="F842">IF(E842="","",IF(H841&lt;&gt;"",H841,INDEX(D:D,E842)))</f>
        <v>0</v>
      </c>
      <c r="G842" s="232" t="str">
        <f t="shared" si="84"/>
        <v>0</v>
      </c>
      <c r="H842" s="233" t="str">
        <f t="shared" si="85"/>
        <v/>
      </c>
      <c r="I842" s="231" t="str">
        <f>IF(AND(F842&lt;&gt;"",N10&gt;0,M842&gt;N10),"Mot &gt; limite","")</f>
        <v/>
      </c>
      <c r="M842" s="126">
        <f>IF(OR(F842="",N10="",N10&lt;=0),"",IF(LEN(F842)&lt;=N10,LEN(F842),IFERROR(FIND("♦",SUBSTITUTE(LEFT(F842,N10)," ","♦",LEN(LEFT(F842,N10))-LEN(SUBSTITUTE(LEFT(F842,N10)," ","")))),FIND(" ",F842&amp;" ",N10+1)-1)))</f>
        <v>1</v>
      </c>
      <c r="N842" s="234">
        <f t="shared" si="86"/>
        <v>825</v>
      </c>
      <c r="O842" s="165" t="str">
        <f t="shared" si="87"/>
        <v>0</v>
      </c>
      <c r="P842" s="234">
        <f t="shared" si="88"/>
        <v>1</v>
      </c>
      <c r="Q842" s="234">
        <f t="shared" si="89"/>
        <v>1</v>
      </c>
      <c r="DE842" s="152"/>
      <c r="DF842" s="160" t="s">
        <v>2595</v>
      </c>
      <c r="DG842" s="160" t="s">
        <v>122</v>
      </c>
      <c r="DH842" s="160" t="s">
        <v>125</v>
      </c>
      <c r="DI842" s="160" t="s">
        <v>2596</v>
      </c>
      <c r="DJ842" s="160" t="s">
        <v>2596</v>
      </c>
      <c r="DK842" s="160" t="s">
        <v>1259</v>
      </c>
      <c r="DL842" s="160" t="s">
        <v>1260</v>
      </c>
      <c r="DM842" s="160" t="s">
        <v>1812</v>
      </c>
      <c r="DN842" s="161" t="s">
        <v>1813</v>
      </c>
      <c r="DP842" s="130">
        <v>1</v>
      </c>
    </row>
    <row r="843" spans="2:120" ht="15">
      <c r="B843" s="231"/>
      <c r="C843" s="231"/>
      <c r="D843" s="231"/>
      <c r="E843" s="231" cm="1">
        <f t="array" ref="E843">IF(H842&lt;&gt;"",E842,IF(E842="","",IFERROR(MATCH(TRUE(),INDEX(INDEX(K:K,E842+1):K203&lt;&gt;"",0),0)+E842,"")))</f>
        <v>935</v>
      </c>
      <c r="F843" s="232" cm="1">
        <f t="array" ref="F843">IF(E843="","",IF(H842&lt;&gt;"",H842,INDEX(D:D,E843)))</f>
        <v>0</v>
      </c>
      <c r="G843" s="232" t="str">
        <f t="shared" si="84"/>
        <v>0</v>
      </c>
      <c r="H843" s="233" t="str">
        <f t="shared" si="85"/>
        <v/>
      </c>
      <c r="I843" s="231" t="str">
        <f>IF(AND(F843&lt;&gt;"",N10&gt;0,M843&gt;N10),"Mot &gt; limite","")</f>
        <v/>
      </c>
      <c r="M843" s="126">
        <f>IF(OR(F843="",N10="",N10&lt;=0),"",IF(LEN(F843)&lt;=N10,LEN(F843),IFERROR(FIND("♦",SUBSTITUTE(LEFT(F843,N10)," ","♦",LEN(LEFT(F843,N10))-LEN(SUBSTITUTE(LEFT(F843,N10)," ","")))),FIND(" ",F843&amp;" ",N10+1)-1)))</f>
        <v>1</v>
      </c>
      <c r="N843" s="234">
        <f t="shared" si="86"/>
        <v>826</v>
      </c>
      <c r="O843" s="165" t="str">
        <f t="shared" si="87"/>
        <v>0</v>
      </c>
      <c r="P843" s="234">
        <f t="shared" si="88"/>
        <v>1</v>
      </c>
      <c r="Q843" s="234">
        <f t="shared" si="89"/>
        <v>1</v>
      </c>
      <c r="DE843" s="152"/>
      <c r="DF843" s="160" t="s">
        <v>2597</v>
      </c>
      <c r="DG843" s="160" t="s">
        <v>122</v>
      </c>
      <c r="DH843" s="160" t="s">
        <v>125</v>
      </c>
      <c r="DI843" s="160" t="s">
        <v>2598</v>
      </c>
      <c r="DJ843" s="160" t="s">
        <v>2598</v>
      </c>
      <c r="DK843" s="160" t="s">
        <v>1259</v>
      </c>
      <c r="DL843" s="160" t="s">
        <v>1260</v>
      </c>
      <c r="DM843" s="160" t="s">
        <v>1812</v>
      </c>
      <c r="DN843" s="161" t="s">
        <v>1813</v>
      </c>
      <c r="DP843" s="130">
        <v>1</v>
      </c>
    </row>
    <row r="844" spans="2:120" ht="15">
      <c r="B844" s="231"/>
      <c r="C844" s="231"/>
      <c r="D844" s="231"/>
      <c r="E844" s="231" cm="1">
        <f t="array" ref="E844">IF(H843&lt;&gt;"",E843,IF(E843="","",IFERROR(MATCH(TRUE(),INDEX(INDEX(K:K,E843+1):K203&lt;&gt;"",0),0)+E843,"")))</f>
        <v>936</v>
      </c>
      <c r="F844" s="232" cm="1">
        <f t="array" ref="F844">IF(E844="","",IF(H843&lt;&gt;"",H843,INDEX(D:D,E844)))</f>
        <v>0</v>
      </c>
      <c r="G844" s="232" t="str">
        <f t="shared" si="84"/>
        <v>0</v>
      </c>
      <c r="H844" s="233" t="str">
        <f t="shared" si="85"/>
        <v/>
      </c>
      <c r="I844" s="231" t="str">
        <f>IF(AND(F844&lt;&gt;"",N10&gt;0,M844&gt;N10),"Mot &gt; limite","")</f>
        <v/>
      </c>
      <c r="M844" s="126">
        <f>IF(OR(F844="",N10="",N10&lt;=0),"",IF(LEN(F844)&lt;=N10,LEN(F844),IFERROR(FIND("♦",SUBSTITUTE(LEFT(F844,N10)," ","♦",LEN(LEFT(F844,N10))-LEN(SUBSTITUTE(LEFT(F844,N10)," ","")))),FIND(" ",F844&amp;" ",N10+1)-1)))</f>
        <v>1</v>
      </c>
      <c r="N844" s="234">
        <f t="shared" si="86"/>
        <v>827</v>
      </c>
      <c r="O844" s="165" t="str">
        <f t="shared" si="87"/>
        <v>0</v>
      </c>
      <c r="P844" s="234">
        <f t="shared" si="88"/>
        <v>1</v>
      </c>
      <c r="Q844" s="234">
        <f t="shared" si="89"/>
        <v>1</v>
      </c>
      <c r="DE844" s="152"/>
      <c r="DF844" s="160" t="s">
        <v>2599</v>
      </c>
      <c r="DG844" s="160" t="s">
        <v>122</v>
      </c>
      <c r="DH844" s="160" t="s">
        <v>125</v>
      </c>
      <c r="DI844" s="160" t="s">
        <v>2600</v>
      </c>
      <c r="DJ844" s="160" t="s">
        <v>2600</v>
      </c>
      <c r="DK844" s="160" t="s">
        <v>1259</v>
      </c>
      <c r="DL844" s="160" t="s">
        <v>1260</v>
      </c>
      <c r="DM844" s="160" t="s">
        <v>1812</v>
      </c>
      <c r="DN844" s="161" t="s">
        <v>1813</v>
      </c>
      <c r="DP844" s="130">
        <v>1</v>
      </c>
    </row>
    <row r="845" spans="2:120" ht="15">
      <c r="B845" s="231"/>
      <c r="C845" s="231"/>
      <c r="D845" s="231"/>
      <c r="E845" s="231" cm="1">
        <f t="array" ref="E845">IF(H844&lt;&gt;"",E844,IF(E844="","",IFERROR(MATCH(TRUE(),INDEX(INDEX(K:K,E844+1):K203&lt;&gt;"",0),0)+E844,"")))</f>
        <v>937</v>
      </c>
      <c r="F845" s="232" cm="1">
        <f t="array" ref="F845">IF(E845="","",IF(H844&lt;&gt;"",H844,INDEX(D:D,E845)))</f>
        <v>0</v>
      </c>
      <c r="G845" s="232" t="str">
        <f t="shared" si="84"/>
        <v>0</v>
      </c>
      <c r="H845" s="233" t="str">
        <f t="shared" si="85"/>
        <v/>
      </c>
      <c r="I845" s="231" t="str">
        <f>IF(AND(F845&lt;&gt;"",N10&gt;0,M845&gt;N10),"Mot &gt; limite","")</f>
        <v/>
      </c>
      <c r="M845" s="126">
        <f>IF(OR(F845="",N10="",N10&lt;=0),"",IF(LEN(F845)&lt;=N10,LEN(F845),IFERROR(FIND("♦",SUBSTITUTE(LEFT(F845,N10)," ","♦",LEN(LEFT(F845,N10))-LEN(SUBSTITUTE(LEFT(F845,N10)," ","")))),FIND(" ",F845&amp;" ",N10+1)-1)))</f>
        <v>1</v>
      </c>
      <c r="N845" s="234">
        <f t="shared" si="86"/>
        <v>828</v>
      </c>
      <c r="O845" s="165" t="str">
        <f t="shared" si="87"/>
        <v>0</v>
      </c>
      <c r="P845" s="234">
        <f t="shared" si="88"/>
        <v>1</v>
      </c>
      <c r="Q845" s="234">
        <f t="shared" si="89"/>
        <v>1</v>
      </c>
      <c r="DE845" s="152"/>
      <c r="DF845" s="160" t="s">
        <v>2601</v>
      </c>
      <c r="DG845" s="160" t="s">
        <v>122</v>
      </c>
      <c r="DH845" s="160" t="s">
        <v>125</v>
      </c>
      <c r="DI845" s="160" t="s">
        <v>2602</v>
      </c>
      <c r="DJ845" s="160" t="s">
        <v>2602</v>
      </c>
      <c r="DK845" s="160" t="s">
        <v>1259</v>
      </c>
      <c r="DL845" s="160" t="s">
        <v>1260</v>
      </c>
      <c r="DM845" s="160" t="s">
        <v>1812</v>
      </c>
      <c r="DN845" s="161" t="s">
        <v>1813</v>
      </c>
      <c r="DP845" s="130">
        <v>1</v>
      </c>
    </row>
    <row r="846" spans="2:120" ht="15">
      <c r="B846" s="231"/>
      <c r="C846" s="231"/>
      <c r="D846" s="231"/>
      <c r="E846" s="231" cm="1">
        <f t="array" ref="E846">IF(H845&lt;&gt;"",E845,IF(E845="","",IFERROR(MATCH(TRUE(),INDEX(INDEX(K:K,E845+1):K203&lt;&gt;"",0),0)+E845,"")))</f>
        <v>938</v>
      </c>
      <c r="F846" s="232" cm="1">
        <f t="array" ref="F846">IF(E846="","",IF(H845&lt;&gt;"",H845,INDEX(D:D,E846)))</f>
        <v>0</v>
      </c>
      <c r="G846" s="232" t="str">
        <f t="shared" si="84"/>
        <v>0</v>
      </c>
      <c r="H846" s="233" t="str">
        <f t="shared" si="85"/>
        <v/>
      </c>
      <c r="I846" s="231" t="str">
        <f>IF(AND(F846&lt;&gt;"",N10&gt;0,M846&gt;N10),"Mot &gt; limite","")</f>
        <v/>
      </c>
      <c r="M846" s="126">
        <f>IF(OR(F846="",N10="",N10&lt;=0),"",IF(LEN(F846)&lt;=N10,LEN(F846),IFERROR(FIND("♦",SUBSTITUTE(LEFT(F846,N10)," ","♦",LEN(LEFT(F846,N10))-LEN(SUBSTITUTE(LEFT(F846,N10)," ","")))),FIND(" ",F846&amp;" ",N10+1)-1)))</f>
        <v>1</v>
      </c>
      <c r="N846" s="234">
        <f t="shared" si="86"/>
        <v>829</v>
      </c>
      <c r="O846" s="165" t="str">
        <f t="shared" si="87"/>
        <v>0</v>
      </c>
      <c r="P846" s="234">
        <f t="shared" si="88"/>
        <v>1</v>
      </c>
      <c r="Q846" s="234">
        <f t="shared" si="89"/>
        <v>1</v>
      </c>
      <c r="DE846" s="152"/>
      <c r="DF846" s="160" t="s">
        <v>2603</v>
      </c>
      <c r="DG846" s="160" t="s">
        <v>122</v>
      </c>
      <c r="DH846" s="160" t="s">
        <v>125</v>
      </c>
      <c r="DI846" s="160" t="s">
        <v>2604</v>
      </c>
      <c r="DJ846" s="160" t="s">
        <v>2604</v>
      </c>
      <c r="DK846" s="160" t="s">
        <v>1259</v>
      </c>
      <c r="DL846" s="160" t="s">
        <v>1260</v>
      </c>
      <c r="DM846" s="160" t="s">
        <v>1812</v>
      </c>
      <c r="DN846" s="161" t="s">
        <v>1813</v>
      </c>
      <c r="DP846" s="130">
        <v>1</v>
      </c>
    </row>
    <row r="847" spans="2:120" ht="15">
      <c r="B847" s="231"/>
      <c r="C847" s="231"/>
      <c r="D847" s="231"/>
      <c r="E847" s="231" cm="1">
        <f t="array" ref="E847">IF(H846&lt;&gt;"",E846,IF(E846="","",IFERROR(MATCH(TRUE(),INDEX(INDEX(K:K,E846+1):K203&lt;&gt;"",0),0)+E846,"")))</f>
        <v>939</v>
      </c>
      <c r="F847" s="232" cm="1">
        <f t="array" ref="F847">IF(E847="","",IF(H846&lt;&gt;"",H846,INDEX(D:D,E847)))</f>
        <v>0</v>
      </c>
      <c r="G847" s="232" t="str">
        <f t="shared" si="84"/>
        <v>0</v>
      </c>
      <c r="H847" s="233" t="str">
        <f t="shared" si="85"/>
        <v/>
      </c>
      <c r="I847" s="231" t="str">
        <f>IF(AND(F847&lt;&gt;"",N10&gt;0,M847&gt;N10),"Mot &gt; limite","")</f>
        <v/>
      </c>
      <c r="M847" s="126">
        <f>IF(OR(F847="",N10="",N10&lt;=0),"",IF(LEN(F847)&lt;=N10,LEN(F847),IFERROR(FIND("♦",SUBSTITUTE(LEFT(F847,N10)," ","♦",LEN(LEFT(F847,N10))-LEN(SUBSTITUTE(LEFT(F847,N10)," ","")))),FIND(" ",F847&amp;" ",N10+1)-1)))</f>
        <v>1</v>
      </c>
      <c r="N847" s="234">
        <f t="shared" si="86"/>
        <v>830</v>
      </c>
      <c r="O847" s="165" t="str">
        <f t="shared" si="87"/>
        <v>0</v>
      </c>
      <c r="P847" s="234">
        <f t="shared" si="88"/>
        <v>1</v>
      </c>
      <c r="Q847" s="234">
        <f t="shared" si="89"/>
        <v>1</v>
      </c>
      <c r="DE847" s="152"/>
      <c r="DF847" s="160" t="s">
        <v>2605</v>
      </c>
      <c r="DG847" s="160" t="s">
        <v>122</v>
      </c>
      <c r="DH847" s="160" t="s">
        <v>125</v>
      </c>
      <c r="DI847" s="160" t="s">
        <v>522</v>
      </c>
      <c r="DJ847" s="160" t="s">
        <v>522</v>
      </c>
      <c r="DK847" s="160" t="s">
        <v>1259</v>
      </c>
      <c r="DL847" s="160" t="s">
        <v>1260</v>
      </c>
      <c r="DM847" s="160" t="s">
        <v>1812</v>
      </c>
      <c r="DN847" s="161" t="s">
        <v>1813</v>
      </c>
      <c r="DP847" s="130">
        <v>1</v>
      </c>
    </row>
    <row r="848" spans="2:120" ht="15">
      <c r="B848" s="231"/>
      <c r="C848" s="231"/>
      <c r="D848" s="231"/>
      <c r="E848" s="231" cm="1">
        <f t="array" ref="E848">IF(H847&lt;&gt;"",E847,IF(E847="","",IFERROR(MATCH(TRUE(),INDEX(INDEX(K:K,E847+1):K203&lt;&gt;"",0),0)+E847,"")))</f>
        <v>940</v>
      </c>
      <c r="F848" s="232" cm="1">
        <f t="array" ref="F848">IF(E848="","",IF(H847&lt;&gt;"",H847,INDEX(D:D,E848)))</f>
        <v>0</v>
      </c>
      <c r="G848" s="232" t="str">
        <f t="shared" si="84"/>
        <v>0</v>
      </c>
      <c r="H848" s="233" t="str">
        <f t="shared" si="85"/>
        <v/>
      </c>
      <c r="I848" s="231" t="str">
        <f>IF(AND(F848&lt;&gt;"",N10&gt;0,M848&gt;N10),"Mot &gt; limite","")</f>
        <v/>
      </c>
      <c r="M848" s="126">
        <f>IF(OR(F848="",N10="",N10&lt;=0),"",IF(LEN(F848)&lt;=N10,LEN(F848),IFERROR(FIND("♦",SUBSTITUTE(LEFT(F848,N10)," ","♦",LEN(LEFT(F848,N10))-LEN(SUBSTITUTE(LEFT(F848,N10)," ","")))),FIND(" ",F848&amp;" ",N10+1)-1)))</f>
        <v>1</v>
      </c>
      <c r="N848" s="234">
        <f t="shared" si="86"/>
        <v>831</v>
      </c>
      <c r="O848" s="165" t="str">
        <f t="shared" si="87"/>
        <v>0</v>
      </c>
      <c r="P848" s="234">
        <f t="shared" si="88"/>
        <v>1</v>
      </c>
      <c r="Q848" s="234">
        <f t="shared" si="89"/>
        <v>1</v>
      </c>
      <c r="DE848" s="152"/>
      <c r="DF848" s="160" t="s">
        <v>2606</v>
      </c>
      <c r="DG848" s="160" t="s">
        <v>122</v>
      </c>
      <c r="DH848" s="160" t="s">
        <v>125</v>
      </c>
      <c r="DI848" s="160" t="s">
        <v>291</v>
      </c>
      <c r="DJ848" s="160" t="s">
        <v>291</v>
      </c>
      <c r="DK848" s="160" t="s">
        <v>1259</v>
      </c>
      <c r="DL848" s="160" t="s">
        <v>1260</v>
      </c>
      <c r="DM848" s="160" t="s">
        <v>1812</v>
      </c>
      <c r="DN848" s="161" t="s">
        <v>1813</v>
      </c>
      <c r="DP848" s="130">
        <v>1</v>
      </c>
    </row>
    <row r="849" spans="2:120" ht="15">
      <c r="B849" s="231"/>
      <c r="C849" s="231"/>
      <c r="D849" s="231"/>
      <c r="E849" s="231" cm="1">
        <f t="array" ref="E849">IF(H848&lt;&gt;"",E848,IF(E848="","",IFERROR(MATCH(TRUE(),INDEX(INDEX(K:K,E848+1):K203&lt;&gt;"",0),0)+E848,"")))</f>
        <v>941</v>
      </c>
      <c r="F849" s="232" cm="1">
        <f t="array" ref="F849">IF(E849="","",IF(H848&lt;&gt;"",H848,INDEX(D:D,E849)))</f>
        <v>0</v>
      </c>
      <c r="G849" s="232" t="str">
        <f t="shared" si="84"/>
        <v>0</v>
      </c>
      <c r="H849" s="233" t="str">
        <f t="shared" si="85"/>
        <v/>
      </c>
      <c r="I849" s="231" t="str">
        <f>IF(AND(F849&lt;&gt;"",N10&gt;0,M849&gt;N10),"Mot &gt; limite","")</f>
        <v/>
      </c>
      <c r="M849" s="126">
        <f>IF(OR(F849="",N10="",N10&lt;=0),"",IF(LEN(F849)&lt;=N10,LEN(F849),IFERROR(FIND("♦",SUBSTITUTE(LEFT(F849,N10)," ","♦",LEN(LEFT(F849,N10))-LEN(SUBSTITUTE(LEFT(F849,N10)," ","")))),FIND(" ",F849&amp;" ",N10+1)-1)))</f>
        <v>1</v>
      </c>
      <c r="N849" s="234">
        <f t="shared" si="86"/>
        <v>832</v>
      </c>
      <c r="O849" s="165" t="str">
        <f t="shared" si="87"/>
        <v>0</v>
      </c>
      <c r="P849" s="234">
        <f t="shared" si="88"/>
        <v>1</v>
      </c>
      <c r="Q849" s="234">
        <f t="shared" si="89"/>
        <v>1</v>
      </c>
      <c r="DE849" s="152"/>
      <c r="DF849" s="160" t="s">
        <v>2607</v>
      </c>
      <c r="DG849" s="160" t="s">
        <v>122</v>
      </c>
      <c r="DH849" s="160" t="s">
        <v>125</v>
      </c>
      <c r="DI849" s="160" t="s">
        <v>2608</v>
      </c>
      <c r="DJ849" s="160" t="s">
        <v>2608</v>
      </c>
      <c r="DK849" s="160" t="s">
        <v>1259</v>
      </c>
      <c r="DL849" s="160" t="s">
        <v>1260</v>
      </c>
      <c r="DM849" s="160" t="s">
        <v>1812</v>
      </c>
      <c r="DN849" s="161" t="s">
        <v>1813</v>
      </c>
      <c r="DP849" s="130">
        <v>1</v>
      </c>
    </row>
    <row r="850" spans="2:120" ht="15">
      <c r="B850" s="231"/>
      <c r="C850" s="231"/>
      <c r="D850" s="231"/>
      <c r="E850" s="231" cm="1">
        <f t="array" ref="E850">IF(H849&lt;&gt;"",E849,IF(E849="","",IFERROR(MATCH(TRUE(),INDEX(INDEX(K:K,E849+1):K203&lt;&gt;"",0),0)+E849,"")))</f>
        <v>942</v>
      </c>
      <c r="F850" s="232" cm="1">
        <f t="array" ref="F850">IF(E850="","",IF(H849&lt;&gt;"",H849,INDEX(D:D,E850)))</f>
        <v>0</v>
      </c>
      <c r="G850" s="232" t="str">
        <f t="shared" ref="G850:G913" si="90">IF(OR(F850="",M850=""),"",LEFT(F850,M850))</f>
        <v>0</v>
      </c>
      <c r="H850" s="233" t="str">
        <f t="shared" ref="H850:H913" si="91">IF(OR(F850="",M850=""),"",TRIM(MID(F850,M850+1,99999)))</f>
        <v/>
      </c>
      <c r="I850" s="231" t="str">
        <f>IF(AND(F850&lt;&gt;"",N10&gt;0,M850&gt;N10),"Mot &gt; limite","")</f>
        <v/>
      </c>
      <c r="M850" s="126">
        <f>IF(OR(F850="",N10="",N10&lt;=0),"",IF(LEN(F850)&lt;=N10,LEN(F850),IFERROR(FIND("♦",SUBSTITUTE(LEFT(F850,N10)," ","♦",LEN(LEFT(F850,N10))-LEN(SUBSTITUTE(LEFT(F850,N10)," ","")))),FIND(" ",F850&amp;" ",N10+1)-1)))</f>
        <v>1</v>
      </c>
      <c r="N850" s="234">
        <f t="shared" ref="N850:N913" si="92">IF(O850="","",ROW()-17)</f>
        <v>833</v>
      </c>
      <c r="O850" s="165" t="str">
        <f t="shared" ref="O850:O913" si="93">G850</f>
        <v>0</v>
      </c>
      <c r="P850" s="234">
        <f t="shared" ref="P850:P913" si="94">IF(O850="","",LEN(TRIM(O850))-LEN(SUBSTITUTE(TRIM(O850)," ",""))+1)</f>
        <v>1</v>
      </c>
      <c r="Q850" s="234">
        <f t="shared" ref="Q850:Q913" si="95">IF(O850="","",LEN(O850))</f>
        <v>1</v>
      </c>
      <c r="DE850" s="152"/>
      <c r="DF850" s="160" t="s">
        <v>2609</v>
      </c>
      <c r="DG850" s="160" t="s">
        <v>122</v>
      </c>
      <c r="DH850" s="160" t="s">
        <v>125</v>
      </c>
      <c r="DI850" s="160" t="s">
        <v>2610</v>
      </c>
      <c r="DJ850" s="160" t="s">
        <v>2610</v>
      </c>
      <c r="DK850" s="160" t="s">
        <v>1259</v>
      </c>
      <c r="DL850" s="160" t="s">
        <v>1260</v>
      </c>
      <c r="DM850" s="160" t="s">
        <v>1812</v>
      </c>
      <c r="DN850" s="161" t="s">
        <v>1813</v>
      </c>
      <c r="DP850" s="130">
        <v>1</v>
      </c>
    </row>
    <row r="851" spans="2:120" ht="15">
      <c r="B851" s="231"/>
      <c r="C851" s="231"/>
      <c r="D851" s="231"/>
      <c r="E851" s="231" cm="1">
        <f t="array" ref="E851">IF(H850&lt;&gt;"",E850,IF(E850="","",IFERROR(MATCH(TRUE(),INDEX(INDEX(K:K,E850+1):K203&lt;&gt;"",0),0)+E850,"")))</f>
        <v>943</v>
      </c>
      <c r="F851" s="232" cm="1">
        <f t="array" ref="F851">IF(E851="","",IF(H850&lt;&gt;"",H850,INDEX(D:D,E851)))</f>
        <v>0</v>
      </c>
      <c r="G851" s="232" t="str">
        <f t="shared" si="90"/>
        <v>0</v>
      </c>
      <c r="H851" s="233" t="str">
        <f t="shared" si="91"/>
        <v/>
      </c>
      <c r="I851" s="231" t="str">
        <f>IF(AND(F851&lt;&gt;"",N10&gt;0,M851&gt;N10),"Mot &gt; limite","")</f>
        <v/>
      </c>
      <c r="M851" s="126">
        <f>IF(OR(F851="",N10="",N10&lt;=0),"",IF(LEN(F851)&lt;=N10,LEN(F851),IFERROR(FIND("♦",SUBSTITUTE(LEFT(F851,N10)," ","♦",LEN(LEFT(F851,N10))-LEN(SUBSTITUTE(LEFT(F851,N10)," ","")))),FIND(" ",F851&amp;" ",N10+1)-1)))</f>
        <v>1</v>
      </c>
      <c r="N851" s="234">
        <f t="shared" si="92"/>
        <v>834</v>
      </c>
      <c r="O851" s="165" t="str">
        <f t="shared" si="93"/>
        <v>0</v>
      </c>
      <c r="P851" s="234">
        <f t="shared" si="94"/>
        <v>1</v>
      </c>
      <c r="Q851" s="234">
        <f t="shared" si="95"/>
        <v>1</v>
      </c>
      <c r="DE851" s="152"/>
      <c r="DF851" s="160" t="s">
        <v>2611</v>
      </c>
      <c r="DG851" s="160" t="s">
        <v>122</v>
      </c>
      <c r="DH851" s="160" t="s">
        <v>125</v>
      </c>
      <c r="DI851" s="160" t="s">
        <v>2612</v>
      </c>
      <c r="DJ851" s="160" t="s">
        <v>2612</v>
      </c>
      <c r="DK851" s="160" t="s">
        <v>1259</v>
      </c>
      <c r="DL851" s="160" t="s">
        <v>1260</v>
      </c>
      <c r="DM851" s="160" t="s">
        <v>1812</v>
      </c>
      <c r="DN851" s="161" t="s">
        <v>1813</v>
      </c>
      <c r="DP851" s="130">
        <v>1</v>
      </c>
    </row>
    <row r="852" spans="2:120" ht="15">
      <c r="B852" s="231"/>
      <c r="C852" s="231"/>
      <c r="D852" s="231"/>
      <c r="E852" s="231" cm="1">
        <f t="array" ref="E852">IF(H851&lt;&gt;"",E851,IF(E851="","",IFERROR(MATCH(TRUE(),INDEX(INDEX(K:K,E851+1):K203&lt;&gt;"",0),0)+E851,"")))</f>
        <v>944</v>
      </c>
      <c r="F852" s="232" cm="1">
        <f t="array" ref="F852">IF(E852="","",IF(H851&lt;&gt;"",H851,INDEX(D:D,E852)))</f>
        <v>0</v>
      </c>
      <c r="G852" s="232" t="str">
        <f t="shared" si="90"/>
        <v>0</v>
      </c>
      <c r="H852" s="233" t="str">
        <f t="shared" si="91"/>
        <v/>
      </c>
      <c r="I852" s="231" t="str">
        <f>IF(AND(F852&lt;&gt;"",N10&gt;0,M852&gt;N10),"Mot &gt; limite","")</f>
        <v/>
      </c>
      <c r="M852" s="126">
        <f>IF(OR(F852="",N10="",N10&lt;=0),"",IF(LEN(F852)&lt;=N10,LEN(F852),IFERROR(FIND("♦",SUBSTITUTE(LEFT(F852,N10)," ","♦",LEN(LEFT(F852,N10))-LEN(SUBSTITUTE(LEFT(F852,N10)," ","")))),FIND(" ",F852&amp;" ",N10+1)-1)))</f>
        <v>1</v>
      </c>
      <c r="N852" s="234">
        <f t="shared" si="92"/>
        <v>835</v>
      </c>
      <c r="O852" s="165" t="str">
        <f t="shared" si="93"/>
        <v>0</v>
      </c>
      <c r="P852" s="234">
        <f t="shared" si="94"/>
        <v>1</v>
      </c>
      <c r="Q852" s="234">
        <f t="shared" si="95"/>
        <v>1</v>
      </c>
      <c r="DE852" s="152"/>
      <c r="DF852" s="160" t="s">
        <v>2613</v>
      </c>
      <c r="DG852" s="160" t="s">
        <v>122</v>
      </c>
      <c r="DH852" s="160" t="s">
        <v>125</v>
      </c>
      <c r="DI852" s="160" t="s">
        <v>2614</v>
      </c>
      <c r="DJ852" s="160" t="s">
        <v>2614</v>
      </c>
      <c r="DK852" s="160" t="s">
        <v>1259</v>
      </c>
      <c r="DL852" s="160" t="s">
        <v>1260</v>
      </c>
      <c r="DM852" s="160" t="s">
        <v>1812</v>
      </c>
      <c r="DN852" s="161" t="s">
        <v>1813</v>
      </c>
      <c r="DP852" s="130">
        <v>1</v>
      </c>
    </row>
    <row r="853" spans="2:120" ht="15">
      <c r="B853" s="231"/>
      <c r="C853" s="231"/>
      <c r="D853" s="231"/>
      <c r="E853" s="231" cm="1">
        <f t="array" ref="E853">IF(H852&lt;&gt;"",E852,IF(E852="","",IFERROR(MATCH(TRUE(),INDEX(INDEX(K:K,E852+1):K203&lt;&gt;"",0),0)+E852,"")))</f>
        <v>945</v>
      </c>
      <c r="F853" s="232" cm="1">
        <f t="array" ref="F853">IF(E853="","",IF(H852&lt;&gt;"",H852,INDEX(D:D,E853)))</f>
        <v>0</v>
      </c>
      <c r="G853" s="232" t="str">
        <f t="shared" si="90"/>
        <v>0</v>
      </c>
      <c r="H853" s="233" t="str">
        <f t="shared" si="91"/>
        <v/>
      </c>
      <c r="I853" s="231" t="str">
        <f>IF(AND(F853&lt;&gt;"",N10&gt;0,M853&gt;N10),"Mot &gt; limite","")</f>
        <v/>
      </c>
      <c r="M853" s="126">
        <f>IF(OR(F853="",N10="",N10&lt;=0),"",IF(LEN(F853)&lt;=N10,LEN(F853),IFERROR(FIND("♦",SUBSTITUTE(LEFT(F853,N10)," ","♦",LEN(LEFT(F853,N10))-LEN(SUBSTITUTE(LEFT(F853,N10)," ","")))),FIND(" ",F853&amp;" ",N10+1)-1)))</f>
        <v>1</v>
      </c>
      <c r="N853" s="234">
        <f t="shared" si="92"/>
        <v>836</v>
      </c>
      <c r="O853" s="165" t="str">
        <f t="shared" si="93"/>
        <v>0</v>
      </c>
      <c r="P853" s="234">
        <f t="shared" si="94"/>
        <v>1</v>
      </c>
      <c r="Q853" s="234">
        <f t="shared" si="95"/>
        <v>1</v>
      </c>
      <c r="DE853" s="152"/>
      <c r="DF853" s="160" t="s">
        <v>2615</v>
      </c>
      <c r="DG853" s="160" t="s">
        <v>122</v>
      </c>
      <c r="DH853" s="160" t="s">
        <v>125</v>
      </c>
      <c r="DI853" s="160" t="s">
        <v>2616</v>
      </c>
      <c r="DJ853" s="160" t="s">
        <v>2616</v>
      </c>
      <c r="DK853" s="160" t="s">
        <v>1259</v>
      </c>
      <c r="DL853" s="160" t="s">
        <v>1260</v>
      </c>
      <c r="DM853" s="160" t="s">
        <v>1812</v>
      </c>
      <c r="DN853" s="161" t="s">
        <v>1813</v>
      </c>
      <c r="DP853" s="130">
        <v>1</v>
      </c>
    </row>
    <row r="854" spans="2:120" ht="15">
      <c r="B854" s="231"/>
      <c r="C854" s="231"/>
      <c r="D854" s="231"/>
      <c r="E854" s="231" cm="1">
        <f t="array" ref="E854">IF(H853&lt;&gt;"",E853,IF(E853="","",IFERROR(MATCH(TRUE(),INDEX(INDEX(K:K,E853+1):K203&lt;&gt;"",0),0)+E853,"")))</f>
        <v>946</v>
      </c>
      <c r="F854" s="232" cm="1">
        <f t="array" ref="F854">IF(E854="","",IF(H853&lt;&gt;"",H853,INDEX(D:D,E854)))</f>
        <v>0</v>
      </c>
      <c r="G854" s="232" t="str">
        <f t="shared" si="90"/>
        <v>0</v>
      </c>
      <c r="H854" s="233" t="str">
        <f t="shared" si="91"/>
        <v/>
      </c>
      <c r="I854" s="231" t="str">
        <f>IF(AND(F854&lt;&gt;"",N10&gt;0,M854&gt;N10),"Mot &gt; limite","")</f>
        <v/>
      </c>
      <c r="M854" s="126">
        <f>IF(OR(F854="",N10="",N10&lt;=0),"",IF(LEN(F854)&lt;=N10,LEN(F854),IFERROR(FIND("♦",SUBSTITUTE(LEFT(F854,N10)," ","♦",LEN(LEFT(F854,N10))-LEN(SUBSTITUTE(LEFT(F854,N10)," ","")))),FIND(" ",F854&amp;" ",N10+1)-1)))</f>
        <v>1</v>
      </c>
      <c r="N854" s="234">
        <f t="shared" si="92"/>
        <v>837</v>
      </c>
      <c r="O854" s="165" t="str">
        <f t="shared" si="93"/>
        <v>0</v>
      </c>
      <c r="P854" s="234">
        <f t="shared" si="94"/>
        <v>1</v>
      </c>
      <c r="Q854" s="234">
        <f t="shared" si="95"/>
        <v>1</v>
      </c>
      <c r="DE854" s="152"/>
      <c r="DF854" s="160" t="s">
        <v>2617</v>
      </c>
      <c r="DG854" s="160" t="s">
        <v>122</v>
      </c>
      <c r="DH854" s="160" t="s">
        <v>125</v>
      </c>
      <c r="DI854" s="160" t="s">
        <v>2618</v>
      </c>
      <c r="DJ854" s="160" t="s">
        <v>2618</v>
      </c>
      <c r="DK854" s="160" t="s">
        <v>1259</v>
      </c>
      <c r="DL854" s="160" t="s">
        <v>1260</v>
      </c>
      <c r="DM854" s="160" t="s">
        <v>1812</v>
      </c>
      <c r="DN854" s="161" t="s">
        <v>1813</v>
      </c>
      <c r="DP854" s="130">
        <v>1</v>
      </c>
    </row>
    <row r="855" spans="2:120" ht="15">
      <c r="B855" s="231"/>
      <c r="C855" s="231"/>
      <c r="D855" s="231"/>
      <c r="E855" s="231" cm="1">
        <f t="array" ref="E855">IF(H854&lt;&gt;"",E854,IF(E854="","",IFERROR(MATCH(TRUE(),INDEX(INDEX(K:K,E854+1):K203&lt;&gt;"",0),0)+E854,"")))</f>
        <v>947</v>
      </c>
      <c r="F855" s="232" cm="1">
        <f t="array" ref="F855">IF(E855="","",IF(H854&lt;&gt;"",H854,INDEX(D:D,E855)))</f>
        <v>0</v>
      </c>
      <c r="G855" s="232" t="str">
        <f t="shared" si="90"/>
        <v>0</v>
      </c>
      <c r="H855" s="233" t="str">
        <f t="shared" si="91"/>
        <v/>
      </c>
      <c r="I855" s="231" t="str">
        <f>IF(AND(F855&lt;&gt;"",N10&gt;0,M855&gt;N10),"Mot &gt; limite","")</f>
        <v/>
      </c>
      <c r="M855" s="126">
        <f>IF(OR(F855="",N10="",N10&lt;=0),"",IF(LEN(F855)&lt;=N10,LEN(F855),IFERROR(FIND("♦",SUBSTITUTE(LEFT(F855,N10)," ","♦",LEN(LEFT(F855,N10))-LEN(SUBSTITUTE(LEFT(F855,N10)," ","")))),FIND(" ",F855&amp;" ",N10+1)-1)))</f>
        <v>1</v>
      </c>
      <c r="N855" s="234">
        <f t="shared" si="92"/>
        <v>838</v>
      </c>
      <c r="O855" s="165" t="str">
        <f t="shared" si="93"/>
        <v>0</v>
      </c>
      <c r="P855" s="234">
        <f t="shared" si="94"/>
        <v>1</v>
      </c>
      <c r="Q855" s="234">
        <f t="shared" si="95"/>
        <v>1</v>
      </c>
      <c r="DE855" s="152"/>
      <c r="DF855" s="160" t="s">
        <v>2619</v>
      </c>
      <c r="DG855" s="160" t="s">
        <v>122</v>
      </c>
      <c r="DH855" s="160" t="s">
        <v>125</v>
      </c>
      <c r="DI855" s="160" t="s">
        <v>2620</v>
      </c>
      <c r="DJ855" s="160" t="s">
        <v>2620</v>
      </c>
      <c r="DK855" s="160" t="s">
        <v>1259</v>
      </c>
      <c r="DL855" s="160" t="s">
        <v>1260</v>
      </c>
      <c r="DM855" s="160" t="s">
        <v>1812</v>
      </c>
      <c r="DN855" s="161" t="s">
        <v>1813</v>
      </c>
      <c r="DP855" s="130">
        <v>1</v>
      </c>
    </row>
    <row r="856" spans="2:120" ht="15">
      <c r="B856" s="231"/>
      <c r="C856" s="231"/>
      <c r="D856" s="231"/>
      <c r="E856" s="231" cm="1">
        <f t="array" ref="E856">IF(H855&lt;&gt;"",E855,IF(E855="","",IFERROR(MATCH(TRUE(),INDEX(INDEX(K:K,E855+1):K203&lt;&gt;"",0),0)+E855,"")))</f>
        <v>948</v>
      </c>
      <c r="F856" s="232" cm="1">
        <f t="array" ref="F856">IF(E856="","",IF(H855&lt;&gt;"",H855,INDEX(D:D,E856)))</f>
        <v>0</v>
      </c>
      <c r="G856" s="232" t="str">
        <f t="shared" si="90"/>
        <v>0</v>
      </c>
      <c r="H856" s="233" t="str">
        <f t="shared" si="91"/>
        <v/>
      </c>
      <c r="I856" s="231" t="str">
        <f>IF(AND(F856&lt;&gt;"",N10&gt;0,M856&gt;N10),"Mot &gt; limite","")</f>
        <v/>
      </c>
      <c r="M856" s="126">
        <f>IF(OR(F856="",N10="",N10&lt;=0),"",IF(LEN(F856)&lt;=N10,LEN(F856),IFERROR(FIND("♦",SUBSTITUTE(LEFT(F856,N10)," ","♦",LEN(LEFT(F856,N10))-LEN(SUBSTITUTE(LEFT(F856,N10)," ","")))),FIND(" ",F856&amp;" ",N10+1)-1)))</f>
        <v>1</v>
      </c>
      <c r="N856" s="234">
        <f t="shared" si="92"/>
        <v>839</v>
      </c>
      <c r="O856" s="165" t="str">
        <f t="shared" si="93"/>
        <v>0</v>
      </c>
      <c r="P856" s="234">
        <f t="shared" si="94"/>
        <v>1</v>
      </c>
      <c r="Q856" s="234">
        <f t="shared" si="95"/>
        <v>1</v>
      </c>
      <c r="DE856" s="152"/>
      <c r="DF856" s="160" t="s">
        <v>2621</v>
      </c>
      <c r="DG856" s="160" t="s">
        <v>122</v>
      </c>
      <c r="DH856" s="160" t="s">
        <v>125</v>
      </c>
      <c r="DI856" s="160" t="s">
        <v>2622</v>
      </c>
      <c r="DJ856" s="160" t="s">
        <v>2622</v>
      </c>
      <c r="DK856" s="160" t="s">
        <v>1259</v>
      </c>
      <c r="DL856" s="160" t="s">
        <v>1260</v>
      </c>
      <c r="DM856" s="160" t="s">
        <v>1812</v>
      </c>
      <c r="DN856" s="161" t="s">
        <v>1813</v>
      </c>
      <c r="DP856" s="130">
        <v>1</v>
      </c>
    </row>
    <row r="857" spans="2:120" ht="15">
      <c r="B857" s="231"/>
      <c r="C857" s="231"/>
      <c r="D857" s="231"/>
      <c r="E857" s="231" cm="1">
        <f t="array" ref="E857">IF(H856&lt;&gt;"",E856,IF(E856="","",IFERROR(MATCH(TRUE(),INDEX(INDEX(K:K,E856+1):K203&lt;&gt;"",0),0)+E856,"")))</f>
        <v>949</v>
      </c>
      <c r="F857" s="232" cm="1">
        <f t="array" ref="F857">IF(E857="","",IF(H856&lt;&gt;"",H856,INDEX(D:D,E857)))</f>
        <v>0</v>
      </c>
      <c r="G857" s="232" t="str">
        <f t="shared" si="90"/>
        <v>0</v>
      </c>
      <c r="H857" s="233" t="str">
        <f t="shared" si="91"/>
        <v/>
      </c>
      <c r="I857" s="231" t="str">
        <f>IF(AND(F857&lt;&gt;"",N10&gt;0,M857&gt;N10),"Mot &gt; limite","")</f>
        <v/>
      </c>
      <c r="M857" s="126">
        <f>IF(OR(F857="",N10="",N10&lt;=0),"",IF(LEN(F857)&lt;=N10,LEN(F857),IFERROR(FIND("♦",SUBSTITUTE(LEFT(F857,N10)," ","♦",LEN(LEFT(F857,N10))-LEN(SUBSTITUTE(LEFT(F857,N10)," ","")))),FIND(" ",F857&amp;" ",N10+1)-1)))</f>
        <v>1</v>
      </c>
      <c r="N857" s="234">
        <f t="shared" si="92"/>
        <v>840</v>
      </c>
      <c r="O857" s="165" t="str">
        <f t="shared" si="93"/>
        <v>0</v>
      </c>
      <c r="P857" s="234">
        <f t="shared" si="94"/>
        <v>1</v>
      </c>
      <c r="Q857" s="234">
        <f t="shared" si="95"/>
        <v>1</v>
      </c>
      <c r="DE857" s="152"/>
      <c r="DF857" s="160" t="s">
        <v>2623</v>
      </c>
      <c r="DG857" s="160" t="s">
        <v>122</v>
      </c>
      <c r="DH857" s="160" t="s">
        <v>125</v>
      </c>
      <c r="DI857" s="160" t="s">
        <v>2624</v>
      </c>
      <c r="DJ857" s="160" t="s">
        <v>2624</v>
      </c>
      <c r="DK857" s="160" t="s">
        <v>1259</v>
      </c>
      <c r="DL857" s="160" t="s">
        <v>1260</v>
      </c>
      <c r="DM857" s="160" t="s">
        <v>1812</v>
      </c>
      <c r="DN857" s="161" t="s">
        <v>1813</v>
      </c>
      <c r="DP857" s="130">
        <v>1</v>
      </c>
    </row>
    <row r="858" spans="2:120" ht="15">
      <c r="B858" s="231"/>
      <c r="C858" s="231"/>
      <c r="D858" s="231"/>
      <c r="E858" s="231" cm="1">
        <f t="array" ref="E858">IF(H857&lt;&gt;"",E857,IF(E857="","",IFERROR(MATCH(TRUE(),INDEX(INDEX(K:K,E857+1):K203&lt;&gt;"",0),0)+E857,"")))</f>
        <v>950</v>
      </c>
      <c r="F858" s="232" cm="1">
        <f t="array" ref="F858">IF(E858="","",IF(H857&lt;&gt;"",H857,INDEX(D:D,E858)))</f>
        <v>0</v>
      </c>
      <c r="G858" s="232" t="str">
        <f t="shared" si="90"/>
        <v>0</v>
      </c>
      <c r="H858" s="233" t="str">
        <f t="shared" si="91"/>
        <v/>
      </c>
      <c r="I858" s="231" t="str">
        <f>IF(AND(F858&lt;&gt;"",N10&gt;0,M858&gt;N10),"Mot &gt; limite","")</f>
        <v/>
      </c>
      <c r="M858" s="126">
        <f>IF(OR(F858="",N10="",N10&lt;=0),"",IF(LEN(F858)&lt;=N10,LEN(F858),IFERROR(FIND("♦",SUBSTITUTE(LEFT(F858,N10)," ","♦",LEN(LEFT(F858,N10))-LEN(SUBSTITUTE(LEFT(F858,N10)," ","")))),FIND(" ",F858&amp;" ",N10+1)-1)))</f>
        <v>1</v>
      </c>
      <c r="N858" s="234">
        <f t="shared" si="92"/>
        <v>841</v>
      </c>
      <c r="O858" s="165" t="str">
        <f t="shared" si="93"/>
        <v>0</v>
      </c>
      <c r="P858" s="234">
        <f t="shared" si="94"/>
        <v>1</v>
      </c>
      <c r="Q858" s="234">
        <f t="shared" si="95"/>
        <v>1</v>
      </c>
      <c r="DE858" s="152"/>
      <c r="DF858" s="160" t="s">
        <v>2625</v>
      </c>
      <c r="DG858" s="160" t="s">
        <v>122</v>
      </c>
      <c r="DH858" s="160" t="s">
        <v>125</v>
      </c>
      <c r="DI858" s="160" t="s">
        <v>2626</v>
      </c>
      <c r="DJ858" s="160" t="s">
        <v>2626</v>
      </c>
      <c r="DK858" s="160" t="s">
        <v>1259</v>
      </c>
      <c r="DL858" s="160" t="s">
        <v>1260</v>
      </c>
      <c r="DM858" s="160" t="s">
        <v>1812</v>
      </c>
      <c r="DN858" s="161" t="s">
        <v>1813</v>
      </c>
      <c r="DP858" s="130">
        <v>1</v>
      </c>
    </row>
    <row r="859" spans="2:120" ht="15">
      <c r="B859" s="231"/>
      <c r="C859" s="231"/>
      <c r="D859" s="231"/>
      <c r="E859" s="231" cm="1">
        <f t="array" ref="E859">IF(H858&lt;&gt;"",E858,IF(E858="","",IFERROR(MATCH(TRUE(),INDEX(INDEX(K:K,E858+1):K203&lt;&gt;"",0),0)+E858,"")))</f>
        <v>951</v>
      </c>
      <c r="F859" s="232" cm="1">
        <f t="array" ref="F859">IF(E859="","",IF(H858&lt;&gt;"",H858,INDEX(D:D,E859)))</f>
        <v>0</v>
      </c>
      <c r="G859" s="232" t="str">
        <f t="shared" si="90"/>
        <v>0</v>
      </c>
      <c r="H859" s="233" t="str">
        <f t="shared" si="91"/>
        <v/>
      </c>
      <c r="I859" s="231" t="str">
        <f>IF(AND(F859&lt;&gt;"",N10&gt;0,M859&gt;N10),"Mot &gt; limite","")</f>
        <v/>
      </c>
      <c r="M859" s="126">
        <f>IF(OR(F859="",N10="",N10&lt;=0),"",IF(LEN(F859)&lt;=N10,LEN(F859),IFERROR(FIND("♦",SUBSTITUTE(LEFT(F859,N10)," ","♦",LEN(LEFT(F859,N10))-LEN(SUBSTITUTE(LEFT(F859,N10)," ","")))),FIND(" ",F859&amp;" ",N10+1)-1)))</f>
        <v>1</v>
      </c>
      <c r="N859" s="234">
        <f t="shared" si="92"/>
        <v>842</v>
      </c>
      <c r="O859" s="165" t="str">
        <f t="shared" si="93"/>
        <v>0</v>
      </c>
      <c r="P859" s="234">
        <f t="shared" si="94"/>
        <v>1</v>
      </c>
      <c r="Q859" s="234">
        <f t="shared" si="95"/>
        <v>1</v>
      </c>
      <c r="DE859" s="152"/>
      <c r="DF859" s="160" t="s">
        <v>2627</v>
      </c>
      <c r="DG859" s="160" t="s">
        <v>122</v>
      </c>
      <c r="DH859" s="160" t="s">
        <v>125</v>
      </c>
      <c r="DI859" s="160" t="s">
        <v>2628</v>
      </c>
      <c r="DJ859" s="160" t="s">
        <v>2628</v>
      </c>
      <c r="DK859" s="160" t="s">
        <v>1259</v>
      </c>
      <c r="DL859" s="160" t="s">
        <v>1260</v>
      </c>
      <c r="DM859" s="160" t="s">
        <v>1812</v>
      </c>
      <c r="DN859" s="161" t="s">
        <v>1813</v>
      </c>
      <c r="DP859" s="130">
        <v>1</v>
      </c>
    </row>
    <row r="860" spans="2:120" ht="15">
      <c r="B860" s="231"/>
      <c r="C860" s="231"/>
      <c r="D860" s="231"/>
      <c r="E860" s="231" cm="1">
        <f t="array" ref="E860">IF(H859&lt;&gt;"",E859,IF(E859="","",IFERROR(MATCH(TRUE(),INDEX(INDEX(K:K,E859+1):K203&lt;&gt;"",0),0)+E859,"")))</f>
        <v>952</v>
      </c>
      <c r="F860" s="232" cm="1">
        <f t="array" ref="F860">IF(E860="","",IF(H859&lt;&gt;"",H859,INDEX(D:D,E860)))</f>
        <v>0</v>
      </c>
      <c r="G860" s="232" t="str">
        <f t="shared" si="90"/>
        <v>0</v>
      </c>
      <c r="H860" s="233" t="str">
        <f t="shared" si="91"/>
        <v/>
      </c>
      <c r="I860" s="231" t="str">
        <f>IF(AND(F860&lt;&gt;"",N10&gt;0,M860&gt;N10),"Mot &gt; limite","")</f>
        <v/>
      </c>
      <c r="M860" s="126">
        <f>IF(OR(F860="",N10="",N10&lt;=0),"",IF(LEN(F860)&lt;=N10,LEN(F860),IFERROR(FIND("♦",SUBSTITUTE(LEFT(F860,N10)," ","♦",LEN(LEFT(F860,N10))-LEN(SUBSTITUTE(LEFT(F860,N10)," ","")))),FIND(" ",F860&amp;" ",N10+1)-1)))</f>
        <v>1</v>
      </c>
      <c r="N860" s="234">
        <f t="shared" si="92"/>
        <v>843</v>
      </c>
      <c r="O860" s="165" t="str">
        <f t="shared" si="93"/>
        <v>0</v>
      </c>
      <c r="P860" s="234">
        <f t="shared" si="94"/>
        <v>1</v>
      </c>
      <c r="Q860" s="234">
        <f t="shared" si="95"/>
        <v>1</v>
      </c>
      <c r="DE860" s="152"/>
      <c r="DF860" s="160" t="s">
        <v>2629</v>
      </c>
      <c r="DG860" s="160" t="s">
        <v>122</v>
      </c>
      <c r="DH860" s="160" t="s">
        <v>125</v>
      </c>
      <c r="DI860" s="160" t="s">
        <v>2630</v>
      </c>
      <c r="DJ860" s="160" t="s">
        <v>2630</v>
      </c>
      <c r="DK860" s="160" t="s">
        <v>1259</v>
      </c>
      <c r="DL860" s="160" t="s">
        <v>1260</v>
      </c>
      <c r="DM860" s="160" t="s">
        <v>1812</v>
      </c>
      <c r="DN860" s="161" t="s">
        <v>1813</v>
      </c>
      <c r="DP860" s="130">
        <v>1</v>
      </c>
    </row>
    <row r="861" spans="2:120" ht="15">
      <c r="B861" s="231"/>
      <c r="C861" s="231"/>
      <c r="D861" s="231"/>
      <c r="E861" s="231" cm="1">
        <f t="array" ref="E861">IF(H860&lt;&gt;"",E860,IF(E860="","",IFERROR(MATCH(TRUE(),INDEX(INDEX(K:K,E860+1):K203&lt;&gt;"",0),0)+E860,"")))</f>
        <v>953</v>
      </c>
      <c r="F861" s="232" cm="1">
        <f t="array" ref="F861">IF(E861="","",IF(H860&lt;&gt;"",H860,INDEX(D:D,E861)))</f>
        <v>0</v>
      </c>
      <c r="G861" s="232" t="str">
        <f t="shared" si="90"/>
        <v>0</v>
      </c>
      <c r="H861" s="233" t="str">
        <f t="shared" si="91"/>
        <v/>
      </c>
      <c r="I861" s="231" t="str">
        <f>IF(AND(F861&lt;&gt;"",N10&gt;0,M861&gt;N10),"Mot &gt; limite","")</f>
        <v/>
      </c>
      <c r="M861" s="126">
        <f>IF(OR(F861="",N10="",N10&lt;=0),"",IF(LEN(F861)&lt;=N10,LEN(F861),IFERROR(FIND("♦",SUBSTITUTE(LEFT(F861,N10)," ","♦",LEN(LEFT(F861,N10))-LEN(SUBSTITUTE(LEFT(F861,N10)," ","")))),FIND(" ",F861&amp;" ",N10+1)-1)))</f>
        <v>1</v>
      </c>
      <c r="N861" s="234">
        <f t="shared" si="92"/>
        <v>844</v>
      </c>
      <c r="O861" s="165" t="str">
        <f t="shared" si="93"/>
        <v>0</v>
      </c>
      <c r="P861" s="234">
        <f t="shared" si="94"/>
        <v>1</v>
      </c>
      <c r="Q861" s="234">
        <f t="shared" si="95"/>
        <v>1</v>
      </c>
      <c r="DE861" s="152"/>
      <c r="DF861" s="160" t="s">
        <v>2631</v>
      </c>
      <c r="DG861" s="160" t="s">
        <v>122</v>
      </c>
      <c r="DH861" s="160" t="s">
        <v>125</v>
      </c>
      <c r="DI861" s="160" t="s">
        <v>2632</v>
      </c>
      <c r="DJ861" s="160" t="s">
        <v>2632</v>
      </c>
      <c r="DK861" s="160" t="s">
        <v>1259</v>
      </c>
      <c r="DL861" s="160" t="s">
        <v>1260</v>
      </c>
      <c r="DM861" s="160" t="s">
        <v>1812</v>
      </c>
      <c r="DN861" s="161" t="s">
        <v>1813</v>
      </c>
      <c r="DP861" s="130">
        <v>1</v>
      </c>
    </row>
    <row r="862" spans="2:120" ht="15">
      <c r="B862" s="231"/>
      <c r="C862" s="231"/>
      <c r="D862" s="231"/>
      <c r="E862" s="231" cm="1">
        <f t="array" ref="E862">IF(H861&lt;&gt;"",E861,IF(E861="","",IFERROR(MATCH(TRUE(),INDEX(INDEX(K:K,E861+1):K203&lt;&gt;"",0),0)+E861,"")))</f>
        <v>954</v>
      </c>
      <c r="F862" s="232" cm="1">
        <f t="array" ref="F862">IF(E862="","",IF(H861&lt;&gt;"",H861,INDEX(D:D,E862)))</f>
        <v>0</v>
      </c>
      <c r="G862" s="232" t="str">
        <f t="shared" si="90"/>
        <v>0</v>
      </c>
      <c r="H862" s="233" t="str">
        <f t="shared" si="91"/>
        <v/>
      </c>
      <c r="I862" s="231" t="str">
        <f>IF(AND(F862&lt;&gt;"",N10&gt;0,M862&gt;N10),"Mot &gt; limite","")</f>
        <v/>
      </c>
      <c r="M862" s="126">
        <f>IF(OR(F862="",N10="",N10&lt;=0),"",IF(LEN(F862)&lt;=N10,LEN(F862),IFERROR(FIND("♦",SUBSTITUTE(LEFT(F862,N10)," ","♦",LEN(LEFT(F862,N10))-LEN(SUBSTITUTE(LEFT(F862,N10)," ","")))),FIND(" ",F862&amp;" ",N10+1)-1)))</f>
        <v>1</v>
      </c>
      <c r="N862" s="234">
        <f t="shared" si="92"/>
        <v>845</v>
      </c>
      <c r="O862" s="165" t="str">
        <f t="shared" si="93"/>
        <v>0</v>
      </c>
      <c r="P862" s="234">
        <f t="shared" si="94"/>
        <v>1</v>
      </c>
      <c r="Q862" s="234">
        <f t="shared" si="95"/>
        <v>1</v>
      </c>
      <c r="DE862" s="152"/>
      <c r="DF862" s="160" t="s">
        <v>2633</v>
      </c>
      <c r="DG862" s="160" t="s">
        <v>122</v>
      </c>
      <c r="DH862" s="160" t="s">
        <v>125</v>
      </c>
      <c r="DI862" s="160" t="s">
        <v>2634</v>
      </c>
      <c r="DJ862" s="160" t="s">
        <v>2634</v>
      </c>
      <c r="DK862" s="160" t="s">
        <v>1259</v>
      </c>
      <c r="DL862" s="160" t="s">
        <v>1260</v>
      </c>
      <c r="DM862" s="160" t="s">
        <v>1812</v>
      </c>
      <c r="DN862" s="161" t="s">
        <v>1813</v>
      </c>
      <c r="DP862" s="130">
        <v>1</v>
      </c>
    </row>
    <row r="863" spans="2:120" ht="15">
      <c r="B863" s="231"/>
      <c r="C863" s="231"/>
      <c r="D863" s="231"/>
      <c r="E863" s="231" cm="1">
        <f t="array" ref="E863">IF(H862&lt;&gt;"",E862,IF(E862="","",IFERROR(MATCH(TRUE(),INDEX(INDEX(K:K,E862+1):K203&lt;&gt;"",0),0)+E862,"")))</f>
        <v>955</v>
      </c>
      <c r="F863" s="232" cm="1">
        <f t="array" ref="F863">IF(E863="","",IF(H862&lt;&gt;"",H862,INDEX(D:D,E863)))</f>
        <v>0</v>
      </c>
      <c r="G863" s="232" t="str">
        <f t="shared" si="90"/>
        <v>0</v>
      </c>
      <c r="H863" s="233" t="str">
        <f t="shared" si="91"/>
        <v/>
      </c>
      <c r="I863" s="231" t="str">
        <f>IF(AND(F863&lt;&gt;"",N10&gt;0,M863&gt;N10),"Mot &gt; limite","")</f>
        <v/>
      </c>
      <c r="M863" s="126">
        <f>IF(OR(F863="",N10="",N10&lt;=0),"",IF(LEN(F863)&lt;=N10,LEN(F863),IFERROR(FIND("♦",SUBSTITUTE(LEFT(F863,N10)," ","♦",LEN(LEFT(F863,N10))-LEN(SUBSTITUTE(LEFT(F863,N10)," ","")))),FIND(" ",F863&amp;" ",N10+1)-1)))</f>
        <v>1</v>
      </c>
      <c r="N863" s="234">
        <f t="shared" si="92"/>
        <v>846</v>
      </c>
      <c r="O863" s="165" t="str">
        <f t="shared" si="93"/>
        <v>0</v>
      </c>
      <c r="P863" s="234">
        <f t="shared" si="94"/>
        <v>1</v>
      </c>
      <c r="Q863" s="234">
        <f t="shared" si="95"/>
        <v>1</v>
      </c>
      <c r="DE863" s="152"/>
      <c r="DF863" s="160" t="s">
        <v>2635</v>
      </c>
      <c r="DG863" s="160" t="s">
        <v>122</v>
      </c>
      <c r="DH863" s="160" t="s">
        <v>125</v>
      </c>
      <c r="DI863" s="160" t="s">
        <v>2636</v>
      </c>
      <c r="DJ863" s="160" t="s">
        <v>2636</v>
      </c>
      <c r="DK863" s="160" t="s">
        <v>1259</v>
      </c>
      <c r="DL863" s="160" t="s">
        <v>1260</v>
      </c>
      <c r="DM863" s="160" t="s">
        <v>1812</v>
      </c>
      <c r="DN863" s="161" t="s">
        <v>1813</v>
      </c>
      <c r="DP863" s="130">
        <v>1</v>
      </c>
    </row>
    <row r="864" spans="2:120" ht="15">
      <c r="B864" s="231"/>
      <c r="C864" s="231"/>
      <c r="D864" s="231"/>
      <c r="E864" s="231" cm="1">
        <f t="array" ref="E864">IF(H863&lt;&gt;"",E863,IF(E863="","",IFERROR(MATCH(TRUE(),INDEX(INDEX(K:K,E863+1):K203&lt;&gt;"",0),0)+E863,"")))</f>
        <v>956</v>
      </c>
      <c r="F864" s="232" cm="1">
        <f t="array" ref="F864">IF(E864="","",IF(H863&lt;&gt;"",H863,INDEX(D:D,E864)))</f>
        <v>0</v>
      </c>
      <c r="G864" s="232" t="str">
        <f t="shared" si="90"/>
        <v>0</v>
      </c>
      <c r="H864" s="233" t="str">
        <f t="shared" si="91"/>
        <v/>
      </c>
      <c r="I864" s="231" t="str">
        <f>IF(AND(F864&lt;&gt;"",N10&gt;0,M864&gt;N10),"Mot &gt; limite","")</f>
        <v/>
      </c>
      <c r="M864" s="126">
        <f>IF(OR(F864="",N10="",N10&lt;=0),"",IF(LEN(F864)&lt;=N10,LEN(F864),IFERROR(FIND("♦",SUBSTITUTE(LEFT(F864,N10)," ","♦",LEN(LEFT(F864,N10))-LEN(SUBSTITUTE(LEFT(F864,N10)," ","")))),FIND(" ",F864&amp;" ",N10+1)-1)))</f>
        <v>1</v>
      </c>
      <c r="N864" s="234">
        <f t="shared" si="92"/>
        <v>847</v>
      </c>
      <c r="O864" s="165" t="str">
        <f t="shared" si="93"/>
        <v>0</v>
      </c>
      <c r="P864" s="234">
        <f t="shared" si="94"/>
        <v>1</v>
      </c>
      <c r="Q864" s="234">
        <f t="shared" si="95"/>
        <v>1</v>
      </c>
      <c r="DE864" s="152"/>
      <c r="DF864" s="160" t="s">
        <v>2637</v>
      </c>
      <c r="DG864" s="160" t="s">
        <v>122</v>
      </c>
      <c r="DH864" s="160" t="s">
        <v>125</v>
      </c>
      <c r="DI864" s="160" t="s">
        <v>2638</v>
      </c>
      <c r="DJ864" s="160" t="s">
        <v>2638</v>
      </c>
      <c r="DK864" s="160" t="s">
        <v>1259</v>
      </c>
      <c r="DL864" s="160" t="s">
        <v>1260</v>
      </c>
      <c r="DM864" s="160" t="s">
        <v>1812</v>
      </c>
      <c r="DN864" s="161" t="s">
        <v>1813</v>
      </c>
      <c r="DP864" s="130">
        <v>1</v>
      </c>
    </row>
    <row r="865" spans="2:120" ht="15">
      <c r="B865" s="231"/>
      <c r="C865" s="231"/>
      <c r="D865" s="231"/>
      <c r="E865" s="231" cm="1">
        <f t="array" ref="E865">IF(H864&lt;&gt;"",E864,IF(E864="","",IFERROR(MATCH(TRUE(),INDEX(INDEX(K:K,E864+1):K203&lt;&gt;"",0),0)+E864,"")))</f>
        <v>957</v>
      </c>
      <c r="F865" s="232" cm="1">
        <f t="array" ref="F865">IF(E865="","",IF(H864&lt;&gt;"",H864,INDEX(D:D,E865)))</f>
        <v>0</v>
      </c>
      <c r="G865" s="232" t="str">
        <f t="shared" si="90"/>
        <v>0</v>
      </c>
      <c r="H865" s="233" t="str">
        <f t="shared" si="91"/>
        <v/>
      </c>
      <c r="I865" s="231" t="str">
        <f>IF(AND(F865&lt;&gt;"",N10&gt;0,M865&gt;N10),"Mot &gt; limite","")</f>
        <v/>
      </c>
      <c r="M865" s="126">
        <f>IF(OR(F865="",N10="",N10&lt;=0),"",IF(LEN(F865)&lt;=N10,LEN(F865),IFERROR(FIND("♦",SUBSTITUTE(LEFT(F865,N10)," ","♦",LEN(LEFT(F865,N10))-LEN(SUBSTITUTE(LEFT(F865,N10)," ","")))),FIND(" ",F865&amp;" ",N10+1)-1)))</f>
        <v>1</v>
      </c>
      <c r="N865" s="234">
        <f t="shared" si="92"/>
        <v>848</v>
      </c>
      <c r="O865" s="165" t="str">
        <f t="shared" si="93"/>
        <v>0</v>
      </c>
      <c r="P865" s="234">
        <f t="shared" si="94"/>
        <v>1</v>
      </c>
      <c r="Q865" s="234">
        <f t="shared" si="95"/>
        <v>1</v>
      </c>
      <c r="DE865" s="152"/>
      <c r="DF865" s="160" t="s">
        <v>2639</v>
      </c>
      <c r="DG865" s="160" t="s">
        <v>122</v>
      </c>
      <c r="DH865" s="160" t="s">
        <v>125</v>
      </c>
      <c r="DI865" s="160" t="s">
        <v>2640</v>
      </c>
      <c r="DJ865" s="160" t="s">
        <v>2640</v>
      </c>
      <c r="DK865" s="160" t="s">
        <v>1259</v>
      </c>
      <c r="DL865" s="160" t="s">
        <v>1260</v>
      </c>
      <c r="DM865" s="160" t="s">
        <v>1812</v>
      </c>
      <c r="DN865" s="161" t="s">
        <v>1813</v>
      </c>
      <c r="DP865" s="130">
        <v>1</v>
      </c>
    </row>
    <row r="866" spans="2:120" ht="15">
      <c r="B866" s="231"/>
      <c r="C866" s="231"/>
      <c r="D866" s="231"/>
      <c r="E866" s="231" cm="1">
        <f t="array" ref="E866">IF(H865&lt;&gt;"",E865,IF(E865="","",IFERROR(MATCH(TRUE(),INDEX(INDEX(K:K,E865+1):K203&lt;&gt;"",0),0)+E865,"")))</f>
        <v>958</v>
      </c>
      <c r="F866" s="232" cm="1">
        <f t="array" ref="F866">IF(E866="","",IF(H865&lt;&gt;"",H865,INDEX(D:D,E866)))</f>
        <v>0</v>
      </c>
      <c r="G866" s="232" t="str">
        <f t="shared" si="90"/>
        <v>0</v>
      </c>
      <c r="H866" s="233" t="str">
        <f t="shared" si="91"/>
        <v/>
      </c>
      <c r="I866" s="231" t="str">
        <f>IF(AND(F866&lt;&gt;"",N10&gt;0,M866&gt;N10),"Mot &gt; limite","")</f>
        <v/>
      </c>
      <c r="M866" s="126">
        <f>IF(OR(F866="",N10="",N10&lt;=0),"",IF(LEN(F866)&lt;=N10,LEN(F866),IFERROR(FIND("♦",SUBSTITUTE(LEFT(F866,N10)," ","♦",LEN(LEFT(F866,N10))-LEN(SUBSTITUTE(LEFT(F866,N10)," ","")))),FIND(" ",F866&amp;" ",N10+1)-1)))</f>
        <v>1</v>
      </c>
      <c r="N866" s="234">
        <f t="shared" si="92"/>
        <v>849</v>
      </c>
      <c r="O866" s="165" t="str">
        <f t="shared" si="93"/>
        <v>0</v>
      </c>
      <c r="P866" s="234">
        <f t="shared" si="94"/>
        <v>1</v>
      </c>
      <c r="Q866" s="234">
        <f t="shared" si="95"/>
        <v>1</v>
      </c>
      <c r="DE866" s="152"/>
      <c r="DF866" s="160" t="s">
        <v>2641</v>
      </c>
      <c r="DG866" s="160" t="s">
        <v>122</v>
      </c>
      <c r="DH866" s="160" t="s">
        <v>125</v>
      </c>
      <c r="DI866" s="160" t="s">
        <v>2642</v>
      </c>
      <c r="DJ866" s="160" t="s">
        <v>2642</v>
      </c>
      <c r="DK866" s="160" t="s">
        <v>1259</v>
      </c>
      <c r="DL866" s="160" t="s">
        <v>1260</v>
      </c>
      <c r="DM866" s="160" t="s">
        <v>1812</v>
      </c>
      <c r="DN866" s="161" t="s">
        <v>1813</v>
      </c>
      <c r="DP866" s="130">
        <v>1</v>
      </c>
    </row>
    <row r="867" spans="2:120" ht="15">
      <c r="B867" s="231"/>
      <c r="C867" s="231"/>
      <c r="D867" s="231"/>
      <c r="E867" s="231" cm="1">
        <f t="array" ref="E867">IF(H866&lt;&gt;"",E866,IF(E866="","",IFERROR(MATCH(TRUE(),INDEX(INDEX(K:K,E866+1):K203&lt;&gt;"",0),0)+E866,"")))</f>
        <v>959</v>
      </c>
      <c r="F867" s="232" cm="1">
        <f t="array" ref="F867">IF(E867="","",IF(H866&lt;&gt;"",H866,INDEX(D:D,E867)))</f>
        <v>0</v>
      </c>
      <c r="G867" s="232" t="str">
        <f t="shared" si="90"/>
        <v>0</v>
      </c>
      <c r="H867" s="233" t="str">
        <f t="shared" si="91"/>
        <v/>
      </c>
      <c r="I867" s="231" t="str">
        <f>IF(AND(F867&lt;&gt;"",N10&gt;0,M867&gt;N10),"Mot &gt; limite","")</f>
        <v/>
      </c>
      <c r="M867" s="126">
        <f>IF(OR(F867="",N10="",N10&lt;=0),"",IF(LEN(F867)&lt;=N10,LEN(F867),IFERROR(FIND("♦",SUBSTITUTE(LEFT(F867,N10)," ","♦",LEN(LEFT(F867,N10))-LEN(SUBSTITUTE(LEFT(F867,N10)," ","")))),FIND(" ",F867&amp;" ",N10+1)-1)))</f>
        <v>1</v>
      </c>
      <c r="N867" s="234">
        <f t="shared" si="92"/>
        <v>850</v>
      </c>
      <c r="O867" s="165" t="str">
        <f t="shared" si="93"/>
        <v>0</v>
      </c>
      <c r="P867" s="234">
        <f t="shared" si="94"/>
        <v>1</v>
      </c>
      <c r="Q867" s="234">
        <f t="shared" si="95"/>
        <v>1</v>
      </c>
      <c r="DE867" s="152"/>
      <c r="DF867" s="160" t="s">
        <v>2643</v>
      </c>
      <c r="DG867" s="160" t="s">
        <v>122</v>
      </c>
      <c r="DH867" s="160" t="s">
        <v>125</v>
      </c>
      <c r="DI867" s="160" t="s">
        <v>2644</v>
      </c>
      <c r="DJ867" s="160" t="s">
        <v>2644</v>
      </c>
      <c r="DK867" s="160" t="s">
        <v>1259</v>
      </c>
      <c r="DL867" s="160" t="s">
        <v>1260</v>
      </c>
      <c r="DM867" s="160" t="s">
        <v>1812</v>
      </c>
      <c r="DN867" s="161" t="s">
        <v>1813</v>
      </c>
      <c r="DP867" s="130">
        <v>1</v>
      </c>
    </row>
    <row r="868" spans="2:120" ht="15">
      <c r="B868" s="231"/>
      <c r="C868" s="231"/>
      <c r="D868" s="231"/>
      <c r="E868" s="231" cm="1">
        <f t="array" ref="E868">IF(H867&lt;&gt;"",E867,IF(E867="","",IFERROR(MATCH(TRUE(),INDEX(INDEX(K:K,E867+1):K203&lt;&gt;"",0),0)+E867,"")))</f>
        <v>960</v>
      </c>
      <c r="F868" s="232" cm="1">
        <f t="array" ref="F868">IF(E868="","",IF(H867&lt;&gt;"",H867,INDEX(D:D,E868)))</f>
        <v>0</v>
      </c>
      <c r="G868" s="232" t="str">
        <f t="shared" si="90"/>
        <v>0</v>
      </c>
      <c r="H868" s="233" t="str">
        <f t="shared" si="91"/>
        <v/>
      </c>
      <c r="I868" s="231" t="str">
        <f>IF(AND(F868&lt;&gt;"",N10&gt;0,M868&gt;N10),"Mot &gt; limite","")</f>
        <v/>
      </c>
      <c r="M868" s="126">
        <f>IF(OR(F868="",N10="",N10&lt;=0),"",IF(LEN(F868)&lt;=N10,LEN(F868),IFERROR(FIND("♦",SUBSTITUTE(LEFT(F868,N10)," ","♦",LEN(LEFT(F868,N10))-LEN(SUBSTITUTE(LEFT(F868,N10)," ","")))),FIND(" ",F868&amp;" ",N10+1)-1)))</f>
        <v>1</v>
      </c>
      <c r="N868" s="234">
        <f t="shared" si="92"/>
        <v>851</v>
      </c>
      <c r="O868" s="165" t="str">
        <f t="shared" si="93"/>
        <v>0</v>
      </c>
      <c r="P868" s="234">
        <f t="shared" si="94"/>
        <v>1</v>
      </c>
      <c r="Q868" s="234">
        <f t="shared" si="95"/>
        <v>1</v>
      </c>
      <c r="DE868" s="152"/>
      <c r="DF868" s="160" t="s">
        <v>2645</v>
      </c>
      <c r="DG868" s="160" t="s">
        <v>122</v>
      </c>
      <c r="DH868" s="160" t="s">
        <v>125</v>
      </c>
      <c r="DI868" s="160" t="s">
        <v>2646</v>
      </c>
      <c r="DJ868" s="160" t="s">
        <v>2646</v>
      </c>
      <c r="DK868" s="160" t="s">
        <v>1259</v>
      </c>
      <c r="DL868" s="160" t="s">
        <v>1260</v>
      </c>
      <c r="DM868" s="160" t="s">
        <v>1812</v>
      </c>
      <c r="DN868" s="161" t="s">
        <v>1813</v>
      </c>
      <c r="DP868" s="130">
        <v>1</v>
      </c>
    </row>
    <row r="869" spans="2:120" ht="15">
      <c r="B869" s="231"/>
      <c r="C869" s="231"/>
      <c r="D869" s="231"/>
      <c r="E869" s="231" cm="1">
        <f t="array" ref="E869">IF(H868&lt;&gt;"",E868,IF(E868="","",IFERROR(MATCH(TRUE(),INDEX(INDEX(K:K,E868+1):K203&lt;&gt;"",0),0)+E868,"")))</f>
        <v>961</v>
      </c>
      <c r="F869" s="232" cm="1">
        <f t="array" ref="F869">IF(E869="","",IF(H868&lt;&gt;"",H868,INDEX(D:D,E869)))</f>
        <v>0</v>
      </c>
      <c r="G869" s="232" t="str">
        <f t="shared" si="90"/>
        <v>0</v>
      </c>
      <c r="H869" s="233" t="str">
        <f t="shared" si="91"/>
        <v/>
      </c>
      <c r="I869" s="231" t="str">
        <f>IF(AND(F869&lt;&gt;"",N10&gt;0,M869&gt;N10),"Mot &gt; limite","")</f>
        <v/>
      </c>
      <c r="M869" s="126">
        <f>IF(OR(F869="",N10="",N10&lt;=0),"",IF(LEN(F869)&lt;=N10,LEN(F869),IFERROR(FIND("♦",SUBSTITUTE(LEFT(F869,N10)," ","♦",LEN(LEFT(F869,N10))-LEN(SUBSTITUTE(LEFT(F869,N10)," ","")))),FIND(" ",F869&amp;" ",N10+1)-1)))</f>
        <v>1</v>
      </c>
      <c r="N869" s="234">
        <f t="shared" si="92"/>
        <v>852</v>
      </c>
      <c r="O869" s="165" t="str">
        <f t="shared" si="93"/>
        <v>0</v>
      </c>
      <c r="P869" s="234">
        <f t="shared" si="94"/>
        <v>1</v>
      </c>
      <c r="Q869" s="234">
        <f t="shared" si="95"/>
        <v>1</v>
      </c>
      <c r="DE869" s="152"/>
      <c r="DF869" s="160" t="s">
        <v>2647</v>
      </c>
      <c r="DG869" s="160" t="s">
        <v>122</v>
      </c>
      <c r="DH869" s="160" t="s">
        <v>125</v>
      </c>
      <c r="DI869" s="160" t="s">
        <v>2648</v>
      </c>
      <c r="DJ869" s="160" t="s">
        <v>2648</v>
      </c>
      <c r="DK869" s="160" t="s">
        <v>1259</v>
      </c>
      <c r="DL869" s="160" t="s">
        <v>1260</v>
      </c>
      <c r="DM869" s="160" t="s">
        <v>1812</v>
      </c>
      <c r="DN869" s="161" t="s">
        <v>1813</v>
      </c>
      <c r="DP869" s="130">
        <v>1</v>
      </c>
    </row>
    <row r="870" spans="2:120" ht="15">
      <c r="B870" s="231"/>
      <c r="C870" s="231"/>
      <c r="D870" s="231"/>
      <c r="E870" s="231" cm="1">
        <f t="array" ref="E870">IF(H869&lt;&gt;"",E869,IF(E869="","",IFERROR(MATCH(TRUE(),INDEX(INDEX(K:K,E869+1):K203&lt;&gt;"",0),0)+E869,"")))</f>
        <v>962</v>
      </c>
      <c r="F870" s="232" cm="1">
        <f t="array" ref="F870">IF(E870="","",IF(H869&lt;&gt;"",H869,INDEX(D:D,E870)))</f>
        <v>0</v>
      </c>
      <c r="G870" s="232" t="str">
        <f t="shared" si="90"/>
        <v>0</v>
      </c>
      <c r="H870" s="233" t="str">
        <f t="shared" si="91"/>
        <v/>
      </c>
      <c r="I870" s="231" t="str">
        <f>IF(AND(F870&lt;&gt;"",N10&gt;0,M870&gt;N10),"Mot &gt; limite","")</f>
        <v/>
      </c>
      <c r="M870" s="126">
        <f>IF(OR(F870="",N10="",N10&lt;=0),"",IF(LEN(F870)&lt;=N10,LEN(F870),IFERROR(FIND("♦",SUBSTITUTE(LEFT(F870,N10)," ","♦",LEN(LEFT(F870,N10))-LEN(SUBSTITUTE(LEFT(F870,N10)," ","")))),FIND(" ",F870&amp;" ",N10+1)-1)))</f>
        <v>1</v>
      </c>
      <c r="N870" s="234">
        <f t="shared" si="92"/>
        <v>853</v>
      </c>
      <c r="O870" s="165" t="str">
        <f t="shared" si="93"/>
        <v>0</v>
      </c>
      <c r="P870" s="234">
        <f t="shared" si="94"/>
        <v>1</v>
      </c>
      <c r="Q870" s="234">
        <f t="shared" si="95"/>
        <v>1</v>
      </c>
      <c r="DE870" s="152"/>
      <c r="DF870" s="160" t="s">
        <v>2649</v>
      </c>
      <c r="DG870" s="160" t="s">
        <v>122</v>
      </c>
      <c r="DH870" s="160" t="s">
        <v>125</v>
      </c>
      <c r="DI870" s="160" t="s">
        <v>523</v>
      </c>
      <c r="DJ870" s="160" t="s">
        <v>523</v>
      </c>
      <c r="DK870" s="160" t="s">
        <v>1259</v>
      </c>
      <c r="DL870" s="160" t="s">
        <v>1260</v>
      </c>
      <c r="DM870" s="160" t="s">
        <v>1812</v>
      </c>
      <c r="DN870" s="161" t="s">
        <v>1813</v>
      </c>
      <c r="DP870" s="130">
        <v>1</v>
      </c>
    </row>
    <row r="871" spans="2:120" ht="15">
      <c r="B871" s="231"/>
      <c r="C871" s="231"/>
      <c r="D871" s="231"/>
      <c r="E871" s="231" cm="1">
        <f t="array" ref="E871">IF(H870&lt;&gt;"",E870,IF(E870="","",IFERROR(MATCH(TRUE(),INDEX(INDEX(K:K,E870+1):K203&lt;&gt;"",0),0)+E870,"")))</f>
        <v>963</v>
      </c>
      <c r="F871" s="232" cm="1">
        <f t="array" ref="F871">IF(E871="","",IF(H870&lt;&gt;"",H870,INDEX(D:D,E871)))</f>
        <v>0</v>
      </c>
      <c r="G871" s="232" t="str">
        <f t="shared" si="90"/>
        <v>0</v>
      </c>
      <c r="H871" s="233" t="str">
        <f t="shared" si="91"/>
        <v/>
      </c>
      <c r="I871" s="231" t="str">
        <f>IF(AND(F871&lt;&gt;"",N10&gt;0,M871&gt;N10),"Mot &gt; limite","")</f>
        <v/>
      </c>
      <c r="M871" s="126">
        <f>IF(OR(F871="",N10="",N10&lt;=0),"",IF(LEN(F871)&lt;=N10,LEN(F871),IFERROR(FIND("♦",SUBSTITUTE(LEFT(F871,N10)," ","♦",LEN(LEFT(F871,N10))-LEN(SUBSTITUTE(LEFT(F871,N10)," ","")))),FIND(" ",F871&amp;" ",N10+1)-1)))</f>
        <v>1</v>
      </c>
      <c r="N871" s="234">
        <f t="shared" si="92"/>
        <v>854</v>
      </c>
      <c r="O871" s="165" t="str">
        <f t="shared" si="93"/>
        <v>0</v>
      </c>
      <c r="P871" s="234">
        <f t="shared" si="94"/>
        <v>1</v>
      </c>
      <c r="Q871" s="234">
        <f t="shared" si="95"/>
        <v>1</v>
      </c>
      <c r="DE871" s="152"/>
      <c r="DF871" s="160" t="s">
        <v>2650</v>
      </c>
      <c r="DG871" s="160" t="s">
        <v>122</v>
      </c>
      <c r="DH871" s="160" t="s">
        <v>125</v>
      </c>
      <c r="DI871" s="160" t="s">
        <v>2651</v>
      </c>
      <c r="DJ871" s="160" t="s">
        <v>2651</v>
      </c>
      <c r="DK871" s="160" t="s">
        <v>1259</v>
      </c>
      <c r="DL871" s="160" t="s">
        <v>1260</v>
      </c>
      <c r="DM871" s="160" t="s">
        <v>1812</v>
      </c>
      <c r="DN871" s="161" t="s">
        <v>1813</v>
      </c>
      <c r="DP871" s="130">
        <v>1</v>
      </c>
    </row>
    <row r="872" spans="2:120" ht="15">
      <c r="B872" s="231"/>
      <c r="C872" s="231"/>
      <c r="D872" s="231"/>
      <c r="E872" s="231" cm="1">
        <f t="array" ref="E872">IF(H871&lt;&gt;"",E871,IF(E871="","",IFERROR(MATCH(TRUE(),INDEX(INDEX(K:K,E871+1):K203&lt;&gt;"",0),0)+E871,"")))</f>
        <v>964</v>
      </c>
      <c r="F872" s="232" cm="1">
        <f t="array" ref="F872">IF(E872="","",IF(H871&lt;&gt;"",H871,INDEX(D:D,E872)))</f>
        <v>0</v>
      </c>
      <c r="G872" s="232" t="str">
        <f t="shared" si="90"/>
        <v>0</v>
      </c>
      <c r="H872" s="233" t="str">
        <f t="shared" si="91"/>
        <v/>
      </c>
      <c r="I872" s="231" t="str">
        <f>IF(AND(F872&lt;&gt;"",N10&gt;0,M872&gt;N10),"Mot &gt; limite","")</f>
        <v/>
      </c>
      <c r="M872" s="126">
        <f>IF(OR(F872="",N10="",N10&lt;=0),"",IF(LEN(F872)&lt;=N10,LEN(F872),IFERROR(FIND("♦",SUBSTITUTE(LEFT(F872,N10)," ","♦",LEN(LEFT(F872,N10))-LEN(SUBSTITUTE(LEFT(F872,N10)," ","")))),FIND(" ",F872&amp;" ",N10+1)-1)))</f>
        <v>1</v>
      </c>
      <c r="N872" s="234">
        <f t="shared" si="92"/>
        <v>855</v>
      </c>
      <c r="O872" s="165" t="str">
        <f t="shared" si="93"/>
        <v>0</v>
      </c>
      <c r="P872" s="234">
        <f t="shared" si="94"/>
        <v>1</v>
      </c>
      <c r="Q872" s="234">
        <f t="shared" si="95"/>
        <v>1</v>
      </c>
      <c r="DE872" s="152"/>
      <c r="DF872" s="160" t="s">
        <v>2652</v>
      </c>
      <c r="DG872" s="160" t="s">
        <v>122</v>
      </c>
      <c r="DH872" s="160" t="s">
        <v>125</v>
      </c>
      <c r="DI872" s="160" t="s">
        <v>2653</v>
      </c>
      <c r="DJ872" s="160" t="s">
        <v>2653</v>
      </c>
      <c r="DK872" s="160" t="s">
        <v>1259</v>
      </c>
      <c r="DL872" s="160" t="s">
        <v>1260</v>
      </c>
      <c r="DM872" s="160" t="s">
        <v>1812</v>
      </c>
      <c r="DN872" s="161" t="s">
        <v>1813</v>
      </c>
      <c r="DP872" s="130">
        <v>1</v>
      </c>
    </row>
    <row r="873" spans="2:120" ht="15">
      <c r="B873" s="231"/>
      <c r="C873" s="231"/>
      <c r="D873" s="231"/>
      <c r="E873" s="231" cm="1">
        <f t="array" ref="E873">IF(H872&lt;&gt;"",E872,IF(E872="","",IFERROR(MATCH(TRUE(),INDEX(INDEX(K:K,E872+1):K203&lt;&gt;"",0),0)+E872,"")))</f>
        <v>965</v>
      </c>
      <c r="F873" s="232" cm="1">
        <f t="array" ref="F873">IF(E873="","",IF(H872&lt;&gt;"",H872,INDEX(D:D,E873)))</f>
        <v>0</v>
      </c>
      <c r="G873" s="232" t="str">
        <f t="shared" si="90"/>
        <v>0</v>
      </c>
      <c r="H873" s="233" t="str">
        <f t="shared" si="91"/>
        <v/>
      </c>
      <c r="I873" s="231" t="str">
        <f>IF(AND(F873&lt;&gt;"",N10&gt;0,M873&gt;N10),"Mot &gt; limite","")</f>
        <v/>
      </c>
      <c r="M873" s="126">
        <f>IF(OR(F873="",N10="",N10&lt;=0),"",IF(LEN(F873)&lt;=N10,LEN(F873),IFERROR(FIND("♦",SUBSTITUTE(LEFT(F873,N10)," ","♦",LEN(LEFT(F873,N10))-LEN(SUBSTITUTE(LEFT(F873,N10)," ","")))),FIND(" ",F873&amp;" ",N10+1)-1)))</f>
        <v>1</v>
      </c>
      <c r="N873" s="234">
        <f t="shared" si="92"/>
        <v>856</v>
      </c>
      <c r="O873" s="165" t="str">
        <f t="shared" si="93"/>
        <v>0</v>
      </c>
      <c r="P873" s="234">
        <f t="shared" si="94"/>
        <v>1</v>
      </c>
      <c r="Q873" s="234">
        <f t="shared" si="95"/>
        <v>1</v>
      </c>
      <c r="DE873" s="152"/>
      <c r="DF873" s="160" t="s">
        <v>2654</v>
      </c>
      <c r="DG873" s="160" t="s">
        <v>122</v>
      </c>
      <c r="DH873" s="160" t="s">
        <v>125</v>
      </c>
      <c r="DI873" s="160" t="s">
        <v>2655</v>
      </c>
      <c r="DJ873" s="160" t="s">
        <v>2655</v>
      </c>
      <c r="DK873" s="160" t="s">
        <v>1259</v>
      </c>
      <c r="DL873" s="160" t="s">
        <v>1260</v>
      </c>
      <c r="DM873" s="160" t="s">
        <v>1812</v>
      </c>
      <c r="DN873" s="161" t="s">
        <v>1813</v>
      </c>
      <c r="DP873" s="130">
        <v>1</v>
      </c>
    </row>
    <row r="874" spans="2:120" ht="15">
      <c r="B874" s="231"/>
      <c r="C874" s="231"/>
      <c r="D874" s="231"/>
      <c r="E874" s="231" cm="1">
        <f t="array" ref="E874">IF(H873&lt;&gt;"",E873,IF(E873="","",IFERROR(MATCH(TRUE(),INDEX(INDEX(K:K,E873+1):K203&lt;&gt;"",0),0)+E873,"")))</f>
        <v>966</v>
      </c>
      <c r="F874" s="232" cm="1">
        <f t="array" ref="F874">IF(E874="","",IF(H873&lt;&gt;"",H873,INDEX(D:D,E874)))</f>
        <v>0</v>
      </c>
      <c r="G874" s="232" t="str">
        <f t="shared" si="90"/>
        <v>0</v>
      </c>
      <c r="H874" s="233" t="str">
        <f t="shared" si="91"/>
        <v/>
      </c>
      <c r="I874" s="231" t="str">
        <f>IF(AND(F874&lt;&gt;"",N10&gt;0,M874&gt;N10),"Mot &gt; limite","")</f>
        <v/>
      </c>
      <c r="M874" s="126">
        <f>IF(OR(F874="",N10="",N10&lt;=0),"",IF(LEN(F874)&lt;=N10,LEN(F874),IFERROR(FIND("♦",SUBSTITUTE(LEFT(F874,N10)," ","♦",LEN(LEFT(F874,N10))-LEN(SUBSTITUTE(LEFT(F874,N10)," ","")))),FIND(" ",F874&amp;" ",N10+1)-1)))</f>
        <v>1</v>
      </c>
      <c r="N874" s="234">
        <f t="shared" si="92"/>
        <v>857</v>
      </c>
      <c r="O874" s="165" t="str">
        <f t="shared" si="93"/>
        <v>0</v>
      </c>
      <c r="P874" s="234">
        <f t="shared" si="94"/>
        <v>1</v>
      </c>
      <c r="Q874" s="234">
        <f t="shared" si="95"/>
        <v>1</v>
      </c>
      <c r="DE874" s="152"/>
      <c r="DF874" s="160" t="s">
        <v>2656</v>
      </c>
      <c r="DG874" s="160" t="s">
        <v>122</v>
      </c>
      <c r="DH874" s="160" t="s">
        <v>125</v>
      </c>
      <c r="DI874" s="160" t="s">
        <v>2657</v>
      </c>
      <c r="DJ874" s="160" t="s">
        <v>2657</v>
      </c>
      <c r="DK874" s="160" t="s">
        <v>1259</v>
      </c>
      <c r="DL874" s="160" t="s">
        <v>1260</v>
      </c>
      <c r="DM874" s="160" t="s">
        <v>1812</v>
      </c>
      <c r="DN874" s="161" t="s">
        <v>1813</v>
      </c>
      <c r="DP874" s="130">
        <v>1</v>
      </c>
    </row>
    <row r="875" spans="2:120" ht="15">
      <c r="B875" s="231"/>
      <c r="C875" s="231"/>
      <c r="D875" s="231"/>
      <c r="E875" s="231" cm="1">
        <f t="array" ref="E875">IF(H874&lt;&gt;"",E874,IF(E874="","",IFERROR(MATCH(TRUE(),INDEX(INDEX(K:K,E874+1):K203&lt;&gt;"",0),0)+E874,"")))</f>
        <v>967</v>
      </c>
      <c r="F875" s="232" cm="1">
        <f t="array" ref="F875">IF(E875="","",IF(H874&lt;&gt;"",H874,INDEX(D:D,E875)))</f>
        <v>0</v>
      </c>
      <c r="G875" s="232" t="str">
        <f t="shared" si="90"/>
        <v>0</v>
      </c>
      <c r="H875" s="233" t="str">
        <f t="shared" si="91"/>
        <v/>
      </c>
      <c r="I875" s="231" t="str">
        <f>IF(AND(F875&lt;&gt;"",N10&gt;0,M875&gt;N10),"Mot &gt; limite","")</f>
        <v/>
      </c>
      <c r="M875" s="126">
        <f>IF(OR(F875="",N10="",N10&lt;=0),"",IF(LEN(F875)&lt;=N10,LEN(F875),IFERROR(FIND("♦",SUBSTITUTE(LEFT(F875,N10)," ","♦",LEN(LEFT(F875,N10))-LEN(SUBSTITUTE(LEFT(F875,N10)," ","")))),FIND(" ",F875&amp;" ",N10+1)-1)))</f>
        <v>1</v>
      </c>
      <c r="N875" s="234">
        <f t="shared" si="92"/>
        <v>858</v>
      </c>
      <c r="O875" s="165" t="str">
        <f t="shared" si="93"/>
        <v>0</v>
      </c>
      <c r="P875" s="234">
        <f t="shared" si="94"/>
        <v>1</v>
      </c>
      <c r="Q875" s="234">
        <f t="shared" si="95"/>
        <v>1</v>
      </c>
      <c r="DE875" s="152"/>
      <c r="DF875" s="160" t="s">
        <v>2658</v>
      </c>
      <c r="DG875" s="160" t="s">
        <v>122</v>
      </c>
      <c r="DH875" s="160" t="s">
        <v>125</v>
      </c>
      <c r="DI875" s="160" t="s">
        <v>2659</v>
      </c>
      <c r="DJ875" s="160" t="s">
        <v>2659</v>
      </c>
      <c r="DK875" s="160" t="s">
        <v>1259</v>
      </c>
      <c r="DL875" s="160" t="s">
        <v>1260</v>
      </c>
      <c r="DM875" s="160" t="s">
        <v>1812</v>
      </c>
      <c r="DN875" s="161" t="s">
        <v>1813</v>
      </c>
      <c r="DP875" s="130">
        <v>1</v>
      </c>
    </row>
    <row r="876" spans="2:120" ht="15">
      <c r="B876" s="231"/>
      <c r="C876" s="231"/>
      <c r="D876" s="231"/>
      <c r="E876" s="231" cm="1">
        <f t="array" ref="E876">IF(H875&lt;&gt;"",E875,IF(E875="","",IFERROR(MATCH(TRUE(),INDEX(INDEX(K:K,E875+1):K203&lt;&gt;"",0),0)+E875,"")))</f>
        <v>968</v>
      </c>
      <c r="F876" s="232" cm="1">
        <f t="array" ref="F876">IF(E876="","",IF(H875&lt;&gt;"",H875,INDEX(D:D,E876)))</f>
        <v>0</v>
      </c>
      <c r="G876" s="232" t="str">
        <f t="shared" si="90"/>
        <v>0</v>
      </c>
      <c r="H876" s="233" t="str">
        <f t="shared" si="91"/>
        <v/>
      </c>
      <c r="I876" s="231" t="str">
        <f>IF(AND(F876&lt;&gt;"",N10&gt;0,M876&gt;N10),"Mot &gt; limite","")</f>
        <v/>
      </c>
      <c r="M876" s="126">
        <f>IF(OR(F876="",N10="",N10&lt;=0),"",IF(LEN(F876)&lt;=N10,LEN(F876),IFERROR(FIND("♦",SUBSTITUTE(LEFT(F876,N10)," ","♦",LEN(LEFT(F876,N10))-LEN(SUBSTITUTE(LEFT(F876,N10)," ","")))),FIND(" ",F876&amp;" ",N10+1)-1)))</f>
        <v>1</v>
      </c>
      <c r="N876" s="234">
        <f t="shared" si="92"/>
        <v>859</v>
      </c>
      <c r="O876" s="165" t="str">
        <f t="shared" si="93"/>
        <v>0</v>
      </c>
      <c r="P876" s="234">
        <f t="shared" si="94"/>
        <v>1</v>
      </c>
      <c r="Q876" s="234">
        <f t="shared" si="95"/>
        <v>1</v>
      </c>
      <c r="DE876" s="152"/>
      <c r="DF876" s="160" t="s">
        <v>2660</v>
      </c>
      <c r="DG876" s="160" t="s">
        <v>122</v>
      </c>
      <c r="DH876" s="160" t="s">
        <v>125</v>
      </c>
      <c r="DI876" s="160" t="s">
        <v>2661</v>
      </c>
      <c r="DJ876" s="160" t="s">
        <v>2661</v>
      </c>
      <c r="DK876" s="160" t="s">
        <v>1259</v>
      </c>
      <c r="DL876" s="160" t="s">
        <v>1260</v>
      </c>
      <c r="DM876" s="160" t="s">
        <v>1812</v>
      </c>
      <c r="DN876" s="161" t="s">
        <v>1813</v>
      </c>
      <c r="DP876" s="130">
        <v>1</v>
      </c>
    </row>
    <row r="877" spans="2:120" ht="15">
      <c r="B877" s="231"/>
      <c r="C877" s="231"/>
      <c r="D877" s="231"/>
      <c r="E877" s="231" cm="1">
        <f t="array" ref="E877">IF(H876&lt;&gt;"",E876,IF(E876="","",IFERROR(MATCH(TRUE(),INDEX(INDEX(K:K,E876+1):K203&lt;&gt;"",0),0)+E876,"")))</f>
        <v>969</v>
      </c>
      <c r="F877" s="232" cm="1">
        <f t="array" ref="F877">IF(E877="","",IF(H876&lt;&gt;"",H876,INDEX(D:D,E877)))</f>
        <v>0</v>
      </c>
      <c r="G877" s="232" t="str">
        <f t="shared" si="90"/>
        <v>0</v>
      </c>
      <c r="H877" s="233" t="str">
        <f t="shared" si="91"/>
        <v/>
      </c>
      <c r="I877" s="231" t="str">
        <f>IF(AND(F877&lt;&gt;"",N10&gt;0,M877&gt;N10),"Mot &gt; limite","")</f>
        <v/>
      </c>
      <c r="M877" s="126">
        <f>IF(OR(F877="",N10="",N10&lt;=0),"",IF(LEN(F877)&lt;=N10,LEN(F877),IFERROR(FIND("♦",SUBSTITUTE(LEFT(F877,N10)," ","♦",LEN(LEFT(F877,N10))-LEN(SUBSTITUTE(LEFT(F877,N10)," ","")))),FIND(" ",F877&amp;" ",N10+1)-1)))</f>
        <v>1</v>
      </c>
      <c r="N877" s="234">
        <f t="shared" si="92"/>
        <v>860</v>
      </c>
      <c r="O877" s="165" t="str">
        <f t="shared" si="93"/>
        <v>0</v>
      </c>
      <c r="P877" s="234">
        <f t="shared" si="94"/>
        <v>1</v>
      </c>
      <c r="Q877" s="234">
        <f t="shared" si="95"/>
        <v>1</v>
      </c>
      <c r="DE877" s="152"/>
      <c r="DF877" s="160" t="s">
        <v>2662</v>
      </c>
      <c r="DG877" s="160" t="s">
        <v>122</v>
      </c>
      <c r="DH877" s="160" t="s">
        <v>125</v>
      </c>
      <c r="DI877" s="160" t="s">
        <v>2663</v>
      </c>
      <c r="DJ877" s="160" t="s">
        <v>2663</v>
      </c>
      <c r="DK877" s="160" t="s">
        <v>1259</v>
      </c>
      <c r="DL877" s="160" t="s">
        <v>1260</v>
      </c>
      <c r="DM877" s="160" t="s">
        <v>1812</v>
      </c>
      <c r="DN877" s="161" t="s">
        <v>1813</v>
      </c>
      <c r="DP877" s="130">
        <v>1</v>
      </c>
    </row>
    <row r="878" spans="2:120" ht="15">
      <c r="B878" s="231"/>
      <c r="C878" s="231"/>
      <c r="D878" s="231"/>
      <c r="E878" s="231" cm="1">
        <f t="array" ref="E878">IF(H877&lt;&gt;"",E877,IF(E877="","",IFERROR(MATCH(TRUE(),INDEX(INDEX(K:K,E877+1):K203&lt;&gt;"",0),0)+E877,"")))</f>
        <v>970</v>
      </c>
      <c r="F878" s="232" cm="1">
        <f t="array" ref="F878">IF(E878="","",IF(H877&lt;&gt;"",H877,INDEX(D:D,E878)))</f>
        <v>0</v>
      </c>
      <c r="G878" s="232" t="str">
        <f t="shared" si="90"/>
        <v>0</v>
      </c>
      <c r="H878" s="233" t="str">
        <f t="shared" si="91"/>
        <v/>
      </c>
      <c r="I878" s="231" t="str">
        <f>IF(AND(F878&lt;&gt;"",N10&gt;0,M878&gt;N10),"Mot &gt; limite","")</f>
        <v/>
      </c>
      <c r="M878" s="126">
        <f>IF(OR(F878="",N10="",N10&lt;=0),"",IF(LEN(F878)&lt;=N10,LEN(F878),IFERROR(FIND("♦",SUBSTITUTE(LEFT(F878,N10)," ","♦",LEN(LEFT(F878,N10))-LEN(SUBSTITUTE(LEFT(F878,N10)," ","")))),FIND(" ",F878&amp;" ",N10+1)-1)))</f>
        <v>1</v>
      </c>
      <c r="N878" s="234">
        <f t="shared" si="92"/>
        <v>861</v>
      </c>
      <c r="O878" s="165" t="str">
        <f t="shared" si="93"/>
        <v>0</v>
      </c>
      <c r="P878" s="234">
        <f t="shared" si="94"/>
        <v>1</v>
      </c>
      <c r="Q878" s="234">
        <f t="shared" si="95"/>
        <v>1</v>
      </c>
      <c r="DE878" s="152"/>
      <c r="DF878" s="160" t="s">
        <v>2664</v>
      </c>
      <c r="DG878" s="160" t="s">
        <v>122</v>
      </c>
      <c r="DH878" s="160" t="s">
        <v>125</v>
      </c>
      <c r="DI878" s="160" t="s">
        <v>2665</v>
      </c>
      <c r="DJ878" s="160" t="s">
        <v>2665</v>
      </c>
      <c r="DK878" s="160" t="s">
        <v>1259</v>
      </c>
      <c r="DL878" s="160" t="s">
        <v>1260</v>
      </c>
      <c r="DM878" s="160" t="s">
        <v>1812</v>
      </c>
      <c r="DN878" s="161" t="s">
        <v>1813</v>
      </c>
      <c r="DP878" s="130">
        <v>1</v>
      </c>
    </row>
    <row r="879" spans="2:120" ht="15">
      <c r="B879" s="231"/>
      <c r="C879" s="231"/>
      <c r="D879" s="231"/>
      <c r="E879" s="231" cm="1">
        <f t="array" ref="E879">IF(H878&lt;&gt;"",E878,IF(E878="","",IFERROR(MATCH(TRUE(),INDEX(INDEX(K:K,E878+1):K203&lt;&gt;"",0),0)+E878,"")))</f>
        <v>971</v>
      </c>
      <c r="F879" s="232" cm="1">
        <f t="array" ref="F879">IF(E879="","",IF(H878&lt;&gt;"",H878,INDEX(D:D,E879)))</f>
        <v>0</v>
      </c>
      <c r="G879" s="232" t="str">
        <f t="shared" si="90"/>
        <v>0</v>
      </c>
      <c r="H879" s="233" t="str">
        <f t="shared" si="91"/>
        <v/>
      </c>
      <c r="I879" s="231" t="str">
        <f>IF(AND(F879&lt;&gt;"",N10&gt;0,M879&gt;N10),"Mot &gt; limite","")</f>
        <v/>
      </c>
      <c r="M879" s="126">
        <f>IF(OR(F879="",N10="",N10&lt;=0),"",IF(LEN(F879)&lt;=N10,LEN(F879),IFERROR(FIND("♦",SUBSTITUTE(LEFT(F879,N10)," ","♦",LEN(LEFT(F879,N10))-LEN(SUBSTITUTE(LEFT(F879,N10)," ","")))),FIND(" ",F879&amp;" ",N10+1)-1)))</f>
        <v>1</v>
      </c>
      <c r="N879" s="234">
        <f t="shared" si="92"/>
        <v>862</v>
      </c>
      <c r="O879" s="165" t="str">
        <f t="shared" si="93"/>
        <v>0</v>
      </c>
      <c r="P879" s="234">
        <f t="shared" si="94"/>
        <v>1</v>
      </c>
      <c r="Q879" s="234">
        <f t="shared" si="95"/>
        <v>1</v>
      </c>
      <c r="DE879" s="152"/>
      <c r="DF879" s="160" t="s">
        <v>2666</v>
      </c>
      <c r="DG879" s="160" t="s">
        <v>122</v>
      </c>
      <c r="DH879" s="160" t="s">
        <v>125</v>
      </c>
      <c r="DI879" s="160" t="s">
        <v>2667</v>
      </c>
      <c r="DJ879" s="160" t="s">
        <v>2667</v>
      </c>
      <c r="DK879" s="160" t="s">
        <v>1259</v>
      </c>
      <c r="DL879" s="160" t="s">
        <v>1260</v>
      </c>
      <c r="DM879" s="160" t="s">
        <v>1812</v>
      </c>
      <c r="DN879" s="161" t="s">
        <v>1813</v>
      </c>
      <c r="DP879" s="130">
        <v>1</v>
      </c>
    </row>
    <row r="880" spans="2:120" ht="15">
      <c r="B880" s="231"/>
      <c r="C880" s="231"/>
      <c r="D880" s="231"/>
      <c r="E880" s="231" cm="1">
        <f t="array" ref="E880">IF(H879&lt;&gt;"",E879,IF(E879="","",IFERROR(MATCH(TRUE(),INDEX(INDEX(K:K,E879+1):K203&lt;&gt;"",0),0)+E879,"")))</f>
        <v>972</v>
      </c>
      <c r="F880" s="232" cm="1">
        <f t="array" ref="F880">IF(E880="","",IF(H879&lt;&gt;"",H879,INDEX(D:D,E880)))</f>
        <v>0</v>
      </c>
      <c r="G880" s="232" t="str">
        <f t="shared" si="90"/>
        <v>0</v>
      </c>
      <c r="H880" s="233" t="str">
        <f t="shared" si="91"/>
        <v/>
      </c>
      <c r="I880" s="231" t="str">
        <f>IF(AND(F880&lt;&gt;"",N10&gt;0,M880&gt;N10),"Mot &gt; limite","")</f>
        <v/>
      </c>
      <c r="M880" s="126">
        <f>IF(OR(F880="",N10="",N10&lt;=0),"",IF(LEN(F880)&lt;=N10,LEN(F880),IFERROR(FIND("♦",SUBSTITUTE(LEFT(F880,N10)," ","♦",LEN(LEFT(F880,N10))-LEN(SUBSTITUTE(LEFT(F880,N10)," ","")))),FIND(" ",F880&amp;" ",N10+1)-1)))</f>
        <v>1</v>
      </c>
      <c r="N880" s="234">
        <f t="shared" si="92"/>
        <v>863</v>
      </c>
      <c r="O880" s="165" t="str">
        <f t="shared" si="93"/>
        <v>0</v>
      </c>
      <c r="P880" s="234">
        <f t="shared" si="94"/>
        <v>1</v>
      </c>
      <c r="Q880" s="234">
        <f t="shared" si="95"/>
        <v>1</v>
      </c>
      <c r="DE880" s="152"/>
      <c r="DF880" s="160" t="s">
        <v>2668</v>
      </c>
      <c r="DG880" s="160" t="s">
        <v>122</v>
      </c>
      <c r="DH880" s="160" t="s">
        <v>125</v>
      </c>
      <c r="DI880" s="160" t="s">
        <v>2669</v>
      </c>
      <c r="DJ880" s="160" t="s">
        <v>2669</v>
      </c>
      <c r="DK880" s="160" t="s">
        <v>1259</v>
      </c>
      <c r="DL880" s="160" t="s">
        <v>1260</v>
      </c>
      <c r="DM880" s="160" t="s">
        <v>1812</v>
      </c>
      <c r="DN880" s="161" t="s">
        <v>1813</v>
      </c>
      <c r="DP880" s="130">
        <v>1</v>
      </c>
    </row>
    <row r="881" spans="2:120" ht="15">
      <c r="B881" s="231"/>
      <c r="C881" s="231"/>
      <c r="D881" s="231"/>
      <c r="E881" s="231" cm="1">
        <f t="array" ref="E881">IF(H880&lt;&gt;"",E880,IF(E880="","",IFERROR(MATCH(TRUE(),INDEX(INDEX(K:K,E880+1):K203&lt;&gt;"",0),0)+E880,"")))</f>
        <v>973</v>
      </c>
      <c r="F881" s="232" cm="1">
        <f t="array" ref="F881">IF(E881="","",IF(H880&lt;&gt;"",H880,INDEX(D:D,E881)))</f>
        <v>0</v>
      </c>
      <c r="G881" s="232" t="str">
        <f t="shared" si="90"/>
        <v>0</v>
      </c>
      <c r="H881" s="233" t="str">
        <f t="shared" si="91"/>
        <v/>
      </c>
      <c r="I881" s="231" t="str">
        <f>IF(AND(F881&lt;&gt;"",N10&gt;0,M881&gt;N10),"Mot &gt; limite","")</f>
        <v/>
      </c>
      <c r="M881" s="126">
        <f>IF(OR(F881="",N10="",N10&lt;=0),"",IF(LEN(F881)&lt;=N10,LEN(F881),IFERROR(FIND("♦",SUBSTITUTE(LEFT(F881,N10)," ","♦",LEN(LEFT(F881,N10))-LEN(SUBSTITUTE(LEFT(F881,N10)," ","")))),FIND(" ",F881&amp;" ",N10+1)-1)))</f>
        <v>1</v>
      </c>
      <c r="N881" s="234">
        <f t="shared" si="92"/>
        <v>864</v>
      </c>
      <c r="O881" s="165" t="str">
        <f t="shared" si="93"/>
        <v>0</v>
      </c>
      <c r="P881" s="234">
        <f t="shared" si="94"/>
        <v>1</v>
      </c>
      <c r="Q881" s="234">
        <f t="shared" si="95"/>
        <v>1</v>
      </c>
      <c r="DE881" s="152"/>
      <c r="DF881" s="160" t="s">
        <v>2670</v>
      </c>
      <c r="DG881" s="160" t="s">
        <v>122</v>
      </c>
      <c r="DH881" s="160" t="s">
        <v>125</v>
      </c>
      <c r="DI881" s="160" t="s">
        <v>2671</v>
      </c>
      <c r="DJ881" s="160" t="s">
        <v>2671</v>
      </c>
      <c r="DK881" s="160" t="s">
        <v>1259</v>
      </c>
      <c r="DL881" s="160" t="s">
        <v>1260</v>
      </c>
      <c r="DM881" s="160" t="s">
        <v>1812</v>
      </c>
      <c r="DN881" s="161" t="s">
        <v>1813</v>
      </c>
      <c r="DP881" s="130">
        <v>1</v>
      </c>
    </row>
    <row r="882" spans="2:120" ht="15">
      <c r="B882" s="231"/>
      <c r="C882" s="231"/>
      <c r="D882" s="231"/>
      <c r="E882" s="231" cm="1">
        <f t="array" ref="E882">IF(H881&lt;&gt;"",E881,IF(E881="","",IFERROR(MATCH(TRUE(),INDEX(INDEX(K:K,E881+1):K203&lt;&gt;"",0),0)+E881,"")))</f>
        <v>974</v>
      </c>
      <c r="F882" s="232" cm="1">
        <f t="array" ref="F882">IF(E882="","",IF(H881&lt;&gt;"",H881,INDEX(D:D,E882)))</f>
        <v>0</v>
      </c>
      <c r="G882" s="232" t="str">
        <f t="shared" si="90"/>
        <v>0</v>
      </c>
      <c r="H882" s="233" t="str">
        <f t="shared" si="91"/>
        <v/>
      </c>
      <c r="I882" s="231" t="str">
        <f>IF(AND(F882&lt;&gt;"",N10&gt;0,M882&gt;N10),"Mot &gt; limite","")</f>
        <v/>
      </c>
      <c r="M882" s="126">
        <f>IF(OR(F882="",N10="",N10&lt;=0),"",IF(LEN(F882)&lt;=N10,LEN(F882),IFERROR(FIND("♦",SUBSTITUTE(LEFT(F882,N10)," ","♦",LEN(LEFT(F882,N10))-LEN(SUBSTITUTE(LEFT(F882,N10)," ","")))),FIND(" ",F882&amp;" ",N10+1)-1)))</f>
        <v>1</v>
      </c>
      <c r="N882" s="234">
        <f t="shared" si="92"/>
        <v>865</v>
      </c>
      <c r="O882" s="165" t="str">
        <f t="shared" si="93"/>
        <v>0</v>
      </c>
      <c r="P882" s="234">
        <f t="shared" si="94"/>
        <v>1</v>
      </c>
      <c r="Q882" s="234">
        <f t="shared" si="95"/>
        <v>1</v>
      </c>
      <c r="DE882" s="152"/>
      <c r="DF882" s="160" t="s">
        <v>2672</v>
      </c>
      <c r="DG882" s="160" t="s">
        <v>122</v>
      </c>
      <c r="DH882" s="160" t="s">
        <v>125</v>
      </c>
      <c r="DI882" s="160" t="s">
        <v>2673</v>
      </c>
      <c r="DJ882" s="160" t="s">
        <v>2673</v>
      </c>
      <c r="DK882" s="160" t="s">
        <v>1259</v>
      </c>
      <c r="DL882" s="160" t="s">
        <v>1260</v>
      </c>
      <c r="DM882" s="160" t="s">
        <v>1812</v>
      </c>
      <c r="DN882" s="161" t="s">
        <v>1813</v>
      </c>
      <c r="DP882" s="130">
        <v>1</v>
      </c>
    </row>
    <row r="883" spans="2:120" ht="15">
      <c r="B883" s="231"/>
      <c r="C883" s="231"/>
      <c r="D883" s="231"/>
      <c r="E883" s="231" cm="1">
        <f t="array" ref="E883">IF(H882&lt;&gt;"",E882,IF(E882="","",IFERROR(MATCH(TRUE(),INDEX(INDEX(K:K,E882+1):K203&lt;&gt;"",0),0)+E882,"")))</f>
        <v>975</v>
      </c>
      <c r="F883" s="232" cm="1">
        <f t="array" ref="F883">IF(E883="","",IF(H882&lt;&gt;"",H882,INDEX(D:D,E883)))</f>
        <v>0</v>
      </c>
      <c r="G883" s="232" t="str">
        <f t="shared" si="90"/>
        <v>0</v>
      </c>
      <c r="H883" s="233" t="str">
        <f t="shared" si="91"/>
        <v/>
      </c>
      <c r="I883" s="231" t="str">
        <f>IF(AND(F883&lt;&gt;"",N10&gt;0,M883&gt;N10),"Mot &gt; limite","")</f>
        <v/>
      </c>
      <c r="M883" s="126">
        <f>IF(OR(F883="",N10="",N10&lt;=0),"",IF(LEN(F883)&lt;=N10,LEN(F883),IFERROR(FIND("♦",SUBSTITUTE(LEFT(F883,N10)," ","♦",LEN(LEFT(F883,N10))-LEN(SUBSTITUTE(LEFT(F883,N10)," ","")))),FIND(" ",F883&amp;" ",N10+1)-1)))</f>
        <v>1</v>
      </c>
      <c r="N883" s="234">
        <f t="shared" si="92"/>
        <v>866</v>
      </c>
      <c r="O883" s="165" t="str">
        <f t="shared" si="93"/>
        <v>0</v>
      </c>
      <c r="P883" s="234">
        <f t="shared" si="94"/>
        <v>1</v>
      </c>
      <c r="Q883" s="234">
        <f t="shared" si="95"/>
        <v>1</v>
      </c>
      <c r="DE883" s="152"/>
      <c r="DF883" s="160" t="s">
        <v>2674</v>
      </c>
      <c r="DG883" s="160" t="s">
        <v>122</v>
      </c>
      <c r="DH883" s="160" t="s">
        <v>125</v>
      </c>
      <c r="DI883" s="160" t="s">
        <v>2675</v>
      </c>
      <c r="DJ883" s="160" t="s">
        <v>2675</v>
      </c>
      <c r="DK883" s="160" t="s">
        <v>1259</v>
      </c>
      <c r="DL883" s="160" t="s">
        <v>1260</v>
      </c>
      <c r="DM883" s="160" t="s">
        <v>1812</v>
      </c>
      <c r="DN883" s="161" t="s">
        <v>1813</v>
      </c>
      <c r="DP883" s="130">
        <v>1</v>
      </c>
    </row>
    <row r="884" spans="2:120" ht="15">
      <c r="B884" s="231"/>
      <c r="C884" s="231"/>
      <c r="D884" s="231"/>
      <c r="E884" s="231" cm="1">
        <f t="array" ref="E884">IF(H883&lt;&gt;"",E883,IF(E883="","",IFERROR(MATCH(TRUE(),INDEX(INDEX(K:K,E883+1):K203&lt;&gt;"",0),0)+E883,"")))</f>
        <v>976</v>
      </c>
      <c r="F884" s="232" cm="1">
        <f t="array" ref="F884">IF(E884="","",IF(H883&lt;&gt;"",H883,INDEX(D:D,E884)))</f>
        <v>0</v>
      </c>
      <c r="G884" s="232" t="str">
        <f t="shared" si="90"/>
        <v>0</v>
      </c>
      <c r="H884" s="233" t="str">
        <f t="shared" si="91"/>
        <v/>
      </c>
      <c r="I884" s="231" t="str">
        <f>IF(AND(F884&lt;&gt;"",N10&gt;0,M884&gt;N10),"Mot &gt; limite","")</f>
        <v/>
      </c>
      <c r="M884" s="126">
        <f>IF(OR(F884="",N10="",N10&lt;=0),"",IF(LEN(F884)&lt;=N10,LEN(F884),IFERROR(FIND("♦",SUBSTITUTE(LEFT(F884,N10)," ","♦",LEN(LEFT(F884,N10))-LEN(SUBSTITUTE(LEFT(F884,N10)," ","")))),FIND(" ",F884&amp;" ",N10+1)-1)))</f>
        <v>1</v>
      </c>
      <c r="N884" s="234">
        <f t="shared" si="92"/>
        <v>867</v>
      </c>
      <c r="O884" s="165" t="str">
        <f t="shared" si="93"/>
        <v>0</v>
      </c>
      <c r="P884" s="234">
        <f t="shared" si="94"/>
        <v>1</v>
      </c>
      <c r="Q884" s="234">
        <f t="shared" si="95"/>
        <v>1</v>
      </c>
      <c r="DE884" s="152"/>
      <c r="DF884" s="160" t="s">
        <v>2676</v>
      </c>
      <c r="DG884" s="160" t="s">
        <v>122</v>
      </c>
      <c r="DH884" s="160" t="s">
        <v>125</v>
      </c>
      <c r="DI884" s="160" t="s">
        <v>2677</v>
      </c>
      <c r="DJ884" s="160" t="s">
        <v>2677</v>
      </c>
      <c r="DK884" s="160" t="s">
        <v>1259</v>
      </c>
      <c r="DL884" s="160" t="s">
        <v>1260</v>
      </c>
      <c r="DM884" s="160" t="s">
        <v>1812</v>
      </c>
      <c r="DN884" s="161" t="s">
        <v>1813</v>
      </c>
      <c r="DP884" s="130">
        <v>1</v>
      </c>
    </row>
    <row r="885" spans="2:120" ht="15">
      <c r="B885" s="231"/>
      <c r="C885" s="231"/>
      <c r="D885" s="231"/>
      <c r="E885" s="231" cm="1">
        <f t="array" ref="E885">IF(H884&lt;&gt;"",E884,IF(E884="","",IFERROR(MATCH(TRUE(),INDEX(INDEX(K:K,E884+1):K203&lt;&gt;"",0),0)+E884,"")))</f>
        <v>977</v>
      </c>
      <c r="F885" s="232" cm="1">
        <f t="array" ref="F885">IF(E885="","",IF(H884&lt;&gt;"",H884,INDEX(D:D,E885)))</f>
        <v>0</v>
      </c>
      <c r="G885" s="232" t="str">
        <f t="shared" si="90"/>
        <v>0</v>
      </c>
      <c r="H885" s="233" t="str">
        <f t="shared" si="91"/>
        <v/>
      </c>
      <c r="I885" s="231" t="str">
        <f>IF(AND(F885&lt;&gt;"",N10&gt;0,M885&gt;N10),"Mot &gt; limite","")</f>
        <v/>
      </c>
      <c r="M885" s="126">
        <f>IF(OR(F885="",N10="",N10&lt;=0),"",IF(LEN(F885)&lt;=N10,LEN(F885),IFERROR(FIND("♦",SUBSTITUTE(LEFT(F885,N10)," ","♦",LEN(LEFT(F885,N10))-LEN(SUBSTITUTE(LEFT(F885,N10)," ","")))),FIND(" ",F885&amp;" ",N10+1)-1)))</f>
        <v>1</v>
      </c>
      <c r="N885" s="234">
        <f t="shared" si="92"/>
        <v>868</v>
      </c>
      <c r="O885" s="165" t="str">
        <f t="shared" si="93"/>
        <v>0</v>
      </c>
      <c r="P885" s="234">
        <f t="shared" si="94"/>
        <v>1</v>
      </c>
      <c r="Q885" s="234">
        <f t="shared" si="95"/>
        <v>1</v>
      </c>
      <c r="DE885" s="152"/>
      <c r="DF885" s="160" t="s">
        <v>2678</v>
      </c>
      <c r="DG885" s="160" t="s">
        <v>122</v>
      </c>
      <c r="DH885" s="160" t="s">
        <v>125</v>
      </c>
      <c r="DI885" s="160" t="s">
        <v>2679</v>
      </c>
      <c r="DJ885" s="160" t="s">
        <v>2679</v>
      </c>
      <c r="DK885" s="160" t="s">
        <v>1259</v>
      </c>
      <c r="DL885" s="160" t="s">
        <v>1260</v>
      </c>
      <c r="DM885" s="160" t="s">
        <v>1812</v>
      </c>
      <c r="DN885" s="161" t="s">
        <v>1813</v>
      </c>
      <c r="DP885" s="130">
        <v>1</v>
      </c>
    </row>
    <row r="886" spans="2:120" ht="15">
      <c r="B886" s="231"/>
      <c r="C886" s="231"/>
      <c r="D886" s="231"/>
      <c r="E886" s="231" cm="1">
        <f t="array" ref="E886">IF(H885&lt;&gt;"",E885,IF(E885="","",IFERROR(MATCH(TRUE(),INDEX(INDEX(K:K,E885+1):K203&lt;&gt;"",0),0)+E885,"")))</f>
        <v>978</v>
      </c>
      <c r="F886" s="232" cm="1">
        <f t="array" ref="F886">IF(E886="","",IF(H885&lt;&gt;"",H885,INDEX(D:D,E886)))</f>
        <v>0</v>
      </c>
      <c r="G886" s="232" t="str">
        <f t="shared" si="90"/>
        <v>0</v>
      </c>
      <c r="H886" s="233" t="str">
        <f t="shared" si="91"/>
        <v/>
      </c>
      <c r="I886" s="231" t="str">
        <f>IF(AND(F886&lt;&gt;"",N10&gt;0,M886&gt;N10),"Mot &gt; limite","")</f>
        <v/>
      </c>
      <c r="M886" s="126">
        <f>IF(OR(F886="",N10="",N10&lt;=0),"",IF(LEN(F886)&lt;=N10,LEN(F886),IFERROR(FIND("♦",SUBSTITUTE(LEFT(F886,N10)," ","♦",LEN(LEFT(F886,N10))-LEN(SUBSTITUTE(LEFT(F886,N10)," ","")))),FIND(" ",F886&amp;" ",N10+1)-1)))</f>
        <v>1</v>
      </c>
      <c r="N886" s="234">
        <f t="shared" si="92"/>
        <v>869</v>
      </c>
      <c r="O886" s="165" t="str">
        <f t="shared" si="93"/>
        <v>0</v>
      </c>
      <c r="P886" s="234">
        <f t="shared" si="94"/>
        <v>1</v>
      </c>
      <c r="Q886" s="234">
        <f t="shared" si="95"/>
        <v>1</v>
      </c>
      <c r="DE886" s="152"/>
      <c r="DF886" s="160" t="s">
        <v>2680</v>
      </c>
      <c r="DG886" s="160" t="s">
        <v>122</v>
      </c>
      <c r="DH886" s="160" t="s">
        <v>125</v>
      </c>
      <c r="DI886" s="160" t="s">
        <v>2681</v>
      </c>
      <c r="DJ886" s="160" t="s">
        <v>2681</v>
      </c>
      <c r="DK886" s="160" t="s">
        <v>1259</v>
      </c>
      <c r="DL886" s="160" t="s">
        <v>1260</v>
      </c>
      <c r="DM886" s="160" t="s">
        <v>1812</v>
      </c>
      <c r="DN886" s="161" t="s">
        <v>1813</v>
      </c>
      <c r="DP886" s="130">
        <v>1</v>
      </c>
    </row>
    <row r="887" spans="2:120" ht="15">
      <c r="B887" s="231"/>
      <c r="C887" s="231"/>
      <c r="D887" s="231"/>
      <c r="E887" s="231" cm="1">
        <f t="array" ref="E887">IF(H886&lt;&gt;"",E886,IF(E886="","",IFERROR(MATCH(TRUE(),INDEX(INDEX(K:K,E886+1):K203&lt;&gt;"",0),0)+E886,"")))</f>
        <v>979</v>
      </c>
      <c r="F887" s="232" cm="1">
        <f t="array" ref="F887">IF(E887="","",IF(H886&lt;&gt;"",H886,INDEX(D:D,E887)))</f>
        <v>0</v>
      </c>
      <c r="G887" s="232" t="str">
        <f t="shared" si="90"/>
        <v>0</v>
      </c>
      <c r="H887" s="233" t="str">
        <f t="shared" si="91"/>
        <v/>
      </c>
      <c r="I887" s="231" t="str">
        <f>IF(AND(F887&lt;&gt;"",N10&gt;0,M887&gt;N10),"Mot &gt; limite","")</f>
        <v/>
      </c>
      <c r="M887" s="126">
        <f>IF(OR(F887="",N10="",N10&lt;=0),"",IF(LEN(F887)&lt;=N10,LEN(F887),IFERROR(FIND("♦",SUBSTITUTE(LEFT(F887,N10)," ","♦",LEN(LEFT(F887,N10))-LEN(SUBSTITUTE(LEFT(F887,N10)," ","")))),FIND(" ",F887&amp;" ",N10+1)-1)))</f>
        <v>1</v>
      </c>
      <c r="N887" s="234">
        <f t="shared" si="92"/>
        <v>870</v>
      </c>
      <c r="O887" s="165" t="str">
        <f t="shared" si="93"/>
        <v>0</v>
      </c>
      <c r="P887" s="234">
        <f t="shared" si="94"/>
        <v>1</v>
      </c>
      <c r="Q887" s="234">
        <f t="shared" si="95"/>
        <v>1</v>
      </c>
      <c r="DE887" s="152"/>
      <c r="DF887" s="160" t="s">
        <v>2682</v>
      </c>
      <c r="DG887" s="160" t="s">
        <v>122</v>
      </c>
      <c r="DH887" s="160" t="s">
        <v>125</v>
      </c>
      <c r="DI887" s="160" t="s">
        <v>2683</v>
      </c>
      <c r="DJ887" s="160" t="s">
        <v>2683</v>
      </c>
      <c r="DK887" s="160" t="s">
        <v>1259</v>
      </c>
      <c r="DL887" s="160" t="s">
        <v>1260</v>
      </c>
      <c r="DM887" s="160" t="s">
        <v>1812</v>
      </c>
      <c r="DN887" s="161" t="s">
        <v>1813</v>
      </c>
      <c r="DP887" s="130">
        <v>1</v>
      </c>
    </row>
    <row r="888" spans="2:120" ht="15">
      <c r="B888" s="231"/>
      <c r="C888" s="231"/>
      <c r="D888" s="231"/>
      <c r="E888" s="231" cm="1">
        <f t="array" ref="E888">IF(H887&lt;&gt;"",E887,IF(E887="","",IFERROR(MATCH(TRUE(),INDEX(INDEX(K:K,E887+1):K203&lt;&gt;"",0),0)+E887,"")))</f>
        <v>980</v>
      </c>
      <c r="F888" s="232" cm="1">
        <f t="array" ref="F888">IF(E888="","",IF(H887&lt;&gt;"",H887,INDEX(D:D,E888)))</f>
        <v>0</v>
      </c>
      <c r="G888" s="232" t="str">
        <f t="shared" si="90"/>
        <v>0</v>
      </c>
      <c r="H888" s="233" t="str">
        <f t="shared" si="91"/>
        <v/>
      </c>
      <c r="I888" s="231" t="str">
        <f>IF(AND(F888&lt;&gt;"",N10&gt;0,M888&gt;N10),"Mot &gt; limite","")</f>
        <v/>
      </c>
      <c r="M888" s="126">
        <f>IF(OR(F888="",N10="",N10&lt;=0),"",IF(LEN(F888)&lt;=N10,LEN(F888),IFERROR(FIND("♦",SUBSTITUTE(LEFT(F888,N10)," ","♦",LEN(LEFT(F888,N10))-LEN(SUBSTITUTE(LEFT(F888,N10)," ","")))),FIND(" ",F888&amp;" ",N10+1)-1)))</f>
        <v>1</v>
      </c>
      <c r="N888" s="234">
        <f t="shared" si="92"/>
        <v>871</v>
      </c>
      <c r="O888" s="165" t="str">
        <f t="shared" si="93"/>
        <v>0</v>
      </c>
      <c r="P888" s="234">
        <f t="shared" si="94"/>
        <v>1</v>
      </c>
      <c r="Q888" s="234">
        <f t="shared" si="95"/>
        <v>1</v>
      </c>
      <c r="DE888" s="152"/>
      <c r="DF888" s="160" t="s">
        <v>2684</v>
      </c>
      <c r="DG888" s="160" t="s">
        <v>122</v>
      </c>
      <c r="DH888" s="160" t="s">
        <v>125</v>
      </c>
      <c r="DI888" s="160" t="s">
        <v>2685</v>
      </c>
      <c r="DJ888" s="160" t="s">
        <v>2685</v>
      </c>
      <c r="DK888" s="160" t="s">
        <v>1259</v>
      </c>
      <c r="DL888" s="160" t="s">
        <v>1260</v>
      </c>
      <c r="DM888" s="160" t="s">
        <v>1812</v>
      </c>
      <c r="DN888" s="161" t="s">
        <v>1813</v>
      </c>
      <c r="DP888" s="130">
        <v>1</v>
      </c>
    </row>
    <row r="889" spans="2:120" ht="15">
      <c r="B889" s="231"/>
      <c r="C889" s="231"/>
      <c r="D889" s="231"/>
      <c r="E889" s="231" cm="1">
        <f t="array" ref="E889">IF(H888&lt;&gt;"",E888,IF(E888="","",IFERROR(MATCH(TRUE(),INDEX(INDEX(K:K,E888+1):K203&lt;&gt;"",0),0)+E888,"")))</f>
        <v>981</v>
      </c>
      <c r="F889" s="232" cm="1">
        <f t="array" ref="F889">IF(E889="","",IF(H888&lt;&gt;"",H888,INDEX(D:D,E889)))</f>
        <v>0</v>
      </c>
      <c r="G889" s="232" t="str">
        <f t="shared" si="90"/>
        <v>0</v>
      </c>
      <c r="H889" s="233" t="str">
        <f t="shared" si="91"/>
        <v/>
      </c>
      <c r="I889" s="231" t="str">
        <f>IF(AND(F889&lt;&gt;"",N10&gt;0,M889&gt;N10),"Mot &gt; limite","")</f>
        <v/>
      </c>
      <c r="M889" s="126">
        <f>IF(OR(F889="",N10="",N10&lt;=0),"",IF(LEN(F889)&lt;=N10,LEN(F889),IFERROR(FIND("♦",SUBSTITUTE(LEFT(F889,N10)," ","♦",LEN(LEFT(F889,N10))-LEN(SUBSTITUTE(LEFT(F889,N10)," ","")))),FIND(" ",F889&amp;" ",N10+1)-1)))</f>
        <v>1</v>
      </c>
      <c r="N889" s="234">
        <f t="shared" si="92"/>
        <v>872</v>
      </c>
      <c r="O889" s="165" t="str">
        <f t="shared" si="93"/>
        <v>0</v>
      </c>
      <c r="P889" s="234">
        <f t="shared" si="94"/>
        <v>1</v>
      </c>
      <c r="Q889" s="234">
        <f t="shared" si="95"/>
        <v>1</v>
      </c>
      <c r="DE889" s="152"/>
      <c r="DF889" s="160" t="s">
        <v>2686</v>
      </c>
      <c r="DG889" s="160" t="s">
        <v>122</v>
      </c>
      <c r="DH889" s="160" t="s">
        <v>125</v>
      </c>
      <c r="DI889" s="160" t="s">
        <v>2687</v>
      </c>
      <c r="DJ889" s="160" t="s">
        <v>2687</v>
      </c>
      <c r="DK889" s="160" t="s">
        <v>1259</v>
      </c>
      <c r="DL889" s="160" t="s">
        <v>1260</v>
      </c>
      <c r="DM889" s="160" t="s">
        <v>1812</v>
      </c>
      <c r="DN889" s="161" t="s">
        <v>1813</v>
      </c>
      <c r="DP889" s="130">
        <v>1</v>
      </c>
    </row>
    <row r="890" spans="2:120" ht="15">
      <c r="B890" s="231"/>
      <c r="C890" s="231"/>
      <c r="D890" s="231"/>
      <c r="E890" s="231" cm="1">
        <f t="array" ref="E890">IF(H889&lt;&gt;"",E889,IF(E889="","",IFERROR(MATCH(TRUE(),INDEX(INDEX(K:K,E889+1):K203&lt;&gt;"",0),0)+E889,"")))</f>
        <v>982</v>
      </c>
      <c r="F890" s="232" cm="1">
        <f t="array" ref="F890">IF(E890="","",IF(H889&lt;&gt;"",H889,INDEX(D:D,E890)))</f>
        <v>0</v>
      </c>
      <c r="G890" s="232" t="str">
        <f t="shared" si="90"/>
        <v>0</v>
      </c>
      <c r="H890" s="233" t="str">
        <f t="shared" si="91"/>
        <v/>
      </c>
      <c r="I890" s="231" t="str">
        <f>IF(AND(F890&lt;&gt;"",N10&gt;0,M890&gt;N10),"Mot &gt; limite","")</f>
        <v/>
      </c>
      <c r="M890" s="126">
        <f>IF(OR(F890="",N10="",N10&lt;=0),"",IF(LEN(F890)&lt;=N10,LEN(F890),IFERROR(FIND("♦",SUBSTITUTE(LEFT(F890,N10)," ","♦",LEN(LEFT(F890,N10))-LEN(SUBSTITUTE(LEFT(F890,N10)," ","")))),FIND(" ",F890&amp;" ",N10+1)-1)))</f>
        <v>1</v>
      </c>
      <c r="N890" s="234">
        <f t="shared" si="92"/>
        <v>873</v>
      </c>
      <c r="O890" s="165" t="str">
        <f t="shared" si="93"/>
        <v>0</v>
      </c>
      <c r="P890" s="234">
        <f t="shared" si="94"/>
        <v>1</v>
      </c>
      <c r="Q890" s="234">
        <f t="shared" si="95"/>
        <v>1</v>
      </c>
      <c r="DE890" s="152"/>
      <c r="DF890" s="160" t="s">
        <v>2688</v>
      </c>
      <c r="DG890" s="160" t="s">
        <v>122</v>
      </c>
      <c r="DH890" s="160" t="s">
        <v>125</v>
      </c>
      <c r="DI890" s="160" t="s">
        <v>2689</v>
      </c>
      <c r="DJ890" s="160" t="s">
        <v>2689</v>
      </c>
      <c r="DK890" s="160" t="s">
        <v>1259</v>
      </c>
      <c r="DL890" s="160" t="s">
        <v>1260</v>
      </c>
      <c r="DM890" s="160" t="s">
        <v>1812</v>
      </c>
      <c r="DN890" s="161" t="s">
        <v>1813</v>
      </c>
      <c r="DP890" s="130">
        <v>1</v>
      </c>
    </row>
    <row r="891" spans="2:120" ht="15">
      <c r="B891" s="231"/>
      <c r="C891" s="231"/>
      <c r="D891" s="231"/>
      <c r="E891" s="231" cm="1">
        <f t="array" ref="E891">IF(H890&lt;&gt;"",E890,IF(E890="","",IFERROR(MATCH(TRUE(),INDEX(INDEX(K:K,E890+1):K203&lt;&gt;"",0),0)+E890,"")))</f>
        <v>983</v>
      </c>
      <c r="F891" s="232" cm="1">
        <f t="array" ref="F891">IF(E891="","",IF(H890&lt;&gt;"",H890,INDEX(D:D,E891)))</f>
        <v>0</v>
      </c>
      <c r="G891" s="232" t="str">
        <f t="shared" si="90"/>
        <v>0</v>
      </c>
      <c r="H891" s="233" t="str">
        <f t="shared" si="91"/>
        <v/>
      </c>
      <c r="I891" s="231" t="str">
        <f>IF(AND(F891&lt;&gt;"",N10&gt;0,M891&gt;N10),"Mot &gt; limite","")</f>
        <v/>
      </c>
      <c r="M891" s="126">
        <f>IF(OR(F891="",N10="",N10&lt;=0),"",IF(LEN(F891)&lt;=N10,LEN(F891),IFERROR(FIND("♦",SUBSTITUTE(LEFT(F891,N10)," ","♦",LEN(LEFT(F891,N10))-LEN(SUBSTITUTE(LEFT(F891,N10)," ","")))),FIND(" ",F891&amp;" ",N10+1)-1)))</f>
        <v>1</v>
      </c>
      <c r="N891" s="234">
        <f t="shared" si="92"/>
        <v>874</v>
      </c>
      <c r="O891" s="165" t="str">
        <f t="shared" si="93"/>
        <v>0</v>
      </c>
      <c r="P891" s="234">
        <f t="shared" si="94"/>
        <v>1</v>
      </c>
      <c r="Q891" s="234">
        <f t="shared" si="95"/>
        <v>1</v>
      </c>
      <c r="DE891" s="152"/>
      <c r="DF891" s="160" t="s">
        <v>2690</v>
      </c>
      <c r="DG891" s="160" t="s">
        <v>122</v>
      </c>
      <c r="DH891" s="160" t="s">
        <v>125</v>
      </c>
      <c r="DI891" s="160" t="s">
        <v>2691</v>
      </c>
      <c r="DJ891" s="160" t="s">
        <v>2691</v>
      </c>
      <c r="DK891" s="160" t="s">
        <v>1259</v>
      </c>
      <c r="DL891" s="160" t="s">
        <v>1260</v>
      </c>
      <c r="DM891" s="160" t="s">
        <v>1812</v>
      </c>
      <c r="DN891" s="161" t="s">
        <v>1813</v>
      </c>
      <c r="DP891" s="130">
        <v>1</v>
      </c>
    </row>
    <row r="892" spans="2:120" ht="15">
      <c r="B892" s="231"/>
      <c r="C892" s="231"/>
      <c r="D892" s="231"/>
      <c r="E892" s="231" cm="1">
        <f t="array" ref="E892">IF(H891&lt;&gt;"",E891,IF(E891="","",IFERROR(MATCH(TRUE(),INDEX(INDEX(K:K,E891+1):K203&lt;&gt;"",0),0)+E891,"")))</f>
        <v>984</v>
      </c>
      <c r="F892" s="232" cm="1">
        <f t="array" ref="F892">IF(E892="","",IF(H891&lt;&gt;"",H891,INDEX(D:D,E892)))</f>
        <v>0</v>
      </c>
      <c r="G892" s="232" t="str">
        <f t="shared" si="90"/>
        <v>0</v>
      </c>
      <c r="H892" s="233" t="str">
        <f t="shared" si="91"/>
        <v/>
      </c>
      <c r="I892" s="231" t="str">
        <f>IF(AND(F892&lt;&gt;"",N10&gt;0,M892&gt;N10),"Mot &gt; limite","")</f>
        <v/>
      </c>
      <c r="M892" s="126">
        <f>IF(OR(F892="",N10="",N10&lt;=0),"",IF(LEN(F892)&lt;=N10,LEN(F892),IFERROR(FIND("♦",SUBSTITUTE(LEFT(F892,N10)," ","♦",LEN(LEFT(F892,N10))-LEN(SUBSTITUTE(LEFT(F892,N10)," ","")))),FIND(" ",F892&amp;" ",N10+1)-1)))</f>
        <v>1</v>
      </c>
      <c r="N892" s="234">
        <f t="shared" si="92"/>
        <v>875</v>
      </c>
      <c r="O892" s="165" t="str">
        <f t="shared" si="93"/>
        <v>0</v>
      </c>
      <c r="P892" s="234">
        <f t="shared" si="94"/>
        <v>1</v>
      </c>
      <c r="Q892" s="234">
        <f t="shared" si="95"/>
        <v>1</v>
      </c>
      <c r="DE892" s="152"/>
      <c r="DF892" s="160" t="s">
        <v>2692</v>
      </c>
      <c r="DG892" s="160" t="s">
        <v>122</v>
      </c>
      <c r="DH892" s="160" t="s">
        <v>125</v>
      </c>
      <c r="DI892" s="160" t="s">
        <v>2693</v>
      </c>
      <c r="DJ892" s="160" t="s">
        <v>2693</v>
      </c>
      <c r="DK892" s="160" t="s">
        <v>1259</v>
      </c>
      <c r="DL892" s="160" t="s">
        <v>1260</v>
      </c>
      <c r="DM892" s="160" t="s">
        <v>1812</v>
      </c>
      <c r="DN892" s="161" t="s">
        <v>1813</v>
      </c>
      <c r="DP892" s="130">
        <v>1</v>
      </c>
    </row>
    <row r="893" spans="2:120" ht="15">
      <c r="B893" s="231"/>
      <c r="C893" s="231"/>
      <c r="D893" s="231"/>
      <c r="E893" s="231" cm="1">
        <f t="array" ref="E893">IF(H892&lt;&gt;"",E892,IF(E892="","",IFERROR(MATCH(TRUE(),INDEX(INDEX(K:K,E892+1):K203&lt;&gt;"",0),0)+E892,"")))</f>
        <v>985</v>
      </c>
      <c r="F893" s="232" cm="1">
        <f t="array" ref="F893">IF(E893="","",IF(H892&lt;&gt;"",H892,INDEX(D:D,E893)))</f>
        <v>0</v>
      </c>
      <c r="G893" s="232" t="str">
        <f t="shared" si="90"/>
        <v>0</v>
      </c>
      <c r="H893" s="233" t="str">
        <f t="shared" si="91"/>
        <v/>
      </c>
      <c r="I893" s="231" t="str">
        <f>IF(AND(F893&lt;&gt;"",N10&gt;0,M893&gt;N10),"Mot &gt; limite","")</f>
        <v/>
      </c>
      <c r="M893" s="126">
        <f>IF(OR(F893="",N10="",N10&lt;=0),"",IF(LEN(F893)&lt;=N10,LEN(F893),IFERROR(FIND("♦",SUBSTITUTE(LEFT(F893,N10)," ","♦",LEN(LEFT(F893,N10))-LEN(SUBSTITUTE(LEFT(F893,N10)," ","")))),FIND(" ",F893&amp;" ",N10+1)-1)))</f>
        <v>1</v>
      </c>
      <c r="N893" s="234">
        <f t="shared" si="92"/>
        <v>876</v>
      </c>
      <c r="O893" s="165" t="str">
        <f t="shared" si="93"/>
        <v>0</v>
      </c>
      <c r="P893" s="234">
        <f t="shared" si="94"/>
        <v>1</v>
      </c>
      <c r="Q893" s="234">
        <f t="shared" si="95"/>
        <v>1</v>
      </c>
      <c r="DE893" s="152"/>
      <c r="DF893" s="160" t="s">
        <v>2694</v>
      </c>
      <c r="DG893" s="160" t="s">
        <v>122</v>
      </c>
      <c r="DH893" s="160" t="s">
        <v>125</v>
      </c>
      <c r="DI893" s="160" t="s">
        <v>2695</v>
      </c>
      <c r="DJ893" s="160" t="s">
        <v>2695</v>
      </c>
      <c r="DK893" s="160" t="s">
        <v>1259</v>
      </c>
      <c r="DL893" s="160" t="s">
        <v>1260</v>
      </c>
      <c r="DM893" s="160" t="s">
        <v>1812</v>
      </c>
      <c r="DN893" s="161" t="s">
        <v>1813</v>
      </c>
      <c r="DP893" s="130">
        <v>1</v>
      </c>
    </row>
    <row r="894" spans="2:120" ht="15">
      <c r="B894" s="231"/>
      <c r="C894" s="231"/>
      <c r="D894" s="231"/>
      <c r="E894" s="231" cm="1">
        <f t="array" ref="E894">IF(H893&lt;&gt;"",E893,IF(E893="","",IFERROR(MATCH(TRUE(),INDEX(INDEX(K:K,E893+1):K203&lt;&gt;"",0),0)+E893,"")))</f>
        <v>986</v>
      </c>
      <c r="F894" s="232" cm="1">
        <f t="array" ref="F894">IF(E894="","",IF(H893&lt;&gt;"",H893,INDEX(D:D,E894)))</f>
        <v>0</v>
      </c>
      <c r="G894" s="232" t="str">
        <f t="shared" si="90"/>
        <v>0</v>
      </c>
      <c r="H894" s="233" t="str">
        <f t="shared" si="91"/>
        <v/>
      </c>
      <c r="I894" s="231" t="str">
        <f>IF(AND(F894&lt;&gt;"",N10&gt;0,M894&gt;N10),"Mot &gt; limite","")</f>
        <v/>
      </c>
      <c r="M894" s="126">
        <f>IF(OR(F894="",N10="",N10&lt;=0),"",IF(LEN(F894)&lt;=N10,LEN(F894),IFERROR(FIND("♦",SUBSTITUTE(LEFT(F894,N10)," ","♦",LEN(LEFT(F894,N10))-LEN(SUBSTITUTE(LEFT(F894,N10)," ","")))),FIND(" ",F894&amp;" ",N10+1)-1)))</f>
        <v>1</v>
      </c>
      <c r="N894" s="234">
        <f t="shared" si="92"/>
        <v>877</v>
      </c>
      <c r="O894" s="165" t="str">
        <f t="shared" si="93"/>
        <v>0</v>
      </c>
      <c r="P894" s="234">
        <f t="shared" si="94"/>
        <v>1</v>
      </c>
      <c r="Q894" s="234">
        <f t="shared" si="95"/>
        <v>1</v>
      </c>
      <c r="DE894" s="152"/>
      <c r="DF894" s="160" t="s">
        <v>2696</v>
      </c>
      <c r="DG894" s="160" t="s">
        <v>122</v>
      </c>
      <c r="DH894" s="160" t="s">
        <v>125</v>
      </c>
      <c r="DI894" s="160" t="s">
        <v>2697</v>
      </c>
      <c r="DJ894" s="160" t="s">
        <v>2697</v>
      </c>
      <c r="DK894" s="160" t="s">
        <v>1259</v>
      </c>
      <c r="DL894" s="160" t="s">
        <v>1260</v>
      </c>
      <c r="DM894" s="160" t="s">
        <v>1812</v>
      </c>
      <c r="DN894" s="161" t="s">
        <v>1813</v>
      </c>
      <c r="DP894" s="130">
        <v>1</v>
      </c>
    </row>
    <row r="895" spans="2:120" ht="15">
      <c r="B895" s="231"/>
      <c r="C895" s="231"/>
      <c r="D895" s="231"/>
      <c r="E895" s="231" cm="1">
        <f t="array" ref="E895">IF(H894&lt;&gt;"",E894,IF(E894="","",IFERROR(MATCH(TRUE(),INDEX(INDEX(K:K,E894+1):K203&lt;&gt;"",0),0)+E894,"")))</f>
        <v>987</v>
      </c>
      <c r="F895" s="232" cm="1">
        <f t="array" ref="F895">IF(E895="","",IF(H894&lt;&gt;"",H894,INDEX(D:D,E895)))</f>
        <v>0</v>
      </c>
      <c r="G895" s="232" t="str">
        <f t="shared" si="90"/>
        <v>0</v>
      </c>
      <c r="H895" s="233" t="str">
        <f t="shared" si="91"/>
        <v/>
      </c>
      <c r="I895" s="231" t="str">
        <f>IF(AND(F895&lt;&gt;"",N10&gt;0,M895&gt;N10),"Mot &gt; limite","")</f>
        <v/>
      </c>
      <c r="M895" s="126">
        <f>IF(OR(F895="",N10="",N10&lt;=0),"",IF(LEN(F895)&lt;=N10,LEN(F895),IFERROR(FIND("♦",SUBSTITUTE(LEFT(F895,N10)," ","♦",LEN(LEFT(F895,N10))-LEN(SUBSTITUTE(LEFT(F895,N10)," ","")))),FIND(" ",F895&amp;" ",N10+1)-1)))</f>
        <v>1</v>
      </c>
      <c r="N895" s="234">
        <f t="shared" si="92"/>
        <v>878</v>
      </c>
      <c r="O895" s="165" t="str">
        <f t="shared" si="93"/>
        <v>0</v>
      </c>
      <c r="P895" s="234">
        <f t="shared" si="94"/>
        <v>1</v>
      </c>
      <c r="Q895" s="234">
        <f t="shared" si="95"/>
        <v>1</v>
      </c>
      <c r="DE895" s="152"/>
      <c r="DF895" s="160" t="s">
        <v>2698</v>
      </c>
      <c r="DG895" s="160" t="s">
        <v>122</v>
      </c>
      <c r="DH895" s="160" t="s">
        <v>125</v>
      </c>
      <c r="DI895" s="160" t="s">
        <v>2699</v>
      </c>
      <c r="DJ895" s="160" t="s">
        <v>2699</v>
      </c>
      <c r="DK895" s="160" t="s">
        <v>1259</v>
      </c>
      <c r="DL895" s="160" t="s">
        <v>1260</v>
      </c>
      <c r="DM895" s="160" t="s">
        <v>1812</v>
      </c>
      <c r="DN895" s="161" t="s">
        <v>1813</v>
      </c>
      <c r="DP895" s="130">
        <v>1</v>
      </c>
    </row>
    <row r="896" spans="2:120" ht="15">
      <c r="B896" s="231"/>
      <c r="C896" s="231"/>
      <c r="D896" s="231"/>
      <c r="E896" s="231" cm="1">
        <f t="array" ref="E896">IF(H895&lt;&gt;"",E895,IF(E895="","",IFERROR(MATCH(TRUE(),INDEX(INDEX(K:K,E895+1):K203&lt;&gt;"",0),0)+E895,"")))</f>
        <v>988</v>
      </c>
      <c r="F896" s="232" cm="1">
        <f t="array" ref="F896">IF(E896="","",IF(H895&lt;&gt;"",H895,INDEX(D:D,E896)))</f>
        <v>0</v>
      </c>
      <c r="G896" s="232" t="str">
        <f t="shared" si="90"/>
        <v>0</v>
      </c>
      <c r="H896" s="233" t="str">
        <f t="shared" si="91"/>
        <v/>
      </c>
      <c r="I896" s="231" t="str">
        <f>IF(AND(F896&lt;&gt;"",N10&gt;0,M896&gt;N10),"Mot &gt; limite","")</f>
        <v/>
      </c>
      <c r="M896" s="126">
        <f>IF(OR(F896="",N10="",N10&lt;=0),"",IF(LEN(F896)&lt;=N10,LEN(F896),IFERROR(FIND("♦",SUBSTITUTE(LEFT(F896,N10)," ","♦",LEN(LEFT(F896,N10))-LEN(SUBSTITUTE(LEFT(F896,N10)," ","")))),FIND(" ",F896&amp;" ",N10+1)-1)))</f>
        <v>1</v>
      </c>
      <c r="N896" s="234">
        <f t="shared" si="92"/>
        <v>879</v>
      </c>
      <c r="O896" s="165" t="str">
        <f t="shared" si="93"/>
        <v>0</v>
      </c>
      <c r="P896" s="234">
        <f t="shared" si="94"/>
        <v>1</v>
      </c>
      <c r="Q896" s="234">
        <f t="shared" si="95"/>
        <v>1</v>
      </c>
      <c r="DE896" s="152"/>
      <c r="DF896" s="160" t="s">
        <v>2700</v>
      </c>
      <c r="DG896" s="160" t="s">
        <v>122</v>
      </c>
      <c r="DH896" s="160" t="s">
        <v>125</v>
      </c>
      <c r="DI896" s="160" t="s">
        <v>2701</v>
      </c>
      <c r="DJ896" s="160" t="s">
        <v>2701</v>
      </c>
      <c r="DK896" s="160" t="s">
        <v>1259</v>
      </c>
      <c r="DL896" s="160" t="s">
        <v>1260</v>
      </c>
      <c r="DM896" s="160" t="s">
        <v>1812</v>
      </c>
      <c r="DN896" s="161" t="s">
        <v>1813</v>
      </c>
      <c r="DP896" s="130">
        <v>1</v>
      </c>
    </row>
    <row r="897" spans="2:120" ht="15">
      <c r="B897" s="231"/>
      <c r="C897" s="231"/>
      <c r="D897" s="231"/>
      <c r="E897" s="231" cm="1">
        <f t="array" ref="E897">IF(H896&lt;&gt;"",E896,IF(E896="","",IFERROR(MATCH(TRUE(),INDEX(INDEX(K:K,E896+1):K203&lt;&gt;"",0),0)+E896,"")))</f>
        <v>989</v>
      </c>
      <c r="F897" s="232" cm="1">
        <f t="array" ref="F897">IF(E897="","",IF(H896&lt;&gt;"",H896,INDEX(D:D,E897)))</f>
        <v>0</v>
      </c>
      <c r="G897" s="232" t="str">
        <f t="shared" si="90"/>
        <v>0</v>
      </c>
      <c r="H897" s="233" t="str">
        <f t="shared" si="91"/>
        <v/>
      </c>
      <c r="I897" s="231" t="str">
        <f>IF(AND(F897&lt;&gt;"",N10&gt;0,M897&gt;N10),"Mot &gt; limite","")</f>
        <v/>
      </c>
      <c r="M897" s="126">
        <f>IF(OR(F897="",N10="",N10&lt;=0),"",IF(LEN(F897)&lt;=N10,LEN(F897),IFERROR(FIND("♦",SUBSTITUTE(LEFT(F897,N10)," ","♦",LEN(LEFT(F897,N10))-LEN(SUBSTITUTE(LEFT(F897,N10)," ","")))),FIND(" ",F897&amp;" ",N10+1)-1)))</f>
        <v>1</v>
      </c>
      <c r="N897" s="234">
        <f t="shared" si="92"/>
        <v>880</v>
      </c>
      <c r="O897" s="165" t="str">
        <f t="shared" si="93"/>
        <v>0</v>
      </c>
      <c r="P897" s="234">
        <f t="shared" si="94"/>
        <v>1</v>
      </c>
      <c r="Q897" s="234">
        <f t="shared" si="95"/>
        <v>1</v>
      </c>
      <c r="DE897" s="152"/>
      <c r="DF897" s="160" t="s">
        <v>2702</v>
      </c>
      <c r="DG897" s="160" t="s">
        <v>122</v>
      </c>
      <c r="DH897" s="160" t="s">
        <v>125</v>
      </c>
      <c r="DI897" s="160" t="s">
        <v>2703</v>
      </c>
      <c r="DJ897" s="160" t="s">
        <v>2703</v>
      </c>
      <c r="DK897" s="160" t="s">
        <v>1259</v>
      </c>
      <c r="DL897" s="160" t="s">
        <v>1260</v>
      </c>
      <c r="DM897" s="160" t="s">
        <v>1812</v>
      </c>
      <c r="DN897" s="161" t="s">
        <v>1813</v>
      </c>
      <c r="DP897" s="130">
        <v>1</v>
      </c>
    </row>
    <row r="898" spans="2:120" ht="15">
      <c r="B898" s="231"/>
      <c r="C898" s="231"/>
      <c r="D898" s="231"/>
      <c r="E898" s="231" cm="1">
        <f t="array" ref="E898">IF(H897&lt;&gt;"",E897,IF(E897="","",IFERROR(MATCH(TRUE(),INDEX(INDEX(K:K,E897+1):K203&lt;&gt;"",0),0)+E897,"")))</f>
        <v>990</v>
      </c>
      <c r="F898" s="232" cm="1">
        <f t="array" ref="F898">IF(E898="","",IF(H897&lt;&gt;"",H897,INDEX(D:D,E898)))</f>
        <v>0</v>
      </c>
      <c r="G898" s="232" t="str">
        <f t="shared" si="90"/>
        <v>0</v>
      </c>
      <c r="H898" s="233" t="str">
        <f t="shared" si="91"/>
        <v/>
      </c>
      <c r="I898" s="231" t="str">
        <f>IF(AND(F898&lt;&gt;"",N10&gt;0,M898&gt;N10),"Mot &gt; limite","")</f>
        <v/>
      </c>
      <c r="M898" s="126">
        <f>IF(OR(F898="",N10="",N10&lt;=0),"",IF(LEN(F898)&lt;=N10,LEN(F898),IFERROR(FIND("♦",SUBSTITUTE(LEFT(F898,N10)," ","♦",LEN(LEFT(F898,N10))-LEN(SUBSTITUTE(LEFT(F898,N10)," ","")))),FIND(" ",F898&amp;" ",N10+1)-1)))</f>
        <v>1</v>
      </c>
      <c r="N898" s="234">
        <f t="shared" si="92"/>
        <v>881</v>
      </c>
      <c r="O898" s="165" t="str">
        <f t="shared" si="93"/>
        <v>0</v>
      </c>
      <c r="P898" s="234">
        <f t="shared" si="94"/>
        <v>1</v>
      </c>
      <c r="Q898" s="234">
        <f t="shared" si="95"/>
        <v>1</v>
      </c>
      <c r="DE898" s="152"/>
      <c r="DF898" s="160" t="s">
        <v>2704</v>
      </c>
      <c r="DG898" s="160" t="s">
        <v>122</v>
      </c>
      <c r="DH898" s="160" t="s">
        <v>125</v>
      </c>
      <c r="DI898" s="160" t="s">
        <v>2705</v>
      </c>
      <c r="DJ898" s="160" t="s">
        <v>2705</v>
      </c>
      <c r="DK898" s="160" t="s">
        <v>666</v>
      </c>
      <c r="DL898" s="160" t="s">
        <v>667</v>
      </c>
      <c r="DM898" s="160" t="s">
        <v>590</v>
      </c>
      <c r="DN898" s="161" t="s">
        <v>668</v>
      </c>
      <c r="DP898" s="130">
        <v>1</v>
      </c>
    </row>
    <row r="899" spans="2:120" ht="15">
      <c r="B899" s="231"/>
      <c r="C899" s="231"/>
      <c r="D899" s="231"/>
      <c r="E899" s="231" cm="1">
        <f t="array" ref="E899">IF(H898&lt;&gt;"",E898,IF(E898="","",IFERROR(MATCH(TRUE(),INDEX(INDEX(K:K,E898+1):K203&lt;&gt;"",0),0)+E898,"")))</f>
        <v>991</v>
      </c>
      <c r="F899" s="232" cm="1">
        <f t="array" ref="F899">IF(E899="","",IF(H898&lt;&gt;"",H898,INDEX(D:D,E899)))</f>
        <v>0</v>
      </c>
      <c r="G899" s="232" t="str">
        <f t="shared" si="90"/>
        <v>0</v>
      </c>
      <c r="H899" s="233" t="str">
        <f t="shared" si="91"/>
        <v/>
      </c>
      <c r="I899" s="231" t="str">
        <f>IF(AND(F899&lt;&gt;"",N10&gt;0,M899&gt;N10),"Mot &gt; limite","")</f>
        <v/>
      </c>
      <c r="M899" s="126">
        <f>IF(OR(F899="",N10="",N10&lt;=0),"",IF(LEN(F899)&lt;=N10,LEN(F899),IFERROR(FIND("♦",SUBSTITUTE(LEFT(F899,N10)," ","♦",LEN(LEFT(F899,N10))-LEN(SUBSTITUTE(LEFT(F899,N10)," ","")))),FIND(" ",F899&amp;" ",N10+1)-1)))</f>
        <v>1</v>
      </c>
      <c r="N899" s="234">
        <f t="shared" si="92"/>
        <v>882</v>
      </c>
      <c r="O899" s="165" t="str">
        <f t="shared" si="93"/>
        <v>0</v>
      </c>
      <c r="P899" s="234">
        <f t="shared" si="94"/>
        <v>1</v>
      </c>
      <c r="Q899" s="234">
        <f t="shared" si="95"/>
        <v>1</v>
      </c>
      <c r="DE899" s="152"/>
      <c r="DF899" s="160" t="s">
        <v>2706</v>
      </c>
      <c r="DG899" s="160" t="s">
        <v>122</v>
      </c>
      <c r="DH899" s="160" t="s">
        <v>125</v>
      </c>
      <c r="DI899" s="160" t="s">
        <v>2707</v>
      </c>
      <c r="DJ899" s="160" t="s">
        <v>2707</v>
      </c>
      <c r="DK899" s="160" t="s">
        <v>1259</v>
      </c>
      <c r="DL899" s="160" t="s">
        <v>1260</v>
      </c>
      <c r="DM899" s="160" t="s">
        <v>1812</v>
      </c>
      <c r="DN899" s="161" t="s">
        <v>1813</v>
      </c>
      <c r="DP899" s="130">
        <v>1</v>
      </c>
    </row>
    <row r="900" spans="2:120" ht="15">
      <c r="B900" s="231"/>
      <c r="C900" s="231"/>
      <c r="D900" s="231"/>
      <c r="E900" s="231" cm="1">
        <f t="array" ref="E900">IF(H899&lt;&gt;"",E899,IF(E899="","",IFERROR(MATCH(TRUE(),INDEX(INDEX(K:K,E899+1):K203&lt;&gt;"",0),0)+E899,"")))</f>
        <v>992</v>
      </c>
      <c r="F900" s="232" cm="1">
        <f t="array" ref="F900">IF(E900="","",IF(H899&lt;&gt;"",H899,INDEX(D:D,E900)))</f>
        <v>0</v>
      </c>
      <c r="G900" s="232" t="str">
        <f t="shared" si="90"/>
        <v>0</v>
      </c>
      <c r="H900" s="233" t="str">
        <f t="shared" si="91"/>
        <v/>
      </c>
      <c r="I900" s="231" t="str">
        <f>IF(AND(F900&lt;&gt;"",N10&gt;0,M900&gt;N10),"Mot &gt; limite","")</f>
        <v/>
      </c>
      <c r="M900" s="126">
        <f>IF(OR(F900="",N10="",N10&lt;=0),"",IF(LEN(F900)&lt;=N10,LEN(F900),IFERROR(FIND("♦",SUBSTITUTE(LEFT(F900,N10)," ","♦",LEN(LEFT(F900,N10))-LEN(SUBSTITUTE(LEFT(F900,N10)," ","")))),FIND(" ",F900&amp;" ",N10+1)-1)))</f>
        <v>1</v>
      </c>
      <c r="N900" s="234">
        <f t="shared" si="92"/>
        <v>883</v>
      </c>
      <c r="O900" s="165" t="str">
        <f t="shared" si="93"/>
        <v>0</v>
      </c>
      <c r="P900" s="234">
        <f t="shared" si="94"/>
        <v>1</v>
      </c>
      <c r="Q900" s="234">
        <f t="shared" si="95"/>
        <v>1</v>
      </c>
      <c r="DE900" s="152"/>
      <c r="DF900" s="160" t="s">
        <v>2708</v>
      </c>
      <c r="DG900" s="160" t="s">
        <v>122</v>
      </c>
      <c r="DH900" s="160" t="s">
        <v>125</v>
      </c>
      <c r="DI900" s="160" t="s">
        <v>2709</v>
      </c>
      <c r="DJ900" s="160" t="s">
        <v>2709</v>
      </c>
      <c r="DK900" s="160" t="s">
        <v>1259</v>
      </c>
      <c r="DL900" s="160" t="s">
        <v>1260</v>
      </c>
      <c r="DM900" s="160" t="s">
        <v>1812</v>
      </c>
      <c r="DN900" s="161" t="s">
        <v>1813</v>
      </c>
      <c r="DP900" s="130">
        <v>1</v>
      </c>
    </row>
    <row r="901" spans="2:120" ht="15">
      <c r="B901" s="231"/>
      <c r="C901" s="231"/>
      <c r="D901" s="231"/>
      <c r="E901" s="231" cm="1">
        <f t="array" ref="E901">IF(H900&lt;&gt;"",E900,IF(E900="","",IFERROR(MATCH(TRUE(),INDEX(INDEX(K:K,E900+1):K203&lt;&gt;"",0),0)+E900,"")))</f>
        <v>993</v>
      </c>
      <c r="F901" s="232" cm="1">
        <f t="array" ref="F901">IF(E901="","",IF(H900&lt;&gt;"",H900,INDEX(D:D,E901)))</f>
        <v>0</v>
      </c>
      <c r="G901" s="232" t="str">
        <f t="shared" si="90"/>
        <v>0</v>
      </c>
      <c r="H901" s="233" t="str">
        <f t="shared" si="91"/>
        <v/>
      </c>
      <c r="I901" s="231" t="str">
        <f>IF(AND(F901&lt;&gt;"",N10&gt;0,M901&gt;N10),"Mot &gt; limite","")</f>
        <v/>
      </c>
      <c r="M901" s="126">
        <f>IF(OR(F901="",N10="",N10&lt;=0),"",IF(LEN(F901)&lt;=N10,LEN(F901),IFERROR(FIND("♦",SUBSTITUTE(LEFT(F901,N10)," ","♦",LEN(LEFT(F901,N10))-LEN(SUBSTITUTE(LEFT(F901,N10)," ","")))),FIND(" ",F901&amp;" ",N10+1)-1)))</f>
        <v>1</v>
      </c>
      <c r="N901" s="234">
        <f t="shared" si="92"/>
        <v>884</v>
      </c>
      <c r="O901" s="165" t="str">
        <f t="shared" si="93"/>
        <v>0</v>
      </c>
      <c r="P901" s="234">
        <f t="shared" si="94"/>
        <v>1</v>
      </c>
      <c r="Q901" s="234">
        <f t="shared" si="95"/>
        <v>1</v>
      </c>
      <c r="DE901" s="152"/>
      <c r="DF901" s="160" t="s">
        <v>2710</v>
      </c>
      <c r="DG901" s="160" t="s">
        <v>122</v>
      </c>
      <c r="DH901" s="160" t="s">
        <v>125</v>
      </c>
      <c r="DI901" s="160" t="s">
        <v>2711</v>
      </c>
      <c r="DJ901" s="160" t="s">
        <v>2711</v>
      </c>
      <c r="DK901" s="160" t="s">
        <v>1259</v>
      </c>
      <c r="DL901" s="160" t="s">
        <v>1260</v>
      </c>
      <c r="DM901" s="160" t="s">
        <v>1812</v>
      </c>
      <c r="DN901" s="161" t="s">
        <v>1813</v>
      </c>
      <c r="DP901" s="130">
        <v>1</v>
      </c>
    </row>
    <row r="902" spans="2:120" ht="15">
      <c r="B902" s="231"/>
      <c r="C902" s="231"/>
      <c r="D902" s="231"/>
      <c r="E902" s="231" cm="1">
        <f t="array" ref="E902">IF(H901&lt;&gt;"",E901,IF(E901="","",IFERROR(MATCH(TRUE(),INDEX(INDEX(K:K,E901+1):K203&lt;&gt;"",0),0)+E901,"")))</f>
        <v>994</v>
      </c>
      <c r="F902" s="232" cm="1">
        <f t="array" ref="F902">IF(E902="","",IF(H901&lt;&gt;"",H901,INDEX(D:D,E902)))</f>
        <v>0</v>
      </c>
      <c r="G902" s="232" t="str">
        <f t="shared" si="90"/>
        <v>0</v>
      </c>
      <c r="H902" s="233" t="str">
        <f t="shared" si="91"/>
        <v/>
      </c>
      <c r="I902" s="231" t="str">
        <f>IF(AND(F902&lt;&gt;"",N10&gt;0,M902&gt;N10),"Mot &gt; limite","")</f>
        <v/>
      </c>
      <c r="M902" s="126">
        <f>IF(OR(F902="",N10="",N10&lt;=0),"",IF(LEN(F902)&lt;=N10,LEN(F902),IFERROR(FIND("♦",SUBSTITUTE(LEFT(F902,N10)," ","♦",LEN(LEFT(F902,N10))-LEN(SUBSTITUTE(LEFT(F902,N10)," ","")))),FIND(" ",F902&amp;" ",N10+1)-1)))</f>
        <v>1</v>
      </c>
      <c r="N902" s="234">
        <f t="shared" si="92"/>
        <v>885</v>
      </c>
      <c r="O902" s="165" t="str">
        <f t="shared" si="93"/>
        <v>0</v>
      </c>
      <c r="P902" s="234">
        <f t="shared" si="94"/>
        <v>1</v>
      </c>
      <c r="Q902" s="234">
        <f t="shared" si="95"/>
        <v>1</v>
      </c>
      <c r="DE902" s="152"/>
      <c r="DF902" s="160" t="s">
        <v>2712</v>
      </c>
      <c r="DG902" s="160" t="s">
        <v>122</v>
      </c>
      <c r="DH902" s="160" t="s">
        <v>125</v>
      </c>
      <c r="DI902" s="160" t="s">
        <v>2713</v>
      </c>
      <c r="DJ902" s="160" t="s">
        <v>2713</v>
      </c>
      <c r="DK902" s="160" t="s">
        <v>1259</v>
      </c>
      <c r="DL902" s="160" t="s">
        <v>1260</v>
      </c>
      <c r="DM902" s="160" t="s">
        <v>1812</v>
      </c>
      <c r="DN902" s="161" t="s">
        <v>1813</v>
      </c>
      <c r="DP902" s="130">
        <v>1</v>
      </c>
    </row>
    <row r="903" spans="2:120" ht="15">
      <c r="B903" s="231"/>
      <c r="C903" s="231"/>
      <c r="D903" s="231"/>
      <c r="E903" s="231" cm="1">
        <f t="array" ref="E903">IF(H902&lt;&gt;"",E902,IF(E902="","",IFERROR(MATCH(TRUE(),INDEX(INDEX(K:K,E902+1):K203&lt;&gt;"",0),0)+E902,"")))</f>
        <v>995</v>
      </c>
      <c r="F903" s="232" cm="1">
        <f t="array" ref="F903">IF(E903="","",IF(H902&lt;&gt;"",H902,INDEX(D:D,E903)))</f>
        <v>0</v>
      </c>
      <c r="G903" s="232" t="str">
        <f t="shared" si="90"/>
        <v>0</v>
      </c>
      <c r="H903" s="233" t="str">
        <f t="shared" si="91"/>
        <v/>
      </c>
      <c r="I903" s="231" t="str">
        <f>IF(AND(F903&lt;&gt;"",N10&gt;0,M903&gt;N10),"Mot &gt; limite","")</f>
        <v/>
      </c>
      <c r="M903" s="126">
        <f>IF(OR(F903="",N10="",N10&lt;=0),"",IF(LEN(F903)&lt;=N10,LEN(F903),IFERROR(FIND("♦",SUBSTITUTE(LEFT(F903,N10)," ","♦",LEN(LEFT(F903,N10))-LEN(SUBSTITUTE(LEFT(F903,N10)," ","")))),FIND(" ",F903&amp;" ",N10+1)-1)))</f>
        <v>1</v>
      </c>
      <c r="N903" s="234">
        <f t="shared" si="92"/>
        <v>886</v>
      </c>
      <c r="O903" s="165" t="str">
        <f t="shared" si="93"/>
        <v>0</v>
      </c>
      <c r="P903" s="234">
        <f t="shared" si="94"/>
        <v>1</v>
      </c>
      <c r="Q903" s="234">
        <f t="shared" si="95"/>
        <v>1</v>
      </c>
      <c r="DE903" s="152"/>
      <c r="DF903" s="160" t="s">
        <v>2714</v>
      </c>
      <c r="DG903" s="160" t="s">
        <v>122</v>
      </c>
      <c r="DH903" s="160" t="s">
        <v>125</v>
      </c>
      <c r="DI903" s="160" t="s">
        <v>2715</v>
      </c>
      <c r="DJ903" s="160" t="s">
        <v>2715</v>
      </c>
      <c r="DK903" s="160" t="s">
        <v>1259</v>
      </c>
      <c r="DL903" s="160" t="s">
        <v>1260</v>
      </c>
      <c r="DM903" s="160" t="s">
        <v>1812</v>
      </c>
      <c r="DN903" s="161" t="s">
        <v>1813</v>
      </c>
      <c r="DP903" s="130">
        <v>1</v>
      </c>
    </row>
    <row r="904" spans="2:120" ht="15">
      <c r="B904" s="231"/>
      <c r="C904" s="231"/>
      <c r="D904" s="231"/>
      <c r="E904" s="231" cm="1">
        <f t="array" ref="E904">IF(H903&lt;&gt;"",E903,IF(E903="","",IFERROR(MATCH(TRUE(),INDEX(INDEX(K:K,E903+1):K203&lt;&gt;"",0),0)+E903,"")))</f>
        <v>996</v>
      </c>
      <c r="F904" s="232" cm="1">
        <f t="array" ref="F904">IF(E904="","",IF(H903&lt;&gt;"",H903,INDEX(D:D,E904)))</f>
        <v>0</v>
      </c>
      <c r="G904" s="232" t="str">
        <f t="shared" si="90"/>
        <v>0</v>
      </c>
      <c r="H904" s="233" t="str">
        <f t="shared" si="91"/>
        <v/>
      </c>
      <c r="I904" s="231" t="str">
        <f>IF(AND(F904&lt;&gt;"",N10&gt;0,M904&gt;N10),"Mot &gt; limite","")</f>
        <v/>
      </c>
      <c r="M904" s="126">
        <f>IF(OR(F904="",N10="",N10&lt;=0),"",IF(LEN(F904)&lt;=N10,LEN(F904),IFERROR(FIND("♦",SUBSTITUTE(LEFT(F904,N10)," ","♦",LEN(LEFT(F904,N10))-LEN(SUBSTITUTE(LEFT(F904,N10)," ","")))),FIND(" ",F904&amp;" ",N10+1)-1)))</f>
        <v>1</v>
      </c>
      <c r="N904" s="234">
        <f t="shared" si="92"/>
        <v>887</v>
      </c>
      <c r="O904" s="165" t="str">
        <f t="shared" si="93"/>
        <v>0</v>
      </c>
      <c r="P904" s="234">
        <f t="shared" si="94"/>
        <v>1</v>
      </c>
      <c r="Q904" s="234">
        <f t="shared" si="95"/>
        <v>1</v>
      </c>
      <c r="DE904" s="152"/>
      <c r="DF904" s="160" t="s">
        <v>2716</v>
      </c>
      <c r="DG904" s="160" t="s">
        <v>122</v>
      </c>
      <c r="DH904" s="160" t="s">
        <v>125</v>
      </c>
      <c r="DI904" s="160" t="s">
        <v>2717</v>
      </c>
      <c r="DJ904" s="160" t="s">
        <v>2717</v>
      </c>
      <c r="DK904" s="160" t="s">
        <v>1259</v>
      </c>
      <c r="DL904" s="160" t="s">
        <v>1260</v>
      </c>
      <c r="DM904" s="160" t="s">
        <v>1812</v>
      </c>
      <c r="DN904" s="161" t="s">
        <v>1813</v>
      </c>
      <c r="DP904" s="130">
        <v>1</v>
      </c>
    </row>
    <row r="905" spans="2:120" ht="15">
      <c r="B905" s="231"/>
      <c r="C905" s="231"/>
      <c r="D905" s="231"/>
      <c r="E905" s="231" cm="1">
        <f t="array" ref="E905">IF(H904&lt;&gt;"",E904,IF(E904="","",IFERROR(MATCH(TRUE(),INDEX(INDEX(K:K,E904+1):K203&lt;&gt;"",0),0)+E904,"")))</f>
        <v>997</v>
      </c>
      <c r="F905" s="232" cm="1">
        <f t="array" ref="F905">IF(E905="","",IF(H904&lt;&gt;"",H904,INDEX(D:D,E905)))</f>
        <v>0</v>
      </c>
      <c r="G905" s="232" t="str">
        <f t="shared" si="90"/>
        <v>0</v>
      </c>
      <c r="H905" s="233" t="str">
        <f t="shared" si="91"/>
        <v/>
      </c>
      <c r="I905" s="231" t="str">
        <f>IF(AND(F905&lt;&gt;"",N10&gt;0,M905&gt;N10),"Mot &gt; limite","")</f>
        <v/>
      </c>
      <c r="M905" s="126">
        <f>IF(OR(F905="",N10="",N10&lt;=0),"",IF(LEN(F905)&lt;=N10,LEN(F905),IFERROR(FIND("♦",SUBSTITUTE(LEFT(F905,N10)," ","♦",LEN(LEFT(F905,N10))-LEN(SUBSTITUTE(LEFT(F905,N10)," ","")))),FIND(" ",F905&amp;" ",N10+1)-1)))</f>
        <v>1</v>
      </c>
      <c r="N905" s="234">
        <f t="shared" si="92"/>
        <v>888</v>
      </c>
      <c r="O905" s="165" t="str">
        <f t="shared" si="93"/>
        <v>0</v>
      </c>
      <c r="P905" s="234">
        <f t="shared" si="94"/>
        <v>1</v>
      </c>
      <c r="Q905" s="234">
        <f t="shared" si="95"/>
        <v>1</v>
      </c>
      <c r="DE905" s="152"/>
      <c r="DF905" s="160" t="s">
        <v>2718</v>
      </c>
      <c r="DG905" s="160" t="s">
        <v>122</v>
      </c>
      <c r="DH905" s="160" t="s">
        <v>125</v>
      </c>
      <c r="DI905" s="160" t="s">
        <v>2719</v>
      </c>
      <c r="DJ905" s="160" t="s">
        <v>2719</v>
      </c>
      <c r="DK905" s="160" t="s">
        <v>1259</v>
      </c>
      <c r="DL905" s="160" t="s">
        <v>1260</v>
      </c>
      <c r="DM905" s="160" t="s">
        <v>1812</v>
      </c>
      <c r="DN905" s="161" t="s">
        <v>1813</v>
      </c>
      <c r="DP905" s="130">
        <v>1</v>
      </c>
    </row>
    <row r="906" spans="2:120" ht="15">
      <c r="B906" s="231"/>
      <c r="C906" s="231"/>
      <c r="D906" s="231"/>
      <c r="E906" s="231" cm="1">
        <f t="array" ref="E906">IF(H905&lt;&gt;"",E905,IF(E905="","",IFERROR(MATCH(TRUE(),INDEX(INDEX(K:K,E905+1):K203&lt;&gt;"",0),0)+E905,"")))</f>
        <v>998</v>
      </c>
      <c r="F906" s="232" cm="1">
        <f t="array" ref="F906">IF(E906="","",IF(H905&lt;&gt;"",H905,INDEX(D:D,E906)))</f>
        <v>0</v>
      </c>
      <c r="G906" s="232" t="str">
        <f t="shared" si="90"/>
        <v>0</v>
      </c>
      <c r="H906" s="233" t="str">
        <f t="shared" si="91"/>
        <v/>
      </c>
      <c r="I906" s="231" t="str">
        <f>IF(AND(F906&lt;&gt;"",N10&gt;0,M906&gt;N10),"Mot &gt; limite","")</f>
        <v/>
      </c>
      <c r="M906" s="126">
        <f>IF(OR(F906="",N10="",N10&lt;=0),"",IF(LEN(F906)&lt;=N10,LEN(F906),IFERROR(FIND("♦",SUBSTITUTE(LEFT(F906,N10)," ","♦",LEN(LEFT(F906,N10))-LEN(SUBSTITUTE(LEFT(F906,N10)," ","")))),FIND(" ",F906&amp;" ",N10+1)-1)))</f>
        <v>1</v>
      </c>
      <c r="N906" s="234">
        <f t="shared" si="92"/>
        <v>889</v>
      </c>
      <c r="O906" s="165" t="str">
        <f t="shared" si="93"/>
        <v>0</v>
      </c>
      <c r="P906" s="234">
        <f t="shared" si="94"/>
        <v>1</v>
      </c>
      <c r="Q906" s="234">
        <f t="shared" si="95"/>
        <v>1</v>
      </c>
      <c r="DE906" s="152"/>
      <c r="DF906" s="160" t="s">
        <v>2720</v>
      </c>
      <c r="DG906" s="160" t="s">
        <v>122</v>
      </c>
      <c r="DH906" s="160" t="s">
        <v>125</v>
      </c>
      <c r="DI906" s="160" t="s">
        <v>2721</v>
      </c>
      <c r="DJ906" s="160" t="s">
        <v>2721</v>
      </c>
      <c r="DK906" s="160" t="s">
        <v>1259</v>
      </c>
      <c r="DL906" s="160" t="s">
        <v>1260</v>
      </c>
      <c r="DM906" s="160" t="s">
        <v>1812</v>
      </c>
      <c r="DN906" s="161" t="s">
        <v>1813</v>
      </c>
      <c r="DP906" s="130">
        <v>1</v>
      </c>
    </row>
    <row r="907" spans="2:120" ht="15">
      <c r="B907" s="231"/>
      <c r="C907" s="231"/>
      <c r="D907" s="231"/>
      <c r="E907" s="231" cm="1">
        <f t="array" ref="E907">IF(H906&lt;&gt;"",E906,IF(E906="","",IFERROR(MATCH(TRUE(),INDEX(INDEX(K:K,E906+1):K203&lt;&gt;"",0),0)+E906,"")))</f>
        <v>999</v>
      </c>
      <c r="F907" s="232" cm="1">
        <f t="array" ref="F907">IF(E907="","",IF(H906&lt;&gt;"",H906,INDEX(D:D,E907)))</f>
        <v>0</v>
      </c>
      <c r="G907" s="232" t="str">
        <f t="shared" si="90"/>
        <v>0</v>
      </c>
      <c r="H907" s="233" t="str">
        <f t="shared" si="91"/>
        <v/>
      </c>
      <c r="I907" s="231" t="str">
        <f>IF(AND(F907&lt;&gt;"",N10&gt;0,M907&gt;N10),"Mot &gt; limite","")</f>
        <v/>
      </c>
      <c r="M907" s="126">
        <f>IF(OR(F907="",N10="",N10&lt;=0),"",IF(LEN(F907)&lt;=N10,LEN(F907),IFERROR(FIND("♦",SUBSTITUTE(LEFT(F907,N10)," ","♦",LEN(LEFT(F907,N10))-LEN(SUBSTITUTE(LEFT(F907,N10)," ","")))),FIND(" ",F907&amp;" ",N10+1)-1)))</f>
        <v>1</v>
      </c>
      <c r="N907" s="234">
        <f t="shared" si="92"/>
        <v>890</v>
      </c>
      <c r="O907" s="165" t="str">
        <f t="shared" si="93"/>
        <v>0</v>
      </c>
      <c r="P907" s="234">
        <f t="shared" si="94"/>
        <v>1</v>
      </c>
      <c r="Q907" s="234">
        <f t="shared" si="95"/>
        <v>1</v>
      </c>
      <c r="DE907" s="152"/>
      <c r="DF907" s="160" t="s">
        <v>2722</v>
      </c>
      <c r="DG907" s="160" t="s">
        <v>122</v>
      </c>
      <c r="DH907" s="160" t="s">
        <v>125</v>
      </c>
      <c r="DI907" s="160" t="s">
        <v>2723</v>
      </c>
      <c r="DJ907" s="160" t="s">
        <v>2723</v>
      </c>
      <c r="DK907" s="160" t="s">
        <v>1259</v>
      </c>
      <c r="DL907" s="160" t="s">
        <v>1260</v>
      </c>
      <c r="DM907" s="160" t="s">
        <v>1812</v>
      </c>
      <c r="DN907" s="161" t="s">
        <v>1813</v>
      </c>
      <c r="DP907" s="130">
        <v>1</v>
      </c>
    </row>
    <row r="908" spans="2:120" ht="15">
      <c r="B908" s="231"/>
      <c r="C908" s="231"/>
      <c r="D908" s="231"/>
      <c r="E908" s="231" cm="1">
        <f t="array" ref="E908">IF(H907&lt;&gt;"",E907,IF(E907="","",IFERROR(MATCH(TRUE(),INDEX(INDEX(K:K,E907+1):K203&lt;&gt;"",0),0)+E907,"")))</f>
        <v>1000</v>
      </c>
      <c r="F908" s="232" cm="1">
        <f t="array" ref="F908">IF(E908="","",IF(H907&lt;&gt;"",H907,INDEX(D:D,E908)))</f>
        <v>0</v>
      </c>
      <c r="G908" s="232" t="str">
        <f t="shared" si="90"/>
        <v>0</v>
      </c>
      <c r="H908" s="233" t="str">
        <f t="shared" si="91"/>
        <v/>
      </c>
      <c r="I908" s="231" t="str">
        <f>IF(AND(F908&lt;&gt;"",N10&gt;0,M908&gt;N10),"Mot &gt; limite","")</f>
        <v/>
      </c>
      <c r="M908" s="126">
        <f>IF(OR(F908="",N10="",N10&lt;=0),"",IF(LEN(F908)&lt;=N10,LEN(F908),IFERROR(FIND("♦",SUBSTITUTE(LEFT(F908,N10)," ","♦",LEN(LEFT(F908,N10))-LEN(SUBSTITUTE(LEFT(F908,N10)," ","")))),FIND(" ",F908&amp;" ",N10+1)-1)))</f>
        <v>1</v>
      </c>
      <c r="N908" s="234">
        <f t="shared" si="92"/>
        <v>891</v>
      </c>
      <c r="O908" s="165" t="str">
        <f t="shared" si="93"/>
        <v>0</v>
      </c>
      <c r="P908" s="234">
        <f t="shared" si="94"/>
        <v>1</v>
      </c>
      <c r="Q908" s="234">
        <f t="shared" si="95"/>
        <v>1</v>
      </c>
      <c r="DE908" s="152"/>
      <c r="DF908" s="160" t="s">
        <v>2724</v>
      </c>
      <c r="DG908" s="160" t="s">
        <v>122</v>
      </c>
      <c r="DH908" s="160" t="s">
        <v>125</v>
      </c>
      <c r="DI908" s="160" t="s">
        <v>2725</v>
      </c>
      <c r="DJ908" s="160" t="s">
        <v>2725</v>
      </c>
      <c r="DK908" s="160" t="s">
        <v>1259</v>
      </c>
      <c r="DL908" s="160" t="s">
        <v>1260</v>
      </c>
      <c r="DM908" s="160" t="s">
        <v>1812</v>
      </c>
      <c r="DN908" s="161" t="s">
        <v>1813</v>
      </c>
      <c r="DP908" s="130">
        <v>1</v>
      </c>
    </row>
    <row r="909" spans="2:120" ht="15">
      <c r="B909" s="231"/>
      <c r="C909" s="231"/>
      <c r="D909" s="231"/>
      <c r="E909" s="231" cm="1">
        <f t="array" ref="E909">IF(H908&lt;&gt;"",E908,IF(E908="","",IFERROR(MATCH(TRUE(),INDEX(INDEX(K:K,E908+1):K203&lt;&gt;"",0),0)+E908,"")))</f>
        <v>1001</v>
      </c>
      <c r="F909" s="232" cm="1">
        <f t="array" ref="F909">IF(E909="","",IF(H908&lt;&gt;"",H908,INDEX(D:D,E909)))</f>
        <v>0</v>
      </c>
      <c r="G909" s="232" t="str">
        <f t="shared" si="90"/>
        <v>0</v>
      </c>
      <c r="H909" s="233" t="str">
        <f t="shared" si="91"/>
        <v/>
      </c>
      <c r="I909" s="231" t="str">
        <f>IF(AND(F909&lt;&gt;"",N10&gt;0,M909&gt;N10),"Mot &gt; limite","")</f>
        <v/>
      </c>
      <c r="M909" s="126">
        <f>IF(OR(F909="",N10="",N10&lt;=0),"",IF(LEN(F909)&lt;=N10,LEN(F909),IFERROR(FIND("♦",SUBSTITUTE(LEFT(F909,N10)," ","♦",LEN(LEFT(F909,N10))-LEN(SUBSTITUTE(LEFT(F909,N10)," ","")))),FIND(" ",F909&amp;" ",N10+1)-1)))</f>
        <v>1</v>
      </c>
      <c r="N909" s="234">
        <f t="shared" si="92"/>
        <v>892</v>
      </c>
      <c r="O909" s="165" t="str">
        <f t="shared" si="93"/>
        <v>0</v>
      </c>
      <c r="P909" s="234">
        <f t="shared" si="94"/>
        <v>1</v>
      </c>
      <c r="Q909" s="234">
        <f t="shared" si="95"/>
        <v>1</v>
      </c>
      <c r="DE909" s="152"/>
      <c r="DF909" s="160" t="s">
        <v>2726</v>
      </c>
      <c r="DG909" s="160" t="s">
        <v>122</v>
      </c>
      <c r="DH909" s="160" t="s">
        <v>125</v>
      </c>
      <c r="DI909" s="160" t="s">
        <v>2727</v>
      </c>
      <c r="DJ909" s="160" t="s">
        <v>2727</v>
      </c>
      <c r="DK909" s="160" t="s">
        <v>1259</v>
      </c>
      <c r="DL909" s="160" t="s">
        <v>1260</v>
      </c>
      <c r="DM909" s="160" t="s">
        <v>1812</v>
      </c>
      <c r="DN909" s="161" t="s">
        <v>1813</v>
      </c>
      <c r="DP909" s="130">
        <v>1</v>
      </c>
    </row>
    <row r="910" spans="2:120" ht="15">
      <c r="B910" s="231"/>
      <c r="C910" s="231"/>
      <c r="D910" s="231"/>
      <c r="E910" s="231" cm="1">
        <f t="array" ref="E910">IF(H909&lt;&gt;"",E909,IF(E909="","",IFERROR(MATCH(TRUE(),INDEX(INDEX(K:K,E909+1):K203&lt;&gt;"",0),0)+E909,"")))</f>
        <v>1002</v>
      </c>
      <c r="F910" s="232" cm="1">
        <f t="array" ref="F910">IF(E910="","",IF(H909&lt;&gt;"",H909,INDEX(D:D,E910)))</f>
        <v>0</v>
      </c>
      <c r="G910" s="232" t="str">
        <f t="shared" si="90"/>
        <v>0</v>
      </c>
      <c r="H910" s="233" t="str">
        <f t="shared" si="91"/>
        <v/>
      </c>
      <c r="I910" s="231" t="str">
        <f>IF(AND(F910&lt;&gt;"",N10&gt;0,M910&gt;N10),"Mot &gt; limite","")</f>
        <v/>
      </c>
      <c r="M910" s="126">
        <f>IF(OR(F910="",N10="",N10&lt;=0),"",IF(LEN(F910)&lt;=N10,LEN(F910),IFERROR(FIND("♦",SUBSTITUTE(LEFT(F910,N10)," ","♦",LEN(LEFT(F910,N10))-LEN(SUBSTITUTE(LEFT(F910,N10)," ","")))),FIND(" ",F910&amp;" ",N10+1)-1)))</f>
        <v>1</v>
      </c>
      <c r="N910" s="234">
        <f t="shared" si="92"/>
        <v>893</v>
      </c>
      <c r="O910" s="165" t="str">
        <f t="shared" si="93"/>
        <v>0</v>
      </c>
      <c r="P910" s="234">
        <f t="shared" si="94"/>
        <v>1</v>
      </c>
      <c r="Q910" s="234">
        <f t="shared" si="95"/>
        <v>1</v>
      </c>
      <c r="DE910" s="152"/>
      <c r="DF910" s="160" t="s">
        <v>2728</v>
      </c>
      <c r="DG910" s="160" t="s">
        <v>122</v>
      </c>
      <c r="DH910" s="160" t="s">
        <v>125</v>
      </c>
      <c r="DI910" s="160" t="s">
        <v>292</v>
      </c>
      <c r="DJ910" s="160" t="s">
        <v>292</v>
      </c>
      <c r="DK910" s="160" t="s">
        <v>1259</v>
      </c>
      <c r="DL910" s="160" t="s">
        <v>1260</v>
      </c>
      <c r="DM910" s="160" t="s">
        <v>1812</v>
      </c>
      <c r="DN910" s="161" t="s">
        <v>1813</v>
      </c>
      <c r="DP910" s="130">
        <v>1</v>
      </c>
    </row>
    <row r="911" spans="2:120" ht="15">
      <c r="B911" s="231"/>
      <c r="C911" s="231"/>
      <c r="D911" s="231"/>
      <c r="E911" s="231" cm="1">
        <f t="array" ref="E911">IF(H910&lt;&gt;"",E910,IF(E910="","",IFERROR(MATCH(TRUE(),INDEX(INDEX(K:K,E910+1):K203&lt;&gt;"",0),0)+E910,"")))</f>
        <v>1003</v>
      </c>
      <c r="F911" s="232" cm="1">
        <f t="array" ref="F911">IF(E911="","",IF(H910&lt;&gt;"",H910,INDEX(D:D,E911)))</f>
        <v>0</v>
      </c>
      <c r="G911" s="232" t="str">
        <f t="shared" si="90"/>
        <v>0</v>
      </c>
      <c r="H911" s="233" t="str">
        <f t="shared" si="91"/>
        <v/>
      </c>
      <c r="I911" s="231" t="str">
        <f>IF(AND(F911&lt;&gt;"",N10&gt;0,M911&gt;N10),"Mot &gt; limite","")</f>
        <v/>
      </c>
      <c r="M911" s="126">
        <f>IF(OR(F911="",N10="",N10&lt;=0),"",IF(LEN(F911)&lt;=N10,LEN(F911),IFERROR(FIND("♦",SUBSTITUTE(LEFT(F911,N10)," ","♦",LEN(LEFT(F911,N10))-LEN(SUBSTITUTE(LEFT(F911,N10)," ","")))),FIND(" ",F911&amp;" ",N10+1)-1)))</f>
        <v>1</v>
      </c>
      <c r="N911" s="234">
        <f t="shared" si="92"/>
        <v>894</v>
      </c>
      <c r="O911" s="165" t="str">
        <f t="shared" si="93"/>
        <v>0</v>
      </c>
      <c r="P911" s="234">
        <f t="shared" si="94"/>
        <v>1</v>
      </c>
      <c r="Q911" s="234">
        <f t="shared" si="95"/>
        <v>1</v>
      </c>
      <c r="DE911" s="152"/>
      <c r="DF911" s="160" t="s">
        <v>2729</v>
      </c>
      <c r="DG911" s="160" t="s">
        <v>122</v>
      </c>
      <c r="DH911" s="160" t="s">
        <v>125</v>
      </c>
      <c r="DI911" s="160" t="s">
        <v>2730</v>
      </c>
      <c r="DJ911" s="160" t="s">
        <v>2730</v>
      </c>
      <c r="DK911" s="160" t="s">
        <v>1259</v>
      </c>
      <c r="DL911" s="160" t="s">
        <v>1260</v>
      </c>
      <c r="DM911" s="160" t="s">
        <v>1812</v>
      </c>
      <c r="DN911" s="161" t="s">
        <v>1813</v>
      </c>
      <c r="DP911" s="130">
        <v>1</v>
      </c>
    </row>
    <row r="912" spans="2:120" ht="15">
      <c r="B912" s="231"/>
      <c r="C912" s="231"/>
      <c r="D912" s="231"/>
      <c r="E912" s="231" cm="1">
        <f t="array" ref="E912">IF(H911&lt;&gt;"",E911,IF(E911="","",IFERROR(MATCH(TRUE(),INDEX(INDEX(K:K,E911+1):K203&lt;&gt;"",0),0)+E911,"")))</f>
        <v>1004</v>
      </c>
      <c r="F912" s="232" cm="1">
        <f t="array" ref="F912">IF(E912="","",IF(H911&lt;&gt;"",H911,INDEX(D:D,E912)))</f>
        <v>0</v>
      </c>
      <c r="G912" s="232" t="str">
        <f t="shared" si="90"/>
        <v>0</v>
      </c>
      <c r="H912" s="233" t="str">
        <f t="shared" si="91"/>
        <v/>
      </c>
      <c r="I912" s="231" t="str">
        <f>IF(AND(F912&lt;&gt;"",N10&gt;0,M912&gt;N10),"Mot &gt; limite","")</f>
        <v/>
      </c>
      <c r="M912" s="126">
        <f>IF(OR(F912="",N10="",N10&lt;=0),"",IF(LEN(F912)&lt;=N10,LEN(F912),IFERROR(FIND("♦",SUBSTITUTE(LEFT(F912,N10)," ","♦",LEN(LEFT(F912,N10))-LEN(SUBSTITUTE(LEFT(F912,N10)," ","")))),FIND(" ",F912&amp;" ",N10+1)-1)))</f>
        <v>1</v>
      </c>
      <c r="N912" s="234">
        <f t="shared" si="92"/>
        <v>895</v>
      </c>
      <c r="O912" s="165" t="str">
        <f t="shared" si="93"/>
        <v>0</v>
      </c>
      <c r="P912" s="234">
        <f t="shared" si="94"/>
        <v>1</v>
      </c>
      <c r="Q912" s="234">
        <f t="shared" si="95"/>
        <v>1</v>
      </c>
      <c r="DE912" s="152"/>
      <c r="DF912" s="160" t="s">
        <v>2731</v>
      </c>
      <c r="DG912" s="160" t="s">
        <v>122</v>
      </c>
      <c r="DH912" s="160" t="s">
        <v>125</v>
      </c>
      <c r="DI912" s="160" t="s">
        <v>2732</v>
      </c>
      <c r="DJ912" s="160" t="s">
        <v>2732</v>
      </c>
      <c r="DK912" s="160" t="s">
        <v>1259</v>
      </c>
      <c r="DL912" s="160" t="s">
        <v>1260</v>
      </c>
      <c r="DM912" s="160" t="s">
        <v>1812</v>
      </c>
      <c r="DN912" s="161" t="s">
        <v>1813</v>
      </c>
      <c r="DP912" s="130">
        <v>1</v>
      </c>
    </row>
    <row r="913" spans="2:120" ht="15">
      <c r="B913" s="231"/>
      <c r="C913" s="231"/>
      <c r="D913" s="231"/>
      <c r="E913" s="231" cm="1">
        <f t="array" ref="E913">IF(H912&lt;&gt;"",E912,IF(E912="","",IFERROR(MATCH(TRUE(),INDEX(INDEX(K:K,E912+1):K203&lt;&gt;"",0),0)+E912,"")))</f>
        <v>1005</v>
      </c>
      <c r="F913" s="232" cm="1">
        <f t="array" ref="F913">IF(E913="","",IF(H912&lt;&gt;"",H912,INDEX(D:D,E913)))</f>
        <v>0</v>
      </c>
      <c r="G913" s="232" t="str">
        <f t="shared" si="90"/>
        <v>0</v>
      </c>
      <c r="H913" s="233" t="str">
        <f t="shared" si="91"/>
        <v/>
      </c>
      <c r="I913" s="231" t="str">
        <f>IF(AND(F913&lt;&gt;"",N10&gt;0,M913&gt;N10),"Mot &gt; limite","")</f>
        <v/>
      </c>
      <c r="M913" s="126">
        <f>IF(OR(F913="",N10="",N10&lt;=0),"",IF(LEN(F913)&lt;=N10,LEN(F913),IFERROR(FIND("♦",SUBSTITUTE(LEFT(F913,N10)," ","♦",LEN(LEFT(F913,N10))-LEN(SUBSTITUTE(LEFT(F913,N10)," ","")))),FIND(" ",F913&amp;" ",N10+1)-1)))</f>
        <v>1</v>
      </c>
      <c r="N913" s="234">
        <f t="shared" si="92"/>
        <v>896</v>
      </c>
      <c r="O913" s="165" t="str">
        <f t="shared" si="93"/>
        <v>0</v>
      </c>
      <c r="P913" s="234">
        <f t="shared" si="94"/>
        <v>1</v>
      </c>
      <c r="Q913" s="234">
        <f t="shared" si="95"/>
        <v>1</v>
      </c>
      <c r="DE913" s="152"/>
      <c r="DF913" s="160" t="s">
        <v>2733</v>
      </c>
      <c r="DG913" s="160" t="s">
        <v>122</v>
      </c>
      <c r="DH913" s="160" t="s">
        <v>125</v>
      </c>
      <c r="DI913" s="160" t="s">
        <v>2734</v>
      </c>
      <c r="DJ913" s="160" t="s">
        <v>2734</v>
      </c>
      <c r="DK913" s="160" t="s">
        <v>1259</v>
      </c>
      <c r="DL913" s="160" t="s">
        <v>1260</v>
      </c>
      <c r="DM913" s="160" t="s">
        <v>1812</v>
      </c>
      <c r="DN913" s="161" t="s">
        <v>1813</v>
      </c>
      <c r="DP913" s="130">
        <v>1</v>
      </c>
    </row>
    <row r="914" spans="2:120" ht="15">
      <c r="B914" s="231"/>
      <c r="C914" s="231"/>
      <c r="D914" s="231"/>
      <c r="E914" s="231" cm="1">
        <f t="array" ref="E914">IF(H913&lt;&gt;"",E913,IF(E913="","",IFERROR(MATCH(TRUE(),INDEX(INDEX(K:K,E913+1):K203&lt;&gt;"",0),0)+E913,"")))</f>
        <v>1006</v>
      </c>
      <c r="F914" s="232" cm="1">
        <f t="array" ref="F914">IF(E914="","",IF(H913&lt;&gt;"",H913,INDEX(D:D,E914)))</f>
        <v>0</v>
      </c>
      <c r="G914" s="232" t="str">
        <f t="shared" ref="G914:G977" si="96">IF(OR(F914="",M914=""),"",LEFT(F914,M914))</f>
        <v>0</v>
      </c>
      <c r="H914" s="233" t="str">
        <f t="shared" ref="H914:H977" si="97">IF(OR(F914="",M914=""),"",TRIM(MID(F914,M914+1,99999)))</f>
        <v/>
      </c>
      <c r="I914" s="231" t="str">
        <f>IF(AND(F914&lt;&gt;"",N10&gt;0,M914&gt;N10),"Mot &gt; limite","")</f>
        <v/>
      </c>
      <c r="M914" s="126">
        <f>IF(OR(F914="",N10="",N10&lt;=0),"",IF(LEN(F914)&lt;=N10,LEN(F914),IFERROR(FIND("♦",SUBSTITUTE(LEFT(F914,N10)," ","♦",LEN(LEFT(F914,N10))-LEN(SUBSTITUTE(LEFT(F914,N10)," ","")))),FIND(" ",F914&amp;" ",N10+1)-1)))</f>
        <v>1</v>
      </c>
      <c r="N914" s="234">
        <f t="shared" ref="N914:N977" si="98">IF(O914="","",ROW()-17)</f>
        <v>897</v>
      </c>
      <c r="O914" s="165" t="str">
        <f t="shared" ref="O914:O977" si="99">G914</f>
        <v>0</v>
      </c>
      <c r="P914" s="234">
        <f t="shared" ref="P914:P977" si="100">IF(O914="","",LEN(TRIM(O914))-LEN(SUBSTITUTE(TRIM(O914)," ",""))+1)</f>
        <v>1</v>
      </c>
      <c r="Q914" s="234">
        <f t="shared" ref="Q914:Q977" si="101">IF(O914="","",LEN(O914))</f>
        <v>1</v>
      </c>
      <c r="DE914" s="152"/>
      <c r="DF914" s="160" t="s">
        <v>2735</v>
      </c>
      <c r="DG914" s="160" t="s">
        <v>122</v>
      </c>
      <c r="DH914" s="160" t="s">
        <v>125</v>
      </c>
      <c r="DI914" s="160" t="s">
        <v>2736</v>
      </c>
      <c r="DJ914" s="160" t="s">
        <v>2736</v>
      </c>
      <c r="DK914" s="160" t="s">
        <v>1259</v>
      </c>
      <c r="DL914" s="160" t="s">
        <v>1260</v>
      </c>
      <c r="DM914" s="160" t="s">
        <v>1812</v>
      </c>
      <c r="DN914" s="161" t="s">
        <v>1813</v>
      </c>
      <c r="DP914" s="130">
        <v>1</v>
      </c>
    </row>
    <row r="915" spans="2:120" ht="15">
      <c r="B915" s="231"/>
      <c r="C915" s="231"/>
      <c r="D915" s="231"/>
      <c r="E915" s="231" cm="1">
        <f t="array" ref="E915">IF(H914&lt;&gt;"",E914,IF(E914="","",IFERROR(MATCH(TRUE(),INDEX(INDEX(K:K,E914+1):K203&lt;&gt;"",0),0)+E914,"")))</f>
        <v>1007</v>
      </c>
      <c r="F915" s="232" cm="1">
        <f t="array" ref="F915">IF(E915="","",IF(H914&lt;&gt;"",H914,INDEX(D:D,E915)))</f>
        <v>0</v>
      </c>
      <c r="G915" s="232" t="str">
        <f t="shared" si="96"/>
        <v>0</v>
      </c>
      <c r="H915" s="233" t="str">
        <f t="shared" si="97"/>
        <v/>
      </c>
      <c r="I915" s="231" t="str">
        <f>IF(AND(F915&lt;&gt;"",N10&gt;0,M915&gt;N10),"Mot &gt; limite","")</f>
        <v/>
      </c>
      <c r="M915" s="126">
        <f>IF(OR(F915="",N10="",N10&lt;=0),"",IF(LEN(F915)&lt;=N10,LEN(F915),IFERROR(FIND("♦",SUBSTITUTE(LEFT(F915,N10)," ","♦",LEN(LEFT(F915,N10))-LEN(SUBSTITUTE(LEFT(F915,N10)," ","")))),FIND(" ",F915&amp;" ",N10+1)-1)))</f>
        <v>1</v>
      </c>
      <c r="N915" s="234">
        <f t="shared" si="98"/>
        <v>898</v>
      </c>
      <c r="O915" s="165" t="str">
        <f t="shared" si="99"/>
        <v>0</v>
      </c>
      <c r="P915" s="234">
        <f t="shared" si="100"/>
        <v>1</v>
      </c>
      <c r="Q915" s="234">
        <f t="shared" si="101"/>
        <v>1</v>
      </c>
      <c r="DE915" s="152"/>
      <c r="DF915" s="160" t="s">
        <v>2737</v>
      </c>
      <c r="DG915" s="160" t="s">
        <v>122</v>
      </c>
      <c r="DH915" s="160" t="s">
        <v>125</v>
      </c>
      <c r="DI915" s="160" t="s">
        <v>2738</v>
      </c>
      <c r="DJ915" s="160" t="s">
        <v>2738</v>
      </c>
      <c r="DK915" s="160" t="s">
        <v>1259</v>
      </c>
      <c r="DL915" s="160" t="s">
        <v>1260</v>
      </c>
      <c r="DM915" s="160" t="s">
        <v>1812</v>
      </c>
      <c r="DN915" s="161" t="s">
        <v>1813</v>
      </c>
      <c r="DP915" s="130">
        <v>1</v>
      </c>
    </row>
    <row r="916" spans="2:120" ht="15">
      <c r="B916" s="231"/>
      <c r="C916" s="231"/>
      <c r="D916" s="231"/>
      <c r="E916" s="231" cm="1">
        <f t="array" ref="E916">IF(H915&lt;&gt;"",E915,IF(E915="","",IFERROR(MATCH(TRUE(),INDEX(INDEX(K:K,E915+1):K203&lt;&gt;"",0),0)+E915,"")))</f>
        <v>1008</v>
      </c>
      <c r="F916" s="232" cm="1">
        <f t="array" ref="F916">IF(E916="","",IF(H915&lt;&gt;"",H915,INDEX(D:D,E916)))</f>
        <v>0</v>
      </c>
      <c r="G916" s="232" t="str">
        <f t="shared" si="96"/>
        <v>0</v>
      </c>
      <c r="H916" s="233" t="str">
        <f t="shared" si="97"/>
        <v/>
      </c>
      <c r="I916" s="231" t="str">
        <f>IF(AND(F916&lt;&gt;"",N10&gt;0,M916&gt;N10),"Mot &gt; limite","")</f>
        <v/>
      </c>
      <c r="M916" s="126">
        <f>IF(OR(F916="",N10="",N10&lt;=0),"",IF(LEN(F916)&lt;=N10,LEN(F916),IFERROR(FIND("♦",SUBSTITUTE(LEFT(F916,N10)," ","♦",LEN(LEFT(F916,N10))-LEN(SUBSTITUTE(LEFT(F916,N10)," ","")))),FIND(" ",F916&amp;" ",N10+1)-1)))</f>
        <v>1</v>
      </c>
      <c r="N916" s="234">
        <f t="shared" si="98"/>
        <v>899</v>
      </c>
      <c r="O916" s="165" t="str">
        <f t="shared" si="99"/>
        <v>0</v>
      </c>
      <c r="P916" s="234">
        <f t="shared" si="100"/>
        <v>1</v>
      </c>
      <c r="Q916" s="234">
        <f t="shared" si="101"/>
        <v>1</v>
      </c>
      <c r="DE916" s="152"/>
      <c r="DF916" s="160" t="s">
        <v>2739</v>
      </c>
      <c r="DG916" s="160" t="s">
        <v>122</v>
      </c>
      <c r="DH916" s="160" t="s">
        <v>125</v>
      </c>
      <c r="DI916" s="160" t="s">
        <v>2740</v>
      </c>
      <c r="DJ916" s="160" t="s">
        <v>2740</v>
      </c>
      <c r="DK916" s="160" t="s">
        <v>1259</v>
      </c>
      <c r="DL916" s="160" t="s">
        <v>1260</v>
      </c>
      <c r="DM916" s="160" t="s">
        <v>1812</v>
      </c>
      <c r="DN916" s="161" t="s">
        <v>1813</v>
      </c>
      <c r="DP916" s="130">
        <v>1</v>
      </c>
    </row>
    <row r="917" spans="2:120" ht="15">
      <c r="B917" s="231"/>
      <c r="C917" s="231"/>
      <c r="D917" s="231"/>
      <c r="E917" s="231" cm="1">
        <f t="array" ref="E917">IF(H916&lt;&gt;"",E916,IF(E916="","",IFERROR(MATCH(TRUE(),INDEX(INDEX(K:K,E916+1):K203&lt;&gt;"",0),0)+E916,"")))</f>
        <v>1009</v>
      </c>
      <c r="F917" s="232" cm="1">
        <f t="array" ref="F917">IF(E917="","",IF(H916&lt;&gt;"",H916,INDEX(D:D,E917)))</f>
        <v>0</v>
      </c>
      <c r="G917" s="232" t="str">
        <f t="shared" si="96"/>
        <v>0</v>
      </c>
      <c r="H917" s="233" t="str">
        <f t="shared" si="97"/>
        <v/>
      </c>
      <c r="I917" s="231" t="str">
        <f>IF(AND(F917&lt;&gt;"",N10&gt;0,M917&gt;N10),"Mot &gt; limite","")</f>
        <v/>
      </c>
      <c r="M917" s="126">
        <f>IF(OR(F917="",N10="",N10&lt;=0),"",IF(LEN(F917)&lt;=N10,LEN(F917),IFERROR(FIND("♦",SUBSTITUTE(LEFT(F917,N10)," ","♦",LEN(LEFT(F917,N10))-LEN(SUBSTITUTE(LEFT(F917,N10)," ","")))),FIND(" ",F917&amp;" ",N10+1)-1)))</f>
        <v>1</v>
      </c>
      <c r="N917" s="234">
        <f t="shared" si="98"/>
        <v>900</v>
      </c>
      <c r="O917" s="165" t="str">
        <f t="shared" si="99"/>
        <v>0</v>
      </c>
      <c r="P917" s="234">
        <f t="shared" si="100"/>
        <v>1</v>
      </c>
      <c r="Q917" s="234">
        <f t="shared" si="101"/>
        <v>1</v>
      </c>
      <c r="DE917" s="152"/>
      <c r="DF917" s="160" t="s">
        <v>2741</v>
      </c>
      <c r="DG917" s="160" t="s">
        <v>122</v>
      </c>
      <c r="DH917" s="160" t="s">
        <v>125</v>
      </c>
      <c r="DI917" s="160" t="s">
        <v>2742</v>
      </c>
      <c r="DJ917" s="160" t="s">
        <v>2742</v>
      </c>
      <c r="DK917" s="160" t="s">
        <v>1259</v>
      </c>
      <c r="DL917" s="160" t="s">
        <v>1260</v>
      </c>
      <c r="DM917" s="160" t="s">
        <v>1812</v>
      </c>
      <c r="DN917" s="161" t="s">
        <v>1813</v>
      </c>
      <c r="DP917" s="130">
        <v>1</v>
      </c>
    </row>
    <row r="918" spans="2:120" ht="15">
      <c r="B918" s="231"/>
      <c r="C918" s="231"/>
      <c r="D918" s="231"/>
      <c r="E918" s="231" cm="1">
        <f t="array" ref="E918">IF(H917&lt;&gt;"",E917,IF(E917="","",IFERROR(MATCH(TRUE(),INDEX(INDEX(K:K,E917+1):K203&lt;&gt;"",0),0)+E917,"")))</f>
        <v>1010</v>
      </c>
      <c r="F918" s="232" cm="1">
        <f t="array" ref="F918">IF(E918="","",IF(H917&lt;&gt;"",H917,INDEX(D:D,E918)))</f>
        <v>0</v>
      </c>
      <c r="G918" s="232" t="str">
        <f t="shared" si="96"/>
        <v>0</v>
      </c>
      <c r="H918" s="233" t="str">
        <f t="shared" si="97"/>
        <v/>
      </c>
      <c r="I918" s="231" t="str">
        <f>IF(AND(F918&lt;&gt;"",N10&gt;0,M918&gt;N10),"Mot &gt; limite","")</f>
        <v/>
      </c>
      <c r="M918" s="126">
        <f>IF(OR(F918="",N10="",N10&lt;=0),"",IF(LEN(F918)&lt;=N10,LEN(F918),IFERROR(FIND("♦",SUBSTITUTE(LEFT(F918,N10)," ","♦",LEN(LEFT(F918,N10))-LEN(SUBSTITUTE(LEFT(F918,N10)," ","")))),FIND(" ",F918&amp;" ",N10+1)-1)))</f>
        <v>1</v>
      </c>
      <c r="N918" s="234">
        <f t="shared" si="98"/>
        <v>901</v>
      </c>
      <c r="O918" s="165" t="str">
        <f t="shared" si="99"/>
        <v>0</v>
      </c>
      <c r="P918" s="234">
        <f t="shared" si="100"/>
        <v>1</v>
      </c>
      <c r="Q918" s="234">
        <f t="shared" si="101"/>
        <v>1</v>
      </c>
      <c r="DE918" s="152"/>
      <c r="DF918" s="160" t="s">
        <v>2743</v>
      </c>
      <c r="DG918" s="160" t="s">
        <v>122</v>
      </c>
      <c r="DH918" s="160" t="s">
        <v>125</v>
      </c>
      <c r="DI918" s="160" t="s">
        <v>2744</v>
      </c>
      <c r="DJ918" s="160" t="s">
        <v>2744</v>
      </c>
      <c r="DK918" s="160" t="s">
        <v>1259</v>
      </c>
      <c r="DL918" s="160" t="s">
        <v>1260</v>
      </c>
      <c r="DM918" s="160" t="s">
        <v>1812</v>
      </c>
      <c r="DN918" s="161" t="s">
        <v>1813</v>
      </c>
      <c r="DP918" s="130">
        <v>1</v>
      </c>
    </row>
    <row r="919" spans="2:120" ht="15">
      <c r="B919" s="231"/>
      <c r="C919" s="231"/>
      <c r="D919" s="231"/>
      <c r="E919" s="231" cm="1">
        <f t="array" ref="E919">IF(H918&lt;&gt;"",E918,IF(E918="","",IFERROR(MATCH(TRUE(),INDEX(INDEX(K:K,E918+1):K203&lt;&gt;"",0),0)+E918,"")))</f>
        <v>1011</v>
      </c>
      <c r="F919" s="232" cm="1">
        <f t="array" ref="F919">IF(E919="","",IF(H918&lt;&gt;"",H918,INDEX(D:D,E919)))</f>
        <v>0</v>
      </c>
      <c r="G919" s="232" t="str">
        <f t="shared" si="96"/>
        <v>0</v>
      </c>
      <c r="H919" s="233" t="str">
        <f t="shared" si="97"/>
        <v/>
      </c>
      <c r="I919" s="231" t="str">
        <f>IF(AND(F919&lt;&gt;"",N10&gt;0,M919&gt;N10),"Mot &gt; limite","")</f>
        <v/>
      </c>
      <c r="M919" s="126">
        <f>IF(OR(F919="",N10="",N10&lt;=0),"",IF(LEN(F919)&lt;=N10,LEN(F919),IFERROR(FIND("♦",SUBSTITUTE(LEFT(F919,N10)," ","♦",LEN(LEFT(F919,N10))-LEN(SUBSTITUTE(LEFT(F919,N10)," ","")))),FIND(" ",F919&amp;" ",N10+1)-1)))</f>
        <v>1</v>
      </c>
      <c r="N919" s="234">
        <f t="shared" si="98"/>
        <v>902</v>
      </c>
      <c r="O919" s="165" t="str">
        <f t="shared" si="99"/>
        <v>0</v>
      </c>
      <c r="P919" s="234">
        <f t="shared" si="100"/>
        <v>1</v>
      </c>
      <c r="Q919" s="234">
        <f t="shared" si="101"/>
        <v>1</v>
      </c>
      <c r="DE919" s="152"/>
      <c r="DF919" s="160" t="s">
        <v>2745</v>
      </c>
      <c r="DG919" s="160" t="s">
        <v>122</v>
      </c>
      <c r="DH919" s="160" t="s">
        <v>125</v>
      </c>
      <c r="DI919" s="160" t="s">
        <v>2746</v>
      </c>
      <c r="DJ919" s="160" t="s">
        <v>2746</v>
      </c>
      <c r="DK919" s="160" t="s">
        <v>1259</v>
      </c>
      <c r="DL919" s="160" t="s">
        <v>1260</v>
      </c>
      <c r="DM919" s="160" t="s">
        <v>1812</v>
      </c>
      <c r="DN919" s="161" t="s">
        <v>1813</v>
      </c>
      <c r="DP919" s="130">
        <v>1</v>
      </c>
    </row>
    <row r="920" spans="2:120" ht="15">
      <c r="B920" s="231"/>
      <c r="C920" s="231"/>
      <c r="D920" s="231"/>
      <c r="E920" s="231" cm="1">
        <f t="array" ref="E920">IF(H919&lt;&gt;"",E919,IF(E919="","",IFERROR(MATCH(TRUE(),INDEX(INDEX(K:K,E919+1):K203&lt;&gt;"",0),0)+E919,"")))</f>
        <v>1012</v>
      </c>
      <c r="F920" s="232" cm="1">
        <f t="array" ref="F920">IF(E920="","",IF(H919&lt;&gt;"",H919,INDEX(D:D,E920)))</f>
        <v>0</v>
      </c>
      <c r="G920" s="232" t="str">
        <f t="shared" si="96"/>
        <v>0</v>
      </c>
      <c r="H920" s="233" t="str">
        <f t="shared" si="97"/>
        <v/>
      </c>
      <c r="I920" s="231" t="str">
        <f>IF(AND(F920&lt;&gt;"",N10&gt;0,M920&gt;N10),"Mot &gt; limite","")</f>
        <v/>
      </c>
      <c r="M920" s="126">
        <f>IF(OR(F920="",N10="",N10&lt;=0),"",IF(LEN(F920)&lt;=N10,LEN(F920),IFERROR(FIND("♦",SUBSTITUTE(LEFT(F920,N10)," ","♦",LEN(LEFT(F920,N10))-LEN(SUBSTITUTE(LEFT(F920,N10)," ","")))),FIND(" ",F920&amp;" ",N10+1)-1)))</f>
        <v>1</v>
      </c>
      <c r="N920" s="234">
        <f t="shared" si="98"/>
        <v>903</v>
      </c>
      <c r="O920" s="165" t="str">
        <f t="shared" si="99"/>
        <v>0</v>
      </c>
      <c r="P920" s="234">
        <f t="shared" si="100"/>
        <v>1</v>
      </c>
      <c r="Q920" s="234">
        <f t="shared" si="101"/>
        <v>1</v>
      </c>
      <c r="DE920" s="152"/>
      <c r="DF920" s="160" t="s">
        <v>2747</v>
      </c>
      <c r="DG920" s="160" t="s">
        <v>122</v>
      </c>
      <c r="DH920" s="160" t="s">
        <v>125</v>
      </c>
      <c r="DI920" s="160" t="s">
        <v>2748</v>
      </c>
      <c r="DJ920" s="160" t="s">
        <v>2748</v>
      </c>
      <c r="DK920" s="160" t="s">
        <v>1259</v>
      </c>
      <c r="DL920" s="160" t="s">
        <v>1260</v>
      </c>
      <c r="DM920" s="160" t="s">
        <v>1812</v>
      </c>
      <c r="DN920" s="161" t="s">
        <v>1813</v>
      </c>
      <c r="DP920" s="130">
        <v>1</v>
      </c>
    </row>
    <row r="921" spans="2:120" ht="15">
      <c r="B921" s="231"/>
      <c r="C921" s="231"/>
      <c r="D921" s="231"/>
      <c r="E921" s="231" cm="1">
        <f t="array" ref="E921">IF(H920&lt;&gt;"",E920,IF(E920="","",IFERROR(MATCH(TRUE(),INDEX(INDEX(K:K,E920+1):K203&lt;&gt;"",0),0)+E920,"")))</f>
        <v>1013</v>
      </c>
      <c r="F921" s="232" cm="1">
        <f t="array" ref="F921">IF(E921="","",IF(H920&lt;&gt;"",H920,INDEX(D:D,E921)))</f>
        <v>0</v>
      </c>
      <c r="G921" s="232" t="str">
        <f t="shared" si="96"/>
        <v>0</v>
      </c>
      <c r="H921" s="233" t="str">
        <f t="shared" si="97"/>
        <v/>
      </c>
      <c r="I921" s="231" t="str">
        <f>IF(AND(F921&lt;&gt;"",N10&gt;0,M921&gt;N10),"Mot &gt; limite","")</f>
        <v/>
      </c>
      <c r="M921" s="126">
        <f>IF(OR(F921="",N10="",N10&lt;=0),"",IF(LEN(F921)&lt;=N10,LEN(F921),IFERROR(FIND("♦",SUBSTITUTE(LEFT(F921,N10)," ","♦",LEN(LEFT(F921,N10))-LEN(SUBSTITUTE(LEFT(F921,N10)," ","")))),FIND(" ",F921&amp;" ",N10+1)-1)))</f>
        <v>1</v>
      </c>
      <c r="N921" s="234">
        <f t="shared" si="98"/>
        <v>904</v>
      </c>
      <c r="O921" s="165" t="str">
        <f t="shared" si="99"/>
        <v>0</v>
      </c>
      <c r="P921" s="234">
        <f t="shared" si="100"/>
        <v>1</v>
      </c>
      <c r="Q921" s="234">
        <f t="shared" si="101"/>
        <v>1</v>
      </c>
      <c r="DE921" s="152"/>
      <c r="DF921" s="160" t="s">
        <v>2749</v>
      </c>
      <c r="DG921" s="160" t="s">
        <v>122</v>
      </c>
      <c r="DH921" s="160" t="s">
        <v>125</v>
      </c>
      <c r="DI921" s="160" t="s">
        <v>2750</v>
      </c>
      <c r="DJ921" s="160" t="s">
        <v>2750</v>
      </c>
      <c r="DK921" s="160" t="s">
        <v>1259</v>
      </c>
      <c r="DL921" s="160" t="s">
        <v>1260</v>
      </c>
      <c r="DM921" s="160" t="s">
        <v>1812</v>
      </c>
      <c r="DN921" s="161" t="s">
        <v>1813</v>
      </c>
      <c r="DP921" s="130">
        <v>1</v>
      </c>
    </row>
    <row r="922" spans="2:120" ht="15">
      <c r="B922" s="231"/>
      <c r="C922" s="231"/>
      <c r="D922" s="231"/>
      <c r="E922" s="231" cm="1">
        <f t="array" ref="E922">IF(H921&lt;&gt;"",E921,IF(E921="","",IFERROR(MATCH(TRUE(),INDEX(INDEX(K:K,E921+1):K203&lt;&gt;"",0),0)+E921,"")))</f>
        <v>1014</v>
      </c>
      <c r="F922" s="232" cm="1">
        <f t="array" ref="F922">IF(E922="","",IF(H921&lt;&gt;"",H921,INDEX(D:D,E922)))</f>
        <v>0</v>
      </c>
      <c r="G922" s="232" t="str">
        <f t="shared" si="96"/>
        <v>0</v>
      </c>
      <c r="H922" s="233" t="str">
        <f t="shared" si="97"/>
        <v/>
      </c>
      <c r="I922" s="231" t="str">
        <f>IF(AND(F922&lt;&gt;"",N10&gt;0,M922&gt;N10),"Mot &gt; limite","")</f>
        <v/>
      </c>
      <c r="M922" s="126">
        <f>IF(OR(F922="",N10="",N10&lt;=0),"",IF(LEN(F922)&lt;=N10,LEN(F922),IFERROR(FIND("♦",SUBSTITUTE(LEFT(F922,N10)," ","♦",LEN(LEFT(F922,N10))-LEN(SUBSTITUTE(LEFT(F922,N10)," ","")))),FIND(" ",F922&amp;" ",N10+1)-1)))</f>
        <v>1</v>
      </c>
      <c r="N922" s="234">
        <f t="shared" si="98"/>
        <v>905</v>
      </c>
      <c r="O922" s="165" t="str">
        <f t="shared" si="99"/>
        <v>0</v>
      </c>
      <c r="P922" s="234">
        <f t="shared" si="100"/>
        <v>1</v>
      </c>
      <c r="Q922" s="234">
        <f t="shared" si="101"/>
        <v>1</v>
      </c>
      <c r="DE922" s="152"/>
      <c r="DF922" s="160" t="s">
        <v>2751</v>
      </c>
      <c r="DG922" s="160" t="s">
        <v>122</v>
      </c>
      <c r="DH922" s="160" t="s">
        <v>125</v>
      </c>
      <c r="DI922" s="160" t="s">
        <v>2752</v>
      </c>
      <c r="DJ922" s="160" t="s">
        <v>2752</v>
      </c>
      <c r="DK922" s="160" t="s">
        <v>1259</v>
      </c>
      <c r="DL922" s="160" t="s">
        <v>1260</v>
      </c>
      <c r="DM922" s="160" t="s">
        <v>1812</v>
      </c>
      <c r="DN922" s="161" t="s">
        <v>1813</v>
      </c>
      <c r="DP922" s="130">
        <v>1</v>
      </c>
    </row>
    <row r="923" spans="2:120" ht="15">
      <c r="B923" s="231"/>
      <c r="C923" s="231"/>
      <c r="D923" s="231"/>
      <c r="E923" s="231" cm="1">
        <f t="array" ref="E923">IF(H922&lt;&gt;"",E922,IF(E922="","",IFERROR(MATCH(TRUE(),INDEX(INDEX(K:K,E922+1):K203&lt;&gt;"",0),0)+E922,"")))</f>
        <v>1015</v>
      </c>
      <c r="F923" s="232" cm="1">
        <f t="array" ref="F923">IF(E923="","",IF(H922&lt;&gt;"",H922,INDEX(D:D,E923)))</f>
        <v>0</v>
      </c>
      <c r="G923" s="232" t="str">
        <f t="shared" si="96"/>
        <v>0</v>
      </c>
      <c r="H923" s="233" t="str">
        <f t="shared" si="97"/>
        <v/>
      </c>
      <c r="I923" s="231" t="str">
        <f>IF(AND(F923&lt;&gt;"",N10&gt;0,M923&gt;N10),"Mot &gt; limite","")</f>
        <v/>
      </c>
      <c r="M923" s="126">
        <f>IF(OR(F923="",N10="",N10&lt;=0),"",IF(LEN(F923)&lt;=N10,LEN(F923),IFERROR(FIND("♦",SUBSTITUTE(LEFT(F923,N10)," ","♦",LEN(LEFT(F923,N10))-LEN(SUBSTITUTE(LEFT(F923,N10)," ","")))),FIND(" ",F923&amp;" ",N10+1)-1)))</f>
        <v>1</v>
      </c>
      <c r="N923" s="234">
        <f t="shared" si="98"/>
        <v>906</v>
      </c>
      <c r="O923" s="165" t="str">
        <f t="shared" si="99"/>
        <v>0</v>
      </c>
      <c r="P923" s="234">
        <f t="shared" si="100"/>
        <v>1</v>
      </c>
      <c r="Q923" s="234">
        <f t="shared" si="101"/>
        <v>1</v>
      </c>
      <c r="DE923" s="152"/>
      <c r="DF923" s="160" t="s">
        <v>2753</v>
      </c>
      <c r="DG923" s="160" t="s">
        <v>122</v>
      </c>
      <c r="DH923" s="160" t="s">
        <v>125</v>
      </c>
      <c r="DI923" s="160" t="s">
        <v>2754</v>
      </c>
      <c r="DJ923" s="160" t="s">
        <v>2754</v>
      </c>
      <c r="DK923" s="160" t="s">
        <v>1259</v>
      </c>
      <c r="DL923" s="160" t="s">
        <v>1260</v>
      </c>
      <c r="DM923" s="160" t="s">
        <v>1812</v>
      </c>
      <c r="DN923" s="161" t="s">
        <v>1813</v>
      </c>
      <c r="DP923" s="130">
        <v>1</v>
      </c>
    </row>
    <row r="924" spans="2:120" ht="15">
      <c r="B924" s="231"/>
      <c r="C924" s="231"/>
      <c r="D924" s="231"/>
      <c r="E924" s="231" cm="1">
        <f t="array" ref="E924">IF(H923&lt;&gt;"",E923,IF(E923="","",IFERROR(MATCH(TRUE(),INDEX(INDEX(K:K,E923+1):K203&lt;&gt;"",0),0)+E923,"")))</f>
        <v>1016</v>
      </c>
      <c r="F924" s="232" cm="1">
        <f t="array" ref="F924">IF(E924="","",IF(H923&lt;&gt;"",H923,INDEX(D:D,E924)))</f>
        <v>0</v>
      </c>
      <c r="G924" s="232" t="str">
        <f t="shared" si="96"/>
        <v>0</v>
      </c>
      <c r="H924" s="233" t="str">
        <f t="shared" si="97"/>
        <v/>
      </c>
      <c r="I924" s="231" t="str">
        <f>IF(AND(F924&lt;&gt;"",N10&gt;0,M924&gt;N10),"Mot &gt; limite","")</f>
        <v/>
      </c>
      <c r="M924" s="126">
        <f>IF(OR(F924="",N10="",N10&lt;=0),"",IF(LEN(F924)&lt;=N10,LEN(F924),IFERROR(FIND("♦",SUBSTITUTE(LEFT(F924,N10)," ","♦",LEN(LEFT(F924,N10))-LEN(SUBSTITUTE(LEFT(F924,N10)," ","")))),FIND(" ",F924&amp;" ",N10+1)-1)))</f>
        <v>1</v>
      </c>
      <c r="N924" s="234">
        <f t="shared" si="98"/>
        <v>907</v>
      </c>
      <c r="O924" s="165" t="str">
        <f t="shared" si="99"/>
        <v>0</v>
      </c>
      <c r="P924" s="234">
        <f t="shared" si="100"/>
        <v>1</v>
      </c>
      <c r="Q924" s="234">
        <f t="shared" si="101"/>
        <v>1</v>
      </c>
      <c r="DE924" s="152"/>
      <c r="DF924" s="160" t="s">
        <v>2755</v>
      </c>
      <c r="DG924" s="160" t="s">
        <v>122</v>
      </c>
      <c r="DH924" s="160" t="s">
        <v>125</v>
      </c>
      <c r="DI924" s="160" t="s">
        <v>2756</v>
      </c>
      <c r="DJ924" s="160" t="s">
        <v>2756</v>
      </c>
      <c r="DK924" s="160" t="s">
        <v>588</v>
      </c>
      <c r="DL924" s="160" t="s">
        <v>1895</v>
      </c>
      <c r="DM924" s="160" t="s">
        <v>590</v>
      </c>
      <c r="DN924" s="161" t="s">
        <v>591</v>
      </c>
      <c r="DP924" s="130">
        <v>1</v>
      </c>
    </row>
    <row r="925" spans="2:120" ht="15">
      <c r="B925" s="231"/>
      <c r="C925" s="231"/>
      <c r="D925" s="231"/>
      <c r="E925" s="231" cm="1">
        <f t="array" ref="E925">IF(H924&lt;&gt;"",E924,IF(E924="","",IFERROR(MATCH(TRUE(),INDEX(INDEX(K:K,E924+1):K203&lt;&gt;"",0),0)+E924,"")))</f>
        <v>1017</v>
      </c>
      <c r="F925" s="232" cm="1">
        <f t="array" ref="F925">IF(E925="","",IF(H924&lt;&gt;"",H924,INDEX(D:D,E925)))</f>
        <v>0</v>
      </c>
      <c r="G925" s="232" t="str">
        <f t="shared" si="96"/>
        <v>0</v>
      </c>
      <c r="H925" s="233" t="str">
        <f t="shared" si="97"/>
        <v/>
      </c>
      <c r="I925" s="231" t="str">
        <f>IF(AND(F925&lt;&gt;"",N10&gt;0,M925&gt;N10),"Mot &gt; limite","")</f>
        <v/>
      </c>
      <c r="M925" s="126">
        <f>IF(OR(F925="",N10="",N10&lt;=0),"",IF(LEN(F925)&lt;=N10,LEN(F925),IFERROR(FIND("♦",SUBSTITUTE(LEFT(F925,N10)," ","♦",LEN(LEFT(F925,N10))-LEN(SUBSTITUTE(LEFT(F925,N10)," ","")))),FIND(" ",F925&amp;" ",N10+1)-1)))</f>
        <v>1</v>
      </c>
      <c r="N925" s="234">
        <f t="shared" si="98"/>
        <v>908</v>
      </c>
      <c r="O925" s="165" t="str">
        <f t="shared" si="99"/>
        <v>0</v>
      </c>
      <c r="P925" s="234">
        <f t="shared" si="100"/>
        <v>1</v>
      </c>
      <c r="Q925" s="234">
        <f t="shared" si="101"/>
        <v>1</v>
      </c>
      <c r="DE925" s="152"/>
      <c r="DF925" s="160" t="s">
        <v>2757</v>
      </c>
      <c r="DG925" s="160" t="s">
        <v>122</v>
      </c>
      <c r="DH925" s="160" t="s">
        <v>125</v>
      </c>
      <c r="DI925" s="160" t="s">
        <v>2758</v>
      </c>
      <c r="DJ925" s="160" t="s">
        <v>2758</v>
      </c>
      <c r="DK925" s="160" t="s">
        <v>1259</v>
      </c>
      <c r="DL925" s="160" t="s">
        <v>1260</v>
      </c>
      <c r="DM925" s="160" t="s">
        <v>1812</v>
      </c>
      <c r="DN925" s="161" t="s">
        <v>1813</v>
      </c>
      <c r="DP925" s="130">
        <v>1</v>
      </c>
    </row>
    <row r="926" spans="2:120" ht="15">
      <c r="B926" s="231"/>
      <c r="C926" s="231"/>
      <c r="D926" s="231"/>
      <c r="E926" s="231" cm="1">
        <f t="array" ref="E926">IF(H925&lt;&gt;"",E925,IF(E925="","",IFERROR(MATCH(TRUE(),INDEX(INDEX(K:K,E925+1):K203&lt;&gt;"",0),0)+E925,"")))</f>
        <v>1018</v>
      </c>
      <c r="F926" s="232" cm="1">
        <f t="array" ref="F926">IF(E926="","",IF(H925&lt;&gt;"",H925,INDEX(D:D,E926)))</f>
        <v>0</v>
      </c>
      <c r="G926" s="232" t="str">
        <f t="shared" si="96"/>
        <v>0</v>
      </c>
      <c r="H926" s="233" t="str">
        <f t="shared" si="97"/>
        <v/>
      </c>
      <c r="I926" s="231" t="str">
        <f>IF(AND(F926&lt;&gt;"",N10&gt;0,M926&gt;N10),"Mot &gt; limite","")</f>
        <v/>
      </c>
      <c r="M926" s="126">
        <f>IF(OR(F926="",N10="",N10&lt;=0),"",IF(LEN(F926)&lt;=N10,LEN(F926),IFERROR(FIND("♦",SUBSTITUTE(LEFT(F926,N10)," ","♦",LEN(LEFT(F926,N10))-LEN(SUBSTITUTE(LEFT(F926,N10)," ","")))),FIND(" ",F926&amp;" ",N10+1)-1)))</f>
        <v>1</v>
      </c>
      <c r="N926" s="234">
        <f t="shared" si="98"/>
        <v>909</v>
      </c>
      <c r="O926" s="165" t="str">
        <f t="shared" si="99"/>
        <v>0</v>
      </c>
      <c r="P926" s="234">
        <f t="shared" si="100"/>
        <v>1</v>
      </c>
      <c r="Q926" s="234">
        <f t="shared" si="101"/>
        <v>1</v>
      </c>
      <c r="DE926" s="152"/>
      <c r="DF926" s="160" t="s">
        <v>2759</v>
      </c>
      <c r="DG926" s="160" t="s">
        <v>122</v>
      </c>
      <c r="DH926" s="160" t="s">
        <v>125</v>
      </c>
      <c r="DI926" s="160" t="s">
        <v>2760</v>
      </c>
      <c r="DJ926" s="160" t="s">
        <v>2760</v>
      </c>
      <c r="DK926" s="160" t="s">
        <v>1259</v>
      </c>
      <c r="DL926" s="160" t="s">
        <v>1260</v>
      </c>
      <c r="DM926" s="160" t="s">
        <v>1812</v>
      </c>
      <c r="DN926" s="161" t="s">
        <v>1813</v>
      </c>
      <c r="DP926" s="130">
        <v>1</v>
      </c>
    </row>
    <row r="927" spans="2:120" ht="15">
      <c r="B927" s="231"/>
      <c r="C927" s="231"/>
      <c r="D927" s="231"/>
      <c r="E927" s="231" cm="1">
        <f t="array" ref="E927">IF(H926&lt;&gt;"",E926,IF(E926="","",IFERROR(MATCH(TRUE(),INDEX(INDEX(K:K,E926+1):K203&lt;&gt;"",0),0)+E926,"")))</f>
        <v>1019</v>
      </c>
      <c r="F927" s="232" cm="1">
        <f t="array" ref="F927">IF(E927="","",IF(H926&lt;&gt;"",H926,INDEX(D:D,E927)))</f>
        <v>0</v>
      </c>
      <c r="G927" s="232" t="str">
        <f t="shared" si="96"/>
        <v>0</v>
      </c>
      <c r="H927" s="233" t="str">
        <f t="shared" si="97"/>
        <v/>
      </c>
      <c r="I927" s="231" t="str">
        <f>IF(AND(F927&lt;&gt;"",N10&gt;0,M927&gt;N10),"Mot &gt; limite","")</f>
        <v/>
      </c>
      <c r="M927" s="126">
        <f>IF(OR(F927="",N10="",N10&lt;=0),"",IF(LEN(F927)&lt;=N10,LEN(F927),IFERROR(FIND("♦",SUBSTITUTE(LEFT(F927,N10)," ","♦",LEN(LEFT(F927,N10))-LEN(SUBSTITUTE(LEFT(F927,N10)," ","")))),FIND(" ",F927&amp;" ",N10+1)-1)))</f>
        <v>1</v>
      </c>
      <c r="N927" s="234">
        <f t="shared" si="98"/>
        <v>910</v>
      </c>
      <c r="O927" s="165" t="str">
        <f t="shared" si="99"/>
        <v>0</v>
      </c>
      <c r="P927" s="234">
        <f t="shared" si="100"/>
        <v>1</v>
      </c>
      <c r="Q927" s="234">
        <f t="shared" si="101"/>
        <v>1</v>
      </c>
      <c r="DE927" s="152"/>
      <c r="DF927" s="160" t="s">
        <v>2761</v>
      </c>
      <c r="DG927" s="160" t="s">
        <v>122</v>
      </c>
      <c r="DH927" s="160" t="s">
        <v>125</v>
      </c>
      <c r="DI927" s="160" t="s">
        <v>2762</v>
      </c>
      <c r="DJ927" s="160" t="s">
        <v>2762</v>
      </c>
      <c r="DK927" s="160" t="s">
        <v>1259</v>
      </c>
      <c r="DL927" s="160" t="s">
        <v>1260</v>
      </c>
      <c r="DM927" s="160" t="s">
        <v>1812</v>
      </c>
      <c r="DN927" s="161" t="s">
        <v>1813</v>
      </c>
      <c r="DP927" s="130">
        <v>1</v>
      </c>
    </row>
    <row r="928" spans="2:120" ht="15">
      <c r="B928" s="231"/>
      <c r="C928" s="231"/>
      <c r="D928" s="231"/>
      <c r="E928" s="231" cm="1">
        <f t="array" ref="E928">IF(H927&lt;&gt;"",E927,IF(E927="","",IFERROR(MATCH(TRUE(),INDEX(INDEX(K:K,E927+1):K203&lt;&gt;"",0),0)+E927,"")))</f>
        <v>1020</v>
      </c>
      <c r="F928" s="232" cm="1">
        <f t="array" ref="F928">IF(E928="","",IF(H927&lt;&gt;"",H927,INDEX(D:D,E928)))</f>
        <v>0</v>
      </c>
      <c r="G928" s="232" t="str">
        <f t="shared" si="96"/>
        <v>0</v>
      </c>
      <c r="H928" s="233" t="str">
        <f t="shared" si="97"/>
        <v/>
      </c>
      <c r="I928" s="231" t="str">
        <f>IF(AND(F928&lt;&gt;"",N10&gt;0,M928&gt;N10),"Mot &gt; limite","")</f>
        <v/>
      </c>
      <c r="M928" s="126">
        <f>IF(OR(F928="",N10="",N10&lt;=0),"",IF(LEN(F928)&lt;=N10,LEN(F928),IFERROR(FIND("♦",SUBSTITUTE(LEFT(F928,N10)," ","♦",LEN(LEFT(F928,N10))-LEN(SUBSTITUTE(LEFT(F928,N10)," ","")))),FIND(" ",F928&amp;" ",N10+1)-1)))</f>
        <v>1</v>
      </c>
      <c r="N928" s="234">
        <f t="shared" si="98"/>
        <v>911</v>
      </c>
      <c r="O928" s="165" t="str">
        <f t="shared" si="99"/>
        <v>0</v>
      </c>
      <c r="P928" s="234">
        <f t="shared" si="100"/>
        <v>1</v>
      </c>
      <c r="Q928" s="234">
        <f t="shared" si="101"/>
        <v>1</v>
      </c>
      <c r="DE928" s="152"/>
      <c r="DF928" s="160" t="s">
        <v>2763</v>
      </c>
      <c r="DG928" s="160" t="s">
        <v>122</v>
      </c>
      <c r="DH928" s="160" t="s">
        <v>125</v>
      </c>
      <c r="DI928" s="160" t="s">
        <v>2764</v>
      </c>
      <c r="DJ928" s="160" t="s">
        <v>2764</v>
      </c>
      <c r="DK928" s="160" t="s">
        <v>1259</v>
      </c>
      <c r="DL928" s="160" t="s">
        <v>1260</v>
      </c>
      <c r="DM928" s="160" t="s">
        <v>1812</v>
      </c>
      <c r="DN928" s="161" t="s">
        <v>1813</v>
      </c>
      <c r="DP928" s="130">
        <v>1</v>
      </c>
    </row>
    <row r="929" spans="2:120" ht="15">
      <c r="B929" s="231"/>
      <c r="C929" s="231"/>
      <c r="D929" s="231"/>
      <c r="E929" s="231" cm="1">
        <f t="array" ref="E929">IF(H928&lt;&gt;"",E928,IF(E928="","",IFERROR(MATCH(TRUE(),INDEX(INDEX(K:K,E928+1):K203&lt;&gt;"",0),0)+E928,"")))</f>
        <v>1021</v>
      </c>
      <c r="F929" s="232" cm="1">
        <f t="array" ref="F929">IF(E929="","",IF(H928&lt;&gt;"",H928,INDEX(D:D,E929)))</f>
        <v>0</v>
      </c>
      <c r="G929" s="232" t="str">
        <f t="shared" si="96"/>
        <v>0</v>
      </c>
      <c r="H929" s="233" t="str">
        <f t="shared" si="97"/>
        <v/>
      </c>
      <c r="I929" s="231" t="str">
        <f>IF(AND(F929&lt;&gt;"",N10&gt;0,M929&gt;N10),"Mot &gt; limite","")</f>
        <v/>
      </c>
      <c r="M929" s="126">
        <f>IF(OR(F929="",N10="",N10&lt;=0),"",IF(LEN(F929)&lt;=N10,LEN(F929),IFERROR(FIND("♦",SUBSTITUTE(LEFT(F929,N10)," ","♦",LEN(LEFT(F929,N10))-LEN(SUBSTITUTE(LEFT(F929,N10)," ","")))),FIND(" ",F929&amp;" ",N10+1)-1)))</f>
        <v>1</v>
      </c>
      <c r="N929" s="234">
        <f t="shared" si="98"/>
        <v>912</v>
      </c>
      <c r="O929" s="165" t="str">
        <f t="shared" si="99"/>
        <v>0</v>
      </c>
      <c r="P929" s="234">
        <f t="shared" si="100"/>
        <v>1</v>
      </c>
      <c r="Q929" s="234">
        <f t="shared" si="101"/>
        <v>1</v>
      </c>
      <c r="DE929" s="152"/>
      <c r="DF929" s="160" t="s">
        <v>2765</v>
      </c>
      <c r="DG929" s="160" t="s">
        <v>122</v>
      </c>
      <c r="DH929" s="160" t="s">
        <v>125</v>
      </c>
      <c r="DI929" s="160" t="s">
        <v>2766</v>
      </c>
      <c r="DJ929" s="160" t="s">
        <v>2766</v>
      </c>
      <c r="DK929" s="160" t="s">
        <v>1259</v>
      </c>
      <c r="DL929" s="160" t="s">
        <v>1260</v>
      </c>
      <c r="DM929" s="160" t="s">
        <v>1812</v>
      </c>
      <c r="DN929" s="161" t="s">
        <v>1813</v>
      </c>
      <c r="DP929" s="130">
        <v>1</v>
      </c>
    </row>
    <row r="930" spans="2:120" ht="15">
      <c r="B930" s="231"/>
      <c r="C930" s="231"/>
      <c r="D930" s="231"/>
      <c r="E930" s="231" cm="1">
        <f t="array" ref="E930">IF(H929&lt;&gt;"",E929,IF(E929="","",IFERROR(MATCH(TRUE(),INDEX(INDEX(K:K,E929+1):K203&lt;&gt;"",0),0)+E929,"")))</f>
        <v>1022</v>
      </c>
      <c r="F930" s="232" cm="1">
        <f t="array" ref="F930">IF(E930="","",IF(H929&lt;&gt;"",H929,INDEX(D:D,E930)))</f>
        <v>0</v>
      </c>
      <c r="G930" s="232" t="str">
        <f t="shared" si="96"/>
        <v>0</v>
      </c>
      <c r="H930" s="233" t="str">
        <f t="shared" si="97"/>
        <v/>
      </c>
      <c r="I930" s="231" t="str">
        <f>IF(AND(F930&lt;&gt;"",N10&gt;0,M930&gt;N10),"Mot &gt; limite","")</f>
        <v/>
      </c>
      <c r="M930" s="126">
        <f>IF(OR(F930="",N10="",N10&lt;=0),"",IF(LEN(F930)&lt;=N10,LEN(F930),IFERROR(FIND("♦",SUBSTITUTE(LEFT(F930,N10)," ","♦",LEN(LEFT(F930,N10))-LEN(SUBSTITUTE(LEFT(F930,N10)," ","")))),FIND(" ",F930&amp;" ",N10+1)-1)))</f>
        <v>1</v>
      </c>
      <c r="N930" s="234">
        <f t="shared" si="98"/>
        <v>913</v>
      </c>
      <c r="O930" s="165" t="str">
        <f t="shared" si="99"/>
        <v>0</v>
      </c>
      <c r="P930" s="234">
        <f t="shared" si="100"/>
        <v>1</v>
      </c>
      <c r="Q930" s="234">
        <f t="shared" si="101"/>
        <v>1</v>
      </c>
      <c r="DE930" s="152"/>
      <c r="DF930" s="160" t="s">
        <v>2767</v>
      </c>
      <c r="DG930" s="160" t="s">
        <v>122</v>
      </c>
      <c r="DH930" s="160" t="s">
        <v>125</v>
      </c>
      <c r="DI930" s="160" t="s">
        <v>2768</v>
      </c>
      <c r="DJ930" s="160" t="s">
        <v>2768</v>
      </c>
      <c r="DK930" s="160" t="s">
        <v>1259</v>
      </c>
      <c r="DL930" s="160" t="s">
        <v>1260</v>
      </c>
      <c r="DM930" s="160" t="s">
        <v>1812</v>
      </c>
      <c r="DN930" s="161" t="s">
        <v>1813</v>
      </c>
      <c r="DP930" s="130">
        <v>1</v>
      </c>
    </row>
    <row r="931" spans="2:120" ht="15">
      <c r="B931" s="231"/>
      <c r="C931" s="231"/>
      <c r="D931" s="231"/>
      <c r="E931" s="231" cm="1">
        <f t="array" ref="E931">IF(H930&lt;&gt;"",E930,IF(E930="","",IFERROR(MATCH(TRUE(),INDEX(INDEX(K:K,E930+1):K203&lt;&gt;"",0),0)+E930,"")))</f>
        <v>1023</v>
      </c>
      <c r="F931" s="232" cm="1">
        <f t="array" ref="F931">IF(E931="","",IF(H930&lt;&gt;"",H930,INDEX(D:D,E931)))</f>
        <v>0</v>
      </c>
      <c r="G931" s="232" t="str">
        <f t="shared" si="96"/>
        <v>0</v>
      </c>
      <c r="H931" s="233" t="str">
        <f t="shared" si="97"/>
        <v/>
      </c>
      <c r="I931" s="231" t="str">
        <f>IF(AND(F931&lt;&gt;"",N10&gt;0,M931&gt;N10),"Mot &gt; limite","")</f>
        <v/>
      </c>
      <c r="M931" s="126">
        <f>IF(OR(F931="",N10="",N10&lt;=0),"",IF(LEN(F931)&lt;=N10,LEN(F931),IFERROR(FIND("♦",SUBSTITUTE(LEFT(F931,N10)," ","♦",LEN(LEFT(F931,N10))-LEN(SUBSTITUTE(LEFT(F931,N10)," ","")))),FIND(" ",F931&amp;" ",N10+1)-1)))</f>
        <v>1</v>
      </c>
      <c r="N931" s="234">
        <f t="shared" si="98"/>
        <v>914</v>
      </c>
      <c r="O931" s="165" t="str">
        <f t="shared" si="99"/>
        <v>0</v>
      </c>
      <c r="P931" s="234">
        <f t="shared" si="100"/>
        <v>1</v>
      </c>
      <c r="Q931" s="234">
        <f t="shared" si="101"/>
        <v>1</v>
      </c>
      <c r="DE931" s="152"/>
      <c r="DF931" s="160" t="s">
        <v>2769</v>
      </c>
      <c r="DG931" s="160" t="s">
        <v>122</v>
      </c>
      <c r="DH931" s="160" t="s">
        <v>125</v>
      </c>
      <c r="DI931" s="160" t="s">
        <v>2770</v>
      </c>
      <c r="DJ931" s="160" t="s">
        <v>2770</v>
      </c>
      <c r="DK931" s="160" t="s">
        <v>1259</v>
      </c>
      <c r="DL931" s="160" t="s">
        <v>1260</v>
      </c>
      <c r="DM931" s="160" t="s">
        <v>1812</v>
      </c>
      <c r="DN931" s="161" t="s">
        <v>1813</v>
      </c>
      <c r="DP931" s="130">
        <v>1</v>
      </c>
    </row>
    <row r="932" spans="2:120" ht="15">
      <c r="B932" s="231"/>
      <c r="C932" s="231"/>
      <c r="D932" s="231"/>
      <c r="E932" s="231" cm="1">
        <f t="array" ref="E932">IF(H931&lt;&gt;"",E931,IF(E931="","",IFERROR(MATCH(TRUE(),INDEX(INDEX(K:K,E931+1):K203&lt;&gt;"",0),0)+E931,"")))</f>
        <v>1024</v>
      </c>
      <c r="F932" s="232" cm="1">
        <f t="array" ref="F932">IF(E932="","",IF(H931&lt;&gt;"",H931,INDEX(D:D,E932)))</f>
        <v>0</v>
      </c>
      <c r="G932" s="232" t="str">
        <f t="shared" si="96"/>
        <v>0</v>
      </c>
      <c r="H932" s="233" t="str">
        <f t="shared" si="97"/>
        <v/>
      </c>
      <c r="I932" s="231" t="str">
        <f>IF(AND(F932&lt;&gt;"",N10&gt;0,M932&gt;N10),"Mot &gt; limite","")</f>
        <v/>
      </c>
      <c r="M932" s="126">
        <f>IF(OR(F932="",N10="",N10&lt;=0),"",IF(LEN(F932)&lt;=N10,LEN(F932),IFERROR(FIND("♦",SUBSTITUTE(LEFT(F932,N10)," ","♦",LEN(LEFT(F932,N10))-LEN(SUBSTITUTE(LEFT(F932,N10)," ","")))),FIND(" ",F932&amp;" ",N10+1)-1)))</f>
        <v>1</v>
      </c>
      <c r="N932" s="234">
        <f t="shared" si="98"/>
        <v>915</v>
      </c>
      <c r="O932" s="165" t="str">
        <f t="shared" si="99"/>
        <v>0</v>
      </c>
      <c r="P932" s="234">
        <f t="shared" si="100"/>
        <v>1</v>
      </c>
      <c r="Q932" s="234">
        <f t="shared" si="101"/>
        <v>1</v>
      </c>
      <c r="DE932" s="152"/>
      <c r="DF932" s="160" t="s">
        <v>2771</v>
      </c>
      <c r="DG932" s="160" t="s">
        <v>122</v>
      </c>
      <c r="DH932" s="160" t="s">
        <v>125</v>
      </c>
      <c r="DI932" s="160" t="s">
        <v>2772</v>
      </c>
      <c r="DJ932" s="160" t="s">
        <v>2772</v>
      </c>
      <c r="DK932" s="160" t="s">
        <v>1259</v>
      </c>
      <c r="DL932" s="160" t="s">
        <v>1260</v>
      </c>
      <c r="DM932" s="160" t="s">
        <v>1812</v>
      </c>
      <c r="DN932" s="161" t="s">
        <v>1813</v>
      </c>
      <c r="DP932" s="130">
        <v>1</v>
      </c>
    </row>
    <row r="933" spans="2:120" ht="15">
      <c r="B933" s="231"/>
      <c r="C933" s="231"/>
      <c r="D933" s="231"/>
      <c r="E933" s="231" cm="1">
        <f t="array" ref="E933">IF(H932&lt;&gt;"",E932,IF(E932="","",IFERROR(MATCH(TRUE(),INDEX(INDEX(K:K,E932+1):K203&lt;&gt;"",0),0)+E932,"")))</f>
        <v>1025</v>
      </c>
      <c r="F933" s="232" cm="1">
        <f t="array" ref="F933">IF(E933="","",IF(H932&lt;&gt;"",H932,INDEX(D:D,E933)))</f>
        <v>0</v>
      </c>
      <c r="G933" s="232" t="str">
        <f t="shared" si="96"/>
        <v>0</v>
      </c>
      <c r="H933" s="233" t="str">
        <f t="shared" si="97"/>
        <v/>
      </c>
      <c r="I933" s="231" t="str">
        <f>IF(AND(F933&lt;&gt;"",N10&gt;0,M933&gt;N10),"Mot &gt; limite","")</f>
        <v/>
      </c>
      <c r="M933" s="126">
        <f>IF(OR(F933="",N10="",N10&lt;=0),"",IF(LEN(F933)&lt;=N10,LEN(F933),IFERROR(FIND("♦",SUBSTITUTE(LEFT(F933,N10)," ","♦",LEN(LEFT(F933,N10))-LEN(SUBSTITUTE(LEFT(F933,N10)," ","")))),FIND(" ",F933&amp;" ",N10+1)-1)))</f>
        <v>1</v>
      </c>
      <c r="N933" s="234">
        <f t="shared" si="98"/>
        <v>916</v>
      </c>
      <c r="O933" s="165" t="str">
        <f t="shared" si="99"/>
        <v>0</v>
      </c>
      <c r="P933" s="234">
        <f t="shared" si="100"/>
        <v>1</v>
      </c>
      <c r="Q933" s="234">
        <f t="shared" si="101"/>
        <v>1</v>
      </c>
      <c r="DE933" s="152"/>
      <c r="DF933" s="160" t="s">
        <v>2773</v>
      </c>
      <c r="DG933" s="160" t="s">
        <v>122</v>
      </c>
      <c r="DH933" s="160" t="s">
        <v>125</v>
      </c>
      <c r="DI933" s="160" t="s">
        <v>2774</v>
      </c>
      <c r="DJ933" s="160" t="s">
        <v>2774</v>
      </c>
      <c r="DK933" s="160" t="s">
        <v>1259</v>
      </c>
      <c r="DL933" s="160" t="s">
        <v>1260</v>
      </c>
      <c r="DM933" s="160" t="s">
        <v>1812</v>
      </c>
      <c r="DN933" s="161" t="s">
        <v>1813</v>
      </c>
      <c r="DP933" s="130">
        <v>1</v>
      </c>
    </row>
    <row r="934" spans="2:120" ht="15">
      <c r="B934" s="231"/>
      <c r="C934" s="231"/>
      <c r="D934" s="231"/>
      <c r="E934" s="231" cm="1">
        <f t="array" ref="E934">IF(H933&lt;&gt;"",E933,IF(E933="","",IFERROR(MATCH(TRUE(),INDEX(INDEX(K:K,E933+1):K203&lt;&gt;"",0),0)+E933,"")))</f>
        <v>1026</v>
      </c>
      <c r="F934" s="232" cm="1">
        <f t="array" ref="F934">IF(E934="","",IF(H933&lt;&gt;"",H933,INDEX(D:D,E934)))</f>
        <v>0</v>
      </c>
      <c r="G934" s="232" t="str">
        <f t="shared" si="96"/>
        <v>0</v>
      </c>
      <c r="H934" s="233" t="str">
        <f t="shared" si="97"/>
        <v/>
      </c>
      <c r="I934" s="231" t="str">
        <f>IF(AND(F934&lt;&gt;"",N10&gt;0,M934&gt;N10),"Mot &gt; limite","")</f>
        <v/>
      </c>
      <c r="M934" s="126">
        <f>IF(OR(F934="",N10="",N10&lt;=0),"",IF(LEN(F934)&lt;=N10,LEN(F934),IFERROR(FIND("♦",SUBSTITUTE(LEFT(F934,N10)," ","♦",LEN(LEFT(F934,N10))-LEN(SUBSTITUTE(LEFT(F934,N10)," ","")))),FIND(" ",F934&amp;" ",N10+1)-1)))</f>
        <v>1</v>
      </c>
      <c r="N934" s="234">
        <f t="shared" si="98"/>
        <v>917</v>
      </c>
      <c r="O934" s="165" t="str">
        <f t="shared" si="99"/>
        <v>0</v>
      </c>
      <c r="P934" s="234">
        <f t="shared" si="100"/>
        <v>1</v>
      </c>
      <c r="Q934" s="234">
        <f t="shared" si="101"/>
        <v>1</v>
      </c>
      <c r="DE934" s="152"/>
      <c r="DF934" s="160" t="s">
        <v>2775</v>
      </c>
      <c r="DG934" s="160" t="s">
        <v>122</v>
      </c>
      <c r="DH934" s="160" t="s">
        <v>125</v>
      </c>
      <c r="DI934" s="160" t="s">
        <v>2776</v>
      </c>
      <c r="DJ934" s="160" t="s">
        <v>2776</v>
      </c>
      <c r="DK934" s="160" t="s">
        <v>1259</v>
      </c>
      <c r="DL934" s="160" t="s">
        <v>1260</v>
      </c>
      <c r="DM934" s="160" t="s">
        <v>1812</v>
      </c>
      <c r="DN934" s="161" t="s">
        <v>1813</v>
      </c>
      <c r="DP934" s="130">
        <v>1</v>
      </c>
    </row>
    <row r="935" spans="2:120" ht="15">
      <c r="B935" s="231"/>
      <c r="C935" s="231"/>
      <c r="D935" s="231"/>
      <c r="E935" s="231" cm="1">
        <f t="array" ref="E935">IF(H934&lt;&gt;"",E934,IF(E934="","",IFERROR(MATCH(TRUE(),INDEX(INDEX(K:K,E934+1):K203&lt;&gt;"",0),0)+E934,"")))</f>
        <v>1027</v>
      </c>
      <c r="F935" s="232" cm="1">
        <f t="array" ref="F935">IF(E935="","",IF(H934&lt;&gt;"",H934,INDEX(D:D,E935)))</f>
        <v>0</v>
      </c>
      <c r="G935" s="232" t="str">
        <f t="shared" si="96"/>
        <v>0</v>
      </c>
      <c r="H935" s="233" t="str">
        <f t="shared" si="97"/>
        <v/>
      </c>
      <c r="I935" s="231" t="str">
        <f>IF(AND(F935&lt;&gt;"",N10&gt;0,M935&gt;N10),"Mot &gt; limite","")</f>
        <v/>
      </c>
      <c r="M935" s="126">
        <f>IF(OR(F935="",N10="",N10&lt;=0),"",IF(LEN(F935)&lt;=N10,LEN(F935),IFERROR(FIND("♦",SUBSTITUTE(LEFT(F935,N10)," ","♦",LEN(LEFT(F935,N10))-LEN(SUBSTITUTE(LEFT(F935,N10)," ","")))),FIND(" ",F935&amp;" ",N10+1)-1)))</f>
        <v>1</v>
      </c>
      <c r="N935" s="234">
        <f t="shared" si="98"/>
        <v>918</v>
      </c>
      <c r="O935" s="165" t="str">
        <f t="shared" si="99"/>
        <v>0</v>
      </c>
      <c r="P935" s="234">
        <f t="shared" si="100"/>
        <v>1</v>
      </c>
      <c r="Q935" s="234">
        <f t="shared" si="101"/>
        <v>1</v>
      </c>
      <c r="DE935" s="152"/>
      <c r="DF935" s="160" t="s">
        <v>2777</v>
      </c>
      <c r="DG935" s="160" t="s">
        <v>122</v>
      </c>
      <c r="DH935" s="160" t="s">
        <v>125</v>
      </c>
      <c r="DI935" s="160" t="s">
        <v>2778</v>
      </c>
      <c r="DJ935" s="160" t="s">
        <v>2778</v>
      </c>
      <c r="DK935" s="160" t="s">
        <v>1259</v>
      </c>
      <c r="DL935" s="160" t="s">
        <v>1260</v>
      </c>
      <c r="DM935" s="160" t="s">
        <v>1812</v>
      </c>
      <c r="DN935" s="161" t="s">
        <v>1813</v>
      </c>
      <c r="DP935" s="130">
        <v>1</v>
      </c>
    </row>
    <row r="936" spans="2:120" ht="15">
      <c r="B936" s="231"/>
      <c r="C936" s="231"/>
      <c r="D936" s="231"/>
      <c r="E936" s="231" cm="1">
        <f t="array" ref="E936">IF(H935&lt;&gt;"",E935,IF(E935="","",IFERROR(MATCH(TRUE(),INDEX(INDEX(K:K,E935+1):K203&lt;&gt;"",0),0)+E935,"")))</f>
        <v>1028</v>
      </c>
      <c r="F936" s="232" cm="1">
        <f t="array" ref="F936">IF(E936="","",IF(H935&lt;&gt;"",H935,INDEX(D:D,E936)))</f>
        <v>0</v>
      </c>
      <c r="G936" s="232" t="str">
        <f t="shared" si="96"/>
        <v>0</v>
      </c>
      <c r="H936" s="233" t="str">
        <f t="shared" si="97"/>
        <v/>
      </c>
      <c r="I936" s="231" t="str">
        <f>IF(AND(F936&lt;&gt;"",N10&gt;0,M936&gt;N10),"Mot &gt; limite","")</f>
        <v/>
      </c>
      <c r="M936" s="126">
        <f>IF(OR(F936="",N10="",N10&lt;=0),"",IF(LEN(F936)&lt;=N10,LEN(F936),IFERROR(FIND("♦",SUBSTITUTE(LEFT(F936,N10)," ","♦",LEN(LEFT(F936,N10))-LEN(SUBSTITUTE(LEFT(F936,N10)," ","")))),FIND(" ",F936&amp;" ",N10+1)-1)))</f>
        <v>1</v>
      </c>
      <c r="N936" s="234">
        <f t="shared" si="98"/>
        <v>919</v>
      </c>
      <c r="O936" s="165" t="str">
        <f t="shared" si="99"/>
        <v>0</v>
      </c>
      <c r="P936" s="234">
        <f t="shared" si="100"/>
        <v>1</v>
      </c>
      <c r="Q936" s="234">
        <f t="shared" si="101"/>
        <v>1</v>
      </c>
      <c r="DE936" s="152"/>
      <c r="DF936" s="160" t="s">
        <v>2779</v>
      </c>
      <c r="DG936" s="160" t="s">
        <v>122</v>
      </c>
      <c r="DH936" s="160" t="s">
        <v>125</v>
      </c>
      <c r="DI936" s="160" t="s">
        <v>293</v>
      </c>
      <c r="DJ936" s="160" t="s">
        <v>293</v>
      </c>
      <c r="DK936" s="160" t="s">
        <v>1259</v>
      </c>
      <c r="DL936" s="160" t="s">
        <v>1260</v>
      </c>
      <c r="DM936" s="160" t="s">
        <v>1812</v>
      </c>
      <c r="DN936" s="161" t="s">
        <v>1813</v>
      </c>
      <c r="DP936" s="130">
        <v>1</v>
      </c>
    </row>
    <row r="937" spans="2:120" ht="15">
      <c r="B937" s="231"/>
      <c r="C937" s="231"/>
      <c r="D937" s="231"/>
      <c r="E937" s="231" cm="1">
        <f t="array" ref="E937">IF(H936&lt;&gt;"",E936,IF(E936="","",IFERROR(MATCH(TRUE(),INDEX(INDEX(K:K,E936+1):K203&lt;&gt;"",0),0)+E936,"")))</f>
        <v>1029</v>
      </c>
      <c r="F937" s="232" cm="1">
        <f t="array" ref="F937">IF(E937="","",IF(H936&lt;&gt;"",H936,INDEX(D:D,E937)))</f>
        <v>0</v>
      </c>
      <c r="G937" s="232" t="str">
        <f t="shared" si="96"/>
        <v>0</v>
      </c>
      <c r="H937" s="233" t="str">
        <f t="shared" si="97"/>
        <v/>
      </c>
      <c r="I937" s="231" t="str">
        <f>IF(AND(F937&lt;&gt;"",N10&gt;0,M937&gt;N10),"Mot &gt; limite","")</f>
        <v/>
      </c>
      <c r="M937" s="126">
        <f>IF(OR(F937="",N10="",N10&lt;=0),"",IF(LEN(F937)&lt;=N10,LEN(F937),IFERROR(FIND("♦",SUBSTITUTE(LEFT(F937,N10)," ","♦",LEN(LEFT(F937,N10))-LEN(SUBSTITUTE(LEFT(F937,N10)," ","")))),FIND(" ",F937&amp;" ",N10+1)-1)))</f>
        <v>1</v>
      </c>
      <c r="N937" s="234">
        <f t="shared" si="98"/>
        <v>920</v>
      </c>
      <c r="O937" s="165" t="str">
        <f t="shared" si="99"/>
        <v>0</v>
      </c>
      <c r="P937" s="234">
        <f t="shared" si="100"/>
        <v>1</v>
      </c>
      <c r="Q937" s="234">
        <f t="shared" si="101"/>
        <v>1</v>
      </c>
      <c r="DE937" s="152"/>
      <c r="DF937" s="160" t="s">
        <v>2780</v>
      </c>
      <c r="DG937" s="160" t="s">
        <v>122</v>
      </c>
      <c r="DH937" s="160" t="s">
        <v>125</v>
      </c>
      <c r="DI937" s="160" t="s">
        <v>2781</v>
      </c>
      <c r="DJ937" s="160" t="s">
        <v>2781</v>
      </c>
      <c r="DK937" s="160" t="s">
        <v>1259</v>
      </c>
      <c r="DL937" s="160" t="s">
        <v>1260</v>
      </c>
      <c r="DM937" s="160" t="s">
        <v>1812</v>
      </c>
      <c r="DN937" s="161" t="s">
        <v>1813</v>
      </c>
      <c r="DP937" s="130">
        <v>1</v>
      </c>
    </row>
    <row r="938" spans="2:120" ht="15">
      <c r="B938" s="231"/>
      <c r="C938" s="231"/>
      <c r="D938" s="231"/>
      <c r="E938" s="231" cm="1">
        <f t="array" ref="E938">IF(H937&lt;&gt;"",E937,IF(E937="","",IFERROR(MATCH(TRUE(),INDEX(INDEX(K:K,E937+1):K203&lt;&gt;"",0),0)+E937,"")))</f>
        <v>1030</v>
      </c>
      <c r="F938" s="232" cm="1">
        <f t="array" ref="F938">IF(E938="","",IF(H937&lt;&gt;"",H937,INDEX(D:D,E938)))</f>
        <v>0</v>
      </c>
      <c r="G938" s="232" t="str">
        <f t="shared" si="96"/>
        <v>0</v>
      </c>
      <c r="H938" s="233" t="str">
        <f t="shared" si="97"/>
        <v/>
      </c>
      <c r="I938" s="231" t="str">
        <f>IF(AND(F938&lt;&gt;"",N10&gt;0,M938&gt;N10),"Mot &gt; limite","")</f>
        <v/>
      </c>
      <c r="M938" s="126">
        <f>IF(OR(F938="",N10="",N10&lt;=0),"",IF(LEN(F938)&lt;=N10,LEN(F938),IFERROR(FIND("♦",SUBSTITUTE(LEFT(F938,N10)," ","♦",LEN(LEFT(F938,N10))-LEN(SUBSTITUTE(LEFT(F938,N10)," ","")))),FIND(" ",F938&amp;" ",N10+1)-1)))</f>
        <v>1</v>
      </c>
      <c r="N938" s="234">
        <f t="shared" si="98"/>
        <v>921</v>
      </c>
      <c r="O938" s="165" t="str">
        <f t="shared" si="99"/>
        <v>0</v>
      </c>
      <c r="P938" s="234">
        <f t="shared" si="100"/>
        <v>1</v>
      </c>
      <c r="Q938" s="234">
        <f t="shared" si="101"/>
        <v>1</v>
      </c>
      <c r="DE938" s="152"/>
      <c r="DF938" s="160" t="s">
        <v>2782</v>
      </c>
      <c r="DG938" s="160" t="s">
        <v>122</v>
      </c>
      <c r="DH938" s="160" t="s">
        <v>125</v>
      </c>
      <c r="DI938" s="160" t="s">
        <v>2783</v>
      </c>
      <c r="DJ938" s="160" t="s">
        <v>2783</v>
      </c>
      <c r="DK938" s="160" t="s">
        <v>1259</v>
      </c>
      <c r="DL938" s="160" t="s">
        <v>1260</v>
      </c>
      <c r="DM938" s="160" t="s">
        <v>1812</v>
      </c>
      <c r="DN938" s="161" t="s">
        <v>1813</v>
      </c>
      <c r="DP938" s="130">
        <v>1</v>
      </c>
    </row>
    <row r="939" spans="2:120" ht="15">
      <c r="B939" s="231"/>
      <c r="C939" s="231"/>
      <c r="D939" s="231"/>
      <c r="E939" s="231" cm="1">
        <f t="array" ref="E939">IF(H938&lt;&gt;"",E938,IF(E938="","",IFERROR(MATCH(TRUE(),INDEX(INDEX(K:K,E938+1):K203&lt;&gt;"",0),0)+E938,"")))</f>
        <v>1031</v>
      </c>
      <c r="F939" s="232" cm="1">
        <f t="array" ref="F939">IF(E939="","",IF(H938&lt;&gt;"",H938,INDEX(D:D,E939)))</f>
        <v>0</v>
      </c>
      <c r="G939" s="232" t="str">
        <f t="shared" si="96"/>
        <v>0</v>
      </c>
      <c r="H939" s="233" t="str">
        <f t="shared" si="97"/>
        <v/>
      </c>
      <c r="I939" s="231" t="str">
        <f>IF(AND(F939&lt;&gt;"",N10&gt;0,M939&gt;N10),"Mot &gt; limite","")</f>
        <v/>
      </c>
      <c r="M939" s="126">
        <f>IF(OR(F939="",N10="",N10&lt;=0),"",IF(LEN(F939)&lt;=N10,LEN(F939),IFERROR(FIND("♦",SUBSTITUTE(LEFT(F939,N10)," ","♦",LEN(LEFT(F939,N10))-LEN(SUBSTITUTE(LEFT(F939,N10)," ","")))),FIND(" ",F939&amp;" ",N10+1)-1)))</f>
        <v>1</v>
      </c>
      <c r="N939" s="234">
        <f t="shared" si="98"/>
        <v>922</v>
      </c>
      <c r="O939" s="165" t="str">
        <f t="shared" si="99"/>
        <v>0</v>
      </c>
      <c r="P939" s="234">
        <f t="shared" si="100"/>
        <v>1</v>
      </c>
      <c r="Q939" s="234">
        <f t="shared" si="101"/>
        <v>1</v>
      </c>
      <c r="DE939" s="152"/>
      <c r="DF939" s="160" t="s">
        <v>2784</v>
      </c>
      <c r="DG939" s="160" t="s">
        <v>122</v>
      </c>
      <c r="DH939" s="160" t="s">
        <v>125</v>
      </c>
      <c r="DI939" s="160" t="s">
        <v>2785</v>
      </c>
      <c r="DJ939" s="160" t="s">
        <v>2785</v>
      </c>
      <c r="DK939" s="160" t="s">
        <v>1259</v>
      </c>
      <c r="DL939" s="160" t="s">
        <v>1260</v>
      </c>
      <c r="DM939" s="160" t="s">
        <v>1812</v>
      </c>
      <c r="DN939" s="161" t="s">
        <v>1813</v>
      </c>
      <c r="DP939" s="130">
        <v>1</v>
      </c>
    </row>
    <row r="940" spans="2:120" ht="15">
      <c r="B940" s="231"/>
      <c r="C940" s="231"/>
      <c r="D940" s="231"/>
      <c r="E940" s="231" cm="1">
        <f t="array" ref="E940">IF(H939&lt;&gt;"",E939,IF(E939="","",IFERROR(MATCH(TRUE(),INDEX(INDEX(K:K,E939+1):K203&lt;&gt;"",0),0)+E939,"")))</f>
        <v>1032</v>
      </c>
      <c r="F940" s="232" cm="1">
        <f t="array" ref="F940">IF(E940="","",IF(H939&lt;&gt;"",H939,INDEX(D:D,E940)))</f>
        <v>0</v>
      </c>
      <c r="G940" s="232" t="str">
        <f t="shared" si="96"/>
        <v>0</v>
      </c>
      <c r="H940" s="233" t="str">
        <f t="shared" si="97"/>
        <v/>
      </c>
      <c r="I940" s="231" t="str">
        <f>IF(AND(F940&lt;&gt;"",N10&gt;0,M940&gt;N10),"Mot &gt; limite","")</f>
        <v/>
      </c>
      <c r="M940" s="126">
        <f>IF(OR(F940="",N10="",N10&lt;=0),"",IF(LEN(F940)&lt;=N10,LEN(F940),IFERROR(FIND("♦",SUBSTITUTE(LEFT(F940,N10)," ","♦",LEN(LEFT(F940,N10))-LEN(SUBSTITUTE(LEFT(F940,N10)," ","")))),FIND(" ",F940&amp;" ",N10+1)-1)))</f>
        <v>1</v>
      </c>
      <c r="N940" s="234">
        <f t="shared" si="98"/>
        <v>923</v>
      </c>
      <c r="O940" s="165" t="str">
        <f t="shared" si="99"/>
        <v>0</v>
      </c>
      <c r="P940" s="234">
        <f t="shared" si="100"/>
        <v>1</v>
      </c>
      <c r="Q940" s="234">
        <f t="shared" si="101"/>
        <v>1</v>
      </c>
      <c r="DE940" s="152"/>
      <c r="DF940" s="160" t="s">
        <v>2786</v>
      </c>
      <c r="DG940" s="160" t="s">
        <v>122</v>
      </c>
      <c r="DH940" s="160" t="s">
        <v>125</v>
      </c>
      <c r="DI940" s="160" t="s">
        <v>2787</v>
      </c>
      <c r="DJ940" s="160" t="s">
        <v>2787</v>
      </c>
      <c r="DK940" s="160" t="s">
        <v>1259</v>
      </c>
      <c r="DL940" s="160" t="s">
        <v>1260</v>
      </c>
      <c r="DM940" s="160" t="s">
        <v>1812</v>
      </c>
      <c r="DN940" s="161" t="s">
        <v>1813</v>
      </c>
      <c r="DP940" s="130">
        <v>1</v>
      </c>
    </row>
    <row r="941" spans="2:120" ht="15">
      <c r="B941" s="231"/>
      <c r="C941" s="231"/>
      <c r="D941" s="231"/>
      <c r="E941" s="231" cm="1">
        <f t="array" ref="E941">IF(H940&lt;&gt;"",E940,IF(E940="","",IFERROR(MATCH(TRUE(),INDEX(INDEX(K:K,E940+1):K203&lt;&gt;"",0),0)+E940,"")))</f>
        <v>1033</v>
      </c>
      <c r="F941" s="232" cm="1">
        <f t="array" ref="F941">IF(E941="","",IF(H940&lt;&gt;"",H940,INDEX(D:D,E941)))</f>
        <v>0</v>
      </c>
      <c r="G941" s="232" t="str">
        <f t="shared" si="96"/>
        <v>0</v>
      </c>
      <c r="H941" s="233" t="str">
        <f t="shared" si="97"/>
        <v/>
      </c>
      <c r="I941" s="231" t="str">
        <f>IF(AND(F941&lt;&gt;"",N10&gt;0,M941&gt;N10),"Mot &gt; limite","")</f>
        <v/>
      </c>
      <c r="M941" s="126">
        <f>IF(OR(F941="",N10="",N10&lt;=0),"",IF(LEN(F941)&lt;=N10,LEN(F941),IFERROR(FIND("♦",SUBSTITUTE(LEFT(F941,N10)," ","♦",LEN(LEFT(F941,N10))-LEN(SUBSTITUTE(LEFT(F941,N10)," ","")))),FIND(" ",F941&amp;" ",N10+1)-1)))</f>
        <v>1</v>
      </c>
      <c r="N941" s="234">
        <f t="shared" si="98"/>
        <v>924</v>
      </c>
      <c r="O941" s="165" t="str">
        <f t="shared" si="99"/>
        <v>0</v>
      </c>
      <c r="P941" s="234">
        <f t="shared" si="100"/>
        <v>1</v>
      </c>
      <c r="Q941" s="234">
        <f t="shared" si="101"/>
        <v>1</v>
      </c>
      <c r="DE941" s="152"/>
      <c r="DF941" s="160" t="s">
        <v>2788</v>
      </c>
      <c r="DG941" s="160" t="s">
        <v>122</v>
      </c>
      <c r="DH941" s="160" t="s">
        <v>125</v>
      </c>
      <c r="DI941" s="160" t="s">
        <v>2789</v>
      </c>
      <c r="DJ941" s="160" t="s">
        <v>2789</v>
      </c>
      <c r="DK941" s="160" t="s">
        <v>1259</v>
      </c>
      <c r="DL941" s="160" t="s">
        <v>1260</v>
      </c>
      <c r="DM941" s="160" t="s">
        <v>1812</v>
      </c>
      <c r="DN941" s="161" t="s">
        <v>1813</v>
      </c>
      <c r="DP941" s="130">
        <v>1</v>
      </c>
    </row>
    <row r="942" spans="2:120" ht="15">
      <c r="B942" s="231"/>
      <c r="C942" s="231"/>
      <c r="D942" s="231"/>
      <c r="E942" s="231" cm="1">
        <f t="array" ref="E942">IF(H941&lt;&gt;"",E941,IF(E941="","",IFERROR(MATCH(TRUE(),INDEX(INDEX(K:K,E941+1):K203&lt;&gt;"",0),0)+E941,"")))</f>
        <v>1034</v>
      </c>
      <c r="F942" s="232" cm="1">
        <f t="array" ref="F942">IF(E942="","",IF(H941&lt;&gt;"",H941,INDEX(D:D,E942)))</f>
        <v>0</v>
      </c>
      <c r="G942" s="232" t="str">
        <f t="shared" si="96"/>
        <v>0</v>
      </c>
      <c r="H942" s="233" t="str">
        <f t="shared" si="97"/>
        <v/>
      </c>
      <c r="I942" s="231" t="str">
        <f>IF(AND(F942&lt;&gt;"",N10&gt;0,M942&gt;N10),"Mot &gt; limite","")</f>
        <v/>
      </c>
      <c r="M942" s="126">
        <f>IF(OR(F942="",N10="",N10&lt;=0),"",IF(LEN(F942)&lt;=N10,LEN(F942),IFERROR(FIND("♦",SUBSTITUTE(LEFT(F942,N10)," ","♦",LEN(LEFT(F942,N10))-LEN(SUBSTITUTE(LEFT(F942,N10)," ","")))),FIND(" ",F942&amp;" ",N10+1)-1)))</f>
        <v>1</v>
      </c>
      <c r="N942" s="234">
        <f t="shared" si="98"/>
        <v>925</v>
      </c>
      <c r="O942" s="165" t="str">
        <f t="shared" si="99"/>
        <v>0</v>
      </c>
      <c r="P942" s="234">
        <f t="shared" si="100"/>
        <v>1</v>
      </c>
      <c r="Q942" s="234">
        <f t="shared" si="101"/>
        <v>1</v>
      </c>
      <c r="DE942" s="152"/>
      <c r="DF942" s="160" t="s">
        <v>2790</v>
      </c>
      <c r="DG942" s="160" t="s">
        <v>122</v>
      </c>
      <c r="DH942" s="160" t="s">
        <v>125</v>
      </c>
      <c r="DI942" s="160" t="s">
        <v>2791</v>
      </c>
      <c r="DJ942" s="160" t="s">
        <v>2791</v>
      </c>
      <c r="DK942" s="160" t="s">
        <v>1259</v>
      </c>
      <c r="DL942" s="160" t="s">
        <v>1260</v>
      </c>
      <c r="DM942" s="160" t="s">
        <v>1812</v>
      </c>
      <c r="DN942" s="161" t="s">
        <v>1813</v>
      </c>
      <c r="DP942" s="130">
        <v>1</v>
      </c>
    </row>
    <row r="943" spans="2:120" ht="15">
      <c r="B943" s="231"/>
      <c r="C943" s="231"/>
      <c r="D943" s="231"/>
      <c r="E943" s="231" cm="1">
        <f t="array" ref="E943">IF(H942&lt;&gt;"",E942,IF(E942="","",IFERROR(MATCH(TRUE(),INDEX(INDEX(K:K,E942+1):K203&lt;&gt;"",0),0)+E942,"")))</f>
        <v>1035</v>
      </c>
      <c r="F943" s="232" cm="1">
        <f t="array" ref="F943">IF(E943="","",IF(H942&lt;&gt;"",H942,INDEX(D:D,E943)))</f>
        <v>0</v>
      </c>
      <c r="G943" s="232" t="str">
        <f t="shared" si="96"/>
        <v>0</v>
      </c>
      <c r="H943" s="233" t="str">
        <f t="shared" si="97"/>
        <v/>
      </c>
      <c r="I943" s="231" t="str">
        <f>IF(AND(F943&lt;&gt;"",N10&gt;0,M943&gt;N10),"Mot &gt; limite","")</f>
        <v/>
      </c>
      <c r="M943" s="126">
        <f>IF(OR(F943="",N10="",N10&lt;=0),"",IF(LEN(F943)&lt;=N10,LEN(F943),IFERROR(FIND("♦",SUBSTITUTE(LEFT(F943,N10)," ","♦",LEN(LEFT(F943,N10))-LEN(SUBSTITUTE(LEFT(F943,N10)," ","")))),FIND(" ",F943&amp;" ",N10+1)-1)))</f>
        <v>1</v>
      </c>
      <c r="N943" s="234">
        <f t="shared" si="98"/>
        <v>926</v>
      </c>
      <c r="O943" s="165" t="str">
        <f t="shared" si="99"/>
        <v>0</v>
      </c>
      <c r="P943" s="234">
        <f t="shared" si="100"/>
        <v>1</v>
      </c>
      <c r="Q943" s="234">
        <f t="shared" si="101"/>
        <v>1</v>
      </c>
      <c r="DE943" s="152"/>
      <c r="DF943" s="160" t="s">
        <v>2792</v>
      </c>
      <c r="DG943" s="160" t="s">
        <v>122</v>
      </c>
      <c r="DH943" s="160" t="s">
        <v>125</v>
      </c>
      <c r="DI943" s="160" t="s">
        <v>2793</v>
      </c>
      <c r="DJ943" s="160" t="s">
        <v>2793</v>
      </c>
      <c r="DK943" s="160" t="s">
        <v>1259</v>
      </c>
      <c r="DL943" s="160" t="s">
        <v>1260</v>
      </c>
      <c r="DM943" s="160" t="s">
        <v>1812</v>
      </c>
      <c r="DN943" s="161" t="s">
        <v>1813</v>
      </c>
      <c r="DP943" s="130">
        <v>1</v>
      </c>
    </row>
    <row r="944" spans="2:120" ht="15">
      <c r="B944" s="231"/>
      <c r="C944" s="231"/>
      <c r="D944" s="231"/>
      <c r="E944" s="231" cm="1">
        <f t="array" ref="E944">IF(H943&lt;&gt;"",E943,IF(E943="","",IFERROR(MATCH(TRUE(),INDEX(INDEX(K:K,E943+1):K203&lt;&gt;"",0),0)+E943,"")))</f>
        <v>1036</v>
      </c>
      <c r="F944" s="232" cm="1">
        <f t="array" ref="F944">IF(E944="","",IF(H943&lt;&gt;"",H943,INDEX(D:D,E944)))</f>
        <v>0</v>
      </c>
      <c r="G944" s="232" t="str">
        <f t="shared" si="96"/>
        <v>0</v>
      </c>
      <c r="H944" s="233" t="str">
        <f t="shared" si="97"/>
        <v/>
      </c>
      <c r="I944" s="231" t="str">
        <f>IF(AND(F944&lt;&gt;"",N10&gt;0,M944&gt;N10),"Mot &gt; limite","")</f>
        <v/>
      </c>
      <c r="M944" s="126">
        <f>IF(OR(F944="",N10="",N10&lt;=0),"",IF(LEN(F944)&lt;=N10,LEN(F944),IFERROR(FIND("♦",SUBSTITUTE(LEFT(F944,N10)," ","♦",LEN(LEFT(F944,N10))-LEN(SUBSTITUTE(LEFT(F944,N10)," ","")))),FIND(" ",F944&amp;" ",N10+1)-1)))</f>
        <v>1</v>
      </c>
      <c r="N944" s="234">
        <f t="shared" si="98"/>
        <v>927</v>
      </c>
      <c r="O944" s="165" t="str">
        <f t="shared" si="99"/>
        <v>0</v>
      </c>
      <c r="P944" s="234">
        <f t="shared" si="100"/>
        <v>1</v>
      </c>
      <c r="Q944" s="234">
        <f t="shared" si="101"/>
        <v>1</v>
      </c>
      <c r="DE944" s="152"/>
      <c r="DF944" s="160" t="s">
        <v>2794</v>
      </c>
      <c r="DG944" s="160" t="s">
        <v>122</v>
      </c>
      <c r="DH944" s="160" t="s">
        <v>125</v>
      </c>
      <c r="DI944" s="160" t="s">
        <v>2795</v>
      </c>
      <c r="DJ944" s="160" t="s">
        <v>2795</v>
      </c>
      <c r="DK944" s="160" t="s">
        <v>1259</v>
      </c>
      <c r="DL944" s="160" t="s">
        <v>1260</v>
      </c>
      <c r="DM944" s="160" t="s">
        <v>1812</v>
      </c>
      <c r="DN944" s="161" t="s">
        <v>1813</v>
      </c>
      <c r="DP944" s="130">
        <v>1</v>
      </c>
    </row>
    <row r="945" spans="2:120" ht="15">
      <c r="B945" s="231"/>
      <c r="C945" s="231"/>
      <c r="D945" s="231"/>
      <c r="E945" s="231" cm="1">
        <f t="array" ref="E945">IF(H944&lt;&gt;"",E944,IF(E944="","",IFERROR(MATCH(TRUE(),INDEX(INDEX(K:K,E944+1):K203&lt;&gt;"",0),0)+E944,"")))</f>
        <v>1037</v>
      </c>
      <c r="F945" s="232" cm="1">
        <f t="array" ref="F945">IF(E945="","",IF(H944&lt;&gt;"",H944,INDEX(D:D,E945)))</f>
        <v>0</v>
      </c>
      <c r="G945" s="232" t="str">
        <f t="shared" si="96"/>
        <v>0</v>
      </c>
      <c r="H945" s="233" t="str">
        <f t="shared" si="97"/>
        <v/>
      </c>
      <c r="I945" s="231" t="str">
        <f>IF(AND(F945&lt;&gt;"",N10&gt;0,M945&gt;N10),"Mot &gt; limite","")</f>
        <v/>
      </c>
      <c r="M945" s="126">
        <f>IF(OR(F945="",N10="",N10&lt;=0),"",IF(LEN(F945)&lt;=N10,LEN(F945),IFERROR(FIND("♦",SUBSTITUTE(LEFT(F945,N10)," ","♦",LEN(LEFT(F945,N10))-LEN(SUBSTITUTE(LEFT(F945,N10)," ","")))),FIND(" ",F945&amp;" ",N10+1)-1)))</f>
        <v>1</v>
      </c>
      <c r="N945" s="234">
        <f t="shared" si="98"/>
        <v>928</v>
      </c>
      <c r="O945" s="165" t="str">
        <f t="shared" si="99"/>
        <v>0</v>
      </c>
      <c r="P945" s="234">
        <f t="shared" si="100"/>
        <v>1</v>
      </c>
      <c r="Q945" s="234">
        <f t="shared" si="101"/>
        <v>1</v>
      </c>
      <c r="DE945" s="152"/>
      <c r="DF945" s="160" t="s">
        <v>2796</v>
      </c>
      <c r="DG945" s="160" t="s">
        <v>122</v>
      </c>
      <c r="DH945" s="160" t="s">
        <v>125</v>
      </c>
      <c r="DI945" s="160" t="s">
        <v>2797</v>
      </c>
      <c r="DJ945" s="160" t="s">
        <v>2797</v>
      </c>
      <c r="DK945" s="160" t="s">
        <v>1259</v>
      </c>
      <c r="DL945" s="160" t="s">
        <v>1260</v>
      </c>
      <c r="DM945" s="160" t="s">
        <v>1812</v>
      </c>
      <c r="DN945" s="161" t="s">
        <v>1813</v>
      </c>
      <c r="DP945" s="130">
        <v>1</v>
      </c>
    </row>
    <row r="946" spans="2:120" ht="15">
      <c r="B946" s="231"/>
      <c r="C946" s="231"/>
      <c r="D946" s="231"/>
      <c r="E946" s="231" cm="1">
        <f t="array" ref="E946">IF(H945&lt;&gt;"",E945,IF(E945="","",IFERROR(MATCH(TRUE(),INDEX(INDEX(K:K,E945+1):K203&lt;&gt;"",0),0)+E945,"")))</f>
        <v>1038</v>
      </c>
      <c r="F946" s="232" cm="1">
        <f t="array" ref="F946">IF(E946="","",IF(H945&lt;&gt;"",H945,INDEX(D:D,E946)))</f>
        <v>0</v>
      </c>
      <c r="G946" s="232" t="str">
        <f t="shared" si="96"/>
        <v>0</v>
      </c>
      <c r="H946" s="233" t="str">
        <f t="shared" si="97"/>
        <v/>
      </c>
      <c r="I946" s="231" t="str">
        <f>IF(AND(F946&lt;&gt;"",N10&gt;0,M946&gt;N10),"Mot &gt; limite","")</f>
        <v/>
      </c>
      <c r="M946" s="126">
        <f>IF(OR(F946="",N10="",N10&lt;=0),"",IF(LEN(F946)&lt;=N10,LEN(F946),IFERROR(FIND("♦",SUBSTITUTE(LEFT(F946,N10)," ","♦",LEN(LEFT(F946,N10))-LEN(SUBSTITUTE(LEFT(F946,N10)," ","")))),FIND(" ",F946&amp;" ",N10+1)-1)))</f>
        <v>1</v>
      </c>
      <c r="N946" s="234">
        <f t="shared" si="98"/>
        <v>929</v>
      </c>
      <c r="O946" s="165" t="str">
        <f t="shared" si="99"/>
        <v>0</v>
      </c>
      <c r="P946" s="234">
        <f t="shared" si="100"/>
        <v>1</v>
      </c>
      <c r="Q946" s="234">
        <f t="shared" si="101"/>
        <v>1</v>
      </c>
      <c r="DE946" s="152"/>
      <c r="DF946" s="160" t="s">
        <v>2798</v>
      </c>
      <c r="DG946" s="160" t="s">
        <v>122</v>
      </c>
      <c r="DH946" s="160" t="s">
        <v>125</v>
      </c>
      <c r="DI946" s="160" t="s">
        <v>2799</v>
      </c>
      <c r="DJ946" s="160" t="s">
        <v>2799</v>
      </c>
      <c r="DK946" s="160" t="s">
        <v>1259</v>
      </c>
      <c r="DL946" s="160" t="s">
        <v>1260</v>
      </c>
      <c r="DM946" s="160" t="s">
        <v>1812</v>
      </c>
      <c r="DN946" s="161" t="s">
        <v>1813</v>
      </c>
      <c r="DP946" s="130">
        <v>1</v>
      </c>
    </row>
    <row r="947" spans="2:120" ht="15">
      <c r="B947" s="231"/>
      <c r="C947" s="231"/>
      <c r="D947" s="231"/>
      <c r="E947" s="231" cm="1">
        <f t="array" ref="E947">IF(H946&lt;&gt;"",E946,IF(E946="","",IFERROR(MATCH(TRUE(),INDEX(INDEX(K:K,E946+1):K203&lt;&gt;"",0),0)+E946,"")))</f>
        <v>1039</v>
      </c>
      <c r="F947" s="232" cm="1">
        <f t="array" ref="F947">IF(E947="","",IF(H946&lt;&gt;"",H946,INDEX(D:D,E947)))</f>
        <v>0</v>
      </c>
      <c r="G947" s="232" t="str">
        <f t="shared" si="96"/>
        <v>0</v>
      </c>
      <c r="H947" s="233" t="str">
        <f t="shared" si="97"/>
        <v/>
      </c>
      <c r="I947" s="231" t="str">
        <f>IF(AND(F947&lt;&gt;"",N10&gt;0,M947&gt;N10),"Mot &gt; limite","")</f>
        <v/>
      </c>
      <c r="M947" s="126">
        <f>IF(OR(F947="",N10="",N10&lt;=0),"",IF(LEN(F947)&lt;=N10,LEN(F947),IFERROR(FIND("♦",SUBSTITUTE(LEFT(F947,N10)," ","♦",LEN(LEFT(F947,N10))-LEN(SUBSTITUTE(LEFT(F947,N10)," ","")))),FIND(" ",F947&amp;" ",N10+1)-1)))</f>
        <v>1</v>
      </c>
      <c r="N947" s="234">
        <f t="shared" si="98"/>
        <v>930</v>
      </c>
      <c r="O947" s="165" t="str">
        <f t="shared" si="99"/>
        <v>0</v>
      </c>
      <c r="P947" s="234">
        <f t="shared" si="100"/>
        <v>1</v>
      </c>
      <c r="Q947" s="234">
        <f t="shared" si="101"/>
        <v>1</v>
      </c>
      <c r="DE947" s="152"/>
      <c r="DF947" s="160" t="s">
        <v>2800</v>
      </c>
      <c r="DG947" s="160" t="s">
        <v>122</v>
      </c>
      <c r="DH947" s="160" t="s">
        <v>125</v>
      </c>
      <c r="DI947" s="160" t="s">
        <v>2801</v>
      </c>
      <c r="DJ947" s="160" t="s">
        <v>2801</v>
      </c>
      <c r="DK947" s="160" t="s">
        <v>1259</v>
      </c>
      <c r="DL947" s="160" t="s">
        <v>1260</v>
      </c>
      <c r="DM947" s="160" t="s">
        <v>1812</v>
      </c>
      <c r="DN947" s="161" t="s">
        <v>1813</v>
      </c>
      <c r="DP947" s="130">
        <v>1</v>
      </c>
    </row>
    <row r="948" spans="2:120" ht="15">
      <c r="B948" s="231"/>
      <c r="C948" s="231"/>
      <c r="D948" s="231"/>
      <c r="E948" s="231" cm="1">
        <f t="array" ref="E948">IF(H947&lt;&gt;"",E947,IF(E947="","",IFERROR(MATCH(TRUE(),INDEX(INDEX(K:K,E947+1):K203&lt;&gt;"",0),0)+E947,"")))</f>
        <v>1040</v>
      </c>
      <c r="F948" s="232" cm="1">
        <f t="array" ref="F948">IF(E948="","",IF(H947&lt;&gt;"",H947,INDEX(D:D,E948)))</f>
        <v>0</v>
      </c>
      <c r="G948" s="232" t="str">
        <f t="shared" si="96"/>
        <v>0</v>
      </c>
      <c r="H948" s="233" t="str">
        <f t="shared" si="97"/>
        <v/>
      </c>
      <c r="I948" s="231" t="str">
        <f>IF(AND(F948&lt;&gt;"",N10&gt;0,M948&gt;N10),"Mot &gt; limite","")</f>
        <v/>
      </c>
      <c r="M948" s="126">
        <f>IF(OR(F948="",N10="",N10&lt;=0),"",IF(LEN(F948)&lt;=N10,LEN(F948),IFERROR(FIND("♦",SUBSTITUTE(LEFT(F948,N10)," ","♦",LEN(LEFT(F948,N10))-LEN(SUBSTITUTE(LEFT(F948,N10)," ","")))),FIND(" ",F948&amp;" ",N10+1)-1)))</f>
        <v>1</v>
      </c>
      <c r="N948" s="234">
        <f t="shared" si="98"/>
        <v>931</v>
      </c>
      <c r="O948" s="165" t="str">
        <f t="shared" si="99"/>
        <v>0</v>
      </c>
      <c r="P948" s="234">
        <f t="shared" si="100"/>
        <v>1</v>
      </c>
      <c r="Q948" s="234">
        <f t="shared" si="101"/>
        <v>1</v>
      </c>
      <c r="DE948" s="152"/>
      <c r="DF948" s="160" t="s">
        <v>2802</v>
      </c>
      <c r="DG948" s="160" t="s">
        <v>122</v>
      </c>
      <c r="DH948" s="160" t="s">
        <v>125</v>
      </c>
      <c r="DI948" s="160" t="s">
        <v>2803</v>
      </c>
      <c r="DJ948" s="160" t="s">
        <v>2803</v>
      </c>
      <c r="DK948" s="160" t="s">
        <v>1259</v>
      </c>
      <c r="DL948" s="160" t="s">
        <v>1260</v>
      </c>
      <c r="DM948" s="160" t="s">
        <v>1812</v>
      </c>
      <c r="DN948" s="161" t="s">
        <v>1813</v>
      </c>
      <c r="DP948" s="130">
        <v>1</v>
      </c>
    </row>
    <row r="949" spans="2:120" ht="15">
      <c r="B949" s="231"/>
      <c r="C949" s="231"/>
      <c r="D949" s="231"/>
      <c r="E949" s="231" cm="1">
        <f t="array" ref="E949">IF(H948&lt;&gt;"",E948,IF(E948="","",IFERROR(MATCH(TRUE(),INDEX(INDEX(K:K,E948+1):K203&lt;&gt;"",0),0)+E948,"")))</f>
        <v>1041</v>
      </c>
      <c r="F949" s="232" cm="1">
        <f t="array" ref="F949">IF(E949="","",IF(H948&lt;&gt;"",H948,INDEX(D:D,E949)))</f>
        <v>0</v>
      </c>
      <c r="G949" s="232" t="str">
        <f t="shared" si="96"/>
        <v>0</v>
      </c>
      <c r="H949" s="233" t="str">
        <f t="shared" si="97"/>
        <v/>
      </c>
      <c r="I949" s="231" t="str">
        <f>IF(AND(F949&lt;&gt;"",N10&gt;0,M949&gt;N10),"Mot &gt; limite","")</f>
        <v/>
      </c>
      <c r="M949" s="126">
        <f>IF(OR(F949="",N10="",N10&lt;=0),"",IF(LEN(F949)&lt;=N10,LEN(F949),IFERROR(FIND("♦",SUBSTITUTE(LEFT(F949,N10)," ","♦",LEN(LEFT(F949,N10))-LEN(SUBSTITUTE(LEFT(F949,N10)," ","")))),FIND(" ",F949&amp;" ",N10+1)-1)))</f>
        <v>1</v>
      </c>
      <c r="N949" s="234">
        <f t="shared" si="98"/>
        <v>932</v>
      </c>
      <c r="O949" s="165" t="str">
        <f t="shared" si="99"/>
        <v>0</v>
      </c>
      <c r="P949" s="234">
        <f t="shared" si="100"/>
        <v>1</v>
      </c>
      <c r="Q949" s="234">
        <f t="shared" si="101"/>
        <v>1</v>
      </c>
      <c r="DE949" s="152"/>
      <c r="DF949" s="160" t="s">
        <v>2804</v>
      </c>
      <c r="DG949" s="160" t="s">
        <v>122</v>
      </c>
      <c r="DH949" s="160" t="s">
        <v>125</v>
      </c>
      <c r="DI949" s="160" t="s">
        <v>2805</v>
      </c>
      <c r="DJ949" s="160" t="s">
        <v>2805</v>
      </c>
      <c r="DK949" s="160" t="s">
        <v>1259</v>
      </c>
      <c r="DL949" s="160" t="s">
        <v>1260</v>
      </c>
      <c r="DM949" s="160" t="s">
        <v>1812</v>
      </c>
      <c r="DN949" s="161" t="s">
        <v>1813</v>
      </c>
      <c r="DP949" s="130">
        <v>1</v>
      </c>
    </row>
    <row r="950" spans="2:120" ht="15">
      <c r="B950" s="231"/>
      <c r="C950" s="231"/>
      <c r="D950" s="231"/>
      <c r="E950" s="231" cm="1">
        <f t="array" ref="E950">IF(H949&lt;&gt;"",E949,IF(E949="","",IFERROR(MATCH(TRUE(),INDEX(INDEX(K:K,E949+1):K203&lt;&gt;"",0),0)+E949,"")))</f>
        <v>1042</v>
      </c>
      <c r="F950" s="232" cm="1">
        <f t="array" ref="F950">IF(E950="","",IF(H949&lt;&gt;"",H949,INDEX(D:D,E950)))</f>
        <v>0</v>
      </c>
      <c r="G950" s="232" t="str">
        <f t="shared" si="96"/>
        <v>0</v>
      </c>
      <c r="H950" s="233" t="str">
        <f t="shared" si="97"/>
        <v/>
      </c>
      <c r="I950" s="231" t="str">
        <f>IF(AND(F950&lt;&gt;"",N10&gt;0,M950&gt;N10),"Mot &gt; limite","")</f>
        <v/>
      </c>
      <c r="M950" s="126">
        <f>IF(OR(F950="",N10="",N10&lt;=0),"",IF(LEN(F950)&lt;=N10,LEN(F950),IFERROR(FIND("♦",SUBSTITUTE(LEFT(F950,N10)," ","♦",LEN(LEFT(F950,N10))-LEN(SUBSTITUTE(LEFT(F950,N10)," ","")))),FIND(" ",F950&amp;" ",N10+1)-1)))</f>
        <v>1</v>
      </c>
      <c r="N950" s="234">
        <f t="shared" si="98"/>
        <v>933</v>
      </c>
      <c r="O950" s="165" t="str">
        <f t="shared" si="99"/>
        <v>0</v>
      </c>
      <c r="P950" s="234">
        <f t="shared" si="100"/>
        <v>1</v>
      </c>
      <c r="Q950" s="234">
        <f t="shared" si="101"/>
        <v>1</v>
      </c>
      <c r="DE950" s="152"/>
      <c r="DF950" s="160" t="s">
        <v>2806</v>
      </c>
      <c r="DG950" s="160" t="s">
        <v>122</v>
      </c>
      <c r="DH950" s="160" t="s">
        <v>125</v>
      </c>
      <c r="DI950" s="160" t="s">
        <v>2807</v>
      </c>
      <c r="DJ950" s="160" t="s">
        <v>2807</v>
      </c>
      <c r="DK950" s="160" t="s">
        <v>1259</v>
      </c>
      <c r="DL950" s="160" t="s">
        <v>1260</v>
      </c>
      <c r="DM950" s="160" t="s">
        <v>1812</v>
      </c>
      <c r="DN950" s="161" t="s">
        <v>1813</v>
      </c>
      <c r="DP950" s="130">
        <v>1</v>
      </c>
    </row>
    <row r="951" spans="2:120" ht="15">
      <c r="B951" s="231"/>
      <c r="C951" s="231"/>
      <c r="D951" s="231"/>
      <c r="E951" s="231" cm="1">
        <f t="array" ref="E951">IF(H950&lt;&gt;"",E950,IF(E950="","",IFERROR(MATCH(TRUE(),INDEX(INDEX(K:K,E950+1):K203&lt;&gt;"",0),0)+E950,"")))</f>
        <v>1043</v>
      </c>
      <c r="F951" s="232" cm="1">
        <f t="array" ref="F951">IF(E951="","",IF(H950&lt;&gt;"",H950,INDEX(D:D,E951)))</f>
        <v>0</v>
      </c>
      <c r="G951" s="232" t="str">
        <f t="shared" si="96"/>
        <v>0</v>
      </c>
      <c r="H951" s="233" t="str">
        <f t="shared" si="97"/>
        <v/>
      </c>
      <c r="I951" s="231" t="str">
        <f>IF(AND(F951&lt;&gt;"",N10&gt;0,M951&gt;N10),"Mot &gt; limite","")</f>
        <v/>
      </c>
      <c r="M951" s="126">
        <f>IF(OR(F951="",N10="",N10&lt;=0),"",IF(LEN(F951)&lt;=N10,LEN(F951),IFERROR(FIND("♦",SUBSTITUTE(LEFT(F951,N10)," ","♦",LEN(LEFT(F951,N10))-LEN(SUBSTITUTE(LEFT(F951,N10)," ","")))),FIND(" ",F951&amp;" ",N10+1)-1)))</f>
        <v>1</v>
      </c>
      <c r="N951" s="234">
        <f t="shared" si="98"/>
        <v>934</v>
      </c>
      <c r="O951" s="165" t="str">
        <f t="shared" si="99"/>
        <v>0</v>
      </c>
      <c r="P951" s="234">
        <f t="shared" si="100"/>
        <v>1</v>
      </c>
      <c r="Q951" s="234">
        <f t="shared" si="101"/>
        <v>1</v>
      </c>
      <c r="DE951" s="152"/>
      <c r="DF951" s="160" t="s">
        <v>2808</v>
      </c>
      <c r="DG951" s="160" t="s">
        <v>122</v>
      </c>
      <c r="DH951" s="160" t="s">
        <v>125</v>
      </c>
      <c r="DI951" s="160" t="s">
        <v>2809</v>
      </c>
      <c r="DJ951" s="160" t="s">
        <v>2809</v>
      </c>
      <c r="DK951" s="160" t="s">
        <v>1259</v>
      </c>
      <c r="DL951" s="160" t="s">
        <v>1260</v>
      </c>
      <c r="DM951" s="160" t="s">
        <v>1812</v>
      </c>
      <c r="DN951" s="161" t="s">
        <v>1813</v>
      </c>
      <c r="DP951" s="130">
        <v>1</v>
      </c>
    </row>
    <row r="952" spans="2:120" ht="15">
      <c r="B952" s="231"/>
      <c r="C952" s="231"/>
      <c r="D952" s="231"/>
      <c r="E952" s="231" cm="1">
        <f t="array" ref="E952">IF(H951&lt;&gt;"",E951,IF(E951="","",IFERROR(MATCH(TRUE(),INDEX(INDEX(K:K,E951+1):K203&lt;&gt;"",0),0)+E951,"")))</f>
        <v>1044</v>
      </c>
      <c r="F952" s="232" cm="1">
        <f t="array" ref="F952">IF(E952="","",IF(H951&lt;&gt;"",H951,INDEX(D:D,E952)))</f>
        <v>0</v>
      </c>
      <c r="G952" s="232" t="str">
        <f t="shared" si="96"/>
        <v>0</v>
      </c>
      <c r="H952" s="233" t="str">
        <f t="shared" si="97"/>
        <v/>
      </c>
      <c r="I952" s="231" t="str">
        <f>IF(AND(F952&lt;&gt;"",N10&gt;0,M952&gt;N10),"Mot &gt; limite","")</f>
        <v/>
      </c>
      <c r="M952" s="126">
        <f>IF(OR(F952="",N10="",N10&lt;=0),"",IF(LEN(F952)&lt;=N10,LEN(F952),IFERROR(FIND("♦",SUBSTITUTE(LEFT(F952,N10)," ","♦",LEN(LEFT(F952,N10))-LEN(SUBSTITUTE(LEFT(F952,N10)," ","")))),FIND(" ",F952&amp;" ",N10+1)-1)))</f>
        <v>1</v>
      </c>
      <c r="N952" s="234">
        <f t="shared" si="98"/>
        <v>935</v>
      </c>
      <c r="O952" s="165" t="str">
        <f t="shared" si="99"/>
        <v>0</v>
      </c>
      <c r="P952" s="234">
        <f t="shared" si="100"/>
        <v>1</v>
      </c>
      <c r="Q952" s="234">
        <f t="shared" si="101"/>
        <v>1</v>
      </c>
      <c r="DE952" s="152"/>
      <c r="DF952" s="160" t="s">
        <v>2810</v>
      </c>
      <c r="DG952" s="160" t="s">
        <v>122</v>
      </c>
      <c r="DH952" s="160" t="s">
        <v>125</v>
      </c>
      <c r="DI952" s="160" t="s">
        <v>2811</v>
      </c>
      <c r="DJ952" s="160" t="s">
        <v>2811</v>
      </c>
      <c r="DK952" s="160" t="s">
        <v>1259</v>
      </c>
      <c r="DL952" s="160" t="s">
        <v>1260</v>
      </c>
      <c r="DM952" s="160" t="s">
        <v>1812</v>
      </c>
      <c r="DN952" s="161" t="s">
        <v>1813</v>
      </c>
      <c r="DP952" s="130">
        <v>1</v>
      </c>
    </row>
    <row r="953" spans="2:120" ht="15">
      <c r="B953" s="231"/>
      <c r="C953" s="231"/>
      <c r="D953" s="231"/>
      <c r="E953" s="231" cm="1">
        <f t="array" ref="E953">IF(H952&lt;&gt;"",E952,IF(E952="","",IFERROR(MATCH(TRUE(),INDEX(INDEX(K:K,E952+1):K203&lt;&gt;"",0),0)+E952,"")))</f>
        <v>1045</v>
      </c>
      <c r="F953" s="232" cm="1">
        <f t="array" ref="F953">IF(E953="","",IF(H952&lt;&gt;"",H952,INDEX(D:D,E953)))</f>
        <v>0</v>
      </c>
      <c r="G953" s="232" t="str">
        <f t="shared" si="96"/>
        <v>0</v>
      </c>
      <c r="H953" s="233" t="str">
        <f t="shared" si="97"/>
        <v/>
      </c>
      <c r="I953" s="231" t="str">
        <f>IF(AND(F953&lt;&gt;"",N10&gt;0,M953&gt;N10),"Mot &gt; limite","")</f>
        <v/>
      </c>
      <c r="M953" s="126">
        <f>IF(OR(F953="",N10="",N10&lt;=0),"",IF(LEN(F953)&lt;=N10,LEN(F953),IFERROR(FIND("♦",SUBSTITUTE(LEFT(F953,N10)," ","♦",LEN(LEFT(F953,N10))-LEN(SUBSTITUTE(LEFT(F953,N10)," ","")))),FIND(" ",F953&amp;" ",N10+1)-1)))</f>
        <v>1</v>
      </c>
      <c r="N953" s="234">
        <f t="shared" si="98"/>
        <v>936</v>
      </c>
      <c r="O953" s="165" t="str">
        <f t="shared" si="99"/>
        <v>0</v>
      </c>
      <c r="P953" s="234">
        <f t="shared" si="100"/>
        <v>1</v>
      </c>
      <c r="Q953" s="234">
        <f t="shared" si="101"/>
        <v>1</v>
      </c>
      <c r="DE953" s="152"/>
      <c r="DF953" s="160" t="s">
        <v>2812</v>
      </c>
      <c r="DG953" s="160" t="s">
        <v>122</v>
      </c>
      <c r="DH953" s="160" t="s">
        <v>125</v>
      </c>
      <c r="DI953" s="160" t="s">
        <v>2813</v>
      </c>
      <c r="DJ953" s="160" t="s">
        <v>2813</v>
      </c>
      <c r="DK953" s="160" t="s">
        <v>1259</v>
      </c>
      <c r="DL953" s="160" t="s">
        <v>1260</v>
      </c>
      <c r="DM953" s="160" t="s">
        <v>1812</v>
      </c>
      <c r="DN953" s="161" t="s">
        <v>1813</v>
      </c>
      <c r="DP953" s="130">
        <v>1</v>
      </c>
    </row>
    <row r="954" spans="2:120" ht="15">
      <c r="B954" s="231"/>
      <c r="C954" s="231"/>
      <c r="D954" s="231"/>
      <c r="E954" s="231" cm="1">
        <f t="array" ref="E954">IF(H953&lt;&gt;"",E953,IF(E953="","",IFERROR(MATCH(TRUE(),INDEX(INDEX(K:K,E953+1):K203&lt;&gt;"",0),0)+E953,"")))</f>
        <v>1046</v>
      </c>
      <c r="F954" s="232" cm="1">
        <f t="array" ref="F954">IF(E954="","",IF(H953&lt;&gt;"",H953,INDEX(D:D,E954)))</f>
        <v>0</v>
      </c>
      <c r="G954" s="232" t="str">
        <f t="shared" si="96"/>
        <v>0</v>
      </c>
      <c r="H954" s="233" t="str">
        <f t="shared" si="97"/>
        <v/>
      </c>
      <c r="I954" s="231" t="str">
        <f>IF(AND(F954&lt;&gt;"",N10&gt;0,M954&gt;N10),"Mot &gt; limite","")</f>
        <v/>
      </c>
      <c r="M954" s="126">
        <f>IF(OR(F954="",N10="",N10&lt;=0),"",IF(LEN(F954)&lt;=N10,LEN(F954),IFERROR(FIND("♦",SUBSTITUTE(LEFT(F954,N10)," ","♦",LEN(LEFT(F954,N10))-LEN(SUBSTITUTE(LEFT(F954,N10)," ","")))),FIND(" ",F954&amp;" ",N10+1)-1)))</f>
        <v>1</v>
      </c>
      <c r="N954" s="234">
        <f t="shared" si="98"/>
        <v>937</v>
      </c>
      <c r="O954" s="165" t="str">
        <f t="shared" si="99"/>
        <v>0</v>
      </c>
      <c r="P954" s="234">
        <f t="shared" si="100"/>
        <v>1</v>
      </c>
      <c r="Q954" s="234">
        <f t="shared" si="101"/>
        <v>1</v>
      </c>
      <c r="DE954" s="152"/>
      <c r="DF954" s="160" t="s">
        <v>2814</v>
      </c>
      <c r="DG954" s="160" t="s">
        <v>122</v>
      </c>
      <c r="DH954" s="160" t="s">
        <v>125</v>
      </c>
      <c r="DI954" s="160" t="s">
        <v>2815</v>
      </c>
      <c r="DJ954" s="160" t="s">
        <v>2815</v>
      </c>
      <c r="DK954" s="160" t="s">
        <v>1259</v>
      </c>
      <c r="DL954" s="160" t="s">
        <v>1260</v>
      </c>
      <c r="DM954" s="160" t="s">
        <v>1812</v>
      </c>
      <c r="DN954" s="161" t="s">
        <v>1813</v>
      </c>
      <c r="DP954" s="130">
        <v>1</v>
      </c>
    </row>
    <row r="955" spans="2:120" ht="15">
      <c r="B955" s="231"/>
      <c r="C955" s="231"/>
      <c r="D955" s="231"/>
      <c r="E955" s="231" cm="1">
        <f t="array" ref="E955">IF(H954&lt;&gt;"",E954,IF(E954="","",IFERROR(MATCH(TRUE(),INDEX(INDEX(K:K,E954+1):K203&lt;&gt;"",0),0)+E954,"")))</f>
        <v>1047</v>
      </c>
      <c r="F955" s="232" cm="1">
        <f t="array" ref="F955">IF(E955="","",IF(H954&lt;&gt;"",H954,INDEX(D:D,E955)))</f>
        <v>0</v>
      </c>
      <c r="G955" s="232" t="str">
        <f t="shared" si="96"/>
        <v>0</v>
      </c>
      <c r="H955" s="233" t="str">
        <f t="shared" si="97"/>
        <v/>
      </c>
      <c r="I955" s="231" t="str">
        <f>IF(AND(F955&lt;&gt;"",N10&gt;0,M955&gt;N10),"Mot &gt; limite","")</f>
        <v/>
      </c>
      <c r="M955" s="126">
        <f>IF(OR(F955="",N10="",N10&lt;=0),"",IF(LEN(F955)&lt;=N10,LEN(F955),IFERROR(FIND("♦",SUBSTITUTE(LEFT(F955,N10)," ","♦",LEN(LEFT(F955,N10))-LEN(SUBSTITUTE(LEFT(F955,N10)," ","")))),FIND(" ",F955&amp;" ",N10+1)-1)))</f>
        <v>1</v>
      </c>
      <c r="N955" s="234">
        <f t="shared" si="98"/>
        <v>938</v>
      </c>
      <c r="O955" s="165" t="str">
        <f t="shared" si="99"/>
        <v>0</v>
      </c>
      <c r="P955" s="234">
        <f t="shared" si="100"/>
        <v>1</v>
      </c>
      <c r="Q955" s="234">
        <f t="shared" si="101"/>
        <v>1</v>
      </c>
      <c r="DE955" s="152"/>
      <c r="DF955" s="160" t="s">
        <v>2816</v>
      </c>
      <c r="DG955" s="160" t="s">
        <v>122</v>
      </c>
      <c r="DH955" s="160" t="s">
        <v>125</v>
      </c>
      <c r="DI955" s="160" t="s">
        <v>2817</v>
      </c>
      <c r="DJ955" s="160" t="s">
        <v>2817</v>
      </c>
      <c r="DK955" s="160" t="s">
        <v>1259</v>
      </c>
      <c r="DL955" s="160" t="s">
        <v>1260</v>
      </c>
      <c r="DM955" s="160" t="s">
        <v>1812</v>
      </c>
      <c r="DN955" s="161" t="s">
        <v>1813</v>
      </c>
      <c r="DP955" s="130">
        <v>1</v>
      </c>
    </row>
    <row r="956" spans="2:120" ht="15">
      <c r="B956" s="231"/>
      <c r="C956" s="231"/>
      <c r="D956" s="231"/>
      <c r="E956" s="231" cm="1">
        <f t="array" ref="E956">IF(H955&lt;&gt;"",E955,IF(E955="","",IFERROR(MATCH(TRUE(),INDEX(INDEX(K:K,E955+1):K203&lt;&gt;"",0),0)+E955,"")))</f>
        <v>1048</v>
      </c>
      <c r="F956" s="232" cm="1">
        <f t="array" ref="F956">IF(E956="","",IF(H955&lt;&gt;"",H955,INDEX(D:D,E956)))</f>
        <v>0</v>
      </c>
      <c r="G956" s="232" t="str">
        <f t="shared" si="96"/>
        <v>0</v>
      </c>
      <c r="H956" s="233" t="str">
        <f t="shared" si="97"/>
        <v/>
      </c>
      <c r="I956" s="231" t="str">
        <f>IF(AND(F956&lt;&gt;"",N10&gt;0,M956&gt;N10),"Mot &gt; limite","")</f>
        <v/>
      </c>
      <c r="M956" s="126">
        <f>IF(OR(F956="",N10="",N10&lt;=0),"",IF(LEN(F956)&lt;=N10,LEN(F956),IFERROR(FIND("♦",SUBSTITUTE(LEFT(F956,N10)," ","♦",LEN(LEFT(F956,N10))-LEN(SUBSTITUTE(LEFT(F956,N10)," ","")))),FIND(" ",F956&amp;" ",N10+1)-1)))</f>
        <v>1</v>
      </c>
      <c r="N956" s="234">
        <f t="shared" si="98"/>
        <v>939</v>
      </c>
      <c r="O956" s="165" t="str">
        <f t="shared" si="99"/>
        <v>0</v>
      </c>
      <c r="P956" s="234">
        <f t="shared" si="100"/>
        <v>1</v>
      </c>
      <c r="Q956" s="234">
        <f t="shared" si="101"/>
        <v>1</v>
      </c>
      <c r="DE956" s="152"/>
      <c r="DF956" s="160" t="s">
        <v>2818</v>
      </c>
      <c r="DG956" s="160" t="s">
        <v>122</v>
      </c>
      <c r="DH956" s="160" t="s">
        <v>125</v>
      </c>
      <c r="DI956" s="160" t="s">
        <v>2819</v>
      </c>
      <c r="DJ956" s="160" t="s">
        <v>2819</v>
      </c>
      <c r="DK956" s="160" t="s">
        <v>1259</v>
      </c>
      <c r="DL956" s="160" t="s">
        <v>1260</v>
      </c>
      <c r="DM956" s="160" t="s">
        <v>1812</v>
      </c>
      <c r="DN956" s="161" t="s">
        <v>1813</v>
      </c>
      <c r="DP956" s="130">
        <v>1</v>
      </c>
    </row>
    <row r="957" spans="2:120" ht="15">
      <c r="B957" s="231"/>
      <c r="C957" s="231"/>
      <c r="D957" s="231"/>
      <c r="E957" s="231" cm="1">
        <f t="array" ref="E957">IF(H956&lt;&gt;"",E956,IF(E956="","",IFERROR(MATCH(TRUE(),INDEX(INDEX(K:K,E956+1):K203&lt;&gt;"",0),0)+E956,"")))</f>
        <v>1049</v>
      </c>
      <c r="F957" s="232" cm="1">
        <f t="array" ref="F957">IF(E957="","",IF(H956&lt;&gt;"",H956,INDEX(D:D,E957)))</f>
        <v>0</v>
      </c>
      <c r="G957" s="232" t="str">
        <f t="shared" si="96"/>
        <v>0</v>
      </c>
      <c r="H957" s="233" t="str">
        <f t="shared" si="97"/>
        <v/>
      </c>
      <c r="I957" s="231" t="str">
        <f>IF(AND(F957&lt;&gt;"",N10&gt;0,M957&gt;N10),"Mot &gt; limite","")</f>
        <v/>
      </c>
      <c r="M957" s="126">
        <f>IF(OR(F957="",N10="",N10&lt;=0),"",IF(LEN(F957)&lt;=N10,LEN(F957),IFERROR(FIND("♦",SUBSTITUTE(LEFT(F957,N10)," ","♦",LEN(LEFT(F957,N10))-LEN(SUBSTITUTE(LEFT(F957,N10)," ","")))),FIND(" ",F957&amp;" ",N10+1)-1)))</f>
        <v>1</v>
      </c>
      <c r="N957" s="234">
        <f t="shared" si="98"/>
        <v>940</v>
      </c>
      <c r="O957" s="165" t="str">
        <f t="shared" si="99"/>
        <v>0</v>
      </c>
      <c r="P957" s="234">
        <f t="shared" si="100"/>
        <v>1</v>
      </c>
      <c r="Q957" s="234">
        <f t="shared" si="101"/>
        <v>1</v>
      </c>
      <c r="DE957" s="152"/>
      <c r="DF957" s="160" t="s">
        <v>2820</v>
      </c>
      <c r="DG957" s="160" t="s">
        <v>122</v>
      </c>
      <c r="DH957" s="160" t="s">
        <v>125</v>
      </c>
      <c r="DI957" s="160" t="s">
        <v>2821</v>
      </c>
      <c r="DJ957" s="160" t="s">
        <v>2821</v>
      </c>
      <c r="DK957" s="160" t="s">
        <v>1259</v>
      </c>
      <c r="DL957" s="160" t="s">
        <v>1260</v>
      </c>
      <c r="DM957" s="160" t="s">
        <v>1812</v>
      </c>
      <c r="DN957" s="161" t="s">
        <v>1813</v>
      </c>
      <c r="DP957" s="130">
        <v>1</v>
      </c>
    </row>
    <row r="958" spans="2:120" ht="15">
      <c r="B958" s="231"/>
      <c r="C958" s="231"/>
      <c r="D958" s="231"/>
      <c r="E958" s="231" cm="1">
        <f t="array" ref="E958">IF(H957&lt;&gt;"",E957,IF(E957="","",IFERROR(MATCH(TRUE(),INDEX(INDEX(K:K,E957+1):K203&lt;&gt;"",0),0)+E957,"")))</f>
        <v>1050</v>
      </c>
      <c r="F958" s="232" cm="1">
        <f t="array" ref="F958">IF(E958="","",IF(H957&lt;&gt;"",H957,INDEX(D:D,E958)))</f>
        <v>0</v>
      </c>
      <c r="G958" s="232" t="str">
        <f t="shared" si="96"/>
        <v>0</v>
      </c>
      <c r="H958" s="233" t="str">
        <f t="shared" si="97"/>
        <v/>
      </c>
      <c r="I958" s="231" t="str">
        <f>IF(AND(F958&lt;&gt;"",N10&gt;0,M958&gt;N10),"Mot &gt; limite","")</f>
        <v/>
      </c>
      <c r="M958" s="126">
        <f>IF(OR(F958="",N10="",N10&lt;=0),"",IF(LEN(F958)&lt;=N10,LEN(F958),IFERROR(FIND("♦",SUBSTITUTE(LEFT(F958,N10)," ","♦",LEN(LEFT(F958,N10))-LEN(SUBSTITUTE(LEFT(F958,N10)," ","")))),FIND(" ",F958&amp;" ",N10+1)-1)))</f>
        <v>1</v>
      </c>
      <c r="N958" s="234">
        <f t="shared" si="98"/>
        <v>941</v>
      </c>
      <c r="O958" s="165" t="str">
        <f t="shared" si="99"/>
        <v>0</v>
      </c>
      <c r="P958" s="234">
        <f t="shared" si="100"/>
        <v>1</v>
      </c>
      <c r="Q958" s="234">
        <f t="shared" si="101"/>
        <v>1</v>
      </c>
      <c r="DE958" s="152"/>
      <c r="DF958" s="160" t="s">
        <v>2822</v>
      </c>
      <c r="DG958" s="160" t="s">
        <v>122</v>
      </c>
      <c r="DH958" s="160" t="s">
        <v>125</v>
      </c>
      <c r="DI958" s="160" t="s">
        <v>2823</v>
      </c>
      <c r="DJ958" s="160" t="s">
        <v>2823</v>
      </c>
      <c r="DK958" s="160" t="s">
        <v>1259</v>
      </c>
      <c r="DL958" s="160" t="s">
        <v>1260</v>
      </c>
      <c r="DM958" s="160" t="s">
        <v>1812</v>
      </c>
      <c r="DN958" s="161" t="s">
        <v>1813</v>
      </c>
      <c r="DP958" s="130">
        <v>1</v>
      </c>
    </row>
    <row r="959" spans="2:120" ht="15">
      <c r="B959" s="231"/>
      <c r="C959" s="231"/>
      <c r="D959" s="231"/>
      <c r="E959" s="231" cm="1">
        <f t="array" ref="E959">IF(H958&lt;&gt;"",E958,IF(E958="","",IFERROR(MATCH(TRUE(),INDEX(INDEX(K:K,E958+1):K203&lt;&gt;"",0),0)+E958,"")))</f>
        <v>1051</v>
      </c>
      <c r="F959" s="232" cm="1">
        <f t="array" ref="F959">IF(E959="","",IF(H958&lt;&gt;"",H958,INDEX(D:D,E959)))</f>
        <v>0</v>
      </c>
      <c r="G959" s="232" t="str">
        <f t="shared" si="96"/>
        <v>0</v>
      </c>
      <c r="H959" s="233" t="str">
        <f t="shared" si="97"/>
        <v/>
      </c>
      <c r="I959" s="231" t="str">
        <f>IF(AND(F959&lt;&gt;"",N10&gt;0,M959&gt;N10),"Mot &gt; limite","")</f>
        <v/>
      </c>
      <c r="M959" s="126">
        <f>IF(OR(F959="",N10="",N10&lt;=0),"",IF(LEN(F959)&lt;=N10,LEN(F959),IFERROR(FIND("♦",SUBSTITUTE(LEFT(F959,N10)," ","♦",LEN(LEFT(F959,N10))-LEN(SUBSTITUTE(LEFT(F959,N10)," ","")))),FIND(" ",F959&amp;" ",N10+1)-1)))</f>
        <v>1</v>
      </c>
      <c r="N959" s="234">
        <f t="shared" si="98"/>
        <v>942</v>
      </c>
      <c r="O959" s="165" t="str">
        <f t="shared" si="99"/>
        <v>0</v>
      </c>
      <c r="P959" s="234">
        <f t="shared" si="100"/>
        <v>1</v>
      </c>
      <c r="Q959" s="234">
        <f t="shared" si="101"/>
        <v>1</v>
      </c>
      <c r="DE959" s="152"/>
      <c r="DF959" s="160" t="s">
        <v>2824</v>
      </c>
      <c r="DG959" s="160" t="s">
        <v>122</v>
      </c>
      <c r="DH959" s="160" t="s">
        <v>125</v>
      </c>
      <c r="DI959" s="160" t="s">
        <v>2825</v>
      </c>
      <c r="DJ959" s="160" t="s">
        <v>2825</v>
      </c>
      <c r="DK959" s="160" t="s">
        <v>1259</v>
      </c>
      <c r="DL959" s="160" t="s">
        <v>1260</v>
      </c>
      <c r="DM959" s="160" t="s">
        <v>1812</v>
      </c>
      <c r="DN959" s="161" t="s">
        <v>1813</v>
      </c>
      <c r="DP959" s="130">
        <v>1</v>
      </c>
    </row>
    <row r="960" spans="2:120" ht="15">
      <c r="B960" s="231"/>
      <c r="C960" s="231"/>
      <c r="D960" s="231"/>
      <c r="E960" s="231" cm="1">
        <f t="array" ref="E960">IF(H959&lt;&gt;"",E959,IF(E959="","",IFERROR(MATCH(TRUE(),INDEX(INDEX(K:K,E959+1):K203&lt;&gt;"",0),0)+E959,"")))</f>
        <v>1052</v>
      </c>
      <c r="F960" s="232" cm="1">
        <f t="array" ref="F960">IF(E960="","",IF(H959&lt;&gt;"",H959,INDEX(D:D,E960)))</f>
        <v>0</v>
      </c>
      <c r="G960" s="232" t="str">
        <f t="shared" si="96"/>
        <v>0</v>
      </c>
      <c r="H960" s="233" t="str">
        <f t="shared" si="97"/>
        <v/>
      </c>
      <c r="I960" s="231" t="str">
        <f>IF(AND(F960&lt;&gt;"",N10&gt;0,M960&gt;N10),"Mot &gt; limite","")</f>
        <v/>
      </c>
      <c r="M960" s="126">
        <f>IF(OR(F960="",N10="",N10&lt;=0),"",IF(LEN(F960)&lt;=N10,LEN(F960),IFERROR(FIND("♦",SUBSTITUTE(LEFT(F960,N10)," ","♦",LEN(LEFT(F960,N10))-LEN(SUBSTITUTE(LEFT(F960,N10)," ","")))),FIND(" ",F960&amp;" ",N10+1)-1)))</f>
        <v>1</v>
      </c>
      <c r="N960" s="234">
        <f t="shared" si="98"/>
        <v>943</v>
      </c>
      <c r="O960" s="165" t="str">
        <f t="shared" si="99"/>
        <v>0</v>
      </c>
      <c r="P960" s="234">
        <f t="shared" si="100"/>
        <v>1</v>
      </c>
      <c r="Q960" s="234">
        <f t="shared" si="101"/>
        <v>1</v>
      </c>
      <c r="DE960" s="152"/>
      <c r="DF960" s="160" t="s">
        <v>2826</v>
      </c>
      <c r="DG960" s="160" t="s">
        <v>122</v>
      </c>
      <c r="DH960" s="160" t="s">
        <v>125</v>
      </c>
      <c r="DI960" s="160" t="s">
        <v>2827</v>
      </c>
      <c r="DJ960" s="160" t="s">
        <v>2827</v>
      </c>
      <c r="DK960" s="160" t="s">
        <v>1259</v>
      </c>
      <c r="DL960" s="160" t="s">
        <v>1260</v>
      </c>
      <c r="DM960" s="160" t="s">
        <v>1812</v>
      </c>
      <c r="DN960" s="161" t="s">
        <v>1813</v>
      </c>
      <c r="DP960" s="130">
        <v>1</v>
      </c>
    </row>
    <row r="961" spans="2:120" ht="15">
      <c r="B961" s="231"/>
      <c r="C961" s="231"/>
      <c r="D961" s="231"/>
      <c r="E961" s="231" cm="1">
        <f t="array" ref="E961">IF(H960&lt;&gt;"",E960,IF(E960="","",IFERROR(MATCH(TRUE(),INDEX(INDEX(K:K,E960+1):K203&lt;&gt;"",0),0)+E960,"")))</f>
        <v>1053</v>
      </c>
      <c r="F961" s="232" cm="1">
        <f t="array" ref="F961">IF(E961="","",IF(H960&lt;&gt;"",H960,INDEX(D:D,E961)))</f>
        <v>0</v>
      </c>
      <c r="G961" s="232" t="str">
        <f t="shared" si="96"/>
        <v>0</v>
      </c>
      <c r="H961" s="233" t="str">
        <f t="shared" si="97"/>
        <v/>
      </c>
      <c r="I961" s="231" t="str">
        <f>IF(AND(F961&lt;&gt;"",N10&gt;0,M961&gt;N10),"Mot &gt; limite","")</f>
        <v/>
      </c>
      <c r="M961" s="126">
        <f>IF(OR(F961="",N10="",N10&lt;=0),"",IF(LEN(F961)&lt;=N10,LEN(F961),IFERROR(FIND("♦",SUBSTITUTE(LEFT(F961,N10)," ","♦",LEN(LEFT(F961,N10))-LEN(SUBSTITUTE(LEFT(F961,N10)," ","")))),FIND(" ",F961&amp;" ",N10+1)-1)))</f>
        <v>1</v>
      </c>
      <c r="N961" s="234">
        <f t="shared" si="98"/>
        <v>944</v>
      </c>
      <c r="O961" s="165" t="str">
        <f t="shared" si="99"/>
        <v>0</v>
      </c>
      <c r="P961" s="234">
        <f t="shared" si="100"/>
        <v>1</v>
      </c>
      <c r="Q961" s="234">
        <f t="shared" si="101"/>
        <v>1</v>
      </c>
      <c r="DE961" s="152"/>
      <c r="DF961" s="160" t="s">
        <v>2828</v>
      </c>
      <c r="DG961" s="160" t="s">
        <v>122</v>
      </c>
      <c r="DH961" s="160" t="s">
        <v>125</v>
      </c>
      <c r="DI961" s="160" t="s">
        <v>2829</v>
      </c>
      <c r="DJ961" s="160" t="s">
        <v>2829</v>
      </c>
      <c r="DK961" s="160" t="s">
        <v>1259</v>
      </c>
      <c r="DL961" s="160" t="s">
        <v>1260</v>
      </c>
      <c r="DM961" s="160" t="s">
        <v>1812</v>
      </c>
      <c r="DN961" s="161" t="s">
        <v>1813</v>
      </c>
      <c r="DP961" s="130">
        <v>1</v>
      </c>
    </row>
    <row r="962" spans="2:120" ht="15">
      <c r="B962" s="231"/>
      <c r="C962" s="231"/>
      <c r="D962" s="231"/>
      <c r="E962" s="231" cm="1">
        <f t="array" ref="E962">IF(H961&lt;&gt;"",E961,IF(E961="","",IFERROR(MATCH(TRUE(),INDEX(INDEX(K:K,E961+1):K203&lt;&gt;"",0),0)+E961,"")))</f>
        <v>1054</v>
      </c>
      <c r="F962" s="232" cm="1">
        <f t="array" ref="F962">IF(E962="","",IF(H961&lt;&gt;"",H961,INDEX(D:D,E962)))</f>
        <v>0</v>
      </c>
      <c r="G962" s="232" t="str">
        <f t="shared" si="96"/>
        <v>0</v>
      </c>
      <c r="H962" s="233" t="str">
        <f t="shared" si="97"/>
        <v/>
      </c>
      <c r="I962" s="231" t="str">
        <f>IF(AND(F962&lt;&gt;"",N10&gt;0,M962&gt;N10),"Mot &gt; limite","")</f>
        <v/>
      </c>
      <c r="M962" s="126">
        <f>IF(OR(F962="",N10="",N10&lt;=0),"",IF(LEN(F962)&lt;=N10,LEN(F962),IFERROR(FIND("♦",SUBSTITUTE(LEFT(F962,N10)," ","♦",LEN(LEFT(F962,N10))-LEN(SUBSTITUTE(LEFT(F962,N10)," ","")))),FIND(" ",F962&amp;" ",N10+1)-1)))</f>
        <v>1</v>
      </c>
      <c r="N962" s="234">
        <f t="shared" si="98"/>
        <v>945</v>
      </c>
      <c r="O962" s="165" t="str">
        <f t="shared" si="99"/>
        <v>0</v>
      </c>
      <c r="P962" s="234">
        <f t="shared" si="100"/>
        <v>1</v>
      </c>
      <c r="Q962" s="234">
        <f t="shared" si="101"/>
        <v>1</v>
      </c>
      <c r="DE962" s="152"/>
      <c r="DF962" s="160" t="s">
        <v>2830</v>
      </c>
      <c r="DG962" s="160" t="s">
        <v>122</v>
      </c>
      <c r="DH962" s="160" t="s">
        <v>125</v>
      </c>
      <c r="DI962" s="160" t="s">
        <v>2831</v>
      </c>
      <c r="DJ962" s="160" t="s">
        <v>2831</v>
      </c>
      <c r="DK962" s="160" t="s">
        <v>1259</v>
      </c>
      <c r="DL962" s="160" t="s">
        <v>1260</v>
      </c>
      <c r="DM962" s="160" t="s">
        <v>1812</v>
      </c>
      <c r="DN962" s="161" t="s">
        <v>1813</v>
      </c>
      <c r="DP962" s="130">
        <v>1</v>
      </c>
    </row>
    <row r="963" spans="2:120" ht="15">
      <c r="B963" s="231"/>
      <c r="C963" s="231"/>
      <c r="D963" s="231"/>
      <c r="E963" s="231" cm="1">
        <f t="array" ref="E963">IF(H962&lt;&gt;"",E962,IF(E962="","",IFERROR(MATCH(TRUE(),INDEX(INDEX(K:K,E962+1):K203&lt;&gt;"",0),0)+E962,"")))</f>
        <v>1055</v>
      </c>
      <c r="F963" s="232" cm="1">
        <f t="array" ref="F963">IF(E963="","",IF(H962&lt;&gt;"",H962,INDEX(D:D,E963)))</f>
        <v>0</v>
      </c>
      <c r="G963" s="232" t="str">
        <f t="shared" si="96"/>
        <v>0</v>
      </c>
      <c r="H963" s="233" t="str">
        <f t="shared" si="97"/>
        <v/>
      </c>
      <c r="I963" s="231" t="str">
        <f>IF(AND(F963&lt;&gt;"",N10&gt;0,M963&gt;N10),"Mot &gt; limite","")</f>
        <v/>
      </c>
      <c r="M963" s="126">
        <f>IF(OR(F963="",N10="",N10&lt;=0),"",IF(LEN(F963)&lt;=N10,LEN(F963),IFERROR(FIND("♦",SUBSTITUTE(LEFT(F963,N10)," ","♦",LEN(LEFT(F963,N10))-LEN(SUBSTITUTE(LEFT(F963,N10)," ","")))),FIND(" ",F963&amp;" ",N10+1)-1)))</f>
        <v>1</v>
      </c>
      <c r="N963" s="234">
        <f t="shared" si="98"/>
        <v>946</v>
      </c>
      <c r="O963" s="165" t="str">
        <f t="shared" si="99"/>
        <v>0</v>
      </c>
      <c r="P963" s="234">
        <f t="shared" si="100"/>
        <v>1</v>
      </c>
      <c r="Q963" s="234">
        <f t="shared" si="101"/>
        <v>1</v>
      </c>
      <c r="DE963" s="152"/>
      <c r="DF963" s="160" t="s">
        <v>2832</v>
      </c>
      <c r="DG963" s="160" t="s">
        <v>122</v>
      </c>
      <c r="DH963" s="160" t="s">
        <v>125</v>
      </c>
      <c r="DI963" s="160" t="s">
        <v>2833</v>
      </c>
      <c r="DJ963" s="160" t="s">
        <v>2833</v>
      </c>
      <c r="DK963" s="160" t="s">
        <v>1259</v>
      </c>
      <c r="DL963" s="160" t="s">
        <v>1260</v>
      </c>
      <c r="DM963" s="160" t="s">
        <v>1812</v>
      </c>
      <c r="DN963" s="161" t="s">
        <v>1813</v>
      </c>
      <c r="DP963" s="130">
        <v>1</v>
      </c>
    </row>
    <row r="964" spans="2:120" ht="15">
      <c r="B964" s="231"/>
      <c r="C964" s="231"/>
      <c r="D964" s="231"/>
      <c r="E964" s="231" cm="1">
        <f t="array" ref="E964">IF(H963&lt;&gt;"",E963,IF(E963="","",IFERROR(MATCH(TRUE(),INDEX(INDEX(K:K,E963+1):K203&lt;&gt;"",0),0)+E963,"")))</f>
        <v>1056</v>
      </c>
      <c r="F964" s="232" cm="1">
        <f t="array" ref="F964">IF(E964="","",IF(H963&lt;&gt;"",H963,INDEX(D:D,E964)))</f>
        <v>0</v>
      </c>
      <c r="G964" s="232" t="str">
        <f t="shared" si="96"/>
        <v>0</v>
      </c>
      <c r="H964" s="233" t="str">
        <f t="shared" si="97"/>
        <v/>
      </c>
      <c r="I964" s="231" t="str">
        <f>IF(AND(F964&lt;&gt;"",N10&gt;0,M964&gt;N10),"Mot &gt; limite","")</f>
        <v/>
      </c>
      <c r="M964" s="126">
        <f>IF(OR(F964="",N10="",N10&lt;=0),"",IF(LEN(F964)&lt;=N10,LEN(F964),IFERROR(FIND("♦",SUBSTITUTE(LEFT(F964,N10)," ","♦",LEN(LEFT(F964,N10))-LEN(SUBSTITUTE(LEFT(F964,N10)," ","")))),FIND(" ",F964&amp;" ",N10+1)-1)))</f>
        <v>1</v>
      </c>
      <c r="N964" s="234">
        <f t="shared" si="98"/>
        <v>947</v>
      </c>
      <c r="O964" s="165" t="str">
        <f t="shared" si="99"/>
        <v>0</v>
      </c>
      <c r="P964" s="234">
        <f t="shared" si="100"/>
        <v>1</v>
      </c>
      <c r="Q964" s="234">
        <f t="shared" si="101"/>
        <v>1</v>
      </c>
      <c r="DE964" s="152"/>
      <c r="DF964" s="160" t="s">
        <v>2834</v>
      </c>
      <c r="DG964" s="160" t="s">
        <v>122</v>
      </c>
      <c r="DH964" s="160" t="s">
        <v>125</v>
      </c>
      <c r="DI964" s="160" t="s">
        <v>2835</v>
      </c>
      <c r="DJ964" s="160" t="s">
        <v>2835</v>
      </c>
      <c r="DK964" s="160" t="s">
        <v>1259</v>
      </c>
      <c r="DL964" s="160" t="s">
        <v>1260</v>
      </c>
      <c r="DM964" s="160" t="s">
        <v>1812</v>
      </c>
      <c r="DN964" s="161" t="s">
        <v>1813</v>
      </c>
      <c r="DP964" s="130">
        <v>1</v>
      </c>
    </row>
    <row r="965" spans="2:120" ht="15">
      <c r="B965" s="231"/>
      <c r="C965" s="231"/>
      <c r="D965" s="231"/>
      <c r="E965" s="231" cm="1">
        <f t="array" ref="E965">IF(H964&lt;&gt;"",E964,IF(E964="","",IFERROR(MATCH(TRUE(),INDEX(INDEX(K:K,E964+1):K203&lt;&gt;"",0),0)+E964,"")))</f>
        <v>1057</v>
      </c>
      <c r="F965" s="232" cm="1">
        <f t="array" ref="F965">IF(E965="","",IF(H964&lt;&gt;"",H964,INDEX(D:D,E965)))</f>
        <v>0</v>
      </c>
      <c r="G965" s="232" t="str">
        <f t="shared" si="96"/>
        <v>0</v>
      </c>
      <c r="H965" s="233" t="str">
        <f t="shared" si="97"/>
        <v/>
      </c>
      <c r="I965" s="231" t="str">
        <f>IF(AND(F965&lt;&gt;"",N10&gt;0,M965&gt;N10),"Mot &gt; limite","")</f>
        <v/>
      </c>
      <c r="M965" s="126">
        <f>IF(OR(F965="",N10="",N10&lt;=0),"",IF(LEN(F965)&lt;=N10,LEN(F965),IFERROR(FIND("♦",SUBSTITUTE(LEFT(F965,N10)," ","♦",LEN(LEFT(F965,N10))-LEN(SUBSTITUTE(LEFT(F965,N10)," ","")))),FIND(" ",F965&amp;" ",N10+1)-1)))</f>
        <v>1</v>
      </c>
      <c r="N965" s="234">
        <f t="shared" si="98"/>
        <v>948</v>
      </c>
      <c r="O965" s="165" t="str">
        <f t="shared" si="99"/>
        <v>0</v>
      </c>
      <c r="P965" s="234">
        <f t="shared" si="100"/>
        <v>1</v>
      </c>
      <c r="Q965" s="234">
        <f t="shared" si="101"/>
        <v>1</v>
      </c>
      <c r="DE965" s="152"/>
      <c r="DF965" s="160" t="s">
        <v>2836</v>
      </c>
      <c r="DG965" s="160" t="s">
        <v>122</v>
      </c>
      <c r="DH965" s="160" t="s">
        <v>125</v>
      </c>
      <c r="DI965" s="160" t="s">
        <v>2837</v>
      </c>
      <c r="DJ965" s="160" t="s">
        <v>2837</v>
      </c>
      <c r="DK965" s="160" t="s">
        <v>1259</v>
      </c>
      <c r="DL965" s="160" t="s">
        <v>1260</v>
      </c>
      <c r="DM965" s="160" t="s">
        <v>1812</v>
      </c>
      <c r="DN965" s="161" t="s">
        <v>1813</v>
      </c>
      <c r="DP965" s="130">
        <v>1</v>
      </c>
    </row>
    <row r="966" spans="2:120" ht="15">
      <c r="B966" s="231"/>
      <c r="C966" s="231"/>
      <c r="D966" s="231"/>
      <c r="E966" s="231" cm="1">
        <f t="array" ref="E966">IF(H965&lt;&gt;"",E965,IF(E965="","",IFERROR(MATCH(TRUE(),INDEX(INDEX(K:K,E965+1):K203&lt;&gt;"",0),0)+E965,"")))</f>
        <v>1058</v>
      </c>
      <c r="F966" s="232" cm="1">
        <f t="array" ref="F966">IF(E966="","",IF(H965&lt;&gt;"",H965,INDEX(D:D,E966)))</f>
        <v>0</v>
      </c>
      <c r="G966" s="232" t="str">
        <f t="shared" si="96"/>
        <v>0</v>
      </c>
      <c r="H966" s="233" t="str">
        <f t="shared" si="97"/>
        <v/>
      </c>
      <c r="I966" s="231" t="str">
        <f>IF(AND(F966&lt;&gt;"",N10&gt;0,M966&gt;N10),"Mot &gt; limite","")</f>
        <v/>
      </c>
      <c r="M966" s="126">
        <f>IF(OR(F966="",N10="",N10&lt;=0),"",IF(LEN(F966)&lt;=N10,LEN(F966),IFERROR(FIND("♦",SUBSTITUTE(LEFT(F966,N10)," ","♦",LEN(LEFT(F966,N10))-LEN(SUBSTITUTE(LEFT(F966,N10)," ","")))),FIND(" ",F966&amp;" ",N10+1)-1)))</f>
        <v>1</v>
      </c>
      <c r="N966" s="234">
        <f t="shared" si="98"/>
        <v>949</v>
      </c>
      <c r="O966" s="165" t="str">
        <f t="shared" si="99"/>
        <v>0</v>
      </c>
      <c r="P966" s="234">
        <f t="shared" si="100"/>
        <v>1</v>
      </c>
      <c r="Q966" s="234">
        <f t="shared" si="101"/>
        <v>1</v>
      </c>
      <c r="DE966" s="152"/>
      <c r="DF966" s="160" t="s">
        <v>2838</v>
      </c>
      <c r="DG966" s="160" t="s">
        <v>122</v>
      </c>
      <c r="DH966" s="160" t="s">
        <v>125</v>
      </c>
      <c r="DI966" s="160" t="s">
        <v>2839</v>
      </c>
      <c r="DJ966" s="160" t="s">
        <v>2839</v>
      </c>
      <c r="DK966" s="160" t="s">
        <v>1259</v>
      </c>
      <c r="DL966" s="160" t="s">
        <v>1260</v>
      </c>
      <c r="DM966" s="160" t="s">
        <v>1812</v>
      </c>
      <c r="DN966" s="161" t="s">
        <v>1813</v>
      </c>
      <c r="DP966" s="130">
        <v>1</v>
      </c>
    </row>
    <row r="967" spans="2:120" ht="15">
      <c r="B967" s="231"/>
      <c r="C967" s="231"/>
      <c r="D967" s="231"/>
      <c r="E967" s="231" cm="1">
        <f t="array" ref="E967">IF(H966&lt;&gt;"",E966,IF(E966="","",IFERROR(MATCH(TRUE(),INDEX(INDEX(K:K,E966+1):K203&lt;&gt;"",0),0)+E966,"")))</f>
        <v>1059</v>
      </c>
      <c r="F967" s="232" cm="1">
        <f t="array" ref="F967">IF(E967="","",IF(H966&lt;&gt;"",H966,INDEX(D:D,E967)))</f>
        <v>0</v>
      </c>
      <c r="G967" s="232" t="str">
        <f t="shared" si="96"/>
        <v>0</v>
      </c>
      <c r="H967" s="233" t="str">
        <f t="shared" si="97"/>
        <v/>
      </c>
      <c r="I967" s="231" t="str">
        <f>IF(AND(F967&lt;&gt;"",N10&gt;0,M967&gt;N10),"Mot &gt; limite","")</f>
        <v/>
      </c>
      <c r="M967" s="126">
        <f>IF(OR(F967="",N10="",N10&lt;=0),"",IF(LEN(F967)&lt;=N10,LEN(F967),IFERROR(FIND("♦",SUBSTITUTE(LEFT(F967,N10)," ","♦",LEN(LEFT(F967,N10))-LEN(SUBSTITUTE(LEFT(F967,N10)," ","")))),FIND(" ",F967&amp;" ",N10+1)-1)))</f>
        <v>1</v>
      </c>
      <c r="N967" s="234">
        <f t="shared" si="98"/>
        <v>950</v>
      </c>
      <c r="O967" s="165" t="str">
        <f t="shared" si="99"/>
        <v>0</v>
      </c>
      <c r="P967" s="234">
        <f t="shared" si="100"/>
        <v>1</v>
      </c>
      <c r="Q967" s="234">
        <f t="shared" si="101"/>
        <v>1</v>
      </c>
      <c r="DE967" s="152"/>
      <c r="DF967" s="160" t="s">
        <v>2840</v>
      </c>
      <c r="DG967" s="160" t="s">
        <v>122</v>
      </c>
      <c r="DH967" s="160" t="s">
        <v>125</v>
      </c>
      <c r="DI967" s="160" t="s">
        <v>2841</v>
      </c>
      <c r="DJ967" s="160" t="s">
        <v>2841</v>
      </c>
      <c r="DK967" s="160" t="s">
        <v>1259</v>
      </c>
      <c r="DL967" s="160" t="s">
        <v>1260</v>
      </c>
      <c r="DM967" s="160" t="s">
        <v>1812</v>
      </c>
      <c r="DN967" s="161" t="s">
        <v>1813</v>
      </c>
      <c r="DP967" s="130">
        <v>1</v>
      </c>
    </row>
    <row r="968" spans="2:120" ht="15">
      <c r="B968" s="231"/>
      <c r="C968" s="231"/>
      <c r="D968" s="231"/>
      <c r="E968" s="231" cm="1">
        <f t="array" ref="E968">IF(H967&lt;&gt;"",E967,IF(E967="","",IFERROR(MATCH(TRUE(),INDEX(INDEX(K:K,E967+1):K203&lt;&gt;"",0),0)+E967,"")))</f>
        <v>1060</v>
      </c>
      <c r="F968" s="232" cm="1">
        <f t="array" ref="F968">IF(E968="","",IF(H967&lt;&gt;"",H967,INDEX(D:D,E968)))</f>
        <v>0</v>
      </c>
      <c r="G968" s="232" t="str">
        <f t="shared" si="96"/>
        <v>0</v>
      </c>
      <c r="H968" s="233" t="str">
        <f t="shared" si="97"/>
        <v/>
      </c>
      <c r="I968" s="231" t="str">
        <f>IF(AND(F968&lt;&gt;"",N10&gt;0,M968&gt;N10),"Mot &gt; limite","")</f>
        <v/>
      </c>
      <c r="M968" s="126">
        <f>IF(OR(F968="",N10="",N10&lt;=0),"",IF(LEN(F968)&lt;=N10,LEN(F968),IFERROR(FIND("♦",SUBSTITUTE(LEFT(F968,N10)," ","♦",LEN(LEFT(F968,N10))-LEN(SUBSTITUTE(LEFT(F968,N10)," ","")))),FIND(" ",F968&amp;" ",N10+1)-1)))</f>
        <v>1</v>
      </c>
      <c r="N968" s="234">
        <f t="shared" si="98"/>
        <v>951</v>
      </c>
      <c r="O968" s="165" t="str">
        <f t="shared" si="99"/>
        <v>0</v>
      </c>
      <c r="P968" s="234">
        <f t="shared" si="100"/>
        <v>1</v>
      </c>
      <c r="Q968" s="234">
        <f t="shared" si="101"/>
        <v>1</v>
      </c>
      <c r="DE968" s="152"/>
      <c r="DF968" s="160" t="s">
        <v>2842</v>
      </c>
      <c r="DG968" s="160" t="s">
        <v>122</v>
      </c>
      <c r="DH968" s="160" t="s">
        <v>125</v>
      </c>
      <c r="DI968" s="160" t="s">
        <v>2843</v>
      </c>
      <c r="DJ968" s="160" t="s">
        <v>2843</v>
      </c>
      <c r="DK968" s="160" t="s">
        <v>1259</v>
      </c>
      <c r="DL968" s="160" t="s">
        <v>1260</v>
      </c>
      <c r="DM968" s="160" t="s">
        <v>1812</v>
      </c>
      <c r="DN968" s="161" t="s">
        <v>1813</v>
      </c>
      <c r="DP968" s="130">
        <v>1</v>
      </c>
    </row>
    <row r="969" spans="2:120" ht="15">
      <c r="B969" s="231"/>
      <c r="C969" s="231"/>
      <c r="D969" s="231"/>
      <c r="E969" s="231" cm="1">
        <f t="array" ref="E969">IF(H968&lt;&gt;"",E968,IF(E968="","",IFERROR(MATCH(TRUE(),INDEX(INDEX(K:K,E968+1):K203&lt;&gt;"",0),0)+E968,"")))</f>
        <v>1061</v>
      </c>
      <c r="F969" s="232" cm="1">
        <f t="array" ref="F969">IF(E969="","",IF(H968&lt;&gt;"",H968,INDEX(D:D,E969)))</f>
        <v>0</v>
      </c>
      <c r="G969" s="232" t="str">
        <f t="shared" si="96"/>
        <v>0</v>
      </c>
      <c r="H969" s="233" t="str">
        <f t="shared" si="97"/>
        <v/>
      </c>
      <c r="I969" s="231" t="str">
        <f>IF(AND(F969&lt;&gt;"",N10&gt;0,M969&gt;N10),"Mot &gt; limite","")</f>
        <v/>
      </c>
      <c r="M969" s="126">
        <f>IF(OR(F969="",N10="",N10&lt;=0),"",IF(LEN(F969)&lt;=N10,LEN(F969),IFERROR(FIND("♦",SUBSTITUTE(LEFT(F969,N10)," ","♦",LEN(LEFT(F969,N10))-LEN(SUBSTITUTE(LEFT(F969,N10)," ","")))),FIND(" ",F969&amp;" ",N10+1)-1)))</f>
        <v>1</v>
      </c>
      <c r="N969" s="234">
        <f t="shared" si="98"/>
        <v>952</v>
      </c>
      <c r="O969" s="165" t="str">
        <f t="shared" si="99"/>
        <v>0</v>
      </c>
      <c r="P969" s="234">
        <f t="shared" si="100"/>
        <v>1</v>
      </c>
      <c r="Q969" s="234">
        <f t="shared" si="101"/>
        <v>1</v>
      </c>
      <c r="DE969" s="152"/>
      <c r="DF969" s="160" t="s">
        <v>2844</v>
      </c>
      <c r="DG969" s="160" t="s">
        <v>122</v>
      </c>
      <c r="DH969" s="160" t="s">
        <v>125</v>
      </c>
      <c r="DI969" s="160" t="s">
        <v>2845</v>
      </c>
      <c r="DJ969" s="160" t="s">
        <v>2845</v>
      </c>
      <c r="DK969" s="160" t="s">
        <v>1259</v>
      </c>
      <c r="DL969" s="160" t="s">
        <v>1260</v>
      </c>
      <c r="DM969" s="160" t="s">
        <v>1812</v>
      </c>
      <c r="DN969" s="161" t="s">
        <v>1813</v>
      </c>
      <c r="DP969" s="130">
        <v>1</v>
      </c>
    </row>
    <row r="970" spans="2:120" ht="15">
      <c r="B970" s="231"/>
      <c r="C970" s="231"/>
      <c r="D970" s="231"/>
      <c r="E970" s="231" cm="1">
        <f t="array" ref="E970">IF(H969&lt;&gt;"",E969,IF(E969="","",IFERROR(MATCH(TRUE(),INDEX(INDEX(K:K,E969+1):K203&lt;&gt;"",0),0)+E969,"")))</f>
        <v>1062</v>
      </c>
      <c r="F970" s="232" cm="1">
        <f t="array" ref="F970">IF(E970="","",IF(H969&lt;&gt;"",H969,INDEX(D:D,E970)))</f>
        <v>0</v>
      </c>
      <c r="G970" s="232" t="str">
        <f t="shared" si="96"/>
        <v>0</v>
      </c>
      <c r="H970" s="233" t="str">
        <f t="shared" si="97"/>
        <v/>
      </c>
      <c r="I970" s="231" t="str">
        <f>IF(AND(F970&lt;&gt;"",N10&gt;0,M970&gt;N10),"Mot &gt; limite","")</f>
        <v/>
      </c>
      <c r="M970" s="126">
        <f>IF(OR(F970="",N10="",N10&lt;=0),"",IF(LEN(F970)&lt;=N10,LEN(F970),IFERROR(FIND("♦",SUBSTITUTE(LEFT(F970,N10)," ","♦",LEN(LEFT(F970,N10))-LEN(SUBSTITUTE(LEFT(F970,N10)," ","")))),FIND(" ",F970&amp;" ",N10+1)-1)))</f>
        <v>1</v>
      </c>
      <c r="N970" s="234">
        <f t="shared" si="98"/>
        <v>953</v>
      </c>
      <c r="O970" s="165" t="str">
        <f t="shared" si="99"/>
        <v>0</v>
      </c>
      <c r="P970" s="234">
        <f t="shared" si="100"/>
        <v>1</v>
      </c>
      <c r="Q970" s="234">
        <f t="shared" si="101"/>
        <v>1</v>
      </c>
      <c r="DE970" s="152"/>
      <c r="DF970" s="160" t="s">
        <v>2846</v>
      </c>
      <c r="DG970" s="160" t="s">
        <v>122</v>
      </c>
      <c r="DH970" s="160" t="s">
        <v>125</v>
      </c>
      <c r="DI970" s="160" t="s">
        <v>2847</v>
      </c>
      <c r="DJ970" s="160" t="s">
        <v>2847</v>
      </c>
      <c r="DK970" s="160" t="s">
        <v>1259</v>
      </c>
      <c r="DL970" s="160" t="s">
        <v>1260</v>
      </c>
      <c r="DM970" s="160" t="s">
        <v>1812</v>
      </c>
      <c r="DN970" s="161" t="s">
        <v>1813</v>
      </c>
      <c r="DP970" s="130">
        <v>1</v>
      </c>
    </row>
    <row r="971" spans="2:120" ht="15">
      <c r="B971" s="231"/>
      <c r="C971" s="231"/>
      <c r="D971" s="231"/>
      <c r="E971" s="231" cm="1">
        <f t="array" ref="E971">IF(H970&lt;&gt;"",E970,IF(E970="","",IFERROR(MATCH(TRUE(),INDEX(INDEX(K:K,E970+1):K203&lt;&gt;"",0),0)+E970,"")))</f>
        <v>1063</v>
      </c>
      <c r="F971" s="232" cm="1">
        <f t="array" ref="F971">IF(E971="","",IF(H970&lt;&gt;"",H970,INDEX(D:D,E971)))</f>
        <v>0</v>
      </c>
      <c r="G971" s="232" t="str">
        <f t="shared" si="96"/>
        <v>0</v>
      </c>
      <c r="H971" s="233" t="str">
        <f t="shared" si="97"/>
        <v/>
      </c>
      <c r="I971" s="231" t="str">
        <f>IF(AND(F971&lt;&gt;"",N10&gt;0,M971&gt;N10),"Mot &gt; limite","")</f>
        <v/>
      </c>
      <c r="M971" s="126">
        <f>IF(OR(F971="",N10="",N10&lt;=0),"",IF(LEN(F971)&lt;=N10,LEN(F971),IFERROR(FIND("♦",SUBSTITUTE(LEFT(F971,N10)," ","♦",LEN(LEFT(F971,N10))-LEN(SUBSTITUTE(LEFT(F971,N10)," ","")))),FIND(" ",F971&amp;" ",N10+1)-1)))</f>
        <v>1</v>
      </c>
      <c r="N971" s="234">
        <f t="shared" si="98"/>
        <v>954</v>
      </c>
      <c r="O971" s="165" t="str">
        <f t="shared" si="99"/>
        <v>0</v>
      </c>
      <c r="P971" s="234">
        <f t="shared" si="100"/>
        <v>1</v>
      </c>
      <c r="Q971" s="234">
        <f t="shared" si="101"/>
        <v>1</v>
      </c>
      <c r="DE971" s="152"/>
      <c r="DF971" s="160" t="s">
        <v>2848</v>
      </c>
      <c r="DG971" s="160" t="s">
        <v>122</v>
      </c>
      <c r="DH971" s="160" t="s">
        <v>125</v>
      </c>
      <c r="DI971" s="160" t="s">
        <v>2849</v>
      </c>
      <c r="DJ971" s="160" t="s">
        <v>2849</v>
      </c>
      <c r="DK971" s="160" t="s">
        <v>1259</v>
      </c>
      <c r="DL971" s="160" t="s">
        <v>1260</v>
      </c>
      <c r="DM971" s="160" t="s">
        <v>1812</v>
      </c>
      <c r="DN971" s="161" t="s">
        <v>1813</v>
      </c>
      <c r="DP971" s="130">
        <v>1</v>
      </c>
    </row>
    <row r="972" spans="2:120" ht="15">
      <c r="B972" s="231"/>
      <c r="C972" s="231"/>
      <c r="D972" s="231"/>
      <c r="E972" s="231" cm="1">
        <f t="array" ref="E972">IF(H971&lt;&gt;"",E971,IF(E971="","",IFERROR(MATCH(TRUE(),INDEX(INDEX(K:K,E971+1):K203&lt;&gt;"",0),0)+E971,"")))</f>
        <v>1064</v>
      </c>
      <c r="F972" s="232" cm="1">
        <f t="array" ref="F972">IF(E972="","",IF(H971&lt;&gt;"",H971,INDEX(D:D,E972)))</f>
        <v>0</v>
      </c>
      <c r="G972" s="232" t="str">
        <f t="shared" si="96"/>
        <v>0</v>
      </c>
      <c r="H972" s="233" t="str">
        <f t="shared" si="97"/>
        <v/>
      </c>
      <c r="I972" s="231" t="str">
        <f>IF(AND(F972&lt;&gt;"",N10&gt;0,M972&gt;N10),"Mot &gt; limite","")</f>
        <v/>
      </c>
      <c r="M972" s="126">
        <f>IF(OR(F972="",N10="",N10&lt;=0),"",IF(LEN(F972)&lt;=N10,LEN(F972),IFERROR(FIND("♦",SUBSTITUTE(LEFT(F972,N10)," ","♦",LEN(LEFT(F972,N10))-LEN(SUBSTITUTE(LEFT(F972,N10)," ","")))),FIND(" ",F972&amp;" ",N10+1)-1)))</f>
        <v>1</v>
      </c>
      <c r="N972" s="234">
        <f t="shared" si="98"/>
        <v>955</v>
      </c>
      <c r="O972" s="165" t="str">
        <f t="shared" si="99"/>
        <v>0</v>
      </c>
      <c r="P972" s="234">
        <f t="shared" si="100"/>
        <v>1</v>
      </c>
      <c r="Q972" s="234">
        <f t="shared" si="101"/>
        <v>1</v>
      </c>
      <c r="DE972" s="152"/>
      <c r="DF972" s="160" t="s">
        <v>2850</v>
      </c>
      <c r="DG972" s="160" t="s">
        <v>122</v>
      </c>
      <c r="DH972" s="160" t="s">
        <v>125</v>
      </c>
      <c r="DI972" s="160" t="s">
        <v>2851</v>
      </c>
      <c r="DJ972" s="160" t="s">
        <v>2851</v>
      </c>
      <c r="DK972" s="160" t="s">
        <v>1259</v>
      </c>
      <c r="DL972" s="160" t="s">
        <v>1260</v>
      </c>
      <c r="DM972" s="160" t="s">
        <v>1812</v>
      </c>
      <c r="DN972" s="161" t="s">
        <v>1813</v>
      </c>
      <c r="DP972" s="130">
        <v>1</v>
      </c>
    </row>
    <row r="973" spans="2:120" ht="15">
      <c r="B973" s="231"/>
      <c r="C973" s="231"/>
      <c r="D973" s="231"/>
      <c r="E973" s="231" cm="1">
        <f t="array" ref="E973">IF(H972&lt;&gt;"",E972,IF(E972="","",IFERROR(MATCH(TRUE(),INDEX(INDEX(K:K,E972+1):K203&lt;&gt;"",0),0)+E972,"")))</f>
        <v>1065</v>
      </c>
      <c r="F973" s="232" cm="1">
        <f t="array" ref="F973">IF(E973="","",IF(H972&lt;&gt;"",H972,INDEX(D:D,E973)))</f>
        <v>0</v>
      </c>
      <c r="G973" s="232" t="str">
        <f t="shared" si="96"/>
        <v>0</v>
      </c>
      <c r="H973" s="233" t="str">
        <f t="shared" si="97"/>
        <v/>
      </c>
      <c r="I973" s="231" t="str">
        <f>IF(AND(F973&lt;&gt;"",N10&gt;0,M973&gt;N10),"Mot &gt; limite","")</f>
        <v/>
      </c>
      <c r="M973" s="126">
        <f>IF(OR(F973="",N10="",N10&lt;=0),"",IF(LEN(F973)&lt;=N10,LEN(F973),IFERROR(FIND("♦",SUBSTITUTE(LEFT(F973,N10)," ","♦",LEN(LEFT(F973,N10))-LEN(SUBSTITUTE(LEFT(F973,N10)," ","")))),FIND(" ",F973&amp;" ",N10+1)-1)))</f>
        <v>1</v>
      </c>
      <c r="N973" s="234">
        <f t="shared" si="98"/>
        <v>956</v>
      </c>
      <c r="O973" s="165" t="str">
        <f t="shared" si="99"/>
        <v>0</v>
      </c>
      <c r="P973" s="234">
        <f t="shared" si="100"/>
        <v>1</v>
      </c>
      <c r="Q973" s="234">
        <f t="shared" si="101"/>
        <v>1</v>
      </c>
      <c r="DE973" s="152"/>
      <c r="DF973" s="160" t="s">
        <v>2852</v>
      </c>
      <c r="DG973" s="160" t="s">
        <v>122</v>
      </c>
      <c r="DH973" s="160" t="s">
        <v>125</v>
      </c>
      <c r="DI973" s="160" t="s">
        <v>2853</v>
      </c>
      <c r="DJ973" s="160" t="s">
        <v>2853</v>
      </c>
      <c r="DK973" s="160" t="s">
        <v>1259</v>
      </c>
      <c r="DL973" s="160" t="s">
        <v>1260</v>
      </c>
      <c r="DM973" s="160" t="s">
        <v>1812</v>
      </c>
      <c r="DN973" s="161" t="s">
        <v>1813</v>
      </c>
      <c r="DP973" s="130">
        <v>1</v>
      </c>
    </row>
    <row r="974" spans="2:120" ht="15">
      <c r="B974" s="231"/>
      <c r="C974" s="231"/>
      <c r="D974" s="231"/>
      <c r="E974" s="231" cm="1">
        <f t="array" ref="E974">IF(H973&lt;&gt;"",E973,IF(E973="","",IFERROR(MATCH(TRUE(),INDEX(INDEX(K:K,E973+1):K203&lt;&gt;"",0),0)+E973,"")))</f>
        <v>1066</v>
      </c>
      <c r="F974" s="232" cm="1">
        <f t="array" ref="F974">IF(E974="","",IF(H973&lt;&gt;"",H973,INDEX(D:D,E974)))</f>
        <v>0</v>
      </c>
      <c r="G974" s="232" t="str">
        <f t="shared" si="96"/>
        <v>0</v>
      </c>
      <c r="H974" s="233" t="str">
        <f t="shared" si="97"/>
        <v/>
      </c>
      <c r="I974" s="231" t="str">
        <f>IF(AND(F974&lt;&gt;"",N10&gt;0,M974&gt;N10),"Mot &gt; limite","")</f>
        <v/>
      </c>
      <c r="M974" s="126">
        <f>IF(OR(F974="",N10="",N10&lt;=0),"",IF(LEN(F974)&lt;=N10,LEN(F974),IFERROR(FIND("♦",SUBSTITUTE(LEFT(F974,N10)," ","♦",LEN(LEFT(F974,N10))-LEN(SUBSTITUTE(LEFT(F974,N10)," ","")))),FIND(" ",F974&amp;" ",N10+1)-1)))</f>
        <v>1</v>
      </c>
      <c r="N974" s="234">
        <f t="shared" si="98"/>
        <v>957</v>
      </c>
      <c r="O974" s="165" t="str">
        <f t="shared" si="99"/>
        <v>0</v>
      </c>
      <c r="P974" s="234">
        <f t="shared" si="100"/>
        <v>1</v>
      </c>
      <c r="Q974" s="234">
        <f t="shared" si="101"/>
        <v>1</v>
      </c>
      <c r="DE974" s="152"/>
      <c r="DF974" s="160" t="s">
        <v>2854</v>
      </c>
      <c r="DG974" s="160" t="s">
        <v>122</v>
      </c>
      <c r="DH974" s="160" t="s">
        <v>125</v>
      </c>
      <c r="DI974" s="160" t="s">
        <v>2855</v>
      </c>
      <c r="DJ974" s="160" t="s">
        <v>2855</v>
      </c>
      <c r="DK974" s="160" t="s">
        <v>1259</v>
      </c>
      <c r="DL974" s="160" t="s">
        <v>1260</v>
      </c>
      <c r="DM974" s="160" t="s">
        <v>1812</v>
      </c>
      <c r="DN974" s="161" t="s">
        <v>1813</v>
      </c>
      <c r="DP974" s="130">
        <v>1</v>
      </c>
    </row>
    <row r="975" spans="2:120" ht="15">
      <c r="B975" s="231"/>
      <c r="C975" s="231"/>
      <c r="D975" s="231"/>
      <c r="E975" s="231" cm="1">
        <f t="array" ref="E975">IF(H974&lt;&gt;"",E974,IF(E974="","",IFERROR(MATCH(TRUE(),INDEX(INDEX(K:K,E974+1):K203&lt;&gt;"",0),0)+E974,"")))</f>
        <v>1067</v>
      </c>
      <c r="F975" s="232" cm="1">
        <f t="array" ref="F975">IF(E975="","",IF(H974&lt;&gt;"",H974,INDEX(D:D,E975)))</f>
        <v>0</v>
      </c>
      <c r="G975" s="232" t="str">
        <f t="shared" si="96"/>
        <v>0</v>
      </c>
      <c r="H975" s="233" t="str">
        <f t="shared" si="97"/>
        <v/>
      </c>
      <c r="I975" s="231" t="str">
        <f>IF(AND(F975&lt;&gt;"",N10&gt;0,M975&gt;N10),"Mot &gt; limite","")</f>
        <v/>
      </c>
      <c r="M975" s="126">
        <f>IF(OR(F975="",N10="",N10&lt;=0),"",IF(LEN(F975)&lt;=N10,LEN(F975),IFERROR(FIND("♦",SUBSTITUTE(LEFT(F975,N10)," ","♦",LEN(LEFT(F975,N10))-LEN(SUBSTITUTE(LEFT(F975,N10)," ","")))),FIND(" ",F975&amp;" ",N10+1)-1)))</f>
        <v>1</v>
      </c>
      <c r="N975" s="234">
        <f t="shared" si="98"/>
        <v>958</v>
      </c>
      <c r="O975" s="165" t="str">
        <f t="shared" si="99"/>
        <v>0</v>
      </c>
      <c r="P975" s="234">
        <f t="shared" si="100"/>
        <v>1</v>
      </c>
      <c r="Q975" s="234">
        <f t="shared" si="101"/>
        <v>1</v>
      </c>
      <c r="DE975" s="152"/>
      <c r="DF975" s="160" t="s">
        <v>2856</v>
      </c>
      <c r="DG975" s="160" t="s">
        <v>122</v>
      </c>
      <c r="DH975" s="160" t="s">
        <v>125</v>
      </c>
      <c r="DI975" s="160" t="s">
        <v>2857</v>
      </c>
      <c r="DJ975" s="160" t="s">
        <v>2857</v>
      </c>
      <c r="DK975" s="160" t="s">
        <v>1259</v>
      </c>
      <c r="DL975" s="160" t="s">
        <v>1260</v>
      </c>
      <c r="DM975" s="160" t="s">
        <v>1812</v>
      </c>
      <c r="DN975" s="161" t="s">
        <v>1813</v>
      </c>
      <c r="DP975" s="130">
        <v>1</v>
      </c>
    </row>
    <row r="976" spans="2:120" ht="15">
      <c r="B976" s="231"/>
      <c r="C976" s="231"/>
      <c r="D976" s="231"/>
      <c r="E976" s="231" cm="1">
        <f t="array" ref="E976">IF(H975&lt;&gt;"",E975,IF(E975="","",IFERROR(MATCH(TRUE(),INDEX(INDEX(K:K,E975+1):K203&lt;&gt;"",0),0)+E975,"")))</f>
        <v>1068</v>
      </c>
      <c r="F976" s="232" cm="1">
        <f t="array" ref="F976">IF(E976="","",IF(H975&lt;&gt;"",H975,INDEX(D:D,E976)))</f>
        <v>0</v>
      </c>
      <c r="G976" s="232" t="str">
        <f t="shared" si="96"/>
        <v>0</v>
      </c>
      <c r="H976" s="233" t="str">
        <f t="shared" si="97"/>
        <v/>
      </c>
      <c r="I976" s="231" t="str">
        <f>IF(AND(F976&lt;&gt;"",N10&gt;0,M976&gt;N10),"Mot &gt; limite","")</f>
        <v/>
      </c>
      <c r="M976" s="126">
        <f>IF(OR(F976="",N10="",N10&lt;=0),"",IF(LEN(F976)&lt;=N10,LEN(F976),IFERROR(FIND("♦",SUBSTITUTE(LEFT(F976,N10)," ","♦",LEN(LEFT(F976,N10))-LEN(SUBSTITUTE(LEFT(F976,N10)," ","")))),FIND(" ",F976&amp;" ",N10+1)-1)))</f>
        <v>1</v>
      </c>
      <c r="N976" s="234">
        <f t="shared" si="98"/>
        <v>959</v>
      </c>
      <c r="O976" s="165" t="str">
        <f t="shared" si="99"/>
        <v>0</v>
      </c>
      <c r="P976" s="234">
        <f t="shared" si="100"/>
        <v>1</v>
      </c>
      <c r="Q976" s="234">
        <f t="shared" si="101"/>
        <v>1</v>
      </c>
      <c r="DE976" s="152"/>
      <c r="DF976" s="160" t="s">
        <v>2858</v>
      </c>
      <c r="DG976" s="160" t="s">
        <v>122</v>
      </c>
      <c r="DH976" s="160" t="s">
        <v>125</v>
      </c>
      <c r="DI976" s="160" t="s">
        <v>2859</v>
      </c>
      <c r="DJ976" s="160" t="s">
        <v>2859</v>
      </c>
      <c r="DK976" s="160" t="s">
        <v>1259</v>
      </c>
      <c r="DL976" s="160" t="s">
        <v>1260</v>
      </c>
      <c r="DM976" s="160" t="s">
        <v>1812</v>
      </c>
      <c r="DN976" s="161" t="s">
        <v>1813</v>
      </c>
      <c r="DP976" s="130">
        <v>1</v>
      </c>
    </row>
    <row r="977" spans="2:120" ht="15">
      <c r="B977" s="231"/>
      <c r="C977" s="231"/>
      <c r="D977" s="231"/>
      <c r="E977" s="231" cm="1">
        <f t="array" ref="E977">IF(H976&lt;&gt;"",E976,IF(E976="","",IFERROR(MATCH(TRUE(),INDEX(INDEX(K:K,E976+1):K203&lt;&gt;"",0),0)+E976,"")))</f>
        <v>1069</v>
      </c>
      <c r="F977" s="232" cm="1">
        <f t="array" ref="F977">IF(E977="","",IF(H976&lt;&gt;"",H976,INDEX(D:D,E977)))</f>
        <v>0</v>
      </c>
      <c r="G977" s="232" t="str">
        <f t="shared" si="96"/>
        <v>0</v>
      </c>
      <c r="H977" s="233" t="str">
        <f t="shared" si="97"/>
        <v/>
      </c>
      <c r="I977" s="231" t="str">
        <f>IF(AND(F977&lt;&gt;"",N10&gt;0,M977&gt;N10),"Mot &gt; limite","")</f>
        <v/>
      </c>
      <c r="M977" s="126">
        <f>IF(OR(F977="",N10="",N10&lt;=0),"",IF(LEN(F977)&lt;=N10,LEN(F977),IFERROR(FIND("♦",SUBSTITUTE(LEFT(F977,N10)," ","♦",LEN(LEFT(F977,N10))-LEN(SUBSTITUTE(LEFT(F977,N10)," ","")))),FIND(" ",F977&amp;" ",N10+1)-1)))</f>
        <v>1</v>
      </c>
      <c r="N977" s="234">
        <f t="shared" si="98"/>
        <v>960</v>
      </c>
      <c r="O977" s="165" t="str">
        <f t="shared" si="99"/>
        <v>0</v>
      </c>
      <c r="P977" s="234">
        <f t="shared" si="100"/>
        <v>1</v>
      </c>
      <c r="Q977" s="234">
        <f t="shared" si="101"/>
        <v>1</v>
      </c>
      <c r="DE977" s="152"/>
      <c r="DF977" s="160" t="s">
        <v>2860</v>
      </c>
      <c r="DG977" s="160" t="s">
        <v>122</v>
      </c>
      <c r="DH977" s="160" t="s">
        <v>125</v>
      </c>
      <c r="DI977" s="160" t="s">
        <v>2861</v>
      </c>
      <c r="DJ977" s="160" t="s">
        <v>2861</v>
      </c>
      <c r="DK977" s="160" t="s">
        <v>1259</v>
      </c>
      <c r="DL977" s="160" t="s">
        <v>1260</v>
      </c>
      <c r="DM977" s="160" t="s">
        <v>1812</v>
      </c>
      <c r="DN977" s="161" t="s">
        <v>1813</v>
      </c>
      <c r="DP977" s="130">
        <v>1</v>
      </c>
    </row>
    <row r="978" spans="2:120" ht="15">
      <c r="B978" s="231"/>
      <c r="C978" s="231"/>
      <c r="D978" s="231"/>
      <c r="E978" s="231" cm="1">
        <f t="array" ref="E978">IF(H977&lt;&gt;"",E977,IF(E977="","",IFERROR(MATCH(TRUE(),INDEX(INDEX(K:K,E977+1):K203&lt;&gt;"",0),0)+E977,"")))</f>
        <v>1070</v>
      </c>
      <c r="F978" s="232" cm="1">
        <f t="array" ref="F978">IF(E978="","",IF(H977&lt;&gt;"",H977,INDEX(D:D,E978)))</f>
        <v>0</v>
      </c>
      <c r="G978" s="232" t="str">
        <f t="shared" ref="G978:G1017" si="102">IF(OR(F978="",M978=""),"",LEFT(F978,M978))</f>
        <v>0</v>
      </c>
      <c r="H978" s="233" t="str">
        <f t="shared" ref="H978:H1017" si="103">IF(OR(F978="",M978=""),"",TRIM(MID(F978,M978+1,99999)))</f>
        <v/>
      </c>
      <c r="I978" s="231" t="str">
        <f>IF(AND(F978&lt;&gt;"",N10&gt;0,M978&gt;N10),"Mot &gt; limite","")</f>
        <v/>
      </c>
      <c r="M978" s="126">
        <f>IF(OR(F978="",N10="",N10&lt;=0),"",IF(LEN(F978)&lt;=N10,LEN(F978),IFERROR(FIND("♦",SUBSTITUTE(LEFT(F978,N10)," ","♦",LEN(LEFT(F978,N10))-LEN(SUBSTITUTE(LEFT(F978,N10)," ","")))),FIND(" ",F978&amp;" ",N10+1)-1)))</f>
        <v>1</v>
      </c>
      <c r="N978" s="234">
        <f t="shared" ref="N978:N1017" si="104">IF(O978="","",ROW()-17)</f>
        <v>961</v>
      </c>
      <c r="O978" s="165" t="str">
        <f t="shared" ref="O978:O1017" si="105">G978</f>
        <v>0</v>
      </c>
      <c r="P978" s="234">
        <f t="shared" ref="P978:P1017" si="106">IF(O978="","",LEN(TRIM(O978))-LEN(SUBSTITUTE(TRIM(O978)," ",""))+1)</f>
        <v>1</v>
      </c>
      <c r="Q978" s="234">
        <f t="shared" ref="Q978:Q1017" si="107">IF(O978="","",LEN(O978))</f>
        <v>1</v>
      </c>
      <c r="DE978" s="152"/>
      <c r="DF978" s="160" t="s">
        <v>2862</v>
      </c>
      <c r="DG978" s="160" t="s">
        <v>122</v>
      </c>
      <c r="DH978" s="160" t="s">
        <v>125</v>
      </c>
      <c r="DI978" s="160" t="s">
        <v>2863</v>
      </c>
      <c r="DJ978" s="160" t="s">
        <v>2863</v>
      </c>
      <c r="DK978" s="160" t="s">
        <v>1259</v>
      </c>
      <c r="DL978" s="160" t="s">
        <v>1260</v>
      </c>
      <c r="DM978" s="160" t="s">
        <v>1812</v>
      </c>
      <c r="DN978" s="161" t="s">
        <v>1813</v>
      </c>
      <c r="DP978" s="130">
        <v>1</v>
      </c>
    </row>
    <row r="979" spans="2:120" ht="15">
      <c r="B979" s="231"/>
      <c r="C979" s="231"/>
      <c r="D979" s="231"/>
      <c r="E979" s="231" cm="1">
        <f t="array" ref="E979">IF(H978&lt;&gt;"",E978,IF(E978="","",IFERROR(MATCH(TRUE(),INDEX(INDEX(K:K,E978+1):K203&lt;&gt;"",0),0)+E978,"")))</f>
        <v>1071</v>
      </c>
      <c r="F979" s="232" cm="1">
        <f t="array" ref="F979">IF(E979="","",IF(H978&lt;&gt;"",H978,INDEX(D:D,E979)))</f>
        <v>0</v>
      </c>
      <c r="G979" s="232" t="str">
        <f t="shared" si="102"/>
        <v>0</v>
      </c>
      <c r="H979" s="233" t="str">
        <f t="shared" si="103"/>
        <v/>
      </c>
      <c r="I979" s="231" t="str">
        <f>IF(AND(F979&lt;&gt;"",N10&gt;0,M979&gt;N10),"Mot &gt; limite","")</f>
        <v/>
      </c>
      <c r="M979" s="126">
        <f>IF(OR(F979="",N10="",N10&lt;=0),"",IF(LEN(F979)&lt;=N10,LEN(F979),IFERROR(FIND("♦",SUBSTITUTE(LEFT(F979,N10)," ","♦",LEN(LEFT(F979,N10))-LEN(SUBSTITUTE(LEFT(F979,N10)," ","")))),FIND(" ",F979&amp;" ",N10+1)-1)))</f>
        <v>1</v>
      </c>
      <c r="N979" s="234">
        <f t="shared" si="104"/>
        <v>962</v>
      </c>
      <c r="O979" s="165" t="str">
        <f t="shared" si="105"/>
        <v>0</v>
      </c>
      <c r="P979" s="234">
        <f t="shared" si="106"/>
        <v>1</v>
      </c>
      <c r="Q979" s="234">
        <f t="shared" si="107"/>
        <v>1</v>
      </c>
      <c r="DE979" s="152"/>
      <c r="DF979" s="160" t="s">
        <v>2864</v>
      </c>
      <c r="DG979" s="160" t="s">
        <v>122</v>
      </c>
      <c r="DH979" s="160" t="s">
        <v>125</v>
      </c>
      <c r="DI979" s="160" t="s">
        <v>2865</v>
      </c>
      <c r="DJ979" s="160" t="s">
        <v>2865</v>
      </c>
      <c r="DK979" s="160" t="s">
        <v>1259</v>
      </c>
      <c r="DL979" s="160" t="s">
        <v>1260</v>
      </c>
      <c r="DM979" s="160" t="s">
        <v>1812</v>
      </c>
      <c r="DN979" s="161" t="s">
        <v>1813</v>
      </c>
      <c r="DP979" s="130">
        <v>1</v>
      </c>
    </row>
    <row r="980" spans="2:120" ht="15">
      <c r="B980" s="231"/>
      <c r="C980" s="231"/>
      <c r="D980" s="231"/>
      <c r="E980" s="231" cm="1">
        <f t="array" ref="E980">IF(H979&lt;&gt;"",E979,IF(E979="","",IFERROR(MATCH(TRUE(),INDEX(INDEX(K:K,E979+1):K203&lt;&gt;"",0),0)+E979,"")))</f>
        <v>1072</v>
      </c>
      <c r="F980" s="232" cm="1">
        <f t="array" ref="F980">IF(E980="","",IF(H979&lt;&gt;"",H979,INDEX(D:D,E980)))</f>
        <v>0</v>
      </c>
      <c r="G980" s="232" t="str">
        <f t="shared" si="102"/>
        <v>0</v>
      </c>
      <c r="H980" s="233" t="str">
        <f t="shared" si="103"/>
        <v/>
      </c>
      <c r="I980" s="231" t="str">
        <f>IF(AND(F980&lt;&gt;"",N10&gt;0,M980&gt;N10),"Mot &gt; limite","")</f>
        <v/>
      </c>
      <c r="M980" s="126">
        <f>IF(OR(F980="",N10="",N10&lt;=0),"",IF(LEN(F980)&lt;=N10,LEN(F980),IFERROR(FIND("♦",SUBSTITUTE(LEFT(F980,N10)," ","♦",LEN(LEFT(F980,N10))-LEN(SUBSTITUTE(LEFT(F980,N10)," ","")))),FIND(" ",F980&amp;" ",N10+1)-1)))</f>
        <v>1</v>
      </c>
      <c r="N980" s="234">
        <f t="shared" si="104"/>
        <v>963</v>
      </c>
      <c r="O980" s="165" t="str">
        <f t="shared" si="105"/>
        <v>0</v>
      </c>
      <c r="P980" s="234">
        <f t="shared" si="106"/>
        <v>1</v>
      </c>
      <c r="Q980" s="234">
        <f t="shared" si="107"/>
        <v>1</v>
      </c>
      <c r="DE980" s="152"/>
      <c r="DF980" s="160" t="s">
        <v>2866</v>
      </c>
      <c r="DG980" s="160" t="s">
        <v>122</v>
      </c>
      <c r="DH980" s="160" t="s">
        <v>125</v>
      </c>
      <c r="DI980" s="160" t="s">
        <v>2867</v>
      </c>
      <c r="DJ980" s="160" t="s">
        <v>2867</v>
      </c>
      <c r="DK980" s="160" t="s">
        <v>1259</v>
      </c>
      <c r="DL980" s="160" t="s">
        <v>1260</v>
      </c>
      <c r="DM980" s="160" t="s">
        <v>1812</v>
      </c>
      <c r="DN980" s="161" t="s">
        <v>1813</v>
      </c>
      <c r="DP980" s="130">
        <v>1</v>
      </c>
    </row>
    <row r="981" spans="2:120" ht="15">
      <c r="B981" s="231"/>
      <c r="C981" s="231"/>
      <c r="D981" s="231"/>
      <c r="E981" s="231" cm="1">
        <f t="array" ref="E981">IF(H980&lt;&gt;"",E980,IF(E980="","",IFERROR(MATCH(TRUE(),INDEX(INDEX(K:K,E980+1):K203&lt;&gt;"",0),0)+E980,"")))</f>
        <v>1073</v>
      </c>
      <c r="F981" s="232" cm="1">
        <f t="array" ref="F981">IF(E981="","",IF(H980&lt;&gt;"",H980,INDEX(D:D,E981)))</f>
        <v>0</v>
      </c>
      <c r="G981" s="232" t="str">
        <f t="shared" si="102"/>
        <v>0</v>
      </c>
      <c r="H981" s="233" t="str">
        <f t="shared" si="103"/>
        <v/>
      </c>
      <c r="I981" s="231" t="str">
        <f>IF(AND(F981&lt;&gt;"",N10&gt;0,M981&gt;N10),"Mot &gt; limite","")</f>
        <v/>
      </c>
      <c r="M981" s="126">
        <f>IF(OR(F981="",N10="",N10&lt;=0),"",IF(LEN(F981)&lt;=N10,LEN(F981),IFERROR(FIND("♦",SUBSTITUTE(LEFT(F981,N10)," ","♦",LEN(LEFT(F981,N10))-LEN(SUBSTITUTE(LEFT(F981,N10)," ","")))),FIND(" ",F981&amp;" ",N10+1)-1)))</f>
        <v>1</v>
      </c>
      <c r="N981" s="234">
        <f t="shared" si="104"/>
        <v>964</v>
      </c>
      <c r="O981" s="165" t="str">
        <f t="shared" si="105"/>
        <v>0</v>
      </c>
      <c r="P981" s="234">
        <f t="shared" si="106"/>
        <v>1</v>
      </c>
      <c r="Q981" s="234">
        <f t="shared" si="107"/>
        <v>1</v>
      </c>
      <c r="DE981" s="152"/>
      <c r="DF981" s="160" t="s">
        <v>2868</v>
      </c>
      <c r="DG981" s="160" t="s">
        <v>122</v>
      </c>
      <c r="DH981" s="160" t="s">
        <v>125</v>
      </c>
      <c r="DI981" s="160" t="s">
        <v>2869</v>
      </c>
      <c r="DJ981" s="160" t="s">
        <v>2869</v>
      </c>
      <c r="DK981" s="160" t="s">
        <v>1259</v>
      </c>
      <c r="DL981" s="160" t="s">
        <v>1260</v>
      </c>
      <c r="DM981" s="160" t="s">
        <v>1812</v>
      </c>
      <c r="DN981" s="161" t="s">
        <v>1813</v>
      </c>
      <c r="DP981" s="130">
        <v>1</v>
      </c>
    </row>
    <row r="982" spans="2:120" ht="15">
      <c r="B982" s="231"/>
      <c r="C982" s="231"/>
      <c r="D982" s="231"/>
      <c r="E982" s="231" cm="1">
        <f t="array" ref="E982">IF(H981&lt;&gt;"",E981,IF(E981="","",IFERROR(MATCH(TRUE(),INDEX(INDEX(K:K,E981+1):K203&lt;&gt;"",0),0)+E981,"")))</f>
        <v>1074</v>
      </c>
      <c r="F982" s="232" cm="1">
        <f t="array" ref="F982">IF(E982="","",IF(H981&lt;&gt;"",H981,INDEX(D:D,E982)))</f>
        <v>0</v>
      </c>
      <c r="G982" s="232" t="str">
        <f t="shared" si="102"/>
        <v>0</v>
      </c>
      <c r="H982" s="233" t="str">
        <f t="shared" si="103"/>
        <v/>
      </c>
      <c r="I982" s="231" t="str">
        <f>IF(AND(F982&lt;&gt;"",N10&gt;0,M982&gt;N10),"Mot &gt; limite","")</f>
        <v/>
      </c>
      <c r="M982" s="126">
        <f>IF(OR(F982="",N10="",N10&lt;=0),"",IF(LEN(F982)&lt;=N10,LEN(F982),IFERROR(FIND("♦",SUBSTITUTE(LEFT(F982,N10)," ","♦",LEN(LEFT(F982,N10))-LEN(SUBSTITUTE(LEFT(F982,N10)," ","")))),FIND(" ",F982&amp;" ",N10+1)-1)))</f>
        <v>1</v>
      </c>
      <c r="N982" s="234">
        <f t="shared" si="104"/>
        <v>965</v>
      </c>
      <c r="O982" s="165" t="str">
        <f t="shared" si="105"/>
        <v>0</v>
      </c>
      <c r="P982" s="234">
        <f t="shared" si="106"/>
        <v>1</v>
      </c>
      <c r="Q982" s="234">
        <f t="shared" si="107"/>
        <v>1</v>
      </c>
      <c r="DE982" s="152"/>
      <c r="DF982" s="160" t="s">
        <v>2870</v>
      </c>
      <c r="DG982" s="160" t="s">
        <v>122</v>
      </c>
      <c r="DH982" s="160" t="s">
        <v>125</v>
      </c>
      <c r="DI982" s="160" t="s">
        <v>2871</v>
      </c>
      <c r="DJ982" s="160" t="s">
        <v>2871</v>
      </c>
      <c r="DK982" s="160" t="s">
        <v>1259</v>
      </c>
      <c r="DL982" s="160" t="s">
        <v>1260</v>
      </c>
      <c r="DM982" s="160" t="s">
        <v>1812</v>
      </c>
      <c r="DN982" s="161" t="s">
        <v>1813</v>
      </c>
      <c r="DP982" s="130">
        <v>1</v>
      </c>
    </row>
    <row r="983" spans="2:120" ht="15">
      <c r="B983" s="231"/>
      <c r="C983" s="231"/>
      <c r="D983" s="231"/>
      <c r="E983" s="231" cm="1">
        <f t="array" ref="E983">IF(H982&lt;&gt;"",E982,IF(E982="","",IFERROR(MATCH(TRUE(),INDEX(INDEX(K:K,E982+1):K203&lt;&gt;"",0),0)+E982,"")))</f>
        <v>1075</v>
      </c>
      <c r="F983" s="232" cm="1">
        <f t="array" ref="F983">IF(E983="","",IF(H982&lt;&gt;"",H982,INDEX(D:D,E983)))</f>
        <v>0</v>
      </c>
      <c r="G983" s="232" t="str">
        <f t="shared" si="102"/>
        <v>0</v>
      </c>
      <c r="H983" s="233" t="str">
        <f t="shared" si="103"/>
        <v/>
      </c>
      <c r="I983" s="231" t="str">
        <f>IF(AND(F983&lt;&gt;"",N10&gt;0,M983&gt;N10),"Mot &gt; limite","")</f>
        <v/>
      </c>
      <c r="M983" s="126">
        <f>IF(OR(F983="",N10="",N10&lt;=0),"",IF(LEN(F983)&lt;=N10,LEN(F983),IFERROR(FIND("♦",SUBSTITUTE(LEFT(F983,N10)," ","♦",LEN(LEFT(F983,N10))-LEN(SUBSTITUTE(LEFT(F983,N10)," ","")))),FIND(" ",F983&amp;" ",N10+1)-1)))</f>
        <v>1</v>
      </c>
      <c r="N983" s="234">
        <f t="shared" si="104"/>
        <v>966</v>
      </c>
      <c r="O983" s="165" t="str">
        <f t="shared" si="105"/>
        <v>0</v>
      </c>
      <c r="P983" s="234">
        <f t="shared" si="106"/>
        <v>1</v>
      </c>
      <c r="Q983" s="234">
        <f t="shared" si="107"/>
        <v>1</v>
      </c>
      <c r="DE983" s="152"/>
      <c r="DF983" s="160" t="s">
        <v>2872</v>
      </c>
      <c r="DG983" s="160" t="s">
        <v>122</v>
      </c>
      <c r="DH983" s="160" t="s">
        <v>125</v>
      </c>
      <c r="DI983" s="160" t="s">
        <v>2873</v>
      </c>
      <c r="DJ983" s="160" t="s">
        <v>2873</v>
      </c>
      <c r="DK983" s="160" t="s">
        <v>666</v>
      </c>
      <c r="DL983" s="160" t="s">
        <v>667</v>
      </c>
      <c r="DM983" s="160" t="s">
        <v>590</v>
      </c>
      <c r="DN983" s="161" t="s">
        <v>668</v>
      </c>
      <c r="DP983" s="130">
        <v>1</v>
      </c>
    </row>
    <row r="984" spans="2:120" ht="15">
      <c r="B984" s="231"/>
      <c r="C984" s="231"/>
      <c r="D984" s="231"/>
      <c r="E984" s="231" cm="1">
        <f t="array" ref="E984">IF(H983&lt;&gt;"",E983,IF(E983="","",IFERROR(MATCH(TRUE(),INDEX(INDEX(K:K,E983+1):K203&lt;&gt;"",0),0)+E983,"")))</f>
        <v>1076</v>
      </c>
      <c r="F984" s="232" cm="1">
        <f t="array" ref="F984">IF(E984="","",IF(H983&lt;&gt;"",H983,INDEX(D:D,E984)))</f>
        <v>0</v>
      </c>
      <c r="G984" s="232" t="str">
        <f t="shared" si="102"/>
        <v>0</v>
      </c>
      <c r="H984" s="233" t="str">
        <f t="shared" si="103"/>
        <v/>
      </c>
      <c r="I984" s="231" t="str">
        <f>IF(AND(F984&lt;&gt;"",N10&gt;0,M984&gt;N10),"Mot &gt; limite","")</f>
        <v/>
      </c>
      <c r="M984" s="126">
        <f>IF(OR(F984="",N10="",N10&lt;=0),"",IF(LEN(F984)&lt;=N10,LEN(F984),IFERROR(FIND("♦",SUBSTITUTE(LEFT(F984,N10)," ","♦",LEN(LEFT(F984,N10))-LEN(SUBSTITUTE(LEFT(F984,N10)," ","")))),FIND(" ",F984&amp;" ",N10+1)-1)))</f>
        <v>1</v>
      </c>
      <c r="N984" s="234">
        <f t="shared" si="104"/>
        <v>967</v>
      </c>
      <c r="O984" s="165" t="str">
        <f t="shared" si="105"/>
        <v>0</v>
      </c>
      <c r="P984" s="234">
        <f t="shared" si="106"/>
        <v>1</v>
      </c>
      <c r="Q984" s="234">
        <f t="shared" si="107"/>
        <v>1</v>
      </c>
      <c r="DE984" s="152"/>
      <c r="DF984" s="160" t="s">
        <v>2874</v>
      </c>
      <c r="DG984" s="160" t="s">
        <v>122</v>
      </c>
      <c r="DH984" s="160" t="s">
        <v>125</v>
      </c>
      <c r="DI984" s="160" t="s">
        <v>2875</v>
      </c>
      <c r="DJ984" s="160" t="s">
        <v>2875</v>
      </c>
      <c r="DK984" s="160" t="s">
        <v>1259</v>
      </c>
      <c r="DL984" s="160" t="s">
        <v>1260</v>
      </c>
      <c r="DM984" s="160" t="s">
        <v>1812</v>
      </c>
      <c r="DN984" s="161" t="s">
        <v>1813</v>
      </c>
      <c r="DP984" s="130">
        <v>1</v>
      </c>
    </row>
    <row r="985" spans="2:120" ht="15">
      <c r="B985" s="231"/>
      <c r="C985" s="231"/>
      <c r="D985" s="231"/>
      <c r="E985" s="231" cm="1">
        <f t="array" ref="E985">IF(H984&lt;&gt;"",E984,IF(E984="","",IFERROR(MATCH(TRUE(),INDEX(INDEX(K:K,E984+1):K203&lt;&gt;"",0),0)+E984,"")))</f>
        <v>1077</v>
      </c>
      <c r="F985" s="232" cm="1">
        <f t="array" ref="F985">IF(E985="","",IF(H984&lt;&gt;"",H984,INDEX(D:D,E985)))</f>
        <v>0</v>
      </c>
      <c r="G985" s="232" t="str">
        <f t="shared" si="102"/>
        <v>0</v>
      </c>
      <c r="H985" s="233" t="str">
        <f t="shared" si="103"/>
        <v/>
      </c>
      <c r="I985" s="231" t="str">
        <f>IF(AND(F985&lt;&gt;"",N10&gt;0,M985&gt;N10),"Mot &gt; limite","")</f>
        <v/>
      </c>
      <c r="M985" s="126">
        <f>IF(OR(F985="",N10="",N10&lt;=0),"",IF(LEN(F985)&lt;=N10,LEN(F985),IFERROR(FIND("♦",SUBSTITUTE(LEFT(F985,N10)," ","♦",LEN(LEFT(F985,N10))-LEN(SUBSTITUTE(LEFT(F985,N10)," ","")))),FIND(" ",F985&amp;" ",N10+1)-1)))</f>
        <v>1</v>
      </c>
      <c r="N985" s="234">
        <f t="shared" si="104"/>
        <v>968</v>
      </c>
      <c r="O985" s="165" t="str">
        <f t="shared" si="105"/>
        <v>0</v>
      </c>
      <c r="P985" s="234">
        <f t="shared" si="106"/>
        <v>1</v>
      </c>
      <c r="Q985" s="234">
        <f t="shared" si="107"/>
        <v>1</v>
      </c>
      <c r="DE985" s="152"/>
      <c r="DF985" s="160" t="s">
        <v>2876</v>
      </c>
      <c r="DG985" s="160" t="s">
        <v>122</v>
      </c>
      <c r="DH985" s="160" t="s">
        <v>125</v>
      </c>
      <c r="DI985" s="160" t="s">
        <v>2877</v>
      </c>
      <c r="DJ985" s="160" t="s">
        <v>2877</v>
      </c>
      <c r="DK985" s="160" t="s">
        <v>1259</v>
      </c>
      <c r="DL985" s="160" t="s">
        <v>1260</v>
      </c>
      <c r="DM985" s="160" t="s">
        <v>1812</v>
      </c>
      <c r="DN985" s="161" t="s">
        <v>1813</v>
      </c>
      <c r="DP985" s="130">
        <v>1</v>
      </c>
    </row>
    <row r="986" spans="2:120" ht="15">
      <c r="B986" s="231"/>
      <c r="C986" s="231"/>
      <c r="D986" s="231"/>
      <c r="E986" s="231" cm="1">
        <f t="array" ref="E986">IF(H985&lt;&gt;"",E985,IF(E985="","",IFERROR(MATCH(TRUE(),INDEX(INDEX(K:K,E985+1):K203&lt;&gt;"",0),0)+E985,"")))</f>
        <v>1078</v>
      </c>
      <c r="F986" s="232" cm="1">
        <f t="array" ref="F986">IF(E986="","",IF(H985&lt;&gt;"",H985,INDEX(D:D,E986)))</f>
        <v>0</v>
      </c>
      <c r="G986" s="232" t="str">
        <f t="shared" si="102"/>
        <v>0</v>
      </c>
      <c r="H986" s="233" t="str">
        <f t="shared" si="103"/>
        <v/>
      </c>
      <c r="I986" s="231" t="str">
        <f>IF(AND(F986&lt;&gt;"",N10&gt;0,M986&gt;N10),"Mot &gt; limite","")</f>
        <v/>
      </c>
      <c r="M986" s="126">
        <f>IF(OR(F986="",N10="",N10&lt;=0),"",IF(LEN(F986)&lt;=N10,LEN(F986),IFERROR(FIND("♦",SUBSTITUTE(LEFT(F986,N10)," ","♦",LEN(LEFT(F986,N10))-LEN(SUBSTITUTE(LEFT(F986,N10)," ","")))),FIND(" ",F986&amp;" ",N10+1)-1)))</f>
        <v>1</v>
      </c>
      <c r="N986" s="234">
        <f t="shared" si="104"/>
        <v>969</v>
      </c>
      <c r="O986" s="165" t="str">
        <f t="shared" si="105"/>
        <v>0</v>
      </c>
      <c r="P986" s="234">
        <f t="shared" si="106"/>
        <v>1</v>
      </c>
      <c r="Q986" s="234">
        <f t="shared" si="107"/>
        <v>1</v>
      </c>
      <c r="DE986" s="152"/>
      <c r="DF986" s="160" t="s">
        <v>2878</v>
      </c>
      <c r="DG986" s="160" t="s">
        <v>122</v>
      </c>
      <c r="DH986" s="160" t="s">
        <v>125</v>
      </c>
      <c r="DI986" s="160" t="s">
        <v>2879</v>
      </c>
      <c r="DJ986" s="160" t="s">
        <v>2879</v>
      </c>
      <c r="DK986" s="160" t="s">
        <v>1259</v>
      </c>
      <c r="DL986" s="160" t="s">
        <v>1260</v>
      </c>
      <c r="DM986" s="160" t="s">
        <v>1812</v>
      </c>
      <c r="DN986" s="161" t="s">
        <v>1813</v>
      </c>
      <c r="DP986" s="130">
        <v>1</v>
      </c>
    </row>
    <row r="987" spans="2:120" ht="15">
      <c r="B987" s="231"/>
      <c r="C987" s="231"/>
      <c r="D987" s="231"/>
      <c r="E987" s="231" cm="1">
        <f t="array" ref="E987">IF(H986&lt;&gt;"",E986,IF(E986="","",IFERROR(MATCH(TRUE(),INDEX(INDEX(K:K,E986+1):K203&lt;&gt;"",0),0)+E986,"")))</f>
        <v>1079</v>
      </c>
      <c r="F987" s="232" cm="1">
        <f t="array" ref="F987">IF(E987="","",IF(H986&lt;&gt;"",H986,INDEX(D:D,E987)))</f>
        <v>0</v>
      </c>
      <c r="G987" s="232" t="str">
        <f t="shared" si="102"/>
        <v>0</v>
      </c>
      <c r="H987" s="233" t="str">
        <f t="shared" si="103"/>
        <v/>
      </c>
      <c r="I987" s="231" t="str">
        <f>IF(AND(F987&lt;&gt;"",N10&gt;0,M987&gt;N10),"Mot &gt; limite","")</f>
        <v/>
      </c>
      <c r="M987" s="126">
        <f>IF(OR(F987="",N10="",N10&lt;=0),"",IF(LEN(F987)&lt;=N10,LEN(F987),IFERROR(FIND("♦",SUBSTITUTE(LEFT(F987,N10)," ","♦",LEN(LEFT(F987,N10))-LEN(SUBSTITUTE(LEFT(F987,N10)," ","")))),FIND(" ",F987&amp;" ",N10+1)-1)))</f>
        <v>1</v>
      </c>
      <c r="N987" s="234">
        <f t="shared" si="104"/>
        <v>970</v>
      </c>
      <c r="O987" s="165" t="str">
        <f t="shared" si="105"/>
        <v>0</v>
      </c>
      <c r="P987" s="234">
        <f t="shared" si="106"/>
        <v>1</v>
      </c>
      <c r="Q987" s="234">
        <f t="shared" si="107"/>
        <v>1</v>
      </c>
      <c r="DE987" s="152"/>
      <c r="DF987" s="160" t="s">
        <v>2880</v>
      </c>
      <c r="DG987" s="160" t="s">
        <v>122</v>
      </c>
      <c r="DH987" s="160" t="s">
        <v>125</v>
      </c>
      <c r="DI987" s="160" t="s">
        <v>2881</v>
      </c>
      <c r="DJ987" s="160" t="s">
        <v>2881</v>
      </c>
      <c r="DK987" s="160" t="s">
        <v>1259</v>
      </c>
      <c r="DL987" s="160" t="s">
        <v>1260</v>
      </c>
      <c r="DM987" s="160" t="s">
        <v>1812</v>
      </c>
      <c r="DN987" s="161" t="s">
        <v>1813</v>
      </c>
      <c r="DP987" s="130">
        <v>1</v>
      </c>
    </row>
    <row r="988" spans="2:120" ht="15">
      <c r="B988" s="231"/>
      <c r="C988" s="231"/>
      <c r="D988" s="231"/>
      <c r="E988" s="231" cm="1">
        <f t="array" ref="E988">IF(H987&lt;&gt;"",E987,IF(E987="","",IFERROR(MATCH(TRUE(),INDEX(INDEX(K:K,E987+1):K203&lt;&gt;"",0),0)+E987,"")))</f>
        <v>1080</v>
      </c>
      <c r="F988" s="232" cm="1">
        <f t="array" ref="F988">IF(E988="","",IF(H987&lt;&gt;"",H987,INDEX(D:D,E988)))</f>
        <v>0</v>
      </c>
      <c r="G988" s="232" t="str">
        <f t="shared" si="102"/>
        <v>0</v>
      </c>
      <c r="H988" s="233" t="str">
        <f t="shared" si="103"/>
        <v/>
      </c>
      <c r="I988" s="231" t="str">
        <f>IF(AND(F988&lt;&gt;"",N10&gt;0,M988&gt;N10),"Mot &gt; limite","")</f>
        <v/>
      </c>
      <c r="M988" s="126">
        <f>IF(OR(F988="",N10="",N10&lt;=0),"",IF(LEN(F988)&lt;=N10,LEN(F988),IFERROR(FIND("♦",SUBSTITUTE(LEFT(F988,N10)," ","♦",LEN(LEFT(F988,N10))-LEN(SUBSTITUTE(LEFT(F988,N10)," ","")))),FIND(" ",F988&amp;" ",N10+1)-1)))</f>
        <v>1</v>
      </c>
      <c r="N988" s="234">
        <f t="shared" si="104"/>
        <v>971</v>
      </c>
      <c r="O988" s="165" t="str">
        <f t="shared" si="105"/>
        <v>0</v>
      </c>
      <c r="P988" s="234">
        <f t="shared" si="106"/>
        <v>1</v>
      </c>
      <c r="Q988" s="234">
        <f t="shared" si="107"/>
        <v>1</v>
      </c>
      <c r="DE988" s="152"/>
      <c r="DF988" s="160" t="s">
        <v>2882</v>
      </c>
      <c r="DG988" s="160" t="s">
        <v>122</v>
      </c>
      <c r="DH988" s="160" t="s">
        <v>125</v>
      </c>
      <c r="DI988" s="160" t="s">
        <v>2883</v>
      </c>
      <c r="DJ988" s="160" t="s">
        <v>2883</v>
      </c>
      <c r="DK988" s="160" t="s">
        <v>1259</v>
      </c>
      <c r="DL988" s="160" t="s">
        <v>1260</v>
      </c>
      <c r="DM988" s="160" t="s">
        <v>1812</v>
      </c>
      <c r="DN988" s="161" t="s">
        <v>1813</v>
      </c>
      <c r="DP988" s="130">
        <v>1</v>
      </c>
    </row>
    <row r="989" spans="2:120" ht="15">
      <c r="B989" s="231"/>
      <c r="C989" s="231"/>
      <c r="D989" s="231"/>
      <c r="E989" s="231" cm="1">
        <f t="array" ref="E989">IF(H988&lt;&gt;"",E988,IF(E988="","",IFERROR(MATCH(TRUE(),INDEX(INDEX(K:K,E988+1):K203&lt;&gt;"",0),0)+E988,"")))</f>
        <v>1081</v>
      </c>
      <c r="F989" s="232" cm="1">
        <f t="array" ref="F989">IF(E989="","",IF(H988&lt;&gt;"",H988,INDEX(D:D,E989)))</f>
        <v>0</v>
      </c>
      <c r="G989" s="232" t="str">
        <f t="shared" si="102"/>
        <v>0</v>
      </c>
      <c r="H989" s="233" t="str">
        <f t="shared" si="103"/>
        <v/>
      </c>
      <c r="I989" s="231" t="str">
        <f>IF(AND(F989&lt;&gt;"",N10&gt;0,M989&gt;N10),"Mot &gt; limite","")</f>
        <v/>
      </c>
      <c r="M989" s="126">
        <f>IF(OR(F989="",N10="",N10&lt;=0),"",IF(LEN(F989)&lt;=N10,LEN(F989),IFERROR(FIND("♦",SUBSTITUTE(LEFT(F989,N10)," ","♦",LEN(LEFT(F989,N10))-LEN(SUBSTITUTE(LEFT(F989,N10)," ","")))),FIND(" ",F989&amp;" ",N10+1)-1)))</f>
        <v>1</v>
      </c>
      <c r="N989" s="234">
        <f t="shared" si="104"/>
        <v>972</v>
      </c>
      <c r="O989" s="165" t="str">
        <f t="shared" si="105"/>
        <v>0</v>
      </c>
      <c r="P989" s="234">
        <f t="shared" si="106"/>
        <v>1</v>
      </c>
      <c r="Q989" s="234">
        <f t="shared" si="107"/>
        <v>1</v>
      </c>
      <c r="DE989" s="152"/>
      <c r="DF989" s="160" t="s">
        <v>2884</v>
      </c>
      <c r="DG989" s="160" t="s">
        <v>122</v>
      </c>
      <c r="DH989" s="160" t="s">
        <v>125</v>
      </c>
      <c r="DI989" s="160" t="s">
        <v>2885</v>
      </c>
      <c r="DJ989" s="160" t="s">
        <v>2885</v>
      </c>
      <c r="DK989" s="160" t="s">
        <v>1259</v>
      </c>
      <c r="DL989" s="160" t="s">
        <v>1260</v>
      </c>
      <c r="DM989" s="160" t="s">
        <v>1812</v>
      </c>
      <c r="DN989" s="161" t="s">
        <v>1813</v>
      </c>
      <c r="DP989" s="130">
        <v>1</v>
      </c>
    </row>
    <row r="990" spans="2:120" ht="15">
      <c r="B990" s="231"/>
      <c r="C990" s="231"/>
      <c r="D990" s="231"/>
      <c r="E990" s="231" cm="1">
        <f t="array" ref="E990">IF(H989&lt;&gt;"",E989,IF(E989="","",IFERROR(MATCH(TRUE(),INDEX(INDEX(K:K,E989+1):K203&lt;&gt;"",0),0)+E989,"")))</f>
        <v>1082</v>
      </c>
      <c r="F990" s="232" cm="1">
        <f t="array" ref="F990">IF(E990="","",IF(H989&lt;&gt;"",H989,INDEX(D:D,E990)))</f>
        <v>0</v>
      </c>
      <c r="G990" s="232" t="str">
        <f t="shared" si="102"/>
        <v>0</v>
      </c>
      <c r="H990" s="233" t="str">
        <f t="shared" si="103"/>
        <v/>
      </c>
      <c r="I990" s="231" t="str">
        <f>IF(AND(F990&lt;&gt;"",N10&gt;0,M990&gt;N10),"Mot &gt; limite","")</f>
        <v/>
      </c>
      <c r="M990" s="126">
        <f>IF(OR(F990="",N10="",N10&lt;=0),"",IF(LEN(F990)&lt;=N10,LEN(F990),IFERROR(FIND("♦",SUBSTITUTE(LEFT(F990,N10)," ","♦",LEN(LEFT(F990,N10))-LEN(SUBSTITUTE(LEFT(F990,N10)," ","")))),FIND(" ",F990&amp;" ",N10+1)-1)))</f>
        <v>1</v>
      </c>
      <c r="N990" s="234">
        <f t="shared" si="104"/>
        <v>973</v>
      </c>
      <c r="O990" s="165" t="str">
        <f t="shared" si="105"/>
        <v>0</v>
      </c>
      <c r="P990" s="234">
        <f t="shared" si="106"/>
        <v>1</v>
      </c>
      <c r="Q990" s="234">
        <f t="shared" si="107"/>
        <v>1</v>
      </c>
      <c r="DE990" s="152"/>
      <c r="DF990" s="160" t="s">
        <v>2886</v>
      </c>
      <c r="DG990" s="160" t="s">
        <v>122</v>
      </c>
      <c r="DH990" s="160" t="s">
        <v>125</v>
      </c>
      <c r="DI990" s="160" t="s">
        <v>2887</v>
      </c>
      <c r="DJ990" s="160" t="s">
        <v>2887</v>
      </c>
      <c r="DK990" s="160" t="s">
        <v>1259</v>
      </c>
      <c r="DL990" s="160" t="s">
        <v>1260</v>
      </c>
      <c r="DM990" s="160" t="s">
        <v>1812</v>
      </c>
      <c r="DN990" s="161" t="s">
        <v>1813</v>
      </c>
      <c r="DP990" s="130">
        <v>1</v>
      </c>
    </row>
    <row r="991" spans="2:120" ht="15">
      <c r="B991" s="231"/>
      <c r="C991" s="231"/>
      <c r="D991" s="231"/>
      <c r="E991" s="231" cm="1">
        <f t="array" ref="E991">IF(H990&lt;&gt;"",E990,IF(E990="","",IFERROR(MATCH(TRUE(),INDEX(INDEX(K:K,E990+1):K203&lt;&gt;"",0),0)+E990,"")))</f>
        <v>1083</v>
      </c>
      <c r="F991" s="232" cm="1">
        <f t="array" ref="F991">IF(E991="","",IF(H990&lt;&gt;"",H990,INDEX(D:D,E991)))</f>
        <v>0</v>
      </c>
      <c r="G991" s="232" t="str">
        <f t="shared" si="102"/>
        <v>0</v>
      </c>
      <c r="H991" s="233" t="str">
        <f t="shared" si="103"/>
        <v/>
      </c>
      <c r="I991" s="231" t="str">
        <f>IF(AND(F991&lt;&gt;"",N10&gt;0,M991&gt;N10),"Mot &gt; limite","")</f>
        <v/>
      </c>
      <c r="M991" s="126">
        <f>IF(OR(F991="",N10="",N10&lt;=0),"",IF(LEN(F991)&lt;=N10,LEN(F991),IFERROR(FIND("♦",SUBSTITUTE(LEFT(F991,N10)," ","♦",LEN(LEFT(F991,N10))-LEN(SUBSTITUTE(LEFT(F991,N10)," ","")))),FIND(" ",F991&amp;" ",N10+1)-1)))</f>
        <v>1</v>
      </c>
      <c r="N991" s="234">
        <f t="shared" si="104"/>
        <v>974</v>
      </c>
      <c r="O991" s="165" t="str">
        <f t="shared" si="105"/>
        <v>0</v>
      </c>
      <c r="P991" s="234">
        <f t="shared" si="106"/>
        <v>1</v>
      </c>
      <c r="Q991" s="234">
        <f t="shared" si="107"/>
        <v>1</v>
      </c>
      <c r="DE991" s="152"/>
      <c r="DF991" s="160" t="s">
        <v>2888</v>
      </c>
      <c r="DG991" s="160" t="s">
        <v>122</v>
      </c>
      <c r="DH991" s="160" t="s">
        <v>125</v>
      </c>
      <c r="DI991" s="160" t="s">
        <v>2889</v>
      </c>
      <c r="DJ991" s="160" t="s">
        <v>2889</v>
      </c>
      <c r="DK991" s="160" t="s">
        <v>1259</v>
      </c>
      <c r="DL991" s="160" t="s">
        <v>1260</v>
      </c>
      <c r="DM991" s="160" t="s">
        <v>1812</v>
      </c>
      <c r="DN991" s="161" t="s">
        <v>1813</v>
      </c>
      <c r="DP991" s="130">
        <v>1</v>
      </c>
    </row>
    <row r="992" spans="2:120" ht="15">
      <c r="B992" s="231"/>
      <c r="C992" s="231"/>
      <c r="D992" s="231"/>
      <c r="E992" s="231" cm="1">
        <f t="array" ref="E992">IF(H991&lt;&gt;"",E991,IF(E991="","",IFERROR(MATCH(TRUE(),INDEX(INDEX(K:K,E991+1):K203&lt;&gt;"",0),0)+E991,"")))</f>
        <v>1084</v>
      </c>
      <c r="F992" s="232" cm="1">
        <f t="array" ref="F992">IF(E992="","",IF(H991&lt;&gt;"",H991,INDEX(D:D,E992)))</f>
        <v>0</v>
      </c>
      <c r="G992" s="232" t="str">
        <f t="shared" si="102"/>
        <v>0</v>
      </c>
      <c r="H992" s="233" t="str">
        <f t="shared" si="103"/>
        <v/>
      </c>
      <c r="I992" s="231" t="str">
        <f>IF(AND(F992&lt;&gt;"",N10&gt;0,M992&gt;N10),"Mot &gt; limite","")</f>
        <v/>
      </c>
      <c r="M992" s="126">
        <f>IF(OR(F992="",N10="",N10&lt;=0),"",IF(LEN(F992)&lt;=N10,LEN(F992),IFERROR(FIND("♦",SUBSTITUTE(LEFT(F992,N10)," ","♦",LEN(LEFT(F992,N10))-LEN(SUBSTITUTE(LEFT(F992,N10)," ","")))),FIND(" ",F992&amp;" ",N10+1)-1)))</f>
        <v>1</v>
      </c>
      <c r="N992" s="234">
        <f t="shared" si="104"/>
        <v>975</v>
      </c>
      <c r="O992" s="165" t="str">
        <f t="shared" si="105"/>
        <v>0</v>
      </c>
      <c r="P992" s="234">
        <f t="shared" si="106"/>
        <v>1</v>
      </c>
      <c r="Q992" s="234">
        <f t="shared" si="107"/>
        <v>1</v>
      </c>
      <c r="DE992" s="152"/>
      <c r="DF992" s="160" t="s">
        <v>2890</v>
      </c>
      <c r="DG992" s="160" t="s">
        <v>122</v>
      </c>
      <c r="DH992" s="160" t="s">
        <v>125</v>
      </c>
      <c r="DI992" s="160" t="s">
        <v>2891</v>
      </c>
      <c r="DJ992" s="160" t="s">
        <v>2891</v>
      </c>
      <c r="DK992" s="160" t="s">
        <v>1259</v>
      </c>
      <c r="DL992" s="160" t="s">
        <v>1260</v>
      </c>
      <c r="DM992" s="160" t="s">
        <v>1812</v>
      </c>
      <c r="DN992" s="161" t="s">
        <v>1813</v>
      </c>
      <c r="DP992" s="130">
        <v>1</v>
      </c>
    </row>
    <row r="993" spans="2:120" ht="15">
      <c r="B993" s="231"/>
      <c r="C993" s="231"/>
      <c r="D993" s="231"/>
      <c r="E993" s="231" cm="1">
        <f t="array" ref="E993">IF(H992&lt;&gt;"",E992,IF(E992="","",IFERROR(MATCH(TRUE(),INDEX(INDEX(K:K,E992+1):K203&lt;&gt;"",0),0)+E992,"")))</f>
        <v>1085</v>
      </c>
      <c r="F993" s="232" cm="1">
        <f t="array" ref="F993">IF(E993="","",IF(H992&lt;&gt;"",H992,INDEX(D:D,E993)))</f>
        <v>0</v>
      </c>
      <c r="G993" s="232" t="str">
        <f t="shared" si="102"/>
        <v>0</v>
      </c>
      <c r="H993" s="233" t="str">
        <f t="shared" si="103"/>
        <v/>
      </c>
      <c r="I993" s="231" t="str">
        <f>IF(AND(F993&lt;&gt;"",N10&gt;0,M993&gt;N10),"Mot &gt; limite","")</f>
        <v/>
      </c>
      <c r="M993" s="126">
        <f>IF(OR(F993="",N10="",N10&lt;=0),"",IF(LEN(F993)&lt;=N10,LEN(F993),IFERROR(FIND("♦",SUBSTITUTE(LEFT(F993,N10)," ","♦",LEN(LEFT(F993,N10))-LEN(SUBSTITUTE(LEFT(F993,N10)," ","")))),FIND(" ",F993&amp;" ",N10+1)-1)))</f>
        <v>1</v>
      </c>
      <c r="N993" s="234">
        <f t="shared" si="104"/>
        <v>976</v>
      </c>
      <c r="O993" s="165" t="str">
        <f t="shared" si="105"/>
        <v>0</v>
      </c>
      <c r="P993" s="234">
        <f t="shared" si="106"/>
        <v>1</v>
      </c>
      <c r="Q993" s="234">
        <f t="shared" si="107"/>
        <v>1</v>
      </c>
      <c r="DE993" s="152"/>
      <c r="DF993" s="160" t="s">
        <v>2892</v>
      </c>
      <c r="DG993" s="160" t="s">
        <v>122</v>
      </c>
      <c r="DH993" s="160" t="s">
        <v>125</v>
      </c>
      <c r="DI993" s="160" t="s">
        <v>2893</v>
      </c>
      <c r="DJ993" s="160" t="s">
        <v>2893</v>
      </c>
      <c r="DK993" s="160" t="s">
        <v>1259</v>
      </c>
      <c r="DL993" s="160" t="s">
        <v>1260</v>
      </c>
      <c r="DM993" s="160" t="s">
        <v>1812</v>
      </c>
      <c r="DN993" s="161" t="s">
        <v>1813</v>
      </c>
      <c r="DP993" s="130">
        <v>1</v>
      </c>
    </row>
    <row r="994" spans="2:120" ht="15">
      <c r="B994" s="231"/>
      <c r="C994" s="231"/>
      <c r="D994" s="231"/>
      <c r="E994" s="231" cm="1">
        <f t="array" ref="E994">IF(H993&lt;&gt;"",E993,IF(E993="","",IFERROR(MATCH(TRUE(),INDEX(INDEX(K:K,E993+1):K203&lt;&gt;"",0),0)+E993,"")))</f>
        <v>1086</v>
      </c>
      <c r="F994" s="232" cm="1">
        <f t="array" ref="F994">IF(E994="","",IF(H993&lt;&gt;"",H993,INDEX(D:D,E994)))</f>
        <v>0</v>
      </c>
      <c r="G994" s="232" t="str">
        <f t="shared" si="102"/>
        <v>0</v>
      </c>
      <c r="H994" s="233" t="str">
        <f t="shared" si="103"/>
        <v/>
      </c>
      <c r="I994" s="231" t="str">
        <f>IF(AND(F994&lt;&gt;"",N10&gt;0,M994&gt;N10),"Mot &gt; limite","")</f>
        <v/>
      </c>
      <c r="M994" s="126">
        <f>IF(OR(F994="",N10="",N10&lt;=0),"",IF(LEN(F994)&lt;=N10,LEN(F994),IFERROR(FIND("♦",SUBSTITUTE(LEFT(F994,N10)," ","♦",LEN(LEFT(F994,N10))-LEN(SUBSTITUTE(LEFT(F994,N10)," ","")))),FIND(" ",F994&amp;" ",N10+1)-1)))</f>
        <v>1</v>
      </c>
      <c r="N994" s="234">
        <f t="shared" si="104"/>
        <v>977</v>
      </c>
      <c r="O994" s="165" t="str">
        <f t="shared" si="105"/>
        <v>0</v>
      </c>
      <c r="P994" s="234">
        <f t="shared" si="106"/>
        <v>1</v>
      </c>
      <c r="Q994" s="234">
        <f t="shared" si="107"/>
        <v>1</v>
      </c>
      <c r="DE994" s="152"/>
      <c r="DF994" s="160" t="s">
        <v>2894</v>
      </c>
      <c r="DG994" s="160" t="s">
        <v>122</v>
      </c>
      <c r="DH994" s="160" t="s">
        <v>125</v>
      </c>
      <c r="DI994" s="160" t="s">
        <v>2895</v>
      </c>
      <c r="DJ994" s="160" t="s">
        <v>2895</v>
      </c>
      <c r="DK994" s="160" t="s">
        <v>1259</v>
      </c>
      <c r="DL994" s="160" t="s">
        <v>1260</v>
      </c>
      <c r="DM994" s="160" t="s">
        <v>1812</v>
      </c>
      <c r="DN994" s="161" t="s">
        <v>1813</v>
      </c>
      <c r="DP994" s="130">
        <v>1</v>
      </c>
    </row>
    <row r="995" spans="2:120" ht="15">
      <c r="B995" s="231"/>
      <c r="C995" s="231"/>
      <c r="D995" s="231"/>
      <c r="E995" s="231" cm="1">
        <f t="array" ref="E995">IF(H994&lt;&gt;"",E994,IF(E994="","",IFERROR(MATCH(TRUE(),INDEX(INDEX(K:K,E994+1):K203&lt;&gt;"",0),0)+E994,"")))</f>
        <v>1087</v>
      </c>
      <c r="F995" s="232" cm="1">
        <f t="array" ref="F995">IF(E995="","",IF(H994&lt;&gt;"",H994,INDEX(D:D,E995)))</f>
        <v>0</v>
      </c>
      <c r="G995" s="232" t="str">
        <f t="shared" si="102"/>
        <v>0</v>
      </c>
      <c r="H995" s="233" t="str">
        <f t="shared" si="103"/>
        <v/>
      </c>
      <c r="I995" s="231" t="str">
        <f>IF(AND(F995&lt;&gt;"",N10&gt;0,M995&gt;N10),"Mot &gt; limite","")</f>
        <v/>
      </c>
      <c r="M995" s="126">
        <f>IF(OR(F995="",N10="",N10&lt;=0),"",IF(LEN(F995)&lt;=N10,LEN(F995),IFERROR(FIND("♦",SUBSTITUTE(LEFT(F995,N10)," ","♦",LEN(LEFT(F995,N10))-LEN(SUBSTITUTE(LEFT(F995,N10)," ","")))),FIND(" ",F995&amp;" ",N10+1)-1)))</f>
        <v>1</v>
      </c>
      <c r="N995" s="234">
        <f t="shared" si="104"/>
        <v>978</v>
      </c>
      <c r="O995" s="165" t="str">
        <f t="shared" si="105"/>
        <v>0</v>
      </c>
      <c r="P995" s="234">
        <f t="shared" si="106"/>
        <v>1</v>
      </c>
      <c r="Q995" s="234">
        <f t="shared" si="107"/>
        <v>1</v>
      </c>
      <c r="DE995" s="152"/>
      <c r="DF995" s="160" t="s">
        <v>2896</v>
      </c>
      <c r="DG995" s="160" t="s">
        <v>122</v>
      </c>
      <c r="DH995" s="160" t="s">
        <v>125</v>
      </c>
      <c r="DI995" s="160" t="s">
        <v>2897</v>
      </c>
      <c r="DJ995" s="160" t="s">
        <v>2897</v>
      </c>
      <c r="DK995" s="160" t="s">
        <v>1259</v>
      </c>
      <c r="DL995" s="160" t="s">
        <v>1260</v>
      </c>
      <c r="DM995" s="160" t="s">
        <v>1812</v>
      </c>
      <c r="DN995" s="161" t="s">
        <v>1813</v>
      </c>
      <c r="DP995" s="130">
        <v>1</v>
      </c>
    </row>
    <row r="996" spans="2:120" ht="15">
      <c r="B996" s="231"/>
      <c r="C996" s="231"/>
      <c r="D996" s="231"/>
      <c r="E996" s="231" cm="1">
        <f t="array" ref="E996">IF(H995&lt;&gt;"",E995,IF(E995="","",IFERROR(MATCH(TRUE(),INDEX(INDEX(K:K,E995+1):K203&lt;&gt;"",0),0)+E995,"")))</f>
        <v>1088</v>
      </c>
      <c r="F996" s="232" cm="1">
        <f t="array" ref="F996">IF(E996="","",IF(H995&lt;&gt;"",H995,INDEX(D:D,E996)))</f>
        <v>0</v>
      </c>
      <c r="G996" s="232" t="str">
        <f t="shared" si="102"/>
        <v>0</v>
      </c>
      <c r="H996" s="233" t="str">
        <f t="shared" si="103"/>
        <v/>
      </c>
      <c r="I996" s="231" t="str">
        <f>IF(AND(F996&lt;&gt;"",N10&gt;0,M996&gt;N10),"Mot &gt; limite","")</f>
        <v/>
      </c>
      <c r="M996" s="126">
        <f>IF(OR(F996="",N10="",N10&lt;=0),"",IF(LEN(F996)&lt;=N10,LEN(F996),IFERROR(FIND("♦",SUBSTITUTE(LEFT(F996,N10)," ","♦",LEN(LEFT(F996,N10))-LEN(SUBSTITUTE(LEFT(F996,N10)," ","")))),FIND(" ",F996&amp;" ",N10+1)-1)))</f>
        <v>1</v>
      </c>
      <c r="N996" s="234">
        <f t="shared" si="104"/>
        <v>979</v>
      </c>
      <c r="O996" s="165" t="str">
        <f t="shared" si="105"/>
        <v>0</v>
      </c>
      <c r="P996" s="234">
        <f t="shared" si="106"/>
        <v>1</v>
      </c>
      <c r="Q996" s="234">
        <f t="shared" si="107"/>
        <v>1</v>
      </c>
      <c r="DE996" s="152"/>
      <c r="DF996" s="160" t="s">
        <v>2898</v>
      </c>
      <c r="DG996" s="160" t="s">
        <v>122</v>
      </c>
      <c r="DH996" s="160" t="s">
        <v>125</v>
      </c>
      <c r="DI996" s="160" t="s">
        <v>2899</v>
      </c>
      <c r="DJ996" s="160" t="s">
        <v>2899</v>
      </c>
      <c r="DK996" s="160" t="s">
        <v>1259</v>
      </c>
      <c r="DL996" s="160" t="s">
        <v>1260</v>
      </c>
      <c r="DM996" s="160" t="s">
        <v>1812</v>
      </c>
      <c r="DN996" s="161" t="s">
        <v>1813</v>
      </c>
      <c r="DP996" s="130">
        <v>1</v>
      </c>
    </row>
    <row r="997" spans="2:120" ht="15">
      <c r="B997" s="231"/>
      <c r="C997" s="231"/>
      <c r="D997" s="231"/>
      <c r="E997" s="231" cm="1">
        <f t="array" ref="E997">IF(H996&lt;&gt;"",E996,IF(E996="","",IFERROR(MATCH(TRUE(),INDEX(INDEX(K:K,E996+1):K203&lt;&gt;"",0),0)+E996,"")))</f>
        <v>1089</v>
      </c>
      <c r="F997" s="232" cm="1">
        <f t="array" ref="F997">IF(E997="","",IF(H996&lt;&gt;"",H996,INDEX(D:D,E997)))</f>
        <v>0</v>
      </c>
      <c r="G997" s="232" t="str">
        <f t="shared" si="102"/>
        <v>0</v>
      </c>
      <c r="H997" s="233" t="str">
        <f t="shared" si="103"/>
        <v/>
      </c>
      <c r="I997" s="231" t="str">
        <f>IF(AND(F997&lt;&gt;"",N10&gt;0,M997&gt;N10),"Mot &gt; limite","")</f>
        <v/>
      </c>
      <c r="M997" s="126">
        <f>IF(OR(F997="",N10="",N10&lt;=0),"",IF(LEN(F997)&lt;=N10,LEN(F997),IFERROR(FIND("♦",SUBSTITUTE(LEFT(F997,N10)," ","♦",LEN(LEFT(F997,N10))-LEN(SUBSTITUTE(LEFT(F997,N10)," ","")))),FIND(" ",F997&amp;" ",N10+1)-1)))</f>
        <v>1</v>
      </c>
      <c r="N997" s="234">
        <f t="shared" si="104"/>
        <v>980</v>
      </c>
      <c r="O997" s="165" t="str">
        <f t="shared" si="105"/>
        <v>0</v>
      </c>
      <c r="P997" s="234">
        <f t="shared" si="106"/>
        <v>1</v>
      </c>
      <c r="Q997" s="234">
        <f t="shared" si="107"/>
        <v>1</v>
      </c>
      <c r="DE997" s="152"/>
      <c r="DF997" s="160" t="s">
        <v>2900</v>
      </c>
      <c r="DG997" s="160" t="s">
        <v>122</v>
      </c>
      <c r="DH997" s="160" t="s">
        <v>125</v>
      </c>
      <c r="DI997" s="160" t="s">
        <v>2901</v>
      </c>
      <c r="DJ997" s="160" t="s">
        <v>2901</v>
      </c>
      <c r="DK997" s="160" t="s">
        <v>1259</v>
      </c>
      <c r="DL997" s="160" t="s">
        <v>1260</v>
      </c>
      <c r="DM997" s="160" t="s">
        <v>1812</v>
      </c>
      <c r="DN997" s="161" t="s">
        <v>1813</v>
      </c>
      <c r="DP997" s="130">
        <v>1</v>
      </c>
    </row>
    <row r="998" spans="2:120" ht="15">
      <c r="B998" s="231"/>
      <c r="C998" s="231"/>
      <c r="D998" s="231"/>
      <c r="E998" s="231" cm="1">
        <f t="array" ref="E998">IF(H997&lt;&gt;"",E997,IF(E997="","",IFERROR(MATCH(TRUE(),INDEX(INDEX(K:K,E997+1):K203&lt;&gt;"",0),0)+E997,"")))</f>
        <v>1090</v>
      </c>
      <c r="F998" s="232" cm="1">
        <f t="array" ref="F998">IF(E998="","",IF(H997&lt;&gt;"",H997,INDEX(D:D,E998)))</f>
        <v>0</v>
      </c>
      <c r="G998" s="232" t="str">
        <f t="shared" si="102"/>
        <v>0</v>
      </c>
      <c r="H998" s="233" t="str">
        <f t="shared" si="103"/>
        <v/>
      </c>
      <c r="I998" s="231" t="str">
        <f>IF(AND(F998&lt;&gt;"",N10&gt;0,M998&gt;N10),"Mot &gt; limite","")</f>
        <v/>
      </c>
      <c r="M998" s="126">
        <f>IF(OR(F998="",N10="",N10&lt;=0),"",IF(LEN(F998)&lt;=N10,LEN(F998),IFERROR(FIND("♦",SUBSTITUTE(LEFT(F998,N10)," ","♦",LEN(LEFT(F998,N10))-LEN(SUBSTITUTE(LEFT(F998,N10)," ","")))),FIND(" ",F998&amp;" ",N10+1)-1)))</f>
        <v>1</v>
      </c>
      <c r="N998" s="234">
        <f t="shared" si="104"/>
        <v>981</v>
      </c>
      <c r="O998" s="165" t="str">
        <f t="shared" si="105"/>
        <v>0</v>
      </c>
      <c r="P998" s="234">
        <f t="shared" si="106"/>
        <v>1</v>
      </c>
      <c r="Q998" s="234">
        <f t="shared" si="107"/>
        <v>1</v>
      </c>
      <c r="DE998" s="152"/>
      <c r="DF998" s="160" t="s">
        <v>2902</v>
      </c>
      <c r="DG998" s="160" t="s">
        <v>122</v>
      </c>
      <c r="DH998" s="160" t="s">
        <v>125</v>
      </c>
      <c r="DI998" s="160" t="s">
        <v>2903</v>
      </c>
      <c r="DJ998" s="160" t="s">
        <v>2903</v>
      </c>
      <c r="DK998" s="160" t="s">
        <v>1259</v>
      </c>
      <c r="DL998" s="160" t="s">
        <v>1260</v>
      </c>
      <c r="DM998" s="160" t="s">
        <v>1812</v>
      </c>
      <c r="DN998" s="161" t="s">
        <v>1813</v>
      </c>
      <c r="DP998" s="130">
        <v>1</v>
      </c>
    </row>
    <row r="999" spans="2:120" ht="15">
      <c r="B999" s="231"/>
      <c r="C999" s="231"/>
      <c r="D999" s="231"/>
      <c r="E999" s="231" cm="1">
        <f t="array" ref="E999">IF(H998&lt;&gt;"",E998,IF(E998="","",IFERROR(MATCH(TRUE(),INDEX(INDEX(K:K,E998+1):K203&lt;&gt;"",0),0)+E998,"")))</f>
        <v>1091</v>
      </c>
      <c r="F999" s="232" cm="1">
        <f t="array" ref="F999">IF(E999="","",IF(H998&lt;&gt;"",H998,INDEX(D:D,E999)))</f>
        <v>0</v>
      </c>
      <c r="G999" s="232" t="str">
        <f t="shared" si="102"/>
        <v>0</v>
      </c>
      <c r="H999" s="233" t="str">
        <f t="shared" si="103"/>
        <v/>
      </c>
      <c r="I999" s="231" t="str">
        <f>IF(AND(F999&lt;&gt;"",N10&gt;0,M999&gt;N10),"Mot &gt; limite","")</f>
        <v/>
      </c>
      <c r="M999" s="126">
        <f>IF(OR(F999="",N10="",N10&lt;=0),"",IF(LEN(F999)&lt;=N10,LEN(F999),IFERROR(FIND("♦",SUBSTITUTE(LEFT(F999,N10)," ","♦",LEN(LEFT(F999,N10))-LEN(SUBSTITUTE(LEFT(F999,N10)," ","")))),FIND(" ",F999&amp;" ",N10+1)-1)))</f>
        <v>1</v>
      </c>
      <c r="N999" s="234">
        <f t="shared" si="104"/>
        <v>982</v>
      </c>
      <c r="O999" s="165" t="str">
        <f t="shared" si="105"/>
        <v>0</v>
      </c>
      <c r="P999" s="234">
        <f t="shared" si="106"/>
        <v>1</v>
      </c>
      <c r="Q999" s="234">
        <f t="shared" si="107"/>
        <v>1</v>
      </c>
      <c r="DE999" s="152"/>
      <c r="DF999" s="160" t="s">
        <v>2904</v>
      </c>
      <c r="DG999" s="160" t="s">
        <v>122</v>
      </c>
      <c r="DH999" s="160" t="s">
        <v>125</v>
      </c>
      <c r="DI999" s="160" t="s">
        <v>2905</v>
      </c>
      <c r="DJ999" s="160" t="s">
        <v>2905</v>
      </c>
      <c r="DK999" s="160" t="s">
        <v>1259</v>
      </c>
      <c r="DL999" s="160" t="s">
        <v>1260</v>
      </c>
      <c r="DM999" s="160" t="s">
        <v>1812</v>
      </c>
      <c r="DN999" s="161" t="s">
        <v>1813</v>
      </c>
      <c r="DP999" s="130">
        <v>1</v>
      </c>
    </row>
    <row r="1000" spans="2:120" ht="15">
      <c r="B1000" s="231"/>
      <c r="C1000" s="231"/>
      <c r="D1000" s="231"/>
      <c r="E1000" s="231" cm="1">
        <f t="array" ref="E1000">IF(H999&lt;&gt;"",E999,IF(E999="","",IFERROR(MATCH(TRUE(),INDEX(INDEX(K:K,E999+1):K203&lt;&gt;"",0),0)+E999,"")))</f>
        <v>1092</v>
      </c>
      <c r="F1000" s="232" cm="1">
        <f t="array" ref="F1000">IF(E1000="","",IF(H999&lt;&gt;"",H999,INDEX(D:D,E1000)))</f>
        <v>0</v>
      </c>
      <c r="G1000" s="232" t="str">
        <f t="shared" si="102"/>
        <v>0</v>
      </c>
      <c r="H1000" s="233" t="str">
        <f t="shared" si="103"/>
        <v/>
      </c>
      <c r="I1000" s="231" t="str">
        <f>IF(AND(F1000&lt;&gt;"",N10&gt;0,M1000&gt;N10),"Mot &gt; limite","")</f>
        <v/>
      </c>
      <c r="M1000" s="126">
        <f>IF(OR(F1000="",N10="",N10&lt;=0),"",IF(LEN(F1000)&lt;=N10,LEN(F1000),IFERROR(FIND("♦",SUBSTITUTE(LEFT(F1000,N10)," ","♦",LEN(LEFT(F1000,N10))-LEN(SUBSTITUTE(LEFT(F1000,N10)," ","")))),FIND(" ",F1000&amp;" ",N10+1)-1)))</f>
        <v>1</v>
      </c>
      <c r="N1000" s="234">
        <f t="shared" si="104"/>
        <v>983</v>
      </c>
      <c r="O1000" s="165" t="str">
        <f t="shared" si="105"/>
        <v>0</v>
      </c>
      <c r="P1000" s="234">
        <f t="shared" si="106"/>
        <v>1</v>
      </c>
      <c r="Q1000" s="234">
        <f t="shared" si="107"/>
        <v>1</v>
      </c>
      <c r="DE1000" s="152"/>
      <c r="DF1000" s="160" t="s">
        <v>2906</v>
      </c>
      <c r="DG1000" s="160" t="s">
        <v>122</v>
      </c>
      <c r="DH1000" s="160" t="s">
        <v>125</v>
      </c>
      <c r="DI1000" s="160" t="s">
        <v>2907</v>
      </c>
      <c r="DJ1000" s="160" t="s">
        <v>2907</v>
      </c>
      <c r="DK1000" s="160" t="s">
        <v>1259</v>
      </c>
      <c r="DL1000" s="160" t="s">
        <v>1260</v>
      </c>
      <c r="DM1000" s="160" t="s">
        <v>1812</v>
      </c>
      <c r="DN1000" s="161" t="s">
        <v>1813</v>
      </c>
      <c r="DP1000" s="130">
        <v>1</v>
      </c>
    </row>
    <row r="1001" spans="2:120" ht="15">
      <c r="B1001" s="231"/>
      <c r="C1001" s="231"/>
      <c r="D1001" s="231"/>
      <c r="E1001" s="231" cm="1">
        <f t="array" ref="E1001">IF(H1000&lt;&gt;"",E1000,IF(E1000="","",IFERROR(MATCH(TRUE(),INDEX(INDEX(K:K,E1000+1):K203&lt;&gt;"",0),0)+E1000,"")))</f>
        <v>1093</v>
      </c>
      <c r="F1001" s="232" cm="1">
        <f t="array" ref="F1001">IF(E1001="","",IF(H1000&lt;&gt;"",H1000,INDEX(D:D,E1001)))</f>
        <v>0</v>
      </c>
      <c r="G1001" s="232" t="str">
        <f t="shared" si="102"/>
        <v>0</v>
      </c>
      <c r="H1001" s="233" t="str">
        <f t="shared" si="103"/>
        <v/>
      </c>
      <c r="I1001" s="231" t="str">
        <f>IF(AND(F1001&lt;&gt;"",N10&gt;0,M1001&gt;N10),"Mot &gt; limite","")</f>
        <v/>
      </c>
      <c r="M1001" s="126">
        <f>IF(OR(F1001="",N10="",N10&lt;=0),"",IF(LEN(F1001)&lt;=N10,LEN(F1001),IFERROR(FIND("♦",SUBSTITUTE(LEFT(F1001,N10)," ","♦",LEN(LEFT(F1001,N10))-LEN(SUBSTITUTE(LEFT(F1001,N10)," ","")))),FIND(" ",F1001&amp;" ",N10+1)-1)))</f>
        <v>1</v>
      </c>
      <c r="N1001" s="234">
        <f t="shared" si="104"/>
        <v>984</v>
      </c>
      <c r="O1001" s="165" t="str">
        <f t="shared" si="105"/>
        <v>0</v>
      </c>
      <c r="P1001" s="234">
        <f t="shared" si="106"/>
        <v>1</v>
      </c>
      <c r="Q1001" s="234">
        <f t="shared" si="107"/>
        <v>1</v>
      </c>
      <c r="DE1001" s="152"/>
      <c r="DF1001" s="160" t="s">
        <v>2908</v>
      </c>
      <c r="DG1001" s="160" t="s">
        <v>122</v>
      </c>
      <c r="DH1001" s="160" t="s">
        <v>125</v>
      </c>
      <c r="DI1001" s="160" t="s">
        <v>2909</v>
      </c>
      <c r="DJ1001" s="160" t="s">
        <v>2909</v>
      </c>
      <c r="DK1001" s="160" t="s">
        <v>1259</v>
      </c>
      <c r="DL1001" s="160" t="s">
        <v>1260</v>
      </c>
      <c r="DM1001" s="160" t="s">
        <v>1812</v>
      </c>
      <c r="DN1001" s="161" t="s">
        <v>1813</v>
      </c>
      <c r="DP1001" s="130">
        <v>1</v>
      </c>
    </row>
    <row r="1002" spans="2:120" ht="15">
      <c r="B1002" s="231"/>
      <c r="C1002" s="231"/>
      <c r="D1002" s="231"/>
      <c r="E1002" s="231" cm="1">
        <f t="array" ref="E1002">IF(H1001&lt;&gt;"",E1001,IF(E1001="","",IFERROR(MATCH(TRUE(),INDEX(INDEX(K:K,E1001+1):K203&lt;&gt;"",0),0)+E1001,"")))</f>
        <v>1094</v>
      </c>
      <c r="F1002" s="232" cm="1">
        <f t="array" ref="F1002">IF(E1002="","",IF(H1001&lt;&gt;"",H1001,INDEX(D:D,E1002)))</f>
        <v>0</v>
      </c>
      <c r="G1002" s="232" t="str">
        <f t="shared" si="102"/>
        <v>0</v>
      </c>
      <c r="H1002" s="233" t="str">
        <f t="shared" si="103"/>
        <v/>
      </c>
      <c r="I1002" s="231" t="str">
        <f>IF(AND(F1002&lt;&gt;"",N10&gt;0,M1002&gt;N10),"Mot &gt; limite","")</f>
        <v/>
      </c>
      <c r="M1002" s="126">
        <f>IF(OR(F1002="",N10="",N10&lt;=0),"",IF(LEN(F1002)&lt;=N10,LEN(F1002),IFERROR(FIND("♦",SUBSTITUTE(LEFT(F1002,N10)," ","♦",LEN(LEFT(F1002,N10))-LEN(SUBSTITUTE(LEFT(F1002,N10)," ","")))),FIND(" ",F1002&amp;" ",N10+1)-1)))</f>
        <v>1</v>
      </c>
      <c r="N1002" s="234">
        <f t="shared" si="104"/>
        <v>985</v>
      </c>
      <c r="O1002" s="165" t="str">
        <f t="shared" si="105"/>
        <v>0</v>
      </c>
      <c r="P1002" s="234">
        <f t="shared" si="106"/>
        <v>1</v>
      </c>
      <c r="Q1002" s="234">
        <f t="shared" si="107"/>
        <v>1</v>
      </c>
      <c r="DE1002" s="152"/>
      <c r="DF1002" s="160" t="s">
        <v>2910</v>
      </c>
      <c r="DG1002" s="160" t="s">
        <v>122</v>
      </c>
      <c r="DH1002" s="160" t="s">
        <v>125</v>
      </c>
      <c r="DI1002" s="160" t="s">
        <v>2911</v>
      </c>
      <c r="DJ1002" s="160" t="s">
        <v>2911</v>
      </c>
      <c r="DK1002" s="160" t="s">
        <v>1259</v>
      </c>
      <c r="DL1002" s="160" t="s">
        <v>1260</v>
      </c>
      <c r="DM1002" s="160" t="s">
        <v>1812</v>
      </c>
      <c r="DN1002" s="161" t="s">
        <v>1813</v>
      </c>
      <c r="DP1002" s="130">
        <v>1</v>
      </c>
    </row>
    <row r="1003" spans="2:120" ht="15">
      <c r="B1003" s="231"/>
      <c r="C1003" s="231"/>
      <c r="D1003" s="231"/>
      <c r="E1003" s="231" cm="1">
        <f t="array" ref="E1003">IF(H1002&lt;&gt;"",E1002,IF(E1002="","",IFERROR(MATCH(TRUE(),INDEX(INDEX(K:K,E1002+1):K203&lt;&gt;"",0),0)+E1002,"")))</f>
        <v>1095</v>
      </c>
      <c r="F1003" s="232" cm="1">
        <f t="array" ref="F1003">IF(E1003="","",IF(H1002&lt;&gt;"",H1002,INDEX(D:D,E1003)))</f>
        <v>0</v>
      </c>
      <c r="G1003" s="232" t="str">
        <f t="shared" si="102"/>
        <v>0</v>
      </c>
      <c r="H1003" s="233" t="str">
        <f t="shared" si="103"/>
        <v/>
      </c>
      <c r="I1003" s="231" t="str">
        <f>IF(AND(F1003&lt;&gt;"",N10&gt;0,M1003&gt;N10),"Mot &gt; limite","")</f>
        <v/>
      </c>
      <c r="M1003" s="126">
        <f>IF(OR(F1003="",N10="",N10&lt;=0),"",IF(LEN(F1003)&lt;=N10,LEN(F1003),IFERROR(FIND("♦",SUBSTITUTE(LEFT(F1003,N10)," ","♦",LEN(LEFT(F1003,N10))-LEN(SUBSTITUTE(LEFT(F1003,N10)," ","")))),FIND(" ",F1003&amp;" ",N10+1)-1)))</f>
        <v>1</v>
      </c>
      <c r="N1003" s="234">
        <f t="shared" si="104"/>
        <v>986</v>
      </c>
      <c r="O1003" s="165" t="str">
        <f t="shared" si="105"/>
        <v>0</v>
      </c>
      <c r="P1003" s="234">
        <f t="shared" si="106"/>
        <v>1</v>
      </c>
      <c r="Q1003" s="234">
        <f t="shared" si="107"/>
        <v>1</v>
      </c>
      <c r="DE1003" s="152"/>
      <c r="DF1003" s="160" t="s">
        <v>2912</v>
      </c>
      <c r="DG1003" s="160" t="s">
        <v>122</v>
      </c>
      <c r="DH1003" s="160" t="s">
        <v>125</v>
      </c>
      <c r="DI1003" s="160" t="s">
        <v>2913</v>
      </c>
      <c r="DJ1003" s="160" t="s">
        <v>2913</v>
      </c>
      <c r="DK1003" s="160" t="s">
        <v>1259</v>
      </c>
      <c r="DL1003" s="160" t="s">
        <v>1260</v>
      </c>
      <c r="DM1003" s="160" t="s">
        <v>1812</v>
      </c>
      <c r="DN1003" s="161" t="s">
        <v>1813</v>
      </c>
      <c r="DP1003" s="130">
        <v>1</v>
      </c>
    </row>
    <row r="1004" spans="2:120" ht="15">
      <c r="B1004" s="231"/>
      <c r="C1004" s="231"/>
      <c r="D1004" s="231"/>
      <c r="E1004" s="231" cm="1">
        <f t="array" ref="E1004">IF(H1003&lt;&gt;"",E1003,IF(E1003="","",IFERROR(MATCH(TRUE(),INDEX(INDEX(K:K,E1003+1):K203&lt;&gt;"",0),0)+E1003,"")))</f>
        <v>1096</v>
      </c>
      <c r="F1004" s="232" cm="1">
        <f t="array" ref="F1004">IF(E1004="","",IF(H1003&lt;&gt;"",H1003,INDEX(D:D,E1004)))</f>
        <v>0</v>
      </c>
      <c r="G1004" s="232" t="str">
        <f t="shared" si="102"/>
        <v>0</v>
      </c>
      <c r="H1004" s="233" t="str">
        <f t="shared" si="103"/>
        <v/>
      </c>
      <c r="I1004" s="231" t="str">
        <f>IF(AND(F1004&lt;&gt;"",N10&gt;0,M1004&gt;N10),"Mot &gt; limite","")</f>
        <v/>
      </c>
      <c r="M1004" s="126">
        <f>IF(OR(F1004="",N10="",N10&lt;=0),"",IF(LEN(F1004)&lt;=N10,LEN(F1004),IFERROR(FIND("♦",SUBSTITUTE(LEFT(F1004,N10)," ","♦",LEN(LEFT(F1004,N10))-LEN(SUBSTITUTE(LEFT(F1004,N10)," ","")))),FIND(" ",F1004&amp;" ",N10+1)-1)))</f>
        <v>1</v>
      </c>
      <c r="N1004" s="234">
        <f t="shared" si="104"/>
        <v>987</v>
      </c>
      <c r="O1004" s="165" t="str">
        <f t="shared" si="105"/>
        <v>0</v>
      </c>
      <c r="P1004" s="234">
        <f t="shared" si="106"/>
        <v>1</v>
      </c>
      <c r="Q1004" s="234">
        <f t="shared" si="107"/>
        <v>1</v>
      </c>
      <c r="DE1004" s="152"/>
      <c r="DF1004" s="160" t="s">
        <v>2914</v>
      </c>
      <c r="DG1004" s="160" t="s">
        <v>122</v>
      </c>
      <c r="DH1004" s="160" t="s">
        <v>125</v>
      </c>
      <c r="DI1004" s="160" t="s">
        <v>2915</v>
      </c>
      <c r="DJ1004" s="160" t="s">
        <v>2915</v>
      </c>
      <c r="DK1004" s="160" t="s">
        <v>1259</v>
      </c>
      <c r="DL1004" s="160" t="s">
        <v>1260</v>
      </c>
      <c r="DM1004" s="160" t="s">
        <v>1812</v>
      </c>
      <c r="DN1004" s="161" t="s">
        <v>1813</v>
      </c>
      <c r="DP1004" s="130">
        <v>1</v>
      </c>
    </row>
    <row r="1005" spans="2:120" ht="15">
      <c r="B1005" s="231"/>
      <c r="C1005" s="231"/>
      <c r="D1005" s="231"/>
      <c r="E1005" s="231" cm="1">
        <f t="array" ref="E1005">IF(H1004&lt;&gt;"",E1004,IF(E1004="","",IFERROR(MATCH(TRUE(),INDEX(INDEX(K:K,E1004+1):K203&lt;&gt;"",0),0)+E1004,"")))</f>
        <v>1097</v>
      </c>
      <c r="F1005" s="232" cm="1">
        <f t="array" ref="F1005">IF(E1005="","",IF(H1004&lt;&gt;"",H1004,INDEX(D:D,E1005)))</f>
        <v>0</v>
      </c>
      <c r="G1005" s="232" t="str">
        <f t="shared" si="102"/>
        <v>0</v>
      </c>
      <c r="H1005" s="233" t="str">
        <f t="shared" si="103"/>
        <v/>
      </c>
      <c r="I1005" s="231" t="str">
        <f>IF(AND(F1005&lt;&gt;"",N10&gt;0,M1005&gt;N10),"Mot &gt; limite","")</f>
        <v/>
      </c>
      <c r="M1005" s="126">
        <f>IF(OR(F1005="",N10="",N10&lt;=0),"",IF(LEN(F1005)&lt;=N10,LEN(F1005),IFERROR(FIND("♦",SUBSTITUTE(LEFT(F1005,N10)," ","♦",LEN(LEFT(F1005,N10))-LEN(SUBSTITUTE(LEFT(F1005,N10)," ","")))),FIND(" ",F1005&amp;" ",N10+1)-1)))</f>
        <v>1</v>
      </c>
      <c r="N1005" s="234">
        <f t="shared" si="104"/>
        <v>988</v>
      </c>
      <c r="O1005" s="165" t="str">
        <f t="shared" si="105"/>
        <v>0</v>
      </c>
      <c r="P1005" s="234">
        <f t="shared" si="106"/>
        <v>1</v>
      </c>
      <c r="Q1005" s="234">
        <f t="shared" si="107"/>
        <v>1</v>
      </c>
      <c r="DE1005" s="152"/>
      <c r="DF1005" s="160" t="s">
        <v>2916</v>
      </c>
      <c r="DG1005" s="160" t="s">
        <v>122</v>
      </c>
      <c r="DH1005" s="160" t="s">
        <v>125</v>
      </c>
      <c r="DI1005" s="160" t="s">
        <v>2917</v>
      </c>
      <c r="DJ1005" s="160" t="s">
        <v>2917</v>
      </c>
      <c r="DK1005" s="160" t="s">
        <v>1259</v>
      </c>
      <c r="DL1005" s="160" t="s">
        <v>1260</v>
      </c>
      <c r="DM1005" s="160" t="s">
        <v>1812</v>
      </c>
      <c r="DN1005" s="161" t="s">
        <v>1813</v>
      </c>
      <c r="DP1005" s="130">
        <v>1</v>
      </c>
    </row>
    <row r="1006" spans="2:120" ht="15">
      <c r="B1006" s="231"/>
      <c r="C1006" s="231"/>
      <c r="D1006" s="231"/>
      <c r="E1006" s="231" cm="1">
        <f t="array" ref="E1006">IF(H1005&lt;&gt;"",E1005,IF(E1005="","",IFERROR(MATCH(TRUE(),INDEX(INDEX(K:K,E1005+1):K203&lt;&gt;"",0),0)+E1005,"")))</f>
        <v>1098</v>
      </c>
      <c r="F1006" s="232" cm="1">
        <f t="array" ref="F1006">IF(E1006="","",IF(H1005&lt;&gt;"",H1005,INDEX(D:D,E1006)))</f>
        <v>0</v>
      </c>
      <c r="G1006" s="232" t="str">
        <f t="shared" si="102"/>
        <v>0</v>
      </c>
      <c r="H1006" s="233" t="str">
        <f t="shared" si="103"/>
        <v/>
      </c>
      <c r="I1006" s="231" t="str">
        <f>IF(AND(F1006&lt;&gt;"",N10&gt;0,M1006&gt;N10),"Mot &gt; limite","")</f>
        <v/>
      </c>
      <c r="M1006" s="126">
        <f>IF(OR(F1006="",N10="",N10&lt;=0),"",IF(LEN(F1006)&lt;=N10,LEN(F1006),IFERROR(FIND("♦",SUBSTITUTE(LEFT(F1006,N10)," ","♦",LEN(LEFT(F1006,N10))-LEN(SUBSTITUTE(LEFT(F1006,N10)," ","")))),FIND(" ",F1006&amp;" ",N10+1)-1)))</f>
        <v>1</v>
      </c>
      <c r="N1006" s="234">
        <f t="shared" si="104"/>
        <v>989</v>
      </c>
      <c r="O1006" s="165" t="str">
        <f t="shared" si="105"/>
        <v>0</v>
      </c>
      <c r="P1006" s="234">
        <f t="shared" si="106"/>
        <v>1</v>
      </c>
      <c r="Q1006" s="234">
        <f t="shared" si="107"/>
        <v>1</v>
      </c>
      <c r="DE1006" s="152"/>
      <c r="DF1006" s="160" t="s">
        <v>2918</v>
      </c>
      <c r="DG1006" s="160" t="s">
        <v>122</v>
      </c>
      <c r="DH1006" s="160" t="s">
        <v>125</v>
      </c>
      <c r="DI1006" s="160" t="s">
        <v>2919</v>
      </c>
      <c r="DJ1006" s="160" t="s">
        <v>2919</v>
      </c>
      <c r="DK1006" s="160" t="s">
        <v>588</v>
      </c>
      <c r="DL1006" s="160" t="s">
        <v>1895</v>
      </c>
      <c r="DM1006" s="160" t="s">
        <v>590</v>
      </c>
      <c r="DN1006" s="161" t="s">
        <v>591</v>
      </c>
      <c r="DP1006" s="130">
        <v>1</v>
      </c>
    </row>
    <row r="1007" spans="2:120" ht="15">
      <c r="B1007" s="231"/>
      <c r="C1007" s="231"/>
      <c r="D1007" s="231"/>
      <c r="E1007" s="231" cm="1">
        <f t="array" ref="E1007">IF(H1006&lt;&gt;"",E1006,IF(E1006="","",IFERROR(MATCH(TRUE(),INDEX(INDEX(K:K,E1006+1):K203&lt;&gt;"",0),0)+E1006,"")))</f>
        <v>1099</v>
      </c>
      <c r="F1007" s="232" cm="1">
        <f t="array" ref="F1007">IF(E1007="","",IF(H1006&lt;&gt;"",H1006,INDEX(D:D,E1007)))</f>
        <v>0</v>
      </c>
      <c r="G1007" s="232" t="str">
        <f t="shared" si="102"/>
        <v>0</v>
      </c>
      <c r="H1007" s="233" t="str">
        <f t="shared" si="103"/>
        <v/>
      </c>
      <c r="I1007" s="231" t="str">
        <f>IF(AND(F1007&lt;&gt;"",N10&gt;0,M1007&gt;N10),"Mot &gt; limite","")</f>
        <v/>
      </c>
      <c r="M1007" s="126">
        <f>IF(OR(F1007="",N10="",N10&lt;=0),"",IF(LEN(F1007)&lt;=N10,LEN(F1007),IFERROR(FIND("♦",SUBSTITUTE(LEFT(F1007,N10)," ","♦",LEN(LEFT(F1007,N10))-LEN(SUBSTITUTE(LEFT(F1007,N10)," ","")))),FIND(" ",F1007&amp;" ",N10+1)-1)))</f>
        <v>1</v>
      </c>
      <c r="N1007" s="234">
        <f t="shared" si="104"/>
        <v>990</v>
      </c>
      <c r="O1007" s="165" t="str">
        <f t="shared" si="105"/>
        <v>0</v>
      </c>
      <c r="P1007" s="234">
        <f t="shared" si="106"/>
        <v>1</v>
      </c>
      <c r="Q1007" s="234">
        <f t="shared" si="107"/>
        <v>1</v>
      </c>
      <c r="DE1007" s="152"/>
      <c r="DF1007" s="160" t="s">
        <v>2920</v>
      </c>
      <c r="DG1007" s="160" t="s">
        <v>122</v>
      </c>
      <c r="DH1007" s="160" t="s">
        <v>125</v>
      </c>
      <c r="DI1007" s="160" t="s">
        <v>2921</v>
      </c>
      <c r="DJ1007" s="160" t="s">
        <v>2921</v>
      </c>
      <c r="DK1007" s="160" t="s">
        <v>1259</v>
      </c>
      <c r="DL1007" s="160" t="s">
        <v>1260</v>
      </c>
      <c r="DM1007" s="160" t="s">
        <v>1812</v>
      </c>
      <c r="DN1007" s="161" t="s">
        <v>1813</v>
      </c>
      <c r="DP1007" s="130">
        <v>1</v>
      </c>
    </row>
    <row r="1008" spans="2:120" ht="15">
      <c r="B1008" s="231"/>
      <c r="C1008" s="231"/>
      <c r="D1008" s="231"/>
      <c r="E1008" s="231" cm="1">
        <f t="array" ref="E1008">IF(H1007&lt;&gt;"",E1007,IF(E1007="","",IFERROR(MATCH(TRUE(),INDEX(INDEX(K:K,E1007+1):K203&lt;&gt;"",0),0)+E1007,"")))</f>
        <v>1100</v>
      </c>
      <c r="F1008" s="232" cm="1">
        <f t="array" ref="F1008">IF(E1008="","",IF(H1007&lt;&gt;"",H1007,INDEX(D:D,E1008)))</f>
        <v>0</v>
      </c>
      <c r="G1008" s="232" t="str">
        <f t="shared" si="102"/>
        <v>0</v>
      </c>
      <c r="H1008" s="233" t="str">
        <f t="shared" si="103"/>
        <v/>
      </c>
      <c r="I1008" s="231" t="str">
        <f>IF(AND(F1008&lt;&gt;"",N10&gt;0,M1008&gt;N10),"Mot &gt; limite","")</f>
        <v/>
      </c>
      <c r="M1008" s="126">
        <f>IF(OR(F1008="",N10="",N10&lt;=0),"",IF(LEN(F1008)&lt;=N10,LEN(F1008),IFERROR(FIND("♦",SUBSTITUTE(LEFT(F1008,N10)," ","♦",LEN(LEFT(F1008,N10))-LEN(SUBSTITUTE(LEFT(F1008,N10)," ","")))),FIND(" ",F1008&amp;" ",N10+1)-1)))</f>
        <v>1</v>
      </c>
      <c r="N1008" s="234">
        <f t="shared" si="104"/>
        <v>991</v>
      </c>
      <c r="O1008" s="165" t="str">
        <f t="shared" si="105"/>
        <v>0</v>
      </c>
      <c r="P1008" s="234">
        <f t="shared" si="106"/>
        <v>1</v>
      </c>
      <c r="Q1008" s="234">
        <f t="shared" si="107"/>
        <v>1</v>
      </c>
      <c r="DE1008" s="152"/>
      <c r="DF1008" s="160" t="s">
        <v>2922</v>
      </c>
      <c r="DG1008" s="160" t="s">
        <v>122</v>
      </c>
      <c r="DH1008" s="160" t="s">
        <v>125</v>
      </c>
      <c r="DI1008" s="160" t="s">
        <v>2923</v>
      </c>
      <c r="DJ1008" s="160" t="s">
        <v>2923</v>
      </c>
      <c r="DK1008" s="160" t="s">
        <v>1259</v>
      </c>
      <c r="DL1008" s="160" t="s">
        <v>1260</v>
      </c>
      <c r="DM1008" s="160" t="s">
        <v>1812</v>
      </c>
      <c r="DN1008" s="161" t="s">
        <v>1813</v>
      </c>
      <c r="DP1008" s="130">
        <v>1</v>
      </c>
    </row>
    <row r="1009" spans="2:120" ht="15">
      <c r="B1009" s="231"/>
      <c r="C1009" s="231"/>
      <c r="D1009" s="231"/>
      <c r="E1009" s="231" cm="1">
        <f t="array" ref="E1009">IF(H1008&lt;&gt;"",E1008,IF(E1008="","",IFERROR(MATCH(TRUE(),INDEX(INDEX(K:K,E1008+1):K203&lt;&gt;"",0),0)+E1008,"")))</f>
        <v>1101</v>
      </c>
      <c r="F1009" s="232" cm="1">
        <f t="array" ref="F1009">IF(E1009="","",IF(H1008&lt;&gt;"",H1008,INDEX(D:D,E1009)))</f>
        <v>0</v>
      </c>
      <c r="G1009" s="232" t="str">
        <f t="shared" si="102"/>
        <v>0</v>
      </c>
      <c r="H1009" s="233" t="str">
        <f t="shared" si="103"/>
        <v/>
      </c>
      <c r="I1009" s="231" t="str">
        <f>IF(AND(F1009&lt;&gt;"",N10&gt;0,M1009&gt;N10),"Mot &gt; limite","")</f>
        <v/>
      </c>
      <c r="M1009" s="126">
        <f>IF(OR(F1009="",N10="",N10&lt;=0),"",IF(LEN(F1009)&lt;=N10,LEN(F1009),IFERROR(FIND("♦",SUBSTITUTE(LEFT(F1009,N10)," ","♦",LEN(LEFT(F1009,N10))-LEN(SUBSTITUTE(LEFT(F1009,N10)," ","")))),FIND(" ",F1009&amp;" ",N10+1)-1)))</f>
        <v>1</v>
      </c>
      <c r="N1009" s="234">
        <f t="shared" si="104"/>
        <v>992</v>
      </c>
      <c r="O1009" s="165" t="str">
        <f t="shared" si="105"/>
        <v>0</v>
      </c>
      <c r="P1009" s="234">
        <f t="shared" si="106"/>
        <v>1</v>
      </c>
      <c r="Q1009" s="234">
        <f t="shared" si="107"/>
        <v>1</v>
      </c>
      <c r="DE1009" s="152"/>
      <c r="DF1009" s="160" t="s">
        <v>2924</v>
      </c>
      <c r="DG1009" s="160" t="s">
        <v>122</v>
      </c>
      <c r="DH1009" s="160" t="s">
        <v>125</v>
      </c>
      <c r="DI1009" s="160" t="s">
        <v>2925</v>
      </c>
      <c r="DJ1009" s="160" t="s">
        <v>2925</v>
      </c>
      <c r="DK1009" s="160" t="s">
        <v>1259</v>
      </c>
      <c r="DL1009" s="160" t="s">
        <v>1260</v>
      </c>
      <c r="DM1009" s="160" t="s">
        <v>1812</v>
      </c>
      <c r="DN1009" s="161" t="s">
        <v>1813</v>
      </c>
      <c r="DP1009" s="130">
        <v>1</v>
      </c>
    </row>
    <row r="1010" spans="2:120" ht="15">
      <c r="B1010" s="231"/>
      <c r="C1010" s="231"/>
      <c r="D1010" s="231"/>
      <c r="E1010" s="231" cm="1">
        <f t="array" ref="E1010">IF(H1009&lt;&gt;"",E1009,IF(E1009="","",IFERROR(MATCH(TRUE(),INDEX(INDEX(K:K,E1009+1):K203&lt;&gt;"",0),0)+E1009,"")))</f>
        <v>1102</v>
      </c>
      <c r="F1010" s="232" cm="1">
        <f t="array" ref="F1010">IF(E1010="","",IF(H1009&lt;&gt;"",H1009,INDEX(D:D,E1010)))</f>
        <v>0</v>
      </c>
      <c r="G1010" s="232" t="str">
        <f t="shared" si="102"/>
        <v>0</v>
      </c>
      <c r="H1010" s="233" t="str">
        <f t="shared" si="103"/>
        <v/>
      </c>
      <c r="I1010" s="231" t="str">
        <f>IF(AND(F1010&lt;&gt;"",N10&gt;0,M1010&gt;N10),"Mot &gt; limite","")</f>
        <v/>
      </c>
      <c r="M1010" s="126">
        <f>IF(OR(F1010="",N10="",N10&lt;=0),"",IF(LEN(F1010)&lt;=N10,LEN(F1010),IFERROR(FIND("♦",SUBSTITUTE(LEFT(F1010,N10)," ","♦",LEN(LEFT(F1010,N10))-LEN(SUBSTITUTE(LEFT(F1010,N10)," ","")))),FIND(" ",F1010&amp;" ",N10+1)-1)))</f>
        <v>1</v>
      </c>
      <c r="N1010" s="234">
        <f t="shared" si="104"/>
        <v>993</v>
      </c>
      <c r="O1010" s="165" t="str">
        <f t="shared" si="105"/>
        <v>0</v>
      </c>
      <c r="P1010" s="234">
        <f t="shared" si="106"/>
        <v>1</v>
      </c>
      <c r="Q1010" s="234">
        <f t="shared" si="107"/>
        <v>1</v>
      </c>
      <c r="DE1010" s="152"/>
      <c r="DF1010" s="160" t="s">
        <v>2926</v>
      </c>
      <c r="DG1010" s="160" t="s">
        <v>122</v>
      </c>
      <c r="DH1010" s="160" t="s">
        <v>125</v>
      </c>
      <c r="DI1010" s="160" t="s">
        <v>2927</v>
      </c>
      <c r="DJ1010" s="160" t="s">
        <v>2927</v>
      </c>
      <c r="DK1010" s="160" t="s">
        <v>1259</v>
      </c>
      <c r="DL1010" s="160" t="s">
        <v>1260</v>
      </c>
      <c r="DM1010" s="160" t="s">
        <v>1812</v>
      </c>
      <c r="DN1010" s="161" t="s">
        <v>1813</v>
      </c>
      <c r="DP1010" s="130">
        <v>1</v>
      </c>
    </row>
    <row r="1011" spans="2:120" ht="15">
      <c r="B1011" s="231"/>
      <c r="C1011" s="231"/>
      <c r="D1011" s="231"/>
      <c r="E1011" s="231" cm="1">
        <f t="array" ref="E1011">IF(H1010&lt;&gt;"",E1010,IF(E1010="","",IFERROR(MATCH(TRUE(),INDEX(INDEX(K:K,E1010+1):K203&lt;&gt;"",0),0)+E1010,"")))</f>
        <v>1103</v>
      </c>
      <c r="F1011" s="232" cm="1">
        <f t="array" ref="F1011">IF(E1011="","",IF(H1010&lt;&gt;"",H1010,INDEX(D:D,E1011)))</f>
        <v>0</v>
      </c>
      <c r="G1011" s="232" t="str">
        <f t="shared" si="102"/>
        <v>0</v>
      </c>
      <c r="H1011" s="233" t="str">
        <f t="shared" si="103"/>
        <v/>
      </c>
      <c r="I1011" s="231" t="str">
        <f>IF(AND(F1011&lt;&gt;"",N10&gt;0,M1011&gt;N10),"Mot &gt; limite","")</f>
        <v/>
      </c>
      <c r="M1011" s="126">
        <f>IF(OR(F1011="",N10="",N10&lt;=0),"",IF(LEN(F1011)&lt;=N10,LEN(F1011),IFERROR(FIND("♦",SUBSTITUTE(LEFT(F1011,N10)," ","♦",LEN(LEFT(F1011,N10))-LEN(SUBSTITUTE(LEFT(F1011,N10)," ","")))),FIND(" ",F1011&amp;" ",N10+1)-1)))</f>
        <v>1</v>
      </c>
      <c r="N1011" s="234">
        <f t="shared" si="104"/>
        <v>994</v>
      </c>
      <c r="O1011" s="165" t="str">
        <f t="shared" si="105"/>
        <v>0</v>
      </c>
      <c r="P1011" s="234">
        <f t="shared" si="106"/>
        <v>1</v>
      </c>
      <c r="Q1011" s="234">
        <f t="shared" si="107"/>
        <v>1</v>
      </c>
      <c r="DE1011" s="152"/>
      <c r="DF1011" s="160" t="s">
        <v>2928</v>
      </c>
      <c r="DG1011" s="160" t="s">
        <v>122</v>
      </c>
      <c r="DH1011" s="160" t="s">
        <v>125</v>
      </c>
      <c r="DI1011" s="160" t="s">
        <v>2929</v>
      </c>
      <c r="DJ1011" s="160" t="s">
        <v>2929</v>
      </c>
      <c r="DK1011" s="160" t="s">
        <v>1259</v>
      </c>
      <c r="DL1011" s="160" t="s">
        <v>1260</v>
      </c>
      <c r="DM1011" s="160" t="s">
        <v>1812</v>
      </c>
      <c r="DN1011" s="161" t="s">
        <v>1813</v>
      </c>
      <c r="DP1011" s="130">
        <v>1</v>
      </c>
    </row>
    <row r="1012" spans="2:120" ht="15">
      <c r="B1012" s="231"/>
      <c r="C1012" s="231"/>
      <c r="D1012" s="231"/>
      <c r="E1012" s="231" cm="1">
        <f t="array" ref="E1012">IF(H1011&lt;&gt;"",E1011,IF(E1011="","",IFERROR(MATCH(TRUE(),INDEX(INDEX(K:K,E1011+1):K203&lt;&gt;"",0),0)+E1011,"")))</f>
        <v>1104</v>
      </c>
      <c r="F1012" s="232" cm="1">
        <f t="array" ref="F1012">IF(E1012="","",IF(H1011&lt;&gt;"",H1011,INDEX(D:D,E1012)))</f>
        <v>0</v>
      </c>
      <c r="G1012" s="232" t="str">
        <f t="shared" si="102"/>
        <v>0</v>
      </c>
      <c r="H1012" s="233" t="str">
        <f t="shared" si="103"/>
        <v/>
      </c>
      <c r="I1012" s="231" t="str">
        <f>IF(AND(F1012&lt;&gt;"",N10&gt;0,M1012&gt;N10),"Mot &gt; limite","")</f>
        <v/>
      </c>
      <c r="M1012" s="126">
        <f>IF(OR(F1012="",N10="",N10&lt;=0),"",IF(LEN(F1012)&lt;=N10,LEN(F1012),IFERROR(FIND("♦",SUBSTITUTE(LEFT(F1012,N10)," ","♦",LEN(LEFT(F1012,N10))-LEN(SUBSTITUTE(LEFT(F1012,N10)," ","")))),FIND(" ",F1012&amp;" ",N10+1)-1)))</f>
        <v>1</v>
      </c>
      <c r="N1012" s="234">
        <f t="shared" si="104"/>
        <v>995</v>
      </c>
      <c r="O1012" s="165" t="str">
        <f t="shared" si="105"/>
        <v>0</v>
      </c>
      <c r="P1012" s="234">
        <f t="shared" si="106"/>
        <v>1</v>
      </c>
      <c r="Q1012" s="234">
        <f t="shared" si="107"/>
        <v>1</v>
      </c>
      <c r="DE1012" s="152"/>
      <c r="DF1012" s="160" t="s">
        <v>2930</v>
      </c>
      <c r="DG1012" s="160" t="s">
        <v>122</v>
      </c>
      <c r="DH1012" s="160" t="s">
        <v>125</v>
      </c>
      <c r="DI1012" s="160" t="s">
        <v>524</v>
      </c>
      <c r="DJ1012" s="160" t="s">
        <v>524</v>
      </c>
      <c r="DK1012" s="160" t="s">
        <v>588</v>
      </c>
      <c r="DL1012" s="160" t="s">
        <v>1895</v>
      </c>
      <c r="DM1012" s="160" t="s">
        <v>590</v>
      </c>
      <c r="DN1012" s="161" t="s">
        <v>591</v>
      </c>
      <c r="DP1012" s="130">
        <v>1</v>
      </c>
    </row>
    <row r="1013" spans="2:120" ht="15">
      <c r="B1013" s="231"/>
      <c r="C1013" s="231"/>
      <c r="D1013" s="231"/>
      <c r="E1013" s="231" cm="1">
        <f t="array" ref="E1013">IF(H1012&lt;&gt;"",E1012,IF(E1012="","",IFERROR(MATCH(TRUE(),INDEX(INDEX(K:K,E1012+1):K203&lt;&gt;"",0),0)+E1012,"")))</f>
        <v>1105</v>
      </c>
      <c r="F1013" s="232" cm="1">
        <f t="array" ref="F1013">IF(E1013="","",IF(H1012&lt;&gt;"",H1012,INDEX(D:D,E1013)))</f>
        <v>0</v>
      </c>
      <c r="G1013" s="232" t="str">
        <f t="shared" si="102"/>
        <v>0</v>
      </c>
      <c r="H1013" s="233" t="str">
        <f t="shared" si="103"/>
        <v/>
      </c>
      <c r="I1013" s="231" t="str">
        <f>IF(AND(F1013&lt;&gt;"",N10&gt;0,M1013&gt;N10),"Mot &gt; limite","")</f>
        <v/>
      </c>
      <c r="M1013" s="126">
        <f>IF(OR(F1013="",N10="",N10&lt;=0),"",IF(LEN(F1013)&lt;=N10,LEN(F1013),IFERROR(FIND("♦",SUBSTITUTE(LEFT(F1013,N10)," ","♦",LEN(LEFT(F1013,N10))-LEN(SUBSTITUTE(LEFT(F1013,N10)," ","")))),FIND(" ",F1013&amp;" ",N10+1)-1)))</f>
        <v>1</v>
      </c>
      <c r="N1013" s="234">
        <f t="shared" si="104"/>
        <v>996</v>
      </c>
      <c r="O1013" s="165" t="str">
        <f t="shared" si="105"/>
        <v>0</v>
      </c>
      <c r="P1013" s="234">
        <f t="shared" si="106"/>
        <v>1</v>
      </c>
      <c r="Q1013" s="234">
        <f t="shared" si="107"/>
        <v>1</v>
      </c>
      <c r="DE1013" s="152"/>
      <c r="DF1013" s="160" t="s">
        <v>2931</v>
      </c>
      <c r="DG1013" s="160" t="s">
        <v>122</v>
      </c>
      <c r="DH1013" s="160" t="s">
        <v>125</v>
      </c>
      <c r="DI1013" s="160" t="s">
        <v>2932</v>
      </c>
      <c r="DJ1013" s="160" t="s">
        <v>2933</v>
      </c>
      <c r="DK1013" s="160" t="s">
        <v>588</v>
      </c>
      <c r="DL1013" s="160" t="s">
        <v>1895</v>
      </c>
      <c r="DM1013" s="160" t="s">
        <v>590</v>
      </c>
      <c r="DN1013" s="161" t="s">
        <v>591</v>
      </c>
      <c r="DP1013" s="130">
        <v>1</v>
      </c>
    </row>
    <row r="1014" spans="2:120" ht="15">
      <c r="B1014" s="231"/>
      <c r="C1014" s="231"/>
      <c r="D1014" s="231"/>
      <c r="E1014" s="231" cm="1">
        <f t="array" ref="E1014">IF(H1013&lt;&gt;"",E1013,IF(E1013="","",IFERROR(MATCH(TRUE(),INDEX(INDEX(K:K,E1013+1):K203&lt;&gt;"",0),0)+E1013,"")))</f>
        <v>1106</v>
      </c>
      <c r="F1014" s="232" cm="1">
        <f t="array" ref="F1014">IF(E1014="","",IF(H1013&lt;&gt;"",H1013,INDEX(D:D,E1014)))</f>
        <v>0</v>
      </c>
      <c r="G1014" s="232" t="str">
        <f t="shared" si="102"/>
        <v>0</v>
      </c>
      <c r="H1014" s="233" t="str">
        <f t="shared" si="103"/>
        <v/>
      </c>
      <c r="I1014" s="231" t="str">
        <f>IF(AND(F1014&lt;&gt;"",N10&gt;0,M1014&gt;N10),"Mot &gt; limite","")</f>
        <v/>
      </c>
      <c r="M1014" s="126">
        <f>IF(OR(F1014="",N10="",N10&lt;=0),"",IF(LEN(F1014)&lt;=N10,LEN(F1014),IFERROR(FIND("♦",SUBSTITUTE(LEFT(F1014,N10)," ","♦",LEN(LEFT(F1014,N10))-LEN(SUBSTITUTE(LEFT(F1014,N10)," ","")))),FIND(" ",F1014&amp;" ",N10+1)-1)))</f>
        <v>1</v>
      </c>
      <c r="N1014" s="234">
        <f t="shared" si="104"/>
        <v>997</v>
      </c>
      <c r="O1014" s="165" t="str">
        <f t="shared" si="105"/>
        <v>0</v>
      </c>
      <c r="P1014" s="234">
        <f t="shared" si="106"/>
        <v>1</v>
      </c>
      <c r="Q1014" s="234">
        <f t="shared" si="107"/>
        <v>1</v>
      </c>
      <c r="DE1014" s="152"/>
      <c r="DF1014" s="160" t="s">
        <v>2934</v>
      </c>
      <c r="DG1014" s="160" t="s">
        <v>122</v>
      </c>
      <c r="DH1014" s="160" t="s">
        <v>125</v>
      </c>
      <c r="DI1014" s="160" t="s">
        <v>2935</v>
      </c>
      <c r="DJ1014" s="160" t="s">
        <v>2936</v>
      </c>
      <c r="DK1014" s="160" t="s">
        <v>588</v>
      </c>
      <c r="DL1014" s="160" t="s">
        <v>1895</v>
      </c>
      <c r="DM1014" s="160" t="s">
        <v>590</v>
      </c>
      <c r="DN1014" s="161" t="s">
        <v>591</v>
      </c>
      <c r="DP1014" s="130">
        <v>1</v>
      </c>
    </row>
    <row r="1015" spans="2:120" ht="15">
      <c r="B1015" s="231"/>
      <c r="C1015" s="231"/>
      <c r="D1015" s="231"/>
      <c r="E1015" s="231" cm="1">
        <f t="array" ref="E1015">IF(H1014&lt;&gt;"",E1014,IF(E1014="","",IFERROR(MATCH(TRUE(),INDEX(INDEX(K:K,E1014+1):K203&lt;&gt;"",0),0)+E1014,"")))</f>
        <v>1107</v>
      </c>
      <c r="F1015" s="232" cm="1">
        <f t="array" ref="F1015">IF(E1015="","",IF(H1014&lt;&gt;"",H1014,INDEX(D:D,E1015)))</f>
        <v>0</v>
      </c>
      <c r="G1015" s="232" t="str">
        <f t="shared" si="102"/>
        <v>0</v>
      </c>
      <c r="H1015" s="233" t="str">
        <f t="shared" si="103"/>
        <v/>
      </c>
      <c r="I1015" s="231" t="str">
        <f>IF(AND(F1015&lt;&gt;"",N10&gt;0,M1015&gt;N10),"Mot &gt; limite","")</f>
        <v/>
      </c>
      <c r="M1015" s="126">
        <f>IF(OR(F1015="",N10="",N10&lt;=0),"",IF(LEN(F1015)&lt;=N10,LEN(F1015),IFERROR(FIND("♦",SUBSTITUTE(LEFT(F1015,N10)," ","♦",LEN(LEFT(F1015,N10))-LEN(SUBSTITUTE(LEFT(F1015,N10)," ","")))),FIND(" ",F1015&amp;" ",N10+1)-1)))</f>
        <v>1</v>
      </c>
      <c r="N1015" s="234">
        <f t="shared" si="104"/>
        <v>998</v>
      </c>
      <c r="O1015" s="165" t="str">
        <f t="shared" si="105"/>
        <v>0</v>
      </c>
      <c r="P1015" s="234">
        <f t="shared" si="106"/>
        <v>1</v>
      </c>
      <c r="Q1015" s="234">
        <f t="shared" si="107"/>
        <v>1</v>
      </c>
      <c r="DE1015" s="152"/>
      <c r="DF1015" s="160" t="s">
        <v>2937</v>
      </c>
      <c r="DG1015" s="160" t="s">
        <v>122</v>
      </c>
      <c r="DH1015" s="160" t="s">
        <v>125</v>
      </c>
      <c r="DI1015" s="160" t="s">
        <v>2938</v>
      </c>
      <c r="DJ1015" s="160" t="s">
        <v>2939</v>
      </c>
      <c r="DK1015" s="160" t="s">
        <v>588</v>
      </c>
      <c r="DL1015" s="160" t="s">
        <v>1895</v>
      </c>
      <c r="DM1015" s="160" t="s">
        <v>590</v>
      </c>
      <c r="DN1015" s="161" t="s">
        <v>591</v>
      </c>
      <c r="DP1015" s="130">
        <v>1</v>
      </c>
    </row>
    <row r="1016" spans="2:120" ht="15">
      <c r="B1016" s="231"/>
      <c r="C1016" s="231"/>
      <c r="D1016" s="231"/>
      <c r="E1016" s="231" cm="1">
        <f t="array" ref="E1016">IF(H1015&lt;&gt;"",E1015,IF(E1015="","",IFERROR(MATCH(TRUE(),INDEX(INDEX(K:K,E1015+1):K203&lt;&gt;"",0),0)+E1015,"")))</f>
        <v>1108</v>
      </c>
      <c r="F1016" s="232" cm="1">
        <f t="array" ref="F1016">IF(E1016="","",IF(H1015&lt;&gt;"",H1015,INDEX(D:D,E1016)))</f>
        <v>0</v>
      </c>
      <c r="G1016" s="232" t="str">
        <f t="shared" si="102"/>
        <v>0</v>
      </c>
      <c r="H1016" s="233" t="str">
        <f t="shared" si="103"/>
        <v/>
      </c>
      <c r="I1016" s="231" t="str">
        <f>IF(AND(F1016&lt;&gt;"",N10&gt;0,M1016&gt;N10),"Mot &gt; limite","")</f>
        <v/>
      </c>
      <c r="M1016" s="126">
        <f>IF(OR(F1016="",N10="",N10&lt;=0),"",IF(LEN(F1016)&lt;=N10,LEN(F1016),IFERROR(FIND("♦",SUBSTITUTE(LEFT(F1016,N10)," ","♦",LEN(LEFT(F1016,N10))-LEN(SUBSTITUTE(LEFT(F1016,N10)," ","")))),FIND(" ",F1016&amp;" ",N10+1)-1)))</f>
        <v>1</v>
      </c>
      <c r="N1016" s="234">
        <f t="shared" si="104"/>
        <v>999</v>
      </c>
      <c r="O1016" s="165" t="str">
        <f t="shared" si="105"/>
        <v>0</v>
      </c>
      <c r="P1016" s="234">
        <f t="shared" si="106"/>
        <v>1</v>
      </c>
      <c r="Q1016" s="234">
        <f t="shared" si="107"/>
        <v>1</v>
      </c>
      <c r="DE1016" s="152"/>
      <c r="DF1016" s="160" t="s">
        <v>2940</v>
      </c>
      <c r="DG1016" s="160" t="s">
        <v>122</v>
      </c>
      <c r="DH1016" s="160" t="s">
        <v>125</v>
      </c>
      <c r="DI1016" s="160" t="s">
        <v>2941</v>
      </c>
      <c r="DJ1016" s="160" t="s">
        <v>2942</v>
      </c>
      <c r="DK1016" s="160" t="s">
        <v>588</v>
      </c>
      <c r="DL1016" s="160" t="s">
        <v>1895</v>
      </c>
      <c r="DM1016" s="160" t="s">
        <v>590</v>
      </c>
      <c r="DN1016" s="161" t="s">
        <v>591</v>
      </c>
      <c r="DP1016" s="130">
        <v>1</v>
      </c>
    </row>
    <row r="1017" spans="2:120" ht="15">
      <c r="B1017" s="231"/>
      <c r="C1017" s="231"/>
      <c r="D1017" s="231"/>
      <c r="E1017" s="231" cm="1">
        <f t="array" ref="E1017">IF(H1016&lt;&gt;"",E1016,IF(E1016="","",IFERROR(MATCH(TRUE(),INDEX(INDEX(K:K,E1016+1):K203&lt;&gt;"",0),0)+E1016,"")))</f>
        <v>1109</v>
      </c>
      <c r="F1017" s="232" cm="1">
        <f t="array" ref="F1017">IF(E1017="","",IF(H1016&lt;&gt;"",H1016,INDEX(D:D,E1017)))</f>
        <v>0</v>
      </c>
      <c r="G1017" s="232" t="str">
        <f t="shared" si="102"/>
        <v>0</v>
      </c>
      <c r="H1017" s="233" t="str">
        <f t="shared" si="103"/>
        <v/>
      </c>
      <c r="I1017" s="231" t="str">
        <f>IF(AND(F1017&lt;&gt;"",N10&gt;0,M1017&gt;N10),"Mot &gt; limite","")</f>
        <v/>
      </c>
      <c r="M1017" s="126">
        <f>IF(OR(F1017="",N10="",N10&lt;=0),"",IF(LEN(F1017)&lt;=N10,LEN(F1017),IFERROR(FIND("♦",SUBSTITUTE(LEFT(F1017,N10)," ","♦",LEN(LEFT(F1017,N10))-LEN(SUBSTITUTE(LEFT(F1017,N10)," ","")))),FIND(" ",F1017&amp;" ",N10+1)-1)))</f>
        <v>1</v>
      </c>
      <c r="N1017" s="234">
        <f t="shared" si="104"/>
        <v>1000</v>
      </c>
      <c r="O1017" s="165" t="str">
        <f t="shared" si="105"/>
        <v>0</v>
      </c>
      <c r="P1017" s="234">
        <f t="shared" si="106"/>
        <v>1</v>
      </c>
      <c r="Q1017" s="234">
        <f t="shared" si="107"/>
        <v>1</v>
      </c>
      <c r="DE1017" s="152"/>
      <c r="DF1017" s="160" t="s">
        <v>2943</v>
      </c>
      <c r="DG1017" s="160" t="s">
        <v>122</v>
      </c>
      <c r="DH1017" s="160" t="s">
        <v>125</v>
      </c>
      <c r="DI1017" s="160" t="s">
        <v>2944</v>
      </c>
      <c r="DJ1017" s="160" t="s">
        <v>2944</v>
      </c>
      <c r="DK1017" s="160" t="s">
        <v>1259</v>
      </c>
      <c r="DL1017" s="160" t="s">
        <v>1260</v>
      </c>
      <c r="DM1017" s="160" t="s">
        <v>1812</v>
      </c>
      <c r="DN1017" s="161" t="s">
        <v>1813</v>
      </c>
      <c r="DP1017" s="130">
        <v>1</v>
      </c>
    </row>
    <row r="1018" spans="2:120" ht="15">
      <c r="DE1018" s="152"/>
      <c r="DF1018" s="160" t="s">
        <v>2945</v>
      </c>
      <c r="DG1018" s="160" t="s">
        <v>122</v>
      </c>
      <c r="DH1018" s="160" t="s">
        <v>125</v>
      </c>
      <c r="DI1018" s="160" t="s">
        <v>2946</v>
      </c>
      <c r="DJ1018" s="160" t="s">
        <v>2946</v>
      </c>
      <c r="DK1018" s="160" t="s">
        <v>1259</v>
      </c>
      <c r="DL1018" s="160" t="s">
        <v>1260</v>
      </c>
      <c r="DM1018" s="160" t="s">
        <v>1812</v>
      </c>
      <c r="DN1018" s="161" t="s">
        <v>1813</v>
      </c>
      <c r="DP1018" s="130">
        <v>1</v>
      </c>
    </row>
    <row r="1019" spans="2:120" ht="15">
      <c r="DE1019" s="152"/>
      <c r="DF1019" s="160" t="s">
        <v>2947</v>
      </c>
      <c r="DG1019" s="160" t="s">
        <v>122</v>
      </c>
      <c r="DH1019" s="160" t="s">
        <v>125</v>
      </c>
      <c r="DI1019" s="160" t="s">
        <v>2948</v>
      </c>
      <c r="DJ1019" s="160" t="s">
        <v>2948</v>
      </c>
      <c r="DK1019" s="160" t="s">
        <v>1259</v>
      </c>
      <c r="DL1019" s="160" t="s">
        <v>1260</v>
      </c>
      <c r="DM1019" s="160" t="s">
        <v>1812</v>
      </c>
      <c r="DN1019" s="161" t="s">
        <v>1813</v>
      </c>
      <c r="DP1019" s="130">
        <v>1</v>
      </c>
    </row>
    <row r="1020" spans="2:120" ht="15">
      <c r="DE1020" s="152"/>
      <c r="DF1020" s="160" t="s">
        <v>2949</v>
      </c>
      <c r="DG1020" s="160" t="s">
        <v>122</v>
      </c>
      <c r="DH1020" s="160" t="s">
        <v>125</v>
      </c>
      <c r="DI1020" s="160" t="s">
        <v>2950</v>
      </c>
      <c r="DJ1020" s="160" t="s">
        <v>2950</v>
      </c>
      <c r="DK1020" s="160" t="s">
        <v>1259</v>
      </c>
      <c r="DL1020" s="160" t="s">
        <v>1260</v>
      </c>
      <c r="DM1020" s="160" t="s">
        <v>1812</v>
      </c>
      <c r="DN1020" s="161" t="s">
        <v>1813</v>
      </c>
      <c r="DP1020" s="130">
        <v>1</v>
      </c>
    </row>
    <row r="1021" spans="2:120" ht="15">
      <c r="DE1021" s="152"/>
      <c r="DF1021" s="160" t="s">
        <v>2951</v>
      </c>
      <c r="DG1021" s="160" t="s">
        <v>122</v>
      </c>
      <c r="DH1021" s="160" t="s">
        <v>125</v>
      </c>
      <c r="DI1021" s="160" t="s">
        <v>2952</v>
      </c>
      <c r="DJ1021" s="160" t="s">
        <v>2952</v>
      </c>
      <c r="DK1021" s="160" t="s">
        <v>1259</v>
      </c>
      <c r="DL1021" s="160" t="s">
        <v>1260</v>
      </c>
      <c r="DM1021" s="160" t="s">
        <v>1812</v>
      </c>
      <c r="DN1021" s="161" t="s">
        <v>1813</v>
      </c>
      <c r="DP1021" s="130">
        <v>1</v>
      </c>
    </row>
    <row r="1022" spans="2:120" ht="15">
      <c r="DE1022" s="152"/>
      <c r="DF1022" s="160" t="s">
        <v>2953</v>
      </c>
      <c r="DG1022" s="160" t="s">
        <v>122</v>
      </c>
      <c r="DH1022" s="160" t="s">
        <v>125</v>
      </c>
      <c r="DI1022" s="160" t="s">
        <v>2954</v>
      </c>
      <c r="DJ1022" s="160" t="s">
        <v>2954</v>
      </c>
      <c r="DK1022" s="160" t="s">
        <v>1259</v>
      </c>
      <c r="DL1022" s="160" t="s">
        <v>1260</v>
      </c>
      <c r="DM1022" s="160" t="s">
        <v>1812</v>
      </c>
      <c r="DN1022" s="161" t="s">
        <v>1813</v>
      </c>
      <c r="DP1022" s="130">
        <v>1</v>
      </c>
    </row>
    <row r="1023" spans="2:120" ht="15">
      <c r="DE1023" s="152"/>
      <c r="DF1023" s="160" t="s">
        <v>2955</v>
      </c>
      <c r="DG1023" s="160" t="s">
        <v>122</v>
      </c>
      <c r="DH1023" s="160" t="s">
        <v>125</v>
      </c>
      <c r="DI1023" s="160" t="s">
        <v>2956</v>
      </c>
      <c r="DJ1023" s="160" t="s">
        <v>2956</v>
      </c>
      <c r="DK1023" s="160" t="s">
        <v>1259</v>
      </c>
      <c r="DL1023" s="160" t="s">
        <v>1260</v>
      </c>
      <c r="DM1023" s="160" t="s">
        <v>1812</v>
      </c>
      <c r="DN1023" s="161" t="s">
        <v>1813</v>
      </c>
      <c r="DP1023" s="130">
        <v>1</v>
      </c>
    </row>
    <row r="1024" spans="2:120" ht="15">
      <c r="DE1024" s="152"/>
      <c r="DF1024" s="160" t="s">
        <v>2957</v>
      </c>
      <c r="DG1024" s="160" t="s">
        <v>122</v>
      </c>
      <c r="DH1024" s="160" t="s">
        <v>125</v>
      </c>
      <c r="DI1024" s="160" t="s">
        <v>2958</v>
      </c>
      <c r="DJ1024" s="160" t="s">
        <v>2958</v>
      </c>
      <c r="DK1024" s="160" t="s">
        <v>1259</v>
      </c>
      <c r="DL1024" s="160" t="s">
        <v>1260</v>
      </c>
      <c r="DM1024" s="160" t="s">
        <v>1812</v>
      </c>
      <c r="DN1024" s="161" t="s">
        <v>1813</v>
      </c>
      <c r="DP1024" s="130">
        <v>1</v>
      </c>
    </row>
    <row r="1025" spans="109:120" ht="15">
      <c r="DE1025" s="152"/>
      <c r="DF1025" s="160" t="s">
        <v>2959</v>
      </c>
      <c r="DG1025" s="160" t="s">
        <v>122</v>
      </c>
      <c r="DH1025" s="160" t="s">
        <v>125</v>
      </c>
      <c r="DI1025" s="160" t="s">
        <v>2960</v>
      </c>
      <c r="DJ1025" s="160" t="s">
        <v>2960</v>
      </c>
      <c r="DK1025" s="160" t="s">
        <v>1259</v>
      </c>
      <c r="DL1025" s="160" t="s">
        <v>1260</v>
      </c>
      <c r="DM1025" s="160" t="s">
        <v>1812</v>
      </c>
      <c r="DN1025" s="161" t="s">
        <v>1813</v>
      </c>
      <c r="DP1025" s="130">
        <v>1</v>
      </c>
    </row>
    <row r="1026" spans="109:120" ht="15">
      <c r="DE1026" s="152"/>
      <c r="DF1026" s="160" t="s">
        <v>2961</v>
      </c>
      <c r="DG1026" s="160" t="s">
        <v>122</v>
      </c>
      <c r="DH1026" s="160" t="s">
        <v>125</v>
      </c>
      <c r="DI1026" s="160" t="s">
        <v>2962</v>
      </c>
      <c r="DJ1026" s="160" t="s">
        <v>2962</v>
      </c>
      <c r="DK1026" s="160" t="s">
        <v>1259</v>
      </c>
      <c r="DL1026" s="160" t="s">
        <v>1260</v>
      </c>
      <c r="DM1026" s="160" t="s">
        <v>1812</v>
      </c>
      <c r="DN1026" s="161" t="s">
        <v>1813</v>
      </c>
      <c r="DP1026" s="130">
        <v>1</v>
      </c>
    </row>
    <row r="1027" spans="109:120" ht="15">
      <c r="DE1027" s="152"/>
      <c r="DF1027" s="160" t="s">
        <v>2963</v>
      </c>
      <c r="DG1027" s="160" t="s">
        <v>122</v>
      </c>
      <c r="DH1027" s="160" t="s">
        <v>125</v>
      </c>
      <c r="DI1027" s="160" t="s">
        <v>2964</v>
      </c>
      <c r="DJ1027" s="160" t="s">
        <v>2964</v>
      </c>
      <c r="DK1027" s="160" t="s">
        <v>1259</v>
      </c>
      <c r="DL1027" s="160" t="s">
        <v>1260</v>
      </c>
      <c r="DM1027" s="160" t="s">
        <v>1812</v>
      </c>
      <c r="DN1027" s="161" t="s">
        <v>1813</v>
      </c>
      <c r="DP1027" s="130">
        <v>1</v>
      </c>
    </row>
    <row r="1028" spans="109:120" ht="15">
      <c r="DE1028" s="152"/>
      <c r="DF1028" s="160" t="s">
        <v>2965</v>
      </c>
      <c r="DG1028" s="160" t="s">
        <v>122</v>
      </c>
      <c r="DH1028" s="160" t="s">
        <v>125</v>
      </c>
      <c r="DI1028" s="160" t="s">
        <v>2966</v>
      </c>
      <c r="DJ1028" s="160" t="s">
        <v>2966</v>
      </c>
      <c r="DK1028" s="160" t="s">
        <v>1259</v>
      </c>
      <c r="DL1028" s="160" t="s">
        <v>1260</v>
      </c>
      <c r="DM1028" s="160" t="s">
        <v>1812</v>
      </c>
      <c r="DN1028" s="161" t="s">
        <v>1813</v>
      </c>
      <c r="DP1028" s="130">
        <v>1</v>
      </c>
    </row>
    <row r="1029" spans="109:120" ht="15">
      <c r="DE1029" s="152"/>
      <c r="DF1029" s="160" t="s">
        <v>2967</v>
      </c>
      <c r="DG1029" s="160" t="s">
        <v>122</v>
      </c>
      <c r="DH1029" s="160" t="s">
        <v>125</v>
      </c>
      <c r="DI1029" s="160" t="s">
        <v>2968</v>
      </c>
      <c r="DJ1029" s="160" t="s">
        <v>2968</v>
      </c>
      <c r="DK1029" s="160" t="s">
        <v>1259</v>
      </c>
      <c r="DL1029" s="160" t="s">
        <v>1260</v>
      </c>
      <c r="DM1029" s="160" t="s">
        <v>1812</v>
      </c>
      <c r="DN1029" s="161" t="s">
        <v>1813</v>
      </c>
      <c r="DP1029" s="130">
        <v>1</v>
      </c>
    </row>
    <row r="1030" spans="109:120" ht="15">
      <c r="DE1030" s="152"/>
      <c r="DF1030" s="160" t="s">
        <v>2969</v>
      </c>
      <c r="DG1030" s="160" t="s">
        <v>122</v>
      </c>
      <c r="DH1030" s="160" t="s">
        <v>125</v>
      </c>
      <c r="DI1030" s="160" t="s">
        <v>2970</v>
      </c>
      <c r="DJ1030" s="160" t="s">
        <v>2970</v>
      </c>
      <c r="DK1030" s="160" t="s">
        <v>1259</v>
      </c>
      <c r="DL1030" s="160" t="s">
        <v>1260</v>
      </c>
      <c r="DM1030" s="160" t="s">
        <v>1812</v>
      </c>
      <c r="DN1030" s="161" t="s">
        <v>1813</v>
      </c>
      <c r="DP1030" s="130">
        <v>1</v>
      </c>
    </row>
    <row r="1031" spans="109:120" ht="15">
      <c r="DE1031" s="152"/>
      <c r="DF1031" s="160" t="s">
        <v>2971</v>
      </c>
      <c r="DG1031" s="160" t="s">
        <v>122</v>
      </c>
      <c r="DH1031" s="160" t="s">
        <v>125</v>
      </c>
      <c r="DI1031" s="160" t="s">
        <v>2972</v>
      </c>
      <c r="DJ1031" s="160" t="s">
        <v>2972</v>
      </c>
      <c r="DK1031" s="160" t="s">
        <v>1259</v>
      </c>
      <c r="DL1031" s="160" t="s">
        <v>1260</v>
      </c>
      <c r="DM1031" s="160" t="s">
        <v>1812</v>
      </c>
      <c r="DN1031" s="161" t="s">
        <v>1813</v>
      </c>
      <c r="DP1031" s="130">
        <v>1</v>
      </c>
    </row>
    <row r="1032" spans="109:120" ht="15">
      <c r="DE1032" s="152"/>
      <c r="DF1032" s="160" t="s">
        <v>2973</v>
      </c>
      <c r="DG1032" s="160" t="s">
        <v>122</v>
      </c>
      <c r="DH1032" s="160" t="s">
        <v>125</v>
      </c>
      <c r="DI1032" s="160" t="s">
        <v>2974</v>
      </c>
      <c r="DJ1032" s="160" t="s">
        <v>2974</v>
      </c>
      <c r="DK1032" s="160" t="s">
        <v>1259</v>
      </c>
      <c r="DL1032" s="160" t="s">
        <v>1260</v>
      </c>
      <c r="DM1032" s="160" t="s">
        <v>1812</v>
      </c>
      <c r="DN1032" s="161" t="s">
        <v>1813</v>
      </c>
      <c r="DP1032" s="130">
        <v>1</v>
      </c>
    </row>
    <row r="1033" spans="109:120" ht="15">
      <c r="DE1033" s="152"/>
      <c r="DF1033" s="160" t="s">
        <v>2975</v>
      </c>
      <c r="DG1033" s="160" t="s">
        <v>122</v>
      </c>
      <c r="DH1033" s="160" t="s">
        <v>125</v>
      </c>
      <c r="DI1033" s="160" t="s">
        <v>2976</v>
      </c>
      <c r="DJ1033" s="160" t="s">
        <v>2976</v>
      </c>
      <c r="DK1033" s="160" t="s">
        <v>1259</v>
      </c>
      <c r="DL1033" s="160" t="s">
        <v>1260</v>
      </c>
      <c r="DM1033" s="160" t="s">
        <v>1812</v>
      </c>
      <c r="DN1033" s="161" t="s">
        <v>1813</v>
      </c>
      <c r="DP1033" s="130">
        <v>1</v>
      </c>
    </row>
    <row r="1034" spans="109:120" ht="15">
      <c r="DE1034" s="152"/>
      <c r="DF1034" s="160" t="s">
        <v>2977</v>
      </c>
      <c r="DG1034" s="160" t="s">
        <v>122</v>
      </c>
      <c r="DH1034" s="160" t="s">
        <v>125</v>
      </c>
      <c r="DI1034" s="160" t="s">
        <v>2978</v>
      </c>
      <c r="DJ1034" s="160" t="s">
        <v>2978</v>
      </c>
      <c r="DK1034" s="160" t="s">
        <v>1259</v>
      </c>
      <c r="DL1034" s="160" t="s">
        <v>1260</v>
      </c>
      <c r="DM1034" s="160" t="s">
        <v>1812</v>
      </c>
      <c r="DN1034" s="161" t="s">
        <v>1813</v>
      </c>
      <c r="DP1034" s="130">
        <v>1</v>
      </c>
    </row>
    <row r="1035" spans="109:120" ht="15">
      <c r="DE1035" s="152"/>
      <c r="DF1035" s="160" t="s">
        <v>2979</v>
      </c>
      <c r="DG1035" s="160" t="s">
        <v>122</v>
      </c>
      <c r="DH1035" s="160" t="s">
        <v>125</v>
      </c>
      <c r="DI1035" s="160" t="s">
        <v>2980</v>
      </c>
      <c r="DJ1035" s="160" t="s">
        <v>2980</v>
      </c>
      <c r="DK1035" s="160" t="s">
        <v>1259</v>
      </c>
      <c r="DL1035" s="160" t="s">
        <v>1260</v>
      </c>
      <c r="DM1035" s="160" t="s">
        <v>1812</v>
      </c>
      <c r="DN1035" s="161" t="s">
        <v>1813</v>
      </c>
      <c r="DP1035" s="130">
        <v>1</v>
      </c>
    </row>
    <row r="1036" spans="109:120" ht="15">
      <c r="DE1036" s="152"/>
      <c r="DF1036" s="160" t="s">
        <v>2981</v>
      </c>
      <c r="DG1036" s="160" t="s">
        <v>122</v>
      </c>
      <c r="DH1036" s="160" t="s">
        <v>125</v>
      </c>
      <c r="DI1036" s="160" t="s">
        <v>2982</v>
      </c>
      <c r="DJ1036" s="160" t="s">
        <v>2982</v>
      </c>
      <c r="DK1036" s="160" t="s">
        <v>1259</v>
      </c>
      <c r="DL1036" s="160" t="s">
        <v>1260</v>
      </c>
      <c r="DM1036" s="160" t="s">
        <v>1812</v>
      </c>
      <c r="DN1036" s="161" t="s">
        <v>1813</v>
      </c>
      <c r="DP1036" s="130">
        <v>1</v>
      </c>
    </row>
    <row r="1037" spans="109:120" ht="15">
      <c r="DE1037" s="152"/>
      <c r="DF1037" s="160" t="s">
        <v>2983</v>
      </c>
      <c r="DG1037" s="160" t="s">
        <v>122</v>
      </c>
      <c r="DH1037" s="160" t="s">
        <v>125</v>
      </c>
      <c r="DI1037" s="160" t="s">
        <v>2984</v>
      </c>
      <c r="DJ1037" s="160" t="s">
        <v>2984</v>
      </c>
      <c r="DK1037" s="160" t="s">
        <v>1259</v>
      </c>
      <c r="DL1037" s="160" t="s">
        <v>1260</v>
      </c>
      <c r="DM1037" s="160" t="s">
        <v>1812</v>
      </c>
      <c r="DN1037" s="161" t="s">
        <v>1813</v>
      </c>
      <c r="DP1037" s="130">
        <v>1</v>
      </c>
    </row>
    <row r="1038" spans="109:120" ht="15">
      <c r="DE1038" s="152"/>
      <c r="DF1038" s="160" t="s">
        <v>2985</v>
      </c>
      <c r="DG1038" s="160" t="s">
        <v>122</v>
      </c>
      <c r="DH1038" s="160" t="s">
        <v>125</v>
      </c>
      <c r="DI1038" s="160" t="s">
        <v>2986</v>
      </c>
      <c r="DJ1038" s="160" t="s">
        <v>2986</v>
      </c>
      <c r="DK1038" s="160" t="s">
        <v>1259</v>
      </c>
      <c r="DL1038" s="160" t="s">
        <v>1260</v>
      </c>
      <c r="DM1038" s="160" t="s">
        <v>1812</v>
      </c>
      <c r="DN1038" s="161" t="s">
        <v>1813</v>
      </c>
      <c r="DP1038" s="130">
        <v>1</v>
      </c>
    </row>
    <row r="1039" spans="109:120" ht="15">
      <c r="DE1039" s="152"/>
      <c r="DF1039" s="160" t="s">
        <v>2987</v>
      </c>
      <c r="DG1039" s="160" t="s">
        <v>122</v>
      </c>
      <c r="DH1039" s="160" t="s">
        <v>125</v>
      </c>
      <c r="DI1039" s="160" t="s">
        <v>2988</v>
      </c>
      <c r="DJ1039" s="160" t="s">
        <v>2988</v>
      </c>
      <c r="DK1039" s="160" t="s">
        <v>1259</v>
      </c>
      <c r="DL1039" s="160" t="s">
        <v>1260</v>
      </c>
      <c r="DM1039" s="160" t="s">
        <v>1812</v>
      </c>
      <c r="DN1039" s="161" t="s">
        <v>1813</v>
      </c>
      <c r="DP1039" s="130">
        <v>1</v>
      </c>
    </row>
    <row r="1040" spans="109:120" ht="15">
      <c r="DE1040" s="152"/>
      <c r="DF1040" s="160" t="s">
        <v>2989</v>
      </c>
      <c r="DG1040" s="160" t="s">
        <v>122</v>
      </c>
      <c r="DH1040" s="160" t="s">
        <v>125</v>
      </c>
      <c r="DI1040" s="160" t="s">
        <v>2990</v>
      </c>
      <c r="DJ1040" s="160" t="s">
        <v>2990</v>
      </c>
      <c r="DK1040" s="160" t="s">
        <v>1259</v>
      </c>
      <c r="DL1040" s="160" t="s">
        <v>1260</v>
      </c>
      <c r="DM1040" s="160" t="s">
        <v>1812</v>
      </c>
      <c r="DN1040" s="161" t="s">
        <v>1813</v>
      </c>
      <c r="DP1040" s="130">
        <v>1</v>
      </c>
    </row>
    <row r="1041" spans="109:120" ht="15">
      <c r="DE1041" s="152"/>
      <c r="DF1041" s="160" t="s">
        <v>2991</v>
      </c>
      <c r="DG1041" s="160" t="s">
        <v>122</v>
      </c>
      <c r="DH1041" s="160" t="s">
        <v>125</v>
      </c>
      <c r="DI1041" s="160" t="s">
        <v>2992</v>
      </c>
      <c r="DJ1041" s="160" t="s">
        <v>2992</v>
      </c>
      <c r="DK1041" s="160" t="s">
        <v>1259</v>
      </c>
      <c r="DL1041" s="160" t="s">
        <v>1260</v>
      </c>
      <c r="DM1041" s="160" t="s">
        <v>1812</v>
      </c>
      <c r="DN1041" s="161" t="s">
        <v>1813</v>
      </c>
      <c r="DP1041" s="130">
        <v>1</v>
      </c>
    </row>
    <row r="1042" spans="109:120" ht="15">
      <c r="DE1042" s="152"/>
      <c r="DF1042" s="160" t="s">
        <v>2993</v>
      </c>
      <c r="DG1042" s="160" t="s">
        <v>122</v>
      </c>
      <c r="DH1042" s="160" t="s">
        <v>125</v>
      </c>
      <c r="DI1042" s="160" t="s">
        <v>2994</v>
      </c>
      <c r="DJ1042" s="160" t="s">
        <v>2994</v>
      </c>
      <c r="DK1042" s="160" t="s">
        <v>1259</v>
      </c>
      <c r="DL1042" s="160" t="s">
        <v>1260</v>
      </c>
      <c r="DM1042" s="160" t="s">
        <v>1812</v>
      </c>
      <c r="DN1042" s="161" t="s">
        <v>1813</v>
      </c>
      <c r="DP1042" s="130">
        <v>1</v>
      </c>
    </row>
    <row r="1043" spans="109:120" ht="15">
      <c r="DE1043" s="152"/>
      <c r="DF1043" s="160" t="s">
        <v>2995</v>
      </c>
      <c r="DG1043" s="160" t="s">
        <v>122</v>
      </c>
      <c r="DH1043" s="160" t="s">
        <v>125</v>
      </c>
      <c r="DI1043" s="160" t="s">
        <v>2996</v>
      </c>
      <c r="DJ1043" s="160" t="s">
        <v>2996</v>
      </c>
      <c r="DK1043" s="160" t="s">
        <v>1259</v>
      </c>
      <c r="DL1043" s="160" t="s">
        <v>1260</v>
      </c>
      <c r="DM1043" s="160" t="s">
        <v>1812</v>
      </c>
      <c r="DN1043" s="161" t="s">
        <v>1813</v>
      </c>
      <c r="DP1043" s="130">
        <v>1</v>
      </c>
    </row>
    <row r="1044" spans="109:120" ht="15">
      <c r="DE1044" s="152"/>
      <c r="DF1044" s="160" t="s">
        <v>2997</v>
      </c>
      <c r="DG1044" s="160" t="s">
        <v>122</v>
      </c>
      <c r="DH1044" s="160" t="s">
        <v>125</v>
      </c>
      <c r="DI1044" s="160" t="s">
        <v>2998</v>
      </c>
      <c r="DJ1044" s="160" t="s">
        <v>2998</v>
      </c>
      <c r="DK1044" s="160" t="s">
        <v>1259</v>
      </c>
      <c r="DL1044" s="160" t="s">
        <v>1260</v>
      </c>
      <c r="DM1044" s="160" t="s">
        <v>1812</v>
      </c>
      <c r="DN1044" s="161" t="s">
        <v>1813</v>
      </c>
      <c r="DP1044" s="130">
        <v>1</v>
      </c>
    </row>
    <row r="1045" spans="109:120" ht="15">
      <c r="DE1045" s="152"/>
      <c r="DF1045" s="160" t="s">
        <v>2999</v>
      </c>
      <c r="DG1045" s="160" t="s">
        <v>122</v>
      </c>
      <c r="DH1045" s="160" t="s">
        <v>125</v>
      </c>
      <c r="DI1045" s="160" t="s">
        <v>3000</v>
      </c>
      <c r="DJ1045" s="160" t="s">
        <v>3000</v>
      </c>
      <c r="DK1045" s="160" t="s">
        <v>1259</v>
      </c>
      <c r="DL1045" s="160" t="s">
        <v>1260</v>
      </c>
      <c r="DM1045" s="160" t="s">
        <v>1812</v>
      </c>
      <c r="DN1045" s="161" t="s">
        <v>1813</v>
      </c>
      <c r="DP1045" s="130">
        <v>1</v>
      </c>
    </row>
    <row r="1046" spans="109:120" ht="15">
      <c r="DE1046" s="152"/>
      <c r="DF1046" s="160" t="s">
        <v>3001</v>
      </c>
      <c r="DG1046" s="160" t="s">
        <v>122</v>
      </c>
      <c r="DH1046" s="160" t="s">
        <v>125</v>
      </c>
      <c r="DI1046" s="160" t="s">
        <v>3002</v>
      </c>
      <c r="DJ1046" s="160" t="s">
        <v>3002</v>
      </c>
      <c r="DK1046" s="160" t="s">
        <v>1259</v>
      </c>
      <c r="DL1046" s="160" t="s">
        <v>1260</v>
      </c>
      <c r="DM1046" s="160" t="s">
        <v>1812</v>
      </c>
      <c r="DN1046" s="161" t="s">
        <v>1813</v>
      </c>
      <c r="DP1046" s="130">
        <v>1</v>
      </c>
    </row>
    <row r="1047" spans="109:120" ht="15">
      <c r="DE1047" s="152"/>
      <c r="DF1047" s="160" t="s">
        <v>3003</v>
      </c>
      <c r="DG1047" s="160" t="s">
        <v>122</v>
      </c>
      <c r="DH1047" s="160" t="s">
        <v>125</v>
      </c>
      <c r="DI1047" s="160" t="s">
        <v>3004</v>
      </c>
      <c r="DJ1047" s="160" t="s">
        <v>3004</v>
      </c>
      <c r="DK1047" s="160" t="s">
        <v>1259</v>
      </c>
      <c r="DL1047" s="160" t="s">
        <v>1260</v>
      </c>
      <c r="DM1047" s="160" t="s">
        <v>1812</v>
      </c>
      <c r="DN1047" s="161" t="s">
        <v>1813</v>
      </c>
      <c r="DP1047" s="130">
        <v>1</v>
      </c>
    </row>
    <row r="1048" spans="109:120" ht="15">
      <c r="DE1048" s="152"/>
      <c r="DF1048" s="160" t="s">
        <v>3005</v>
      </c>
      <c r="DG1048" s="160" t="s">
        <v>122</v>
      </c>
      <c r="DH1048" s="160" t="s">
        <v>125</v>
      </c>
      <c r="DI1048" s="160" t="s">
        <v>3006</v>
      </c>
      <c r="DJ1048" s="160" t="s">
        <v>3006</v>
      </c>
      <c r="DK1048" s="160" t="s">
        <v>1259</v>
      </c>
      <c r="DL1048" s="160" t="s">
        <v>1260</v>
      </c>
      <c r="DM1048" s="160" t="s">
        <v>1812</v>
      </c>
      <c r="DN1048" s="161" t="s">
        <v>1813</v>
      </c>
      <c r="DP1048" s="130">
        <v>1</v>
      </c>
    </row>
    <row r="1049" spans="109:120" ht="15">
      <c r="DE1049" s="152"/>
      <c r="DF1049" s="160" t="s">
        <v>3007</v>
      </c>
      <c r="DG1049" s="160" t="s">
        <v>122</v>
      </c>
      <c r="DH1049" s="160" t="s">
        <v>125</v>
      </c>
      <c r="DI1049" s="160" t="s">
        <v>3008</v>
      </c>
      <c r="DJ1049" s="160" t="s">
        <v>3008</v>
      </c>
      <c r="DK1049" s="160" t="s">
        <v>1259</v>
      </c>
      <c r="DL1049" s="160" t="s">
        <v>1260</v>
      </c>
      <c r="DM1049" s="160" t="s">
        <v>1812</v>
      </c>
      <c r="DN1049" s="161" t="s">
        <v>1813</v>
      </c>
      <c r="DP1049" s="130">
        <v>1</v>
      </c>
    </row>
    <row r="1050" spans="109:120" ht="15">
      <c r="DE1050" s="152"/>
      <c r="DF1050" s="160" t="s">
        <v>3009</v>
      </c>
      <c r="DG1050" s="160" t="s">
        <v>122</v>
      </c>
      <c r="DH1050" s="160" t="s">
        <v>125</v>
      </c>
      <c r="DI1050" s="160" t="s">
        <v>3010</v>
      </c>
      <c r="DJ1050" s="160" t="s">
        <v>3010</v>
      </c>
      <c r="DK1050" s="160" t="s">
        <v>1259</v>
      </c>
      <c r="DL1050" s="160" t="s">
        <v>1260</v>
      </c>
      <c r="DM1050" s="160" t="s">
        <v>1812</v>
      </c>
      <c r="DN1050" s="161" t="s">
        <v>1813</v>
      </c>
      <c r="DP1050" s="130">
        <v>1</v>
      </c>
    </row>
    <row r="1051" spans="109:120" ht="15">
      <c r="DE1051" s="152"/>
      <c r="DF1051" s="160" t="s">
        <v>3011</v>
      </c>
      <c r="DG1051" s="160" t="s">
        <v>122</v>
      </c>
      <c r="DH1051" s="160" t="s">
        <v>125</v>
      </c>
      <c r="DI1051" s="160" t="s">
        <v>3012</v>
      </c>
      <c r="DJ1051" s="160" t="s">
        <v>3012</v>
      </c>
      <c r="DK1051" s="160" t="s">
        <v>1259</v>
      </c>
      <c r="DL1051" s="160" t="s">
        <v>1260</v>
      </c>
      <c r="DM1051" s="160" t="s">
        <v>1812</v>
      </c>
      <c r="DN1051" s="161" t="s">
        <v>1813</v>
      </c>
      <c r="DP1051" s="130">
        <v>1</v>
      </c>
    </row>
    <row r="1052" spans="109:120" ht="15">
      <c r="DE1052" s="152"/>
      <c r="DF1052" s="160" t="s">
        <v>3013</v>
      </c>
      <c r="DG1052" s="160" t="s">
        <v>122</v>
      </c>
      <c r="DH1052" s="160" t="s">
        <v>125</v>
      </c>
      <c r="DI1052" s="160" t="s">
        <v>3014</v>
      </c>
      <c r="DJ1052" s="160" t="s">
        <v>3014</v>
      </c>
      <c r="DK1052" s="160" t="s">
        <v>1259</v>
      </c>
      <c r="DL1052" s="160" t="s">
        <v>1260</v>
      </c>
      <c r="DM1052" s="160" t="s">
        <v>1812</v>
      </c>
      <c r="DN1052" s="161" t="s">
        <v>1813</v>
      </c>
      <c r="DP1052" s="130">
        <v>1</v>
      </c>
    </row>
    <row r="1053" spans="109:120" ht="15">
      <c r="DE1053" s="152"/>
      <c r="DF1053" s="160" t="s">
        <v>3015</v>
      </c>
      <c r="DG1053" s="160" t="s">
        <v>122</v>
      </c>
      <c r="DH1053" s="160" t="s">
        <v>125</v>
      </c>
      <c r="DI1053" s="160" t="s">
        <v>3016</v>
      </c>
      <c r="DJ1053" s="160" t="s">
        <v>3016</v>
      </c>
      <c r="DK1053" s="160" t="s">
        <v>1259</v>
      </c>
      <c r="DL1053" s="160" t="s">
        <v>1260</v>
      </c>
      <c r="DM1053" s="160" t="s">
        <v>1812</v>
      </c>
      <c r="DN1053" s="161" t="s">
        <v>1813</v>
      </c>
      <c r="DP1053" s="130">
        <v>1</v>
      </c>
    </row>
    <row r="1054" spans="109:120" ht="15">
      <c r="DE1054" s="152"/>
      <c r="DF1054" s="160" t="s">
        <v>3017</v>
      </c>
      <c r="DG1054" s="160" t="s">
        <v>122</v>
      </c>
      <c r="DH1054" s="160" t="s">
        <v>125</v>
      </c>
      <c r="DI1054" s="160" t="s">
        <v>3018</v>
      </c>
      <c r="DJ1054" s="160" t="s">
        <v>3018</v>
      </c>
      <c r="DK1054" s="160" t="s">
        <v>1259</v>
      </c>
      <c r="DL1054" s="160" t="s">
        <v>1260</v>
      </c>
      <c r="DM1054" s="160" t="s">
        <v>1812</v>
      </c>
      <c r="DN1054" s="161" t="s">
        <v>1813</v>
      </c>
      <c r="DP1054" s="130">
        <v>1</v>
      </c>
    </row>
    <row r="1055" spans="109:120" ht="15">
      <c r="DE1055" s="152"/>
      <c r="DF1055" s="160" t="s">
        <v>3019</v>
      </c>
      <c r="DG1055" s="160" t="s">
        <v>122</v>
      </c>
      <c r="DH1055" s="160" t="s">
        <v>125</v>
      </c>
      <c r="DI1055" s="160" t="s">
        <v>3020</v>
      </c>
      <c r="DJ1055" s="160" t="s">
        <v>3020</v>
      </c>
      <c r="DK1055" s="160" t="s">
        <v>1259</v>
      </c>
      <c r="DL1055" s="160" t="s">
        <v>1260</v>
      </c>
      <c r="DM1055" s="160" t="s">
        <v>1812</v>
      </c>
      <c r="DN1055" s="161" t="s">
        <v>1813</v>
      </c>
      <c r="DP1055" s="130">
        <v>1</v>
      </c>
    </row>
    <row r="1056" spans="109:120" ht="15">
      <c r="DE1056" s="152"/>
      <c r="DF1056" s="160" t="s">
        <v>3021</v>
      </c>
      <c r="DG1056" s="160" t="s">
        <v>122</v>
      </c>
      <c r="DH1056" s="160" t="s">
        <v>125</v>
      </c>
      <c r="DI1056" s="160" t="s">
        <v>3022</v>
      </c>
      <c r="DJ1056" s="160" t="s">
        <v>3022</v>
      </c>
      <c r="DK1056" s="160" t="s">
        <v>1259</v>
      </c>
      <c r="DL1056" s="160" t="s">
        <v>1260</v>
      </c>
      <c r="DM1056" s="160" t="s">
        <v>1812</v>
      </c>
      <c r="DN1056" s="161" t="s">
        <v>1813</v>
      </c>
      <c r="DP1056" s="130">
        <v>1</v>
      </c>
    </row>
    <row r="1057" spans="109:120" ht="15">
      <c r="DE1057" s="152"/>
      <c r="DF1057" s="160" t="s">
        <v>3023</v>
      </c>
      <c r="DG1057" s="160" t="s">
        <v>122</v>
      </c>
      <c r="DH1057" s="160" t="s">
        <v>125</v>
      </c>
      <c r="DI1057" s="160" t="s">
        <v>3024</v>
      </c>
      <c r="DJ1057" s="160" t="s">
        <v>3024</v>
      </c>
      <c r="DK1057" s="160" t="s">
        <v>1259</v>
      </c>
      <c r="DL1057" s="160" t="s">
        <v>1260</v>
      </c>
      <c r="DM1057" s="160" t="s">
        <v>1812</v>
      </c>
      <c r="DN1057" s="161" t="s">
        <v>1813</v>
      </c>
      <c r="DP1057" s="130">
        <v>1</v>
      </c>
    </row>
    <row r="1058" spans="109:120" ht="15">
      <c r="DE1058" s="152"/>
      <c r="DF1058" s="160" t="s">
        <v>3025</v>
      </c>
      <c r="DG1058" s="160" t="s">
        <v>122</v>
      </c>
      <c r="DH1058" s="160" t="s">
        <v>125</v>
      </c>
      <c r="DI1058" s="160" t="s">
        <v>3026</v>
      </c>
      <c r="DJ1058" s="160" t="s">
        <v>3026</v>
      </c>
      <c r="DK1058" s="160" t="s">
        <v>1259</v>
      </c>
      <c r="DL1058" s="160" t="s">
        <v>1260</v>
      </c>
      <c r="DM1058" s="160" t="s">
        <v>1812</v>
      </c>
      <c r="DN1058" s="161" t="s">
        <v>1813</v>
      </c>
      <c r="DP1058" s="130">
        <v>1</v>
      </c>
    </row>
    <row r="1059" spans="109:120" ht="15">
      <c r="DE1059" s="152"/>
      <c r="DF1059" s="160" t="s">
        <v>3027</v>
      </c>
      <c r="DG1059" s="160" t="s">
        <v>122</v>
      </c>
      <c r="DH1059" s="160" t="s">
        <v>125</v>
      </c>
      <c r="DI1059" s="160" t="s">
        <v>3028</v>
      </c>
      <c r="DJ1059" s="160" t="s">
        <v>3028</v>
      </c>
      <c r="DK1059" s="160" t="s">
        <v>1259</v>
      </c>
      <c r="DL1059" s="160" t="s">
        <v>1260</v>
      </c>
      <c r="DM1059" s="160" t="s">
        <v>1812</v>
      </c>
      <c r="DN1059" s="161" t="s">
        <v>1813</v>
      </c>
      <c r="DP1059" s="130">
        <v>1</v>
      </c>
    </row>
    <row r="1060" spans="109:120" ht="15">
      <c r="DE1060" s="152"/>
      <c r="DF1060" s="160" t="s">
        <v>3029</v>
      </c>
      <c r="DG1060" s="160" t="s">
        <v>122</v>
      </c>
      <c r="DH1060" s="160" t="s">
        <v>125</v>
      </c>
      <c r="DI1060" s="160" t="s">
        <v>3030</v>
      </c>
      <c r="DJ1060" s="160" t="s">
        <v>3030</v>
      </c>
      <c r="DK1060" s="160" t="s">
        <v>1259</v>
      </c>
      <c r="DL1060" s="160" t="s">
        <v>1260</v>
      </c>
      <c r="DM1060" s="160" t="s">
        <v>1812</v>
      </c>
      <c r="DN1060" s="161" t="s">
        <v>1813</v>
      </c>
      <c r="DP1060" s="130">
        <v>1</v>
      </c>
    </row>
    <row r="1061" spans="109:120" ht="15">
      <c r="DE1061" s="152"/>
      <c r="DF1061" s="160" t="s">
        <v>3031</v>
      </c>
      <c r="DG1061" s="160" t="s">
        <v>122</v>
      </c>
      <c r="DH1061" s="160" t="s">
        <v>125</v>
      </c>
      <c r="DI1061" s="160" t="s">
        <v>3032</v>
      </c>
      <c r="DJ1061" s="160" t="s">
        <v>3032</v>
      </c>
      <c r="DK1061" s="160" t="s">
        <v>1259</v>
      </c>
      <c r="DL1061" s="160" t="s">
        <v>1260</v>
      </c>
      <c r="DM1061" s="160" t="s">
        <v>1812</v>
      </c>
      <c r="DN1061" s="161" t="s">
        <v>1813</v>
      </c>
      <c r="DP1061" s="130">
        <v>1</v>
      </c>
    </row>
    <row r="1062" spans="109:120" ht="15">
      <c r="DE1062" s="152"/>
      <c r="DF1062" s="160" t="s">
        <v>3033</v>
      </c>
      <c r="DG1062" s="160" t="s">
        <v>122</v>
      </c>
      <c r="DH1062" s="160" t="s">
        <v>125</v>
      </c>
      <c r="DI1062" s="160" t="s">
        <v>3034</v>
      </c>
      <c r="DJ1062" s="160" t="s">
        <v>3034</v>
      </c>
      <c r="DK1062" s="160" t="s">
        <v>1259</v>
      </c>
      <c r="DL1062" s="160" t="s">
        <v>1260</v>
      </c>
      <c r="DM1062" s="160" t="s">
        <v>1812</v>
      </c>
      <c r="DN1062" s="161" t="s">
        <v>1813</v>
      </c>
      <c r="DP1062" s="130">
        <v>1</v>
      </c>
    </row>
    <row r="1063" spans="109:120" ht="15">
      <c r="DE1063" s="152"/>
      <c r="DF1063" s="160" t="s">
        <v>3035</v>
      </c>
      <c r="DG1063" s="160" t="s">
        <v>122</v>
      </c>
      <c r="DH1063" s="160" t="s">
        <v>125</v>
      </c>
      <c r="DI1063" s="160" t="s">
        <v>3036</v>
      </c>
      <c r="DJ1063" s="160" t="s">
        <v>3036</v>
      </c>
      <c r="DK1063" s="160" t="s">
        <v>1259</v>
      </c>
      <c r="DL1063" s="160" t="s">
        <v>1260</v>
      </c>
      <c r="DM1063" s="160" t="s">
        <v>1812</v>
      </c>
      <c r="DN1063" s="161" t="s">
        <v>1813</v>
      </c>
      <c r="DP1063" s="130">
        <v>1</v>
      </c>
    </row>
    <row r="1064" spans="109:120" ht="15">
      <c r="DE1064" s="152"/>
      <c r="DF1064" s="160" t="s">
        <v>3037</v>
      </c>
      <c r="DG1064" s="160" t="s">
        <v>122</v>
      </c>
      <c r="DH1064" s="160" t="s">
        <v>125</v>
      </c>
      <c r="DI1064" s="160" t="s">
        <v>3038</v>
      </c>
      <c r="DJ1064" s="160" t="s">
        <v>3038</v>
      </c>
      <c r="DK1064" s="160" t="s">
        <v>1259</v>
      </c>
      <c r="DL1064" s="160" t="s">
        <v>1260</v>
      </c>
      <c r="DM1064" s="160" t="s">
        <v>1812</v>
      </c>
      <c r="DN1064" s="161" t="s">
        <v>1813</v>
      </c>
      <c r="DP1064" s="130">
        <v>1</v>
      </c>
    </row>
    <row r="1065" spans="109:120" ht="15">
      <c r="DE1065" s="152"/>
      <c r="DF1065" s="160" t="s">
        <v>3039</v>
      </c>
      <c r="DG1065" s="160" t="s">
        <v>122</v>
      </c>
      <c r="DH1065" s="160" t="s">
        <v>125</v>
      </c>
      <c r="DI1065" s="160" t="s">
        <v>3040</v>
      </c>
      <c r="DJ1065" s="160" t="s">
        <v>3040</v>
      </c>
      <c r="DK1065" s="160" t="s">
        <v>1259</v>
      </c>
      <c r="DL1065" s="160" t="s">
        <v>1260</v>
      </c>
      <c r="DM1065" s="160" t="s">
        <v>1812</v>
      </c>
      <c r="DN1065" s="161" t="s">
        <v>1813</v>
      </c>
      <c r="DP1065" s="130">
        <v>1</v>
      </c>
    </row>
    <row r="1066" spans="109:120" ht="15">
      <c r="DE1066" s="152"/>
      <c r="DF1066" s="160" t="s">
        <v>3041</v>
      </c>
      <c r="DG1066" s="160" t="s">
        <v>122</v>
      </c>
      <c r="DH1066" s="160" t="s">
        <v>125</v>
      </c>
      <c r="DI1066" s="160" t="s">
        <v>3042</v>
      </c>
      <c r="DJ1066" s="160" t="s">
        <v>3042</v>
      </c>
      <c r="DK1066" s="160" t="s">
        <v>1259</v>
      </c>
      <c r="DL1066" s="160" t="s">
        <v>1260</v>
      </c>
      <c r="DM1066" s="160" t="s">
        <v>1812</v>
      </c>
      <c r="DN1066" s="161" t="s">
        <v>1813</v>
      </c>
      <c r="DP1066" s="130">
        <v>1</v>
      </c>
    </row>
    <row r="1067" spans="109:120" ht="15">
      <c r="DE1067" s="152"/>
      <c r="DF1067" s="160" t="s">
        <v>3043</v>
      </c>
      <c r="DG1067" s="160" t="s">
        <v>122</v>
      </c>
      <c r="DH1067" s="160" t="s">
        <v>125</v>
      </c>
      <c r="DI1067" s="160" t="s">
        <v>3044</v>
      </c>
      <c r="DJ1067" s="160" t="s">
        <v>3044</v>
      </c>
      <c r="DK1067" s="160" t="s">
        <v>1259</v>
      </c>
      <c r="DL1067" s="160" t="s">
        <v>1260</v>
      </c>
      <c r="DM1067" s="160" t="s">
        <v>1812</v>
      </c>
      <c r="DN1067" s="161" t="s">
        <v>1813</v>
      </c>
      <c r="DP1067" s="130">
        <v>1</v>
      </c>
    </row>
    <row r="1068" spans="109:120" ht="15">
      <c r="DE1068" s="152"/>
      <c r="DF1068" s="160" t="s">
        <v>3045</v>
      </c>
      <c r="DG1068" s="160" t="s">
        <v>122</v>
      </c>
      <c r="DH1068" s="160" t="s">
        <v>125</v>
      </c>
      <c r="DI1068" s="160" t="s">
        <v>3046</v>
      </c>
      <c r="DJ1068" s="160" t="s">
        <v>3046</v>
      </c>
      <c r="DK1068" s="160" t="s">
        <v>1259</v>
      </c>
      <c r="DL1068" s="160" t="s">
        <v>1260</v>
      </c>
      <c r="DM1068" s="160" t="s">
        <v>1812</v>
      </c>
      <c r="DN1068" s="161" t="s">
        <v>1813</v>
      </c>
      <c r="DP1068" s="130">
        <v>1</v>
      </c>
    </row>
    <row r="1069" spans="109:120" ht="15">
      <c r="DE1069" s="152"/>
      <c r="DF1069" s="160" t="s">
        <v>3047</v>
      </c>
      <c r="DG1069" s="160" t="s">
        <v>122</v>
      </c>
      <c r="DH1069" s="160" t="s">
        <v>125</v>
      </c>
      <c r="DI1069" s="160" t="s">
        <v>3048</v>
      </c>
      <c r="DJ1069" s="160" t="s">
        <v>3048</v>
      </c>
      <c r="DK1069" s="160" t="s">
        <v>1259</v>
      </c>
      <c r="DL1069" s="160" t="s">
        <v>1260</v>
      </c>
      <c r="DM1069" s="160" t="s">
        <v>1812</v>
      </c>
      <c r="DN1069" s="161" t="s">
        <v>1813</v>
      </c>
      <c r="DP1069" s="130">
        <v>1</v>
      </c>
    </row>
    <row r="1070" spans="109:120" ht="15">
      <c r="DE1070" s="152"/>
      <c r="DF1070" s="160" t="s">
        <v>3049</v>
      </c>
      <c r="DG1070" s="160" t="s">
        <v>122</v>
      </c>
      <c r="DH1070" s="160" t="s">
        <v>125</v>
      </c>
      <c r="DI1070" s="160" t="s">
        <v>3050</v>
      </c>
      <c r="DJ1070" s="160" t="s">
        <v>3050</v>
      </c>
      <c r="DK1070" s="160" t="s">
        <v>1259</v>
      </c>
      <c r="DL1070" s="160" t="s">
        <v>1260</v>
      </c>
      <c r="DM1070" s="160" t="s">
        <v>1812</v>
      </c>
      <c r="DN1070" s="161" t="s">
        <v>1813</v>
      </c>
      <c r="DP1070" s="130">
        <v>1</v>
      </c>
    </row>
    <row r="1071" spans="109:120" ht="15">
      <c r="DE1071" s="152"/>
      <c r="DF1071" s="160" t="s">
        <v>3051</v>
      </c>
      <c r="DG1071" s="160" t="s">
        <v>122</v>
      </c>
      <c r="DH1071" s="160" t="s">
        <v>125</v>
      </c>
      <c r="DI1071" s="160" t="s">
        <v>3052</v>
      </c>
      <c r="DJ1071" s="160" t="s">
        <v>3052</v>
      </c>
      <c r="DK1071" s="160" t="s">
        <v>1259</v>
      </c>
      <c r="DL1071" s="160" t="s">
        <v>1260</v>
      </c>
      <c r="DM1071" s="160" t="s">
        <v>1812</v>
      </c>
      <c r="DN1071" s="161" t="s">
        <v>1813</v>
      </c>
      <c r="DP1071" s="130">
        <v>1</v>
      </c>
    </row>
    <row r="1072" spans="109:120" ht="15">
      <c r="DE1072" s="152"/>
      <c r="DF1072" s="160" t="s">
        <v>3053</v>
      </c>
      <c r="DG1072" s="160" t="s">
        <v>122</v>
      </c>
      <c r="DH1072" s="160" t="s">
        <v>125</v>
      </c>
      <c r="DI1072" s="160" t="s">
        <v>3054</v>
      </c>
      <c r="DJ1072" s="160" t="s">
        <v>3054</v>
      </c>
      <c r="DK1072" s="160" t="s">
        <v>1259</v>
      </c>
      <c r="DL1072" s="160" t="s">
        <v>1260</v>
      </c>
      <c r="DM1072" s="160" t="s">
        <v>1812</v>
      </c>
      <c r="DN1072" s="161" t="s">
        <v>1813</v>
      </c>
      <c r="DP1072" s="130">
        <v>1</v>
      </c>
    </row>
    <row r="1073" spans="109:120" ht="15">
      <c r="DE1073" s="152"/>
      <c r="DF1073" s="160" t="s">
        <v>3055</v>
      </c>
      <c r="DG1073" s="160" t="s">
        <v>122</v>
      </c>
      <c r="DH1073" s="160" t="s">
        <v>125</v>
      </c>
      <c r="DI1073" s="160" t="s">
        <v>3056</v>
      </c>
      <c r="DJ1073" s="160" t="s">
        <v>3056</v>
      </c>
      <c r="DK1073" s="160" t="s">
        <v>1259</v>
      </c>
      <c r="DL1073" s="160" t="s">
        <v>1260</v>
      </c>
      <c r="DM1073" s="160" t="s">
        <v>1812</v>
      </c>
      <c r="DN1073" s="161" t="s">
        <v>1813</v>
      </c>
      <c r="DP1073" s="130">
        <v>1</v>
      </c>
    </row>
    <row r="1074" spans="109:120" ht="15">
      <c r="DE1074" s="152"/>
      <c r="DF1074" s="160" t="s">
        <v>3057</v>
      </c>
      <c r="DG1074" s="160" t="s">
        <v>122</v>
      </c>
      <c r="DH1074" s="160" t="s">
        <v>125</v>
      </c>
      <c r="DI1074" s="160" t="s">
        <v>3058</v>
      </c>
      <c r="DJ1074" s="160" t="s">
        <v>3058</v>
      </c>
      <c r="DK1074" s="160" t="s">
        <v>1259</v>
      </c>
      <c r="DL1074" s="160" t="s">
        <v>1260</v>
      </c>
      <c r="DM1074" s="160" t="s">
        <v>1812</v>
      </c>
      <c r="DN1074" s="161" t="s">
        <v>1813</v>
      </c>
      <c r="DP1074" s="130">
        <v>1</v>
      </c>
    </row>
    <row r="1075" spans="109:120" ht="15">
      <c r="DE1075" s="152"/>
      <c r="DF1075" s="160" t="s">
        <v>3059</v>
      </c>
      <c r="DG1075" s="160" t="s">
        <v>122</v>
      </c>
      <c r="DH1075" s="160" t="s">
        <v>125</v>
      </c>
      <c r="DI1075" s="160" t="s">
        <v>3060</v>
      </c>
      <c r="DJ1075" s="160" t="s">
        <v>3060</v>
      </c>
      <c r="DK1075" s="160" t="s">
        <v>1259</v>
      </c>
      <c r="DL1075" s="160" t="s">
        <v>1260</v>
      </c>
      <c r="DM1075" s="160" t="s">
        <v>1812</v>
      </c>
      <c r="DN1075" s="161" t="s">
        <v>1813</v>
      </c>
      <c r="DP1075" s="130">
        <v>1</v>
      </c>
    </row>
    <row r="1076" spans="109:120" ht="15">
      <c r="DE1076" s="152"/>
      <c r="DF1076" s="160" t="s">
        <v>3061</v>
      </c>
      <c r="DG1076" s="160" t="s">
        <v>122</v>
      </c>
      <c r="DH1076" s="160" t="s">
        <v>125</v>
      </c>
      <c r="DI1076" s="160" t="s">
        <v>3062</v>
      </c>
      <c r="DJ1076" s="160" t="s">
        <v>3062</v>
      </c>
      <c r="DK1076" s="160" t="s">
        <v>1259</v>
      </c>
      <c r="DL1076" s="160" t="s">
        <v>1260</v>
      </c>
      <c r="DM1076" s="160" t="s">
        <v>1812</v>
      </c>
      <c r="DN1076" s="161" t="s">
        <v>1813</v>
      </c>
      <c r="DP1076" s="130">
        <v>1</v>
      </c>
    </row>
    <row r="1077" spans="109:120" ht="15">
      <c r="DE1077" s="152"/>
      <c r="DF1077" s="160" t="s">
        <v>3063</v>
      </c>
      <c r="DG1077" s="160" t="s">
        <v>122</v>
      </c>
      <c r="DH1077" s="160" t="s">
        <v>125</v>
      </c>
      <c r="DI1077" s="160" t="s">
        <v>3064</v>
      </c>
      <c r="DJ1077" s="160" t="s">
        <v>3064</v>
      </c>
      <c r="DK1077" s="160" t="s">
        <v>1259</v>
      </c>
      <c r="DL1077" s="160" t="s">
        <v>1260</v>
      </c>
      <c r="DM1077" s="160" t="s">
        <v>1812</v>
      </c>
      <c r="DN1077" s="161" t="s">
        <v>1813</v>
      </c>
      <c r="DP1077" s="130">
        <v>1</v>
      </c>
    </row>
    <row r="1078" spans="109:120" ht="15">
      <c r="DE1078" s="152"/>
      <c r="DF1078" s="160" t="s">
        <v>3065</v>
      </c>
      <c r="DG1078" s="160" t="s">
        <v>122</v>
      </c>
      <c r="DH1078" s="160" t="s">
        <v>125</v>
      </c>
      <c r="DI1078" s="160" t="s">
        <v>3066</v>
      </c>
      <c r="DJ1078" s="160" t="s">
        <v>3066</v>
      </c>
      <c r="DK1078" s="160" t="s">
        <v>1259</v>
      </c>
      <c r="DL1078" s="160" t="s">
        <v>1260</v>
      </c>
      <c r="DM1078" s="160" t="s">
        <v>1812</v>
      </c>
      <c r="DN1078" s="161" t="s">
        <v>1813</v>
      </c>
      <c r="DP1078" s="130">
        <v>1</v>
      </c>
    </row>
    <row r="1079" spans="109:120" ht="15">
      <c r="DE1079" s="152"/>
      <c r="DF1079" s="160" t="s">
        <v>3067</v>
      </c>
      <c r="DG1079" s="160" t="s">
        <v>122</v>
      </c>
      <c r="DH1079" s="160" t="s">
        <v>125</v>
      </c>
      <c r="DI1079" s="160" t="s">
        <v>3068</v>
      </c>
      <c r="DJ1079" s="160" t="s">
        <v>3068</v>
      </c>
      <c r="DK1079" s="160" t="s">
        <v>1259</v>
      </c>
      <c r="DL1079" s="160" t="s">
        <v>1260</v>
      </c>
      <c r="DM1079" s="160" t="s">
        <v>1812</v>
      </c>
      <c r="DN1079" s="161" t="s">
        <v>1813</v>
      </c>
      <c r="DP1079" s="130">
        <v>1</v>
      </c>
    </row>
    <row r="1080" spans="109:120" ht="15">
      <c r="DE1080" s="152"/>
      <c r="DF1080" s="160" t="s">
        <v>3069</v>
      </c>
      <c r="DG1080" s="160" t="s">
        <v>122</v>
      </c>
      <c r="DH1080" s="160" t="s">
        <v>125</v>
      </c>
      <c r="DI1080" s="160" t="s">
        <v>3070</v>
      </c>
      <c r="DJ1080" s="160" t="s">
        <v>3070</v>
      </c>
      <c r="DK1080" s="160" t="s">
        <v>1259</v>
      </c>
      <c r="DL1080" s="160" t="s">
        <v>1260</v>
      </c>
      <c r="DM1080" s="160" t="s">
        <v>1812</v>
      </c>
      <c r="DN1080" s="161" t="s">
        <v>1813</v>
      </c>
      <c r="DP1080" s="130">
        <v>1</v>
      </c>
    </row>
    <row r="1081" spans="109:120" ht="15">
      <c r="DE1081" s="152"/>
      <c r="DF1081" s="160" t="s">
        <v>3071</v>
      </c>
      <c r="DG1081" s="160" t="s">
        <v>122</v>
      </c>
      <c r="DH1081" s="160" t="s">
        <v>125</v>
      </c>
      <c r="DI1081" s="160" t="s">
        <v>3072</v>
      </c>
      <c r="DJ1081" s="160" t="s">
        <v>3072</v>
      </c>
      <c r="DK1081" s="160" t="s">
        <v>1259</v>
      </c>
      <c r="DL1081" s="160" t="s">
        <v>1260</v>
      </c>
      <c r="DM1081" s="160" t="s">
        <v>1812</v>
      </c>
      <c r="DN1081" s="161" t="s">
        <v>1813</v>
      </c>
      <c r="DP1081" s="130">
        <v>1</v>
      </c>
    </row>
    <row r="1082" spans="109:120" ht="15">
      <c r="DE1082" s="152"/>
      <c r="DF1082" s="160" t="s">
        <v>3073</v>
      </c>
      <c r="DG1082" s="160" t="s">
        <v>122</v>
      </c>
      <c r="DH1082" s="160" t="s">
        <v>125</v>
      </c>
      <c r="DI1082" s="160" t="s">
        <v>3074</v>
      </c>
      <c r="DJ1082" s="160" t="s">
        <v>3074</v>
      </c>
      <c r="DK1082" s="160" t="s">
        <v>1259</v>
      </c>
      <c r="DL1082" s="160" t="s">
        <v>1260</v>
      </c>
      <c r="DM1082" s="160" t="s">
        <v>1812</v>
      </c>
      <c r="DN1082" s="161" t="s">
        <v>1813</v>
      </c>
      <c r="DP1082" s="130">
        <v>1</v>
      </c>
    </row>
    <row r="1083" spans="109:120" ht="15">
      <c r="DE1083" s="152"/>
      <c r="DF1083" s="160" t="s">
        <v>3075</v>
      </c>
      <c r="DG1083" s="160" t="s">
        <v>122</v>
      </c>
      <c r="DH1083" s="160" t="s">
        <v>125</v>
      </c>
      <c r="DI1083" s="160" t="s">
        <v>3076</v>
      </c>
      <c r="DJ1083" s="160" t="s">
        <v>3076</v>
      </c>
      <c r="DK1083" s="160" t="s">
        <v>1259</v>
      </c>
      <c r="DL1083" s="160" t="s">
        <v>1260</v>
      </c>
      <c r="DM1083" s="160" t="s">
        <v>1812</v>
      </c>
      <c r="DN1083" s="161" t="s">
        <v>1813</v>
      </c>
      <c r="DP1083" s="130">
        <v>1</v>
      </c>
    </row>
    <row r="1084" spans="109:120" ht="15">
      <c r="DE1084" s="152"/>
      <c r="DF1084" s="160" t="s">
        <v>3077</v>
      </c>
      <c r="DG1084" s="160" t="s">
        <v>122</v>
      </c>
      <c r="DH1084" s="160" t="s">
        <v>125</v>
      </c>
      <c r="DI1084" s="160" t="s">
        <v>3078</v>
      </c>
      <c r="DJ1084" s="160" t="s">
        <v>3078</v>
      </c>
      <c r="DK1084" s="160" t="s">
        <v>1259</v>
      </c>
      <c r="DL1084" s="160" t="s">
        <v>1260</v>
      </c>
      <c r="DM1084" s="160" t="s">
        <v>1812</v>
      </c>
      <c r="DN1084" s="161" t="s">
        <v>1813</v>
      </c>
      <c r="DP1084" s="130">
        <v>1</v>
      </c>
    </row>
    <row r="1085" spans="109:120" ht="15">
      <c r="DE1085" s="152"/>
      <c r="DF1085" s="160" t="s">
        <v>3079</v>
      </c>
      <c r="DG1085" s="160" t="s">
        <v>122</v>
      </c>
      <c r="DH1085" s="160" t="s">
        <v>125</v>
      </c>
      <c r="DI1085" s="160" t="s">
        <v>3080</v>
      </c>
      <c r="DJ1085" s="160" t="s">
        <v>3080</v>
      </c>
      <c r="DK1085" s="160" t="s">
        <v>1259</v>
      </c>
      <c r="DL1085" s="160" t="s">
        <v>1260</v>
      </c>
      <c r="DM1085" s="160" t="s">
        <v>1812</v>
      </c>
      <c r="DN1085" s="161" t="s">
        <v>1813</v>
      </c>
      <c r="DP1085" s="130">
        <v>1</v>
      </c>
    </row>
    <row r="1086" spans="109:120" ht="15">
      <c r="DE1086" s="152"/>
      <c r="DF1086" s="160" t="s">
        <v>3081</v>
      </c>
      <c r="DG1086" s="160" t="s">
        <v>122</v>
      </c>
      <c r="DH1086" s="160" t="s">
        <v>125</v>
      </c>
      <c r="DI1086" s="160" t="s">
        <v>3082</v>
      </c>
      <c r="DJ1086" s="160" t="s">
        <v>3082</v>
      </c>
      <c r="DK1086" s="160" t="s">
        <v>1259</v>
      </c>
      <c r="DL1086" s="160" t="s">
        <v>1260</v>
      </c>
      <c r="DM1086" s="160" t="s">
        <v>1812</v>
      </c>
      <c r="DN1086" s="161" t="s">
        <v>1813</v>
      </c>
      <c r="DP1086" s="130">
        <v>1</v>
      </c>
    </row>
    <row r="1087" spans="109:120" ht="15">
      <c r="DE1087" s="152"/>
      <c r="DF1087" s="160" t="s">
        <v>3083</v>
      </c>
      <c r="DG1087" s="160" t="s">
        <v>122</v>
      </c>
      <c r="DH1087" s="160" t="s">
        <v>125</v>
      </c>
      <c r="DI1087" s="160" t="s">
        <v>294</v>
      </c>
      <c r="DJ1087" s="160" t="s">
        <v>294</v>
      </c>
      <c r="DK1087" s="160" t="s">
        <v>588</v>
      </c>
      <c r="DL1087" s="160" t="s">
        <v>1895</v>
      </c>
      <c r="DM1087" s="160" t="s">
        <v>590</v>
      </c>
      <c r="DN1087" s="161" t="s">
        <v>591</v>
      </c>
      <c r="DP1087" s="130">
        <v>1</v>
      </c>
    </row>
    <row r="1088" spans="109:120" ht="15">
      <c r="DE1088" s="152"/>
      <c r="DF1088" s="160" t="s">
        <v>3084</v>
      </c>
      <c r="DG1088" s="160" t="s">
        <v>122</v>
      </c>
      <c r="DH1088" s="160" t="s">
        <v>125</v>
      </c>
      <c r="DI1088" s="160" t="s">
        <v>3085</v>
      </c>
      <c r="DJ1088" s="160" t="s">
        <v>3085</v>
      </c>
      <c r="DK1088" s="160" t="s">
        <v>1259</v>
      </c>
      <c r="DL1088" s="160" t="s">
        <v>1260</v>
      </c>
      <c r="DM1088" s="160" t="s">
        <v>1812</v>
      </c>
      <c r="DN1088" s="161" t="s">
        <v>1813</v>
      </c>
      <c r="DP1088" s="130">
        <v>1</v>
      </c>
    </row>
    <row r="1089" spans="109:120" ht="15">
      <c r="DE1089" s="152"/>
      <c r="DF1089" s="160" t="s">
        <v>3086</v>
      </c>
      <c r="DG1089" s="160" t="s">
        <v>122</v>
      </c>
      <c r="DH1089" s="160" t="s">
        <v>125</v>
      </c>
      <c r="DI1089" s="160" t="s">
        <v>3087</v>
      </c>
      <c r="DJ1089" s="160" t="s">
        <v>3087</v>
      </c>
      <c r="DK1089" s="160" t="s">
        <v>1259</v>
      </c>
      <c r="DL1089" s="160" t="s">
        <v>1260</v>
      </c>
      <c r="DM1089" s="160" t="s">
        <v>1812</v>
      </c>
      <c r="DN1089" s="161" t="s">
        <v>1813</v>
      </c>
      <c r="DP1089" s="130">
        <v>1</v>
      </c>
    </row>
    <row r="1090" spans="109:120" ht="15">
      <c r="DE1090" s="152"/>
      <c r="DF1090" s="160" t="s">
        <v>3088</v>
      </c>
      <c r="DG1090" s="160" t="s">
        <v>122</v>
      </c>
      <c r="DH1090" s="160" t="s">
        <v>125</v>
      </c>
      <c r="DI1090" s="160" t="s">
        <v>3089</v>
      </c>
      <c r="DJ1090" s="160" t="s">
        <v>3089</v>
      </c>
      <c r="DK1090" s="160" t="s">
        <v>1259</v>
      </c>
      <c r="DL1090" s="160" t="s">
        <v>1260</v>
      </c>
      <c r="DM1090" s="160" t="s">
        <v>1812</v>
      </c>
      <c r="DN1090" s="161" t="s">
        <v>1813</v>
      </c>
      <c r="DP1090" s="130">
        <v>1</v>
      </c>
    </row>
    <row r="1091" spans="109:120" ht="15">
      <c r="DE1091" s="152"/>
      <c r="DF1091" s="160" t="s">
        <v>3090</v>
      </c>
      <c r="DG1091" s="160" t="s">
        <v>122</v>
      </c>
      <c r="DH1091" s="160" t="s">
        <v>125</v>
      </c>
      <c r="DI1091" s="160" t="s">
        <v>3091</v>
      </c>
      <c r="DJ1091" s="160" t="s">
        <v>3091</v>
      </c>
      <c r="DK1091" s="160" t="s">
        <v>1259</v>
      </c>
      <c r="DL1091" s="160" t="s">
        <v>1260</v>
      </c>
      <c r="DM1091" s="160" t="s">
        <v>1812</v>
      </c>
      <c r="DN1091" s="161" t="s">
        <v>1813</v>
      </c>
      <c r="DP1091" s="130">
        <v>1</v>
      </c>
    </row>
    <row r="1092" spans="109:120" ht="15">
      <c r="DE1092" s="152"/>
      <c r="DF1092" s="160" t="s">
        <v>3092</v>
      </c>
      <c r="DG1092" s="160" t="s">
        <v>122</v>
      </c>
      <c r="DH1092" s="160" t="s">
        <v>125</v>
      </c>
      <c r="DI1092" s="160" t="s">
        <v>3093</v>
      </c>
      <c r="DJ1092" s="160" t="s">
        <v>3093</v>
      </c>
      <c r="DK1092" s="160" t="s">
        <v>1259</v>
      </c>
      <c r="DL1092" s="160" t="s">
        <v>1260</v>
      </c>
      <c r="DM1092" s="160" t="s">
        <v>1812</v>
      </c>
      <c r="DN1092" s="161" t="s">
        <v>1813</v>
      </c>
      <c r="DP1092" s="130">
        <v>1</v>
      </c>
    </row>
    <row r="1093" spans="109:120" ht="15">
      <c r="DE1093" s="152"/>
      <c r="DF1093" s="160" t="s">
        <v>3094</v>
      </c>
      <c r="DG1093" s="160" t="s">
        <v>122</v>
      </c>
      <c r="DH1093" s="160" t="s">
        <v>125</v>
      </c>
      <c r="DI1093" s="160" t="s">
        <v>3095</v>
      </c>
      <c r="DJ1093" s="160" t="s">
        <v>3095</v>
      </c>
      <c r="DK1093" s="160" t="s">
        <v>1259</v>
      </c>
      <c r="DL1093" s="160" t="s">
        <v>1260</v>
      </c>
      <c r="DM1093" s="160" t="s">
        <v>1812</v>
      </c>
      <c r="DN1093" s="161" t="s">
        <v>1813</v>
      </c>
      <c r="DP1093" s="130">
        <v>1</v>
      </c>
    </row>
    <row r="1094" spans="109:120" ht="15">
      <c r="DE1094" s="152"/>
      <c r="DF1094" s="160" t="s">
        <v>3096</v>
      </c>
      <c r="DG1094" s="160" t="s">
        <v>122</v>
      </c>
      <c r="DH1094" s="160" t="s">
        <v>125</v>
      </c>
      <c r="DI1094" s="160" t="s">
        <v>3097</v>
      </c>
      <c r="DJ1094" s="160" t="s">
        <v>3097</v>
      </c>
      <c r="DK1094" s="160" t="s">
        <v>1259</v>
      </c>
      <c r="DL1094" s="160" t="s">
        <v>1260</v>
      </c>
      <c r="DM1094" s="160" t="s">
        <v>1812</v>
      </c>
      <c r="DN1094" s="161" t="s">
        <v>1813</v>
      </c>
      <c r="DP1094" s="130">
        <v>1</v>
      </c>
    </row>
    <row r="1095" spans="109:120" ht="15">
      <c r="DE1095" s="152"/>
      <c r="DF1095" s="160" t="s">
        <v>3098</v>
      </c>
      <c r="DG1095" s="160" t="s">
        <v>122</v>
      </c>
      <c r="DH1095" s="160" t="s">
        <v>125</v>
      </c>
      <c r="DI1095" s="160" t="s">
        <v>3099</v>
      </c>
      <c r="DJ1095" s="160" t="s">
        <v>3099</v>
      </c>
      <c r="DK1095" s="160" t="s">
        <v>1259</v>
      </c>
      <c r="DL1095" s="160" t="s">
        <v>1260</v>
      </c>
      <c r="DM1095" s="160" t="s">
        <v>1812</v>
      </c>
      <c r="DN1095" s="161" t="s">
        <v>1813</v>
      </c>
      <c r="DP1095" s="130">
        <v>1</v>
      </c>
    </row>
    <row r="1096" spans="109:120" ht="15">
      <c r="DE1096" s="152"/>
      <c r="DF1096" s="160" t="s">
        <v>3100</v>
      </c>
      <c r="DG1096" s="160" t="s">
        <v>122</v>
      </c>
      <c r="DH1096" s="160" t="s">
        <v>125</v>
      </c>
      <c r="DI1096" s="160" t="s">
        <v>3101</v>
      </c>
      <c r="DJ1096" s="160" t="s">
        <v>3101</v>
      </c>
      <c r="DK1096" s="160" t="s">
        <v>1259</v>
      </c>
      <c r="DL1096" s="160" t="s">
        <v>1260</v>
      </c>
      <c r="DM1096" s="160" t="s">
        <v>1812</v>
      </c>
      <c r="DN1096" s="161" t="s">
        <v>1813</v>
      </c>
      <c r="DP1096" s="130">
        <v>1</v>
      </c>
    </row>
    <row r="1097" spans="109:120" ht="15">
      <c r="DE1097" s="152"/>
      <c r="DF1097" s="160" t="s">
        <v>3102</v>
      </c>
      <c r="DG1097" s="160" t="s">
        <v>122</v>
      </c>
      <c r="DH1097" s="160" t="s">
        <v>125</v>
      </c>
      <c r="DI1097" s="160" t="s">
        <v>3103</v>
      </c>
      <c r="DJ1097" s="160" t="s">
        <v>3103</v>
      </c>
      <c r="DK1097" s="160" t="s">
        <v>1259</v>
      </c>
      <c r="DL1097" s="160" t="s">
        <v>1260</v>
      </c>
      <c r="DM1097" s="160" t="s">
        <v>1812</v>
      </c>
      <c r="DN1097" s="161" t="s">
        <v>1813</v>
      </c>
      <c r="DP1097" s="130">
        <v>1</v>
      </c>
    </row>
    <row r="1098" spans="109:120" ht="15">
      <c r="DE1098" s="152"/>
      <c r="DF1098" s="160" t="s">
        <v>3104</v>
      </c>
      <c r="DG1098" s="160" t="s">
        <v>122</v>
      </c>
      <c r="DH1098" s="160" t="s">
        <v>125</v>
      </c>
      <c r="DI1098" s="160" t="s">
        <v>295</v>
      </c>
      <c r="DJ1098" s="160" t="s">
        <v>295</v>
      </c>
      <c r="DK1098" s="160" t="s">
        <v>588</v>
      </c>
      <c r="DL1098" s="160" t="s">
        <v>1895</v>
      </c>
      <c r="DM1098" s="160" t="s">
        <v>590</v>
      </c>
      <c r="DN1098" s="161" t="s">
        <v>591</v>
      </c>
      <c r="DP1098" s="130">
        <v>1</v>
      </c>
    </row>
    <row r="1099" spans="109:120" ht="15">
      <c r="DE1099" s="152"/>
      <c r="DF1099" s="160" t="s">
        <v>3105</v>
      </c>
      <c r="DG1099" s="160" t="s">
        <v>122</v>
      </c>
      <c r="DH1099" s="160" t="s">
        <v>125</v>
      </c>
      <c r="DI1099" s="160" t="s">
        <v>3106</v>
      </c>
      <c r="DJ1099" s="160" t="s">
        <v>3106</v>
      </c>
      <c r="DK1099" s="160" t="s">
        <v>1259</v>
      </c>
      <c r="DL1099" s="160" t="s">
        <v>1260</v>
      </c>
      <c r="DM1099" s="160" t="s">
        <v>1812</v>
      </c>
      <c r="DN1099" s="161" t="s">
        <v>1813</v>
      </c>
      <c r="DP1099" s="130">
        <v>1</v>
      </c>
    </row>
    <row r="1100" spans="109:120" ht="15">
      <c r="DE1100" s="152"/>
      <c r="DF1100" s="160" t="s">
        <v>3107</v>
      </c>
      <c r="DG1100" s="160" t="s">
        <v>122</v>
      </c>
      <c r="DH1100" s="160" t="s">
        <v>125</v>
      </c>
      <c r="DI1100" s="160" t="s">
        <v>3108</v>
      </c>
      <c r="DJ1100" s="160" t="s">
        <v>3108</v>
      </c>
      <c r="DK1100" s="160" t="s">
        <v>1259</v>
      </c>
      <c r="DL1100" s="160" t="s">
        <v>1260</v>
      </c>
      <c r="DM1100" s="160" t="s">
        <v>1812</v>
      </c>
      <c r="DN1100" s="161" t="s">
        <v>1813</v>
      </c>
      <c r="DP1100" s="130">
        <v>1</v>
      </c>
    </row>
    <row r="1101" spans="109:120" ht="15">
      <c r="DE1101" s="152"/>
      <c r="DF1101" s="160" t="s">
        <v>3109</v>
      </c>
      <c r="DG1101" s="160" t="s">
        <v>122</v>
      </c>
      <c r="DH1101" s="160" t="s">
        <v>125</v>
      </c>
      <c r="DI1101" s="160" t="s">
        <v>3110</v>
      </c>
      <c r="DJ1101" s="160" t="s">
        <v>3110</v>
      </c>
      <c r="DK1101" s="160" t="s">
        <v>1259</v>
      </c>
      <c r="DL1101" s="160" t="s">
        <v>1260</v>
      </c>
      <c r="DM1101" s="160" t="s">
        <v>1812</v>
      </c>
      <c r="DN1101" s="161" t="s">
        <v>1813</v>
      </c>
      <c r="DP1101" s="130">
        <v>1</v>
      </c>
    </row>
    <row r="1102" spans="109:120" ht="15">
      <c r="DE1102" s="152"/>
      <c r="DF1102" s="160" t="s">
        <v>3111</v>
      </c>
      <c r="DG1102" s="160" t="s">
        <v>122</v>
      </c>
      <c r="DH1102" s="160" t="s">
        <v>125</v>
      </c>
      <c r="DI1102" s="160" t="s">
        <v>3112</v>
      </c>
      <c r="DJ1102" s="160" t="s">
        <v>3112</v>
      </c>
      <c r="DK1102" s="160" t="s">
        <v>588</v>
      </c>
      <c r="DL1102" s="160" t="s">
        <v>1895</v>
      </c>
      <c r="DM1102" s="160" t="s">
        <v>590</v>
      </c>
      <c r="DN1102" s="161" t="s">
        <v>591</v>
      </c>
      <c r="DP1102" s="130">
        <v>1</v>
      </c>
    </row>
    <row r="1103" spans="109:120" ht="15">
      <c r="DE1103" s="152"/>
      <c r="DF1103" s="160" t="s">
        <v>3113</v>
      </c>
      <c r="DG1103" s="160" t="s">
        <v>122</v>
      </c>
      <c r="DH1103" s="160" t="s">
        <v>125</v>
      </c>
      <c r="DI1103" s="160" t="s">
        <v>3114</v>
      </c>
      <c r="DJ1103" s="160" t="s">
        <v>525</v>
      </c>
      <c r="DK1103" s="160" t="s">
        <v>588</v>
      </c>
      <c r="DL1103" s="160" t="s">
        <v>1895</v>
      </c>
      <c r="DM1103" s="160" t="s">
        <v>590</v>
      </c>
      <c r="DN1103" s="161" t="s">
        <v>591</v>
      </c>
      <c r="DP1103" s="130">
        <v>1</v>
      </c>
    </row>
    <row r="1104" spans="109:120" ht="15">
      <c r="DE1104" s="152"/>
      <c r="DF1104" s="160" t="s">
        <v>3115</v>
      </c>
      <c r="DG1104" s="160" t="s">
        <v>122</v>
      </c>
      <c r="DH1104" s="160" t="s">
        <v>125</v>
      </c>
      <c r="DI1104" s="160" t="s">
        <v>3116</v>
      </c>
      <c r="DJ1104" s="160" t="s">
        <v>3116</v>
      </c>
      <c r="DK1104" s="160" t="s">
        <v>588</v>
      </c>
      <c r="DL1104" s="160" t="s">
        <v>1895</v>
      </c>
      <c r="DM1104" s="160" t="s">
        <v>590</v>
      </c>
      <c r="DN1104" s="161" t="s">
        <v>591</v>
      </c>
      <c r="DP1104" s="130">
        <v>1</v>
      </c>
    </row>
    <row r="1105" spans="109:120" ht="15">
      <c r="DE1105" s="152"/>
      <c r="DF1105" s="160" t="s">
        <v>3117</v>
      </c>
      <c r="DG1105" s="160" t="s">
        <v>122</v>
      </c>
      <c r="DH1105" s="160" t="s">
        <v>125</v>
      </c>
      <c r="DI1105" s="160" t="s">
        <v>3118</v>
      </c>
      <c r="DJ1105" s="160" t="s">
        <v>3118</v>
      </c>
      <c r="DK1105" s="160" t="s">
        <v>1259</v>
      </c>
      <c r="DL1105" s="160" t="s">
        <v>1260</v>
      </c>
      <c r="DM1105" s="160" t="s">
        <v>1812</v>
      </c>
      <c r="DN1105" s="161" t="s">
        <v>1813</v>
      </c>
      <c r="DP1105" s="130">
        <v>1</v>
      </c>
    </row>
    <row r="1106" spans="109:120" ht="15">
      <c r="DE1106" s="152"/>
      <c r="DF1106" s="160" t="s">
        <v>3119</v>
      </c>
      <c r="DG1106" s="160" t="s">
        <v>122</v>
      </c>
      <c r="DH1106" s="160" t="s">
        <v>125</v>
      </c>
      <c r="DI1106" s="160" t="s">
        <v>3120</v>
      </c>
      <c r="DJ1106" s="160" t="s">
        <v>3120</v>
      </c>
      <c r="DK1106" s="160" t="s">
        <v>1259</v>
      </c>
      <c r="DL1106" s="160" t="s">
        <v>1260</v>
      </c>
      <c r="DM1106" s="160" t="s">
        <v>1812</v>
      </c>
      <c r="DN1106" s="161" t="s">
        <v>1813</v>
      </c>
      <c r="DP1106" s="130">
        <v>1</v>
      </c>
    </row>
    <row r="1107" spans="109:120" ht="15">
      <c r="DE1107" s="152"/>
      <c r="DF1107" s="160" t="s">
        <v>3121</v>
      </c>
      <c r="DG1107" s="160" t="s">
        <v>122</v>
      </c>
      <c r="DH1107" s="160" t="s">
        <v>125</v>
      </c>
      <c r="DI1107" s="160" t="s">
        <v>3122</v>
      </c>
      <c r="DJ1107" s="160" t="s">
        <v>3122</v>
      </c>
      <c r="DK1107" s="160" t="s">
        <v>1259</v>
      </c>
      <c r="DL1107" s="160" t="s">
        <v>1260</v>
      </c>
      <c r="DM1107" s="160" t="s">
        <v>1812</v>
      </c>
      <c r="DN1107" s="161" t="s">
        <v>1813</v>
      </c>
      <c r="DP1107" s="130">
        <v>1</v>
      </c>
    </row>
    <row r="1108" spans="109:120" ht="15">
      <c r="DE1108" s="152"/>
      <c r="DF1108" s="160" t="s">
        <v>3123</v>
      </c>
      <c r="DG1108" s="160" t="s">
        <v>122</v>
      </c>
      <c r="DH1108" s="160" t="s">
        <v>125</v>
      </c>
      <c r="DI1108" s="160" t="s">
        <v>3124</v>
      </c>
      <c r="DJ1108" s="160" t="s">
        <v>3124</v>
      </c>
      <c r="DK1108" s="160" t="s">
        <v>1259</v>
      </c>
      <c r="DL1108" s="160" t="s">
        <v>1260</v>
      </c>
      <c r="DM1108" s="160" t="s">
        <v>1812</v>
      </c>
      <c r="DN1108" s="161" t="s">
        <v>1813</v>
      </c>
      <c r="DP1108" s="130">
        <v>1</v>
      </c>
    </row>
    <row r="1109" spans="109:120" ht="15">
      <c r="DE1109" s="152"/>
      <c r="DF1109" s="160" t="s">
        <v>3125</v>
      </c>
      <c r="DG1109" s="160" t="s">
        <v>122</v>
      </c>
      <c r="DH1109" s="160" t="s">
        <v>125</v>
      </c>
      <c r="DI1109" s="160" t="s">
        <v>3126</v>
      </c>
      <c r="DJ1109" s="160" t="s">
        <v>3126</v>
      </c>
      <c r="DK1109" s="160" t="s">
        <v>1259</v>
      </c>
      <c r="DL1109" s="160" t="s">
        <v>1260</v>
      </c>
      <c r="DM1109" s="160" t="s">
        <v>1812</v>
      </c>
      <c r="DN1109" s="161" t="s">
        <v>1813</v>
      </c>
      <c r="DP1109" s="130">
        <v>1</v>
      </c>
    </row>
    <row r="1110" spans="109:120" ht="15">
      <c r="DE1110" s="152"/>
      <c r="DF1110" s="160" t="s">
        <v>3127</v>
      </c>
      <c r="DG1110" s="160" t="s">
        <v>122</v>
      </c>
      <c r="DH1110" s="160" t="s">
        <v>125</v>
      </c>
      <c r="DI1110" s="160" t="s">
        <v>3128</v>
      </c>
      <c r="DJ1110" s="160" t="s">
        <v>3128</v>
      </c>
      <c r="DK1110" s="160" t="s">
        <v>1259</v>
      </c>
      <c r="DL1110" s="160" t="s">
        <v>1260</v>
      </c>
      <c r="DM1110" s="160" t="s">
        <v>1812</v>
      </c>
      <c r="DN1110" s="161" t="s">
        <v>1813</v>
      </c>
      <c r="DP1110" s="130">
        <v>1</v>
      </c>
    </row>
    <row r="1111" spans="109:120" ht="15">
      <c r="DE1111" s="152"/>
      <c r="DF1111" s="160" t="s">
        <v>3129</v>
      </c>
      <c r="DG1111" s="160" t="s">
        <v>122</v>
      </c>
      <c r="DH1111" s="160" t="s">
        <v>125</v>
      </c>
      <c r="DI1111" s="160" t="s">
        <v>3130</v>
      </c>
      <c r="DJ1111" s="160" t="s">
        <v>3130</v>
      </c>
      <c r="DK1111" s="160" t="s">
        <v>1259</v>
      </c>
      <c r="DL1111" s="160" t="s">
        <v>1260</v>
      </c>
      <c r="DM1111" s="160" t="s">
        <v>1812</v>
      </c>
      <c r="DN1111" s="161" t="s">
        <v>1813</v>
      </c>
      <c r="DP1111" s="130">
        <v>1</v>
      </c>
    </row>
    <row r="1112" spans="109:120" ht="15">
      <c r="DE1112" s="152"/>
      <c r="DF1112" s="160" t="s">
        <v>3131</v>
      </c>
      <c r="DG1112" s="160" t="s">
        <v>122</v>
      </c>
      <c r="DH1112" s="160" t="s">
        <v>125</v>
      </c>
      <c r="DI1112" s="160" t="s">
        <v>3132</v>
      </c>
      <c r="DJ1112" s="160" t="s">
        <v>3132</v>
      </c>
      <c r="DK1112" s="160" t="s">
        <v>1259</v>
      </c>
      <c r="DL1112" s="160" t="s">
        <v>1260</v>
      </c>
      <c r="DM1112" s="160" t="s">
        <v>1812</v>
      </c>
      <c r="DN1112" s="161" t="s">
        <v>1813</v>
      </c>
      <c r="DP1112" s="130">
        <v>1</v>
      </c>
    </row>
    <row r="1113" spans="109:120" ht="15">
      <c r="DE1113" s="152"/>
      <c r="DF1113" s="160" t="s">
        <v>3133</v>
      </c>
      <c r="DG1113" s="160" t="s">
        <v>122</v>
      </c>
      <c r="DH1113" s="160" t="s">
        <v>125</v>
      </c>
      <c r="DI1113" s="160" t="s">
        <v>3134</v>
      </c>
      <c r="DJ1113" s="160" t="s">
        <v>3134</v>
      </c>
      <c r="DK1113" s="160" t="s">
        <v>1259</v>
      </c>
      <c r="DL1113" s="160" t="s">
        <v>1260</v>
      </c>
      <c r="DM1113" s="160" t="s">
        <v>1812</v>
      </c>
      <c r="DN1113" s="161" t="s">
        <v>1813</v>
      </c>
      <c r="DP1113" s="130">
        <v>1</v>
      </c>
    </row>
    <row r="1114" spans="109:120" ht="15">
      <c r="DE1114" s="152"/>
      <c r="DF1114" s="160" t="s">
        <v>3135</v>
      </c>
      <c r="DG1114" s="160" t="s">
        <v>122</v>
      </c>
      <c r="DH1114" s="160" t="s">
        <v>125</v>
      </c>
      <c r="DI1114" s="160" t="s">
        <v>3136</v>
      </c>
      <c r="DJ1114" s="160" t="s">
        <v>3136</v>
      </c>
      <c r="DK1114" s="160" t="s">
        <v>1259</v>
      </c>
      <c r="DL1114" s="160" t="s">
        <v>1260</v>
      </c>
      <c r="DM1114" s="160" t="s">
        <v>1812</v>
      </c>
      <c r="DN1114" s="161" t="s">
        <v>1813</v>
      </c>
      <c r="DP1114" s="130">
        <v>1</v>
      </c>
    </row>
    <row r="1115" spans="109:120" ht="15">
      <c r="DE1115" s="152"/>
      <c r="DF1115" s="160" t="s">
        <v>3137</v>
      </c>
      <c r="DG1115" s="160" t="s">
        <v>122</v>
      </c>
      <c r="DH1115" s="160" t="s">
        <v>125</v>
      </c>
      <c r="DI1115" s="160" t="s">
        <v>3138</v>
      </c>
      <c r="DJ1115" s="160" t="s">
        <v>3138</v>
      </c>
      <c r="DK1115" s="160" t="s">
        <v>1259</v>
      </c>
      <c r="DL1115" s="160" t="s">
        <v>1260</v>
      </c>
      <c r="DM1115" s="160" t="s">
        <v>1812</v>
      </c>
      <c r="DN1115" s="161" t="s">
        <v>1813</v>
      </c>
      <c r="DP1115" s="130">
        <v>1</v>
      </c>
    </row>
    <row r="1116" spans="109:120" ht="15">
      <c r="DE1116" s="152"/>
      <c r="DF1116" s="160" t="s">
        <v>3139</v>
      </c>
      <c r="DG1116" s="160" t="s">
        <v>122</v>
      </c>
      <c r="DH1116" s="160" t="s">
        <v>125</v>
      </c>
      <c r="DI1116" s="160" t="s">
        <v>3140</v>
      </c>
      <c r="DJ1116" s="160" t="s">
        <v>3140</v>
      </c>
      <c r="DK1116" s="160" t="s">
        <v>1259</v>
      </c>
      <c r="DL1116" s="160" t="s">
        <v>1260</v>
      </c>
      <c r="DM1116" s="160" t="s">
        <v>1812</v>
      </c>
      <c r="DN1116" s="161" t="s">
        <v>1813</v>
      </c>
      <c r="DP1116" s="130">
        <v>1</v>
      </c>
    </row>
    <row r="1117" spans="109:120" ht="15">
      <c r="DE1117" s="152"/>
      <c r="DF1117" s="160" t="s">
        <v>3141</v>
      </c>
      <c r="DG1117" s="160" t="s">
        <v>122</v>
      </c>
      <c r="DH1117" s="160" t="s">
        <v>125</v>
      </c>
      <c r="DI1117" s="160" t="s">
        <v>3142</v>
      </c>
      <c r="DJ1117" s="160" t="s">
        <v>3142</v>
      </c>
      <c r="DK1117" s="160" t="s">
        <v>1259</v>
      </c>
      <c r="DL1117" s="160" t="s">
        <v>1260</v>
      </c>
      <c r="DM1117" s="160" t="s">
        <v>1812</v>
      </c>
      <c r="DN1117" s="161" t="s">
        <v>1813</v>
      </c>
      <c r="DP1117" s="130">
        <v>1</v>
      </c>
    </row>
    <row r="1118" spans="109:120" ht="15">
      <c r="DE1118" s="152"/>
      <c r="DF1118" s="160" t="s">
        <v>3143</v>
      </c>
      <c r="DG1118" s="160" t="s">
        <v>122</v>
      </c>
      <c r="DH1118" s="160" t="s">
        <v>125</v>
      </c>
      <c r="DI1118" s="160" t="s">
        <v>3144</v>
      </c>
      <c r="DJ1118" s="160" t="s">
        <v>3144</v>
      </c>
      <c r="DK1118" s="160" t="s">
        <v>1259</v>
      </c>
      <c r="DL1118" s="160" t="s">
        <v>1260</v>
      </c>
      <c r="DM1118" s="160" t="s">
        <v>1812</v>
      </c>
      <c r="DN1118" s="161" t="s">
        <v>1813</v>
      </c>
      <c r="DP1118" s="130">
        <v>1</v>
      </c>
    </row>
    <row r="1119" spans="109:120" ht="15">
      <c r="DE1119" s="152"/>
      <c r="DF1119" s="160" t="s">
        <v>3145</v>
      </c>
      <c r="DG1119" s="160" t="s">
        <v>122</v>
      </c>
      <c r="DH1119" s="160" t="s">
        <v>125</v>
      </c>
      <c r="DI1119" s="160" t="s">
        <v>3146</v>
      </c>
      <c r="DJ1119" s="160" t="s">
        <v>3146</v>
      </c>
      <c r="DK1119" s="160" t="s">
        <v>1259</v>
      </c>
      <c r="DL1119" s="160" t="s">
        <v>1260</v>
      </c>
      <c r="DM1119" s="160" t="s">
        <v>1812</v>
      </c>
      <c r="DN1119" s="161" t="s">
        <v>1813</v>
      </c>
      <c r="DP1119" s="130">
        <v>1</v>
      </c>
    </row>
    <row r="1120" spans="109:120" ht="15">
      <c r="DE1120" s="152"/>
      <c r="DF1120" s="160" t="s">
        <v>3147</v>
      </c>
      <c r="DG1120" s="160" t="s">
        <v>122</v>
      </c>
      <c r="DH1120" s="160" t="s">
        <v>125</v>
      </c>
      <c r="DI1120" s="160" t="s">
        <v>3148</v>
      </c>
      <c r="DJ1120" s="160" t="s">
        <v>3148</v>
      </c>
      <c r="DK1120" s="160" t="s">
        <v>1259</v>
      </c>
      <c r="DL1120" s="160" t="s">
        <v>1260</v>
      </c>
      <c r="DM1120" s="160" t="s">
        <v>1812</v>
      </c>
      <c r="DN1120" s="161" t="s">
        <v>1813</v>
      </c>
      <c r="DP1120" s="130">
        <v>1</v>
      </c>
    </row>
    <row r="1121" spans="109:120" ht="15">
      <c r="DE1121" s="152"/>
      <c r="DF1121" s="160" t="s">
        <v>3149</v>
      </c>
      <c r="DG1121" s="160" t="s">
        <v>122</v>
      </c>
      <c r="DH1121" s="160" t="s">
        <v>125</v>
      </c>
      <c r="DI1121" s="160" t="s">
        <v>3150</v>
      </c>
      <c r="DJ1121" s="160" t="s">
        <v>3150</v>
      </c>
      <c r="DK1121" s="160" t="s">
        <v>1259</v>
      </c>
      <c r="DL1121" s="160" t="s">
        <v>1260</v>
      </c>
      <c r="DM1121" s="160" t="s">
        <v>1812</v>
      </c>
      <c r="DN1121" s="161" t="s">
        <v>1813</v>
      </c>
      <c r="DP1121" s="130">
        <v>1</v>
      </c>
    </row>
    <row r="1122" spans="109:120" ht="15">
      <c r="DE1122" s="152"/>
      <c r="DF1122" s="160" t="s">
        <v>3151</v>
      </c>
      <c r="DG1122" s="160" t="s">
        <v>122</v>
      </c>
      <c r="DH1122" s="160" t="s">
        <v>125</v>
      </c>
      <c r="DI1122" s="160" t="s">
        <v>3152</v>
      </c>
      <c r="DJ1122" s="160" t="s">
        <v>3152</v>
      </c>
      <c r="DK1122" s="160" t="s">
        <v>1259</v>
      </c>
      <c r="DL1122" s="160" t="s">
        <v>1260</v>
      </c>
      <c r="DM1122" s="160" t="s">
        <v>1812</v>
      </c>
      <c r="DN1122" s="161" t="s">
        <v>1813</v>
      </c>
      <c r="DP1122" s="130">
        <v>1</v>
      </c>
    </row>
    <row r="1123" spans="109:120" ht="15">
      <c r="DE1123" s="152"/>
      <c r="DF1123" s="160" t="s">
        <v>3153</v>
      </c>
      <c r="DG1123" s="160" t="s">
        <v>122</v>
      </c>
      <c r="DH1123" s="160" t="s">
        <v>125</v>
      </c>
      <c r="DI1123" s="160" t="s">
        <v>3154</v>
      </c>
      <c r="DJ1123" s="160" t="s">
        <v>3154</v>
      </c>
      <c r="DK1123" s="160" t="s">
        <v>1259</v>
      </c>
      <c r="DL1123" s="160" t="s">
        <v>1260</v>
      </c>
      <c r="DM1123" s="160" t="s">
        <v>1812</v>
      </c>
      <c r="DN1123" s="161" t="s">
        <v>1813</v>
      </c>
      <c r="DP1123" s="130">
        <v>1</v>
      </c>
    </row>
    <row r="1124" spans="109:120" ht="15">
      <c r="DE1124" s="152"/>
      <c r="DF1124" s="160" t="s">
        <v>3155</v>
      </c>
      <c r="DG1124" s="160" t="s">
        <v>122</v>
      </c>
      <c r="DH1124" s="160" t="s">
        <v>125</v>
      </c>
      <c r="DI1124" s="160" t="s">
        <v>3156</v>
      </c>
      <c r="DJ1124" s="160" t="s">
        <v>3156</v>
      </c>
      <c r="DK1124" s="160" t="s">
        <v>1259</v>
      </c>
      <c r="DL1124" s="160" t="s">
        <v>1260</v>
      </c>
      <c r="DM1124" s="160" t="s">
        <v>1812</v>
      </c>
      <c r="DN1124" s="161" t="s">
        <v>1813</v>
      </c>
      <c r="DP1124" s="130">
        <v>1</v>
      </c>
    </row>
    <row r="1125" spans="109:120" ht="15">
      <c r="DE1125" s="152"/>
      <c r="DF1125" s="160" t="s">
        <v>3157</v>
      </c>
      <c r="DG1125" s="160" t="s">
        <v>122</v>
      </c>
      <c r="DH1125" s="160" t="s">
        <v>125</v>
      </c>
      <c r="DI1125" s="160" t="s">
        <v>3158</v>
      </c>
      <c r="DJ1125" s="160" t="s">
        <v>3158</v>
      </c>
      <c r="DK1125" s="160" t="s">
        <v>1259</v>
      </c>
      <c r="DL1125" s="160" t="s">
        <v>1260</v>
      </c>
      <c r="DM1125" s="160" t="s">
        <v>1812</v>
      </c>
      <c r="DN1125" s="161" t="s">
        <v>1813</v>
      </c>
      <c r="DP1125" s="130">
        <v>1</v>
      </c>
    </row>
    <row r="1126" spans="109:120" ht="15">
      <c r="DE1126" s="152"/>
      <c r="DF1126" s="160" t="s">
        <v>3159</v>
      </c>
      <c r="DG1126" s="160" t="s">
        <v>122</v>
      </c>
      <c r="DH1126" s="160" t="s">
        <v>125</v>
      </c>
      <c r="DI1126" s="160" t="s">
        <v>3160</v>
      </c>
      <c r="DJ1126" s="160" t="s">
        <v>3160</v>
      </c>
      <c r="DK1126" s="160" t="s">
        <v>1259</v>
      </c>
      <c r="DL1126" s="160" t="s">
        <v>1260</v>
      </c>
      <c r="DM1126" s="160" t="s">
        <v>1812</v>
      </c>
      <c r="DN1126" s="161" t="s">
        <v>1813</v>
      </c>
      <c r="DP1126" s="130">
        <v>1</v>
      </c>
    </row>
    <row r="1127" spans="109:120" ht="15">
      <c r="DE1127" s="152"/>
      <c r="DF1127" s="160" t="s">
        <v>3161</v>
      </c>
      <c r="DG1127" s="160" t="s">
        <v>122</v>
      </c>
      <c r="DH1127" s="160" t="s">
        <v>125</v>
      </c>
      <c r="DI1127" s="160" t="s">
        <v>3162</v>
      </c>
      <c r="DJ1127" s="160" t="s">
        <v>3162</v>
      </c>
      <c r="DK1127" s="160" t="s">
        <v>1259</v>
      </c>
      <c r="DL1127" s="160" t="s">
        <v>1260</v>
      </c>
      <c r="DM1127" s="160" t="s">
        <v>1812</v>
      </c>
      <c r="DN1127" s="161" t="s">
        <v>1813</v>
      </c>
      <c r="DP1127" s="130">
        <v>1</v>
      </c>
    </row>
    <row r="1128" spans="109:120" ht="15">
      <c r="DE1128" s="152"/>
      <c r="DF1128" s="160" t="s">
        <v>3163</v>
      </c>
      <c r="DG1128" s="160" t="s">
        <v>122</v>
      </c>
      <c r="DH1128" s="160" t="s">
        <v>125</v>
      </c>
      <c r="DI1128" s="160" t="s">
        <v>3164</v>
      </c>
      <c r="DJ1128" s="160" t="s">
        <v>3164</v>
      </c>
      <c r="DK1128" s="160" t="s">
        <v>1259</v>
      </c>
      <c r="DL1128" s="160" t="s">
        <v>1260</v>
      </c>
      <c r="DM1128" s="160" t="s">
        <v>1812</v>
      </c>
      <c r="DN1128" s="161" t="s">
        <v>1813</v>
      </c>
      <c r="DP1128" s="130">
        <v>1</v>
      </c>
    </row>
    <row r="1129" spans="109:120" ht="15">
      <c r="DE1129" s="152"/>
      <c r="DF1129" s="160" t="s">
        <v>3165</v>
      </c>
      <c r="DG1129" s="160" t="s">
        <v>122</v>
      </c>
      <c r="DH1129" s="160" t="s">
        <v>125</v>
      </c>
      <c r="DI1129" s="160" t="s">
        <v>3166</v>
      </c>
      <c r="DJ1129" s="160" t="s">
        <v>3166</v>
      </c>
      <c r="DK1129" s="160" t="s">
        <v>1259</v>
      </c>
      <c r="DL1129" s="160" t="s">
        <v>1260</v>
      </c>
      <c r="DM1129" s="160" t="s">
        <v>1812</v>
      </c>
      <c r="DN1129" s="161" t="s">
        <v>1813</v>
      </c>
      <c r="DP1129" s="130">
        <v>1</v>
      </c>
    </row>
    <row r="1130" spans="109:120" ht="15">
      <c r="DE1130" s="152"/>
      <c r="DF1130" s="160" t="s">
        <v>3167</v>
      </c>
      <c r="DG1130" s="160" t="s">
        <v>122</v>
      </c>
      <c r="DH1130" s="160" t="s">
        <v>125</v>
      </c>
      <c r="DI1130" s="160" t="s">
        <v>3168</v>
      </c>
      <c r="DJ1130" s="160" t="s">
        <v>3168</v>
      </c>
      <c r="DK1130" s="160" t="s">
        <v>1259</v>
      </c>
      <c r="DL1130" s="160" t="s">
        <v>1260</v>
      </c>
      <c r="DM1130" s="160" t="s">
        <v>1812</v>
      </c>
      <c r="DN1130" s="161" t="s">
        <v>1813</v>
      </c>
      <c r="DP1130" s="130">
        <v>1</v>
      </c>
    </row>
    <row r="1131" spans="109:120" ht="15">
      <c r="DE1131" s="152"/>
      <c r="DF1131" s="160" t="s">
        <v>3169</v>
      </c>
      <c r="DG1131" s="160" t="s">
        <v>122</v>
      </c>
      <c r="DH1131" s="160" t="s">
        <v>125</v>
      </c>
      <c r="DI1131" s="160" t="s">
        <v>3170</v>
      </c>
      <c r="DJ1131" s="160" t="s">
        <v>3170</v>
      </c>
      <c r="DK1131" s="160" t="s">
        <v>1259</v>
      </c>
      <c r="DL1131" s="160" t="s">
        <v>1260</v>
      </c>
      <c r="DM1131" s="160" t="s">
        <v>1812</v>
      </c>
      <c r="DN1131" s="161" t="s">
        <v>1813</v>
      </c>
      <c r="DP1131" s="130">
        <v>1</v>
      </c>
    </row>
    <row r="1132" spans="109:120" ht="15">
      <c r="DE1132" s="152"/>
      <c r="DF1132" s="160" t="s">
        <v>3171</v>
      </c>
      <c r="DG1132" s="160" t="s">
        <v>122</v>
      </c>
      <c r="DH1132" s="160" t="s">
        <v>125</v>
      </c>
      <c r="DI1132" s="160" t="s">
        <v>3172</v>
      </c>
      <c r="DJ1132" s="160" t="s">
        <v>3172</v>
      </c>
      <c r="DK1132" s="160" t="s">
        <v>1259</v>
      </c>
      <c r="DL1132" s="160" t="s">
        <v>1260</v>
      </c>
      <c r="DM1132" s="160" t="s">
        <v>1812</v>
      </c>
      <c r="DN1132" s="161" t="s">
        <v>1813</v>
      </c>
      <c r="DP1132" s="130">
        <v>1</v>
      </c>
    </row>
    <row r="1133" spans="109:120" ht="15">
      <c r="DE1133" s="152"/>
      <c r="DF1133" s="160" t="s">
        <v>3173</v>
      </c>
      <c r="DG1133" s="160" t="s">
        <v>122</v>
      </c>
      <c r="DH1133" s="160" t="s">
        <v>125</v>
      </c>
      <c r="DI1133" s="160" t="s">
        <v>3174</v>
      </c>
      <c r="DJ1133" s="160" t="s">
        <v>3174</v>
      </c>
      <c r="DK1133" s="160" t="s">
        <v>1259</v>
      </c>
      <c r="DL1133" s="160" t="s">
        <v>1260</v>
      </c>
      <c r="DM1133" s="160" t="s">
        <v>1812</v>
      </c>
      <c r="DN1133" s="161" t="s">
        <v>1813</v>
      </c>
      <c r="DP1133" s="130">
        <v>1</v>
      </c>
    </row>
    <row r="1134" spans="109:120" ht="15">
      <c r="DE1134" s="152"/>
      <c r="DF1134" s="160" t="s">
        <v>3175</v>
      </c>
      <c r="DG1134" s="160" t="s">
        <v>122</v>
      </c>
      <c r="DH1134" s="160" t="s">
        <v>125</v>
      </c>
      <c r="DI1134" s="160" t="s">
        <v>3176</v>
      </c>
      <c r="DJ1134" s="160" t="s">
        <v>3176</v>
      </c>
      <c r="DK1134" s="160" t="s">
        <v>1259</v>
      </c>
      <c r="DL1134" s="160" t="s">
        <v>1260</v>
      </c>
      <c r="DM1134" s="160" t="s">
        <v>1812</v>
      </c>
      <c r="DN1134" s="161" t="s">
        <v>1813</v>
      </c>
      <c r="DP1134" s="130">
        <v>1</v>
      </c>
    </row>
    <row r="1135" spans="109:120" ht="15">
      <c r="DE1135" s="152"/>
      <c r="DF1135" s="160" t="s">
        <v>3177</v>
      </c>
      <c r="DG1135" s="160" t="s">
        <v>122</v>
      </c>
      <c r="DH1135" s="160" t="s">
        <v>125</v>
      </c>
      <c r="DI1135" s="160" t="s">
        <v>3178</v>
      </c>
      <c r="DJ1135" s="160" t="s">
        <v>3178</v>
      </c>
      <c r="DK1135" s="160" t="s">
        <v>1259</v>
      </c>
      <c r="DL1135" s="160" t="s">
        <v>1260</v>
      </c>
      <c r="DM1135" s="160" t="s">
        <v>1812</v>
      </c>
      <c r="DN1135" s="161" t="s">
        <v>1813</v>
      </c>
      <c r="DP1135" s="130">
        <v>1</v>
      </c>
    </row>
    <row r="1136" spans="109:120" ht="15">
      <c r="DE1136" s="152"/>
      <c r="DF1136" s="160" t="s">
        <v>3179</v>
      </c>
      <c r="DG1136" s="160" t="s">
        <v>122</v>
      </c>
      <c r="DH1136" s="160" t="s">
        <v>125</v>
      </c>
      <c r="DI1136" s="160" t="s">
        <v>3180</v>
      </c>
      <c r="DJ1136" s="160" t="s">
        <v>3180</v>
      </c>
      <c r="DK1136" s="160" t="s">
        <v>1259</v>
      </c>
      <c r="DL1136" s="160" t="s">
        <v>1260</v>
      </c>
      <c r="DM1136" s="160" t="s">
        <v>1812</v>
      </c>
      <c r="DN1136" s="161" t="s">
        <v>1813</v>
      </c>
      <c r="DP1136" s="130">
        <v>1</v>
      </c>
    </row>
    <row r="1137" spans="109:120" ht="15">
      <c r="DE1137" s="152"/>
      <c r="DF1137" s="160" t="s">
        <v>3181</v>
      </c>
      <c r="DG1137" s="160" t="s">
        <v>122</v>
      </c>
      <c r="DH1137" s="160" t="s">
        <v>125</v>
      </c>
      <c r="DI1137" s="160" t="s">
        <v>3182</v>
      </c>
      <c r="DJ1137" s="160" t="s">
        <v>3182</v>
      </c>
      <c r="DK1137" s="160" t="s">
        <v>1259</v>
      </c>
      <c r="DL1137" s="160" t="s">
        <v>1260</v>
      </c>
      <c r="DM1137" s="160" t="s">
        <v>1812</v>
      </c>
      <c r="DN1137" s="161" t="s">
        <v>1813</v>
      </c>
      <c r="DP1137" s="130">
        <v>1</v>
      </c>
    </row>
    <row r="1138" spans="109:120" ht="15">
      <c r="DE1138" s="152"/>
      <c r="DF1138" s="160" t="s">
        <v>3183</v>
      </c>
      <c r="DG1138" s="160" t="s">
        <v>122</v>
      </c>
      <c r="DH1138" s="160" t="s">
        <v>125</v>
      </c>
      <c r="DI1138" s="160" t="s">
        <v>3184</v>
      </c>
      <c r="DJ1138" s="160" t="s">
        <v>3184</v>
      </c>
      <c r="DK1138" s="160" t="s">
        <v>1259</v>
      </c>
      <c r="DL1138" s="160" t="s">
        <v>1260</v>
      </c>
      <c r="DM1138" s="160" t="s">
        <v>1812</v>
      </c>
      <c r="DN1138" s="161" t="s">
        <v>1813</v>
      </c>
      <c r="DP1138" s="130">
        <v>1</v>
      </c>
    </row>
    <row r="1139" spans="109:120" ht="15">
      <c r="DE1139" s="152"/>
      <c r="DF1139" s="160" t="s">
        <v>3185</v>
      </c>
      <c r="DG1139" s="160" t="s">
        <v>122</v>
      </c>
      <c r="DH1139" s="160" t="s">
        <v>125</v>
      </c>
      <c r="DI1139" s="160" t="s">
        <v>3186</v>
      </c>
      <c r="DJ1139" s="160" t="s">
        <v>3186</v>
      </c>
      <c r="DK1139" s="160" t="s">
        <v>1259</v>
      </c>
      <c r="DL1139" s="160" t="s">
        <v>1260</v>
      </c>
      <c r="DM1139" s="160" t="s">
        <v>1812</v>
      </c>
      <c r="DN1139" s="161" t="s">
        <v>1813</v>
      </c>
      <c r="DP1139" s="130">
        <v>1</v>
      </c>
    </row>
    <row r="1140" spans="109:120" ht="15">
      <c r="DE1140" s="152"/>
      <c r="DF1140" s="160" t="s">
        <v>3187</v>
      </c>
      <c r="DG1140" s="160" t="s">
        <v>122</v>
      </c>
      <c r="DH1140" s="160" t="s">
        <v>125</v>
      </c>
      <c r="DI1140" s="160" t="s">
        <v>3188</v>
      </c>
      <c r="DJ1140" s="160" t="s">
        <v>3188</v>
      </c>
      <c r="DK1140" s="160" t="s">
        <v>1259</v>
      </c>
      <c r="DL1140" s="160" t="s">
        <v>1260</v>
      </c>
      <c r="DM1140" s="160" t="s">
        <v>1812</v>
      </c>
      <c r="DN1140" s="161" t="s">
        <v>1813</v>
      </c>
      <c r="DP1140" s="130">
        <v>1</v>
      </c>
    </row>
    <row r="1141" spans="109:120" ht="15">
      <c r="DE1141" s="152"/>
      <c r="DF1141" s="160" t="s">
        <v>3189</v>
      </c>
      <c r="DG1141" s="160" t="s">
        <v>122</v>
      </c>
      <c r="DH1141" s="160" t="s">
        <v>125</v>
      </c>
      <c r="DI1141" s="160" t="s">
        <v>3190</v>
      </c>
      <c r="DJ1141" s="160" t="s">
        <v>3190</v>
      </c>
      <c r="DK1141" s="160" t="s">
        <v>1259</v>
      </c>
      <c r="DL1141" s="160" t="s">
        <v>1260</v>
      </c>
      <c r="DM1141" s="160" t="s">
        <v>1812</v>
      </c>
      <c r="DN1141" s="161" t="s">
        <v>1813</v>
      </c>
      <c r="DP1141" s="130">
        <v>1</v>
      </c>
    </row>
    <row r="1142" spans="109:120" ht="15">
      <c r="DE1142" s="152"/>
      <c r="DF1142" s="160" t="s">
        <v>3191</v>
      </c>
      <c r="DG1142" s="160" t="s">
        <v>122</v>
      </c>
      <c r="DH1142" s="160" t="s">
        <v>125</v>
      </c>
      <c r="DI1142" s="160" t="s">
        <v>3192</v>
      </c>
      <c r="DJ1142" s="160" t="s">
        <v>3192</v>
      </c>
      <c r="DK1142" s="160" t="s">
        <v>1259</v>
      </c>
      <c r="DL1142" s="160" t="s">
        <v>1260</v>
      </c>
      <c r="DM1142" s="160" t="s">
        <v>1812</v>
      </c>
      <c r="DN1142" s="161" t="s">
        <v>1813</v>
      </c>
      <c r="DP1142" s="130">
        <v>1</v>
      </c>
    </row>
    <row r="1143" spans="109:120" ht="15">
      <c r="DE1143" s="152"/>
      <c r="DF1143" s="160" t="s">
        <v>3193</v>
      </c>
      <c r="DG1143" s="160" t="s">
        <v>122</v>
      </c>
      <c r="DH1143" s="160" t="s">
        <v>125</v>
      </c>
      <c r="DI1143" s="160" t="s">
        <v>3194</v>
      </c>
      <c r="DJ1143" s="160" t="s">
        <v>3194</v>
      </c>
      <c r="DK1143" s="160" t="s">
        <v>1259</v>
      </c>
      <c r="DL1143" s="160" t="s">
        <v>1260</v>
      </c>
      <c r="DM1143" s="160" t="s">
        <v>1812</v>
      </c>
      <c r="DN1143" s="161" t="s">
        <v>1813</v>
      </c>
      <c r="DP1143" s="130">
        <v>1</v>
      </c>
    </row>
    <row r="1144" spans="109:120" ht="15">
      <c r="DE1144" s="152"/>
      <c r="DF1144" s="160" t="s">
        <v>3195</v>
      </c>
      <c r="DG1144" s="160" t="s">
        <v>122</v>
      </c>
      <c r="DH1144" s="160" t="s">
        <v>125</v>
      </c>
      <c r="DI1144" s="160" t="s">
        <v>3196</v>
      </c>
      <c r="DJ1144" s="160" t="s">
        <v>3196</v>
      </c>
      <c r="DK1144" s="160" t="s">
        <v>1259</v>
      </c>
      <c r="DL1144" s="160" t="s">
        <v>1260</v>
      </c>
      <c r="DM1144" s="160" t="s">
        <v>1812</v>
      </c>
      <c r="DN1144" s="161" t="s">
        <v>1813</v>
      </c>
      <c r="DP1144" s="130">
        <v>1</v>
      </c>
    </row>
    <row r="1145" spans="109:120" ht="15">
      <c r="DE1145" s="152"/>
      <c r="DF1145" s="160" t="s">
        <v>3197</v>
      </c>
      <c r="DG1145" s="160" t="s">
        <v>122</v>
      </c>
      <c r="DH1145" s="160" t="s">
        <v>125</v>
      </c>
      <c r="DI1145" s="160" t="s">
        <v>3198</v>
      </c>
      <c r="DJ1145" s="160" t="s">
        <v>3198</v>
      </c>
      <c r="DK1145" s="160" t="s">
        <v>1259</v>
      </c>
      <c r="DL1145" s="160" t="s">
        <v>1260</v>
      </c>
      <c r="DM1145" s="160" t="s">
        <v>1812</v>
      </c>
      <c r="DN1145" s="161" t="s">
        <v>1813</v>
      </c>
      <c r="DP1145" s="130">
        <v>1</v>
      </c>
    </row>
    <row r="1146" spans="109:120" ht="15">
      <c r="DE1146" s="152"/>
      <c r="DF1146" s="160" t="s">
        <v>3199</v>
      </c>
      <c r="DG1146" s="160" t="s">
        <v>122</v>
      </c>
      <c r="DH1146" s="160" t="s">
        <v>125</v>
      </c>
      <c r="DI1146" s="160" t="s">
        <v>3200</v>
      </c>
      <c r="DJ1146" s="160" t="s">
        <v>3200</v>
      </c>
      <c r="DK1146" s="160" t="s">
        <v>1259</v>
      </c>
      <c r="DL1146" s="160" t="s">
        <v>1260</v>
      </c>
      <c r="DM1146" s="160" t="s">
        <v>1812</v>
      </c>
      <c r="DN1146" s="161" t="s">
        <v>1813</v>
      </c>
      <c r="DP1146" s="130">
        <v>1</v>
      </c>
    </row>
    <row r="1147" spans="109:120" ht="15">
      <c r="DE1147" s="152"/>
      <c r="DF1147" s="160" t="s">
        <v>3201</v>
      </c>
      <c r="DG1147" s="160" t="s">
        <v>122</v>
      </c>
      <c r="DH1147" s="160" t="s">
        <v>125</v>
      </c>
      <c r="DI1147" s="160" t="s">
        <v>3202</v>
      </c>
      <c r="DJ1147" s="160" t="s">
        <v>3202</v>
      </c>
      <c r="DK1147" s="160" t="s">
        <v>1259</v>
      </c>
      <c r="DL1147" s="160" t="s">
        <v>1260</v>
      </c>
      <c r="DM1147" s="160" t="s">
        <v>1812</v>
      </c>
      <c r="DN1147" s="161" t="s">
        <v>1813</v>
      </c>
      <c r="DP1147" s="130">
        <v>1</v>
      </c>
    </row>
    <row r="1148" spans="109:120" ht="15">
      <c r="DE1148" s="152"/>
      <c r="DF1148" s="160" t="s">
        <v>3203</v>
      </c>
      <c r="DG1148" s="160" t="s">
        <v>122</v>
      </c>
      <c r="DH1148" s="160" t="s">
        <v>125</v>
      </c>
      <c r="DI1148" s="160" t="s">
        <v>3204</v>
      </c>
      <c r="DJ1148" s="160" t="s">
        <v>3204</v>
      </c>
      <c r="DK1148" s="160" t="s">
        <v>1259</v>
      </c>
      <c r="DL1148" s="160" t="s">
        <v>1260</v>
      </c>
      <c r="DM1148" s="160" t="s">
        <v>1812</v>
      </c>
      <c r="DN1148" s="161" t="s">
        <v>1813</v>
      </c>
      <c r="DP1148" s="130">
        <v>1</v>
      </c>
    </row>
    <row r="1149" spans="109:120" ht="15">
      <c r="DE1149" s="152"/>
      <c r="DF1149" s="160" t="s">
        <v>3205</v>
      </c>
      <c r="DG1149" s="160" t="s">
        <v>122</v>
      </c>
      <c r="DH1149" s="160" t="s">
        <v>125</v>
      </c>
      <c r="DI1149" s="160" t="s">
        <v>3206</v>
      </c>
      <c r="DJ1149" s="160" t="s">
        <v>3206</v>
      </c>
      <c r="DK1149" s="160" t="s">
        <v>1259</v>
      </c>
      <c r="DL1149" s="160" t="s">
        <v>1260</v>
      </c>
      <c r="DM1149" s="160" t="s">
        <v>1812</v>
      </c>
      <c r="DN1149" s="161" t="s">
        <v>1813</v>
      </c>
      <c r="DP1149" s="130">
        <v>1</v>
      </c>
    </row>
    <row r="1150" spans="109:120" ht="15">
      <c r="DE1150" s="152"/>
      <c r="DF1150" s="160" t="s">
        <v>3207</v>
      </c>
      <c r="DG1150" s="160" t="s">
        <v>122</v>
      </c>
      <c r="DH1150" s="160" t="s">
        <v>125</v>
      </c>
      <c r="DI1150" s="160" t="s">
        <v>3208</v>
      </c>
      <c r="DJ1150" s="160" t="s">
        <v>3208</v>
      </c>
      <c r="DK1150" s="160" t="s">
        <v>1259</v>
      </c>
      <c r="DL1150" s="160" t="s">
        <v>1260</v>
      </c>
      <c r="DM1150" s="160" t="s">
        <v>1812</v>
      </c>
      <c r="DN1150" s="161" t="s">
        <v>1813</v>
      </c>
      <c r="DP1150" s="130">
        <v>1</v>
      </c>
    </row>
    <row r="1151" spans="109:120" ht="15">
      <c r="DE1151" s="152"/>
      <c r="DF1151" s="160" t="s">
        <v>3209</v>
      </c>
      <c r="DG1151" s="160" t="s">
        <v>122</v>
      </c>
      <c r="DH1151" s="160" t="s">
        <v>125</v>
      </c>
      <c r="DI1151" s="160" t="s">
        <v>3210</v>
      </c>
      <c r="DJ1151" s="160" t="s">
        <v>3210</v>
      </c>
      <c r="DK1151" s="160" t="s">
        <v>1259</v>
      </c>
      <c r="DL1151" s="160" t="s">
        <v>1260</v>
      </c>
      <c r="DM1151" s="160" t="s">
        <v>1812</v>
      </c>
      <c r="DN1151" s="161" t="s">
        <v>1813</v>
      </c>
      <c r="DP1151" s="130">
        <v>1</v>
      </c>
    </row>
    <row r="1152" spans="109:120" ht="15">
      <c r="DE1152" s="152"/>
      <c r="DF1152" s="160" t="s">
        <v>3211</v>
      </c>
      <c r="DG1152" s="160" t="s">
        <v>122</v>
      </c>
      <c r="DH1152" s="160" t="s">
        <v>125</v>
      </c>
      <c r="DI1152" s="160" t="s">
        <v>3212</v>
      </c>
      <c r="DJ1152" s="160" t="s">
        <v>3212</v>
      </c>
      <c r="DK1152" s="160" t="s">
        <v>1259</v>
      </c>
      <c r="DL1152" s="160" t="s">
        <v>1260</v>
      </c>
      <c r="DM1152" s="160" t="s">
        <v>1812</v>
      </c>
      <c r="DN1152" s="161" t="s">
        <v>1813</v>
      </c>
      <c r="DP1152" s="130">
        <v>1</v>
      </c>
    </row>
    <row r="1153" spans="109:120" ht="15">
      <c r="DE1153" s="152"/>
      <c r="DF1153" s="160" t="s">
        <v>3213</v>
      </c>
      <c r="DG1153" s="160" t="s">
        <v>122</v>
      </c>
      <c r="DH1153" s="160" t="s">
        <v>125</v>
      </c>
      <c r="DI1153" s="160" t="s">
        <v>3214</v>
      </c>
      <c r="DJ1153" s="160" t="s">
        <v>3214</v>
      </c>
      <c r="DK1153" s="160" t="s">
        <v>1259</v>
      </c>
      <c r="DL1153" s="160" t="s">
        <v>1260</v>
      </c>
      <c r="DM1153" s="160" t="s">
        <v>1812</v>
      </c>
      <c r="DN1153" s="161" t="s">
        <v>1813</v>
      </c>
      <c r="DP1153" s="130">
        <v>1</v>
      </c>
    </row>
    <row r="1154" spans="109:120" ht="15">
      <c r="DE1154" s="152"/>
      <c r="DF1154" s="160" t="s">
        <v>3215</v>
      </c>
      <c r="DG1154" s="160" t="s">
        <v>122</v>
      </c>
      <c r="DH1154" s="160" t="s">
        <v>125</v>
      </c>
      <c r="DI1154" s="160" t="s">
        <v>3216</v>
      </c>
      <c r="DJ1154" s="160" t="s">
        <v>3216</v>
      </c>
      <c r="DK1154" s="160" t="s">
        <v>1259</v>
      </c>
      <c r="DL1154" s="160" t="s">
        <v>1260</v>
      </c>
      <c r="DM1154" s="160" t="s">
        <v>1812</v>
      </c>
      <c r="DN1154" s="161" t="s">
        <v>1813</v>
      </c>
      <c r="DP1154" s="130">
        <v>1</v>
      </c>
    </row>
    <row r="1155" spans="109:120" ht="15">
      <c r="DE1155" s="152"/>
      <c r="DF1155" s="160" t="s">
        <v>3217</v>
      </c>
      <c r="DG1155" s="160" t="s">
        <v>122</v>
      </c>
      <c r="DH1155" s="160" t="s">
        <v>125</v>
      </c>
      <c r="DI1155" s="160" t="s">
        <v>3218</v>
      </c>
      <c r="DJ1155" s="160" t="s">
        <v>3218</v>
      </c>
      <c r="DK1155" s="160" t="s">
        <v>1259</v>
      </c>
      <c r="DL1155" s="160" t="s">
        <v>1260</v>
      </c>
      <c r="DM1155" s="160" t="s">
        <v>1812</v>
      </c>
      <c r="DN1155" s="161" t="s">
        <v>1813</v>
      </c>
      <c r="DP1155" s="130">
        <v>1</v>
      </c>
    </row>
    <row r="1156" spans="109:120" ht="15">
      <c r="DE1156" s="152"/>
      <c r="DF1156" s="160" t="s">
        <v>3219</v>
      </c>
      <c r="DG1156" s="160" t="s">
        <v>122</v>
      </c>
      <c r="DH1156" s="160" t="s">
        <v>125</v>
      </c>
      <c r="DI1156" s="160" t="s">
        <v>3220</v>
      </c>
      <c r="DJ1156" s="160" t="s">
        <v>3220</v>
      </c>
      <c r="DK1156" s="160" t="s">
        <v>1259</v>
      </c>
      <c r="DL1156" s="160" t="s">
        <v>1260</v>
      </c>
      <c r="DM1156" s="160" t="s">
        <v>1812</v>
      </c>
      <c r="DN1156" s="161" t="s">
        <v>1813</v>
      </c>
      <c r="DP1156" s="130">
        <v>1</v>
      </c>
    </row>
    <row r="1157" spans="109:120" ht="15">
      <c r="DE1157" s="152"/>
      <c r="DF1157" s="160" t="s">
        <v>3221</v>
      </c>
      <c r="DG1157" s="160" t="s">
        <v>122</v>
      </c>
      <c r="DH1157" s="160" t="s">
        <v>125</v>
      </c>
      <c r="DI1157" s="160" t="s">
        <v>3222</v>
      </c>
      <c r="DJ1157" s="160" t="s">
        <v>3222</v>
      </c>
      <c r="DK1157" s="160" t="s">
        <v>1259</v>
      </c>
      <c r="DL1157" s="160" t="s">
        <v>1260</v>
      </c>
      <c r="DM1157" s="160" t="s">
        <v>1812</v>
      </c>
      <c r="DN1157" s="161" t="s">
        <v>1813</v>
      </c>
      <c r="DP1157" s="130">
        <v>1</v>
      </c>
    </row>
    <row r="1158" spans="109:120" ht="15">
      <c r="DE1158" s="152"/>
      <c r="DF1158" s="160" t="s">
        <v>3223</v>
      </c>
      <c r="DG1158" s="160" t="s">
        <v>122</v>
      </c>
      <c r="DH1158" s="160" t="s">
        <v>125</v>
      </c>
      <c r="DI1158" s="160" t="s">
        <v>3224</v>
      </c>
      <c r="DJ1158" s="160" t="s">
        <v>3224</v>
      </c>
      <c r="DK1158" s="160" t="s">
        <v>1259</v>
      </c>
      <c r="DL1158" s="160" t="s">
        <v>1260</v>
      </c>
      <c r="DM1158" s="160" t="s">
        <v>1812</v>
      </c>
      <c r="DN1158" s="161" t="s">
        <v>1813</v>
      </c>
      <c r="DP1158" s="130">
        <v>1</v>
      </c>
    </row>
    <row r="1159" spans="109:120" ht="15">
      <c r="DE1159" s="152"/>
      <c r="DF1159" s="160" t="s">
        <v>3225</v>
      </c>
      <c r="DG1159" s="160" t="s">
        <v>122</v>
      </c>
      <c r="DH1159" s="160" t="s">
        <v>125</v>
      </c>
      <c r="DI1159" s="160" t="s">
        <v>3226</v>
      </c>
      <c r="DJ1159" s="160" t="s">
        <v>3226</v>
      </c>
      <c r="DK1159" s="160" t="s">
        <v>1259</v>
      </c>
      <c r="DL1159" s="160" t="s">
        <v>1260</v>
      </c>
      <c r="DM1159" s="160" t="s">
        <v>1812</v>
      </c>
      <c r="DN1159" s="161" t="s">
        <v>1813</v>
      </c>
      <c r="DP1159" s="130">
        <v>1</v>
      </c>
    </row>
    <row r="1160" spans="109:120" ht="15">
      <c r="DE1160" s="152"/>
      <c r="DF1160" s="160" t="s">
        <v>3227</v>
      </c>
      <c r="DG1160" s="160" t="s">
        <v>122</v>
      </c>
      <c r="DH1160" s="160" t="s">
        <v>125</v>
      </c>
      <c r="DI1160" s="160" t="s">
        <v>3228</v>
      </c>
      <c r="DJ1160" s="160" t="s">
        <v>3228</v>
      </c>
      <c r="DK1160" s="160" t="s">
        <v>1259</v>
      </c>
      <c r="DL1160" s="160" t="s">
        <v>1260</v>
      </c>
      <c r="DM1160" s="160" t="s">
        <v>1812</v>
      </c>
      <c r="DN1160" s="161" t="s">
        <v>1813</v>
      </c>
      <c r="DP1160" s="130">
        <v>1</v>
      </c>
    </row>
    <row r="1161" spans="109:120" ht="15">
      <c r="DE1161" s="152"/>
      <c r="DF1161" s="160" t="s">
        <v>3229</v>
      </c>
      <c r="DG1161" s="160" t="s">
        <v>122</v>
      </c>
      <c r="DH1161" s="160" t="s">
        <v>125</v>
      </c>
      <c r="DI1161" s="160" t="s">
        <v>3230</v>
      </c>
      <c r="DJ1161" s="160" t="s">
        <v>3230</v>
      </c>
      <c r="DK1161" s="160" t="s">
        <v>588</v>
      </c>
      <c r="DL1161" s="160" t="s">
        <v>1895</v>
      </c>
      <c r="DM1161" s="160" t="s">
        <v>590</v>
      </c>
      <c r="DN1161" s="161" t="s">
        <v>591</v>
      </c>
      <c r="DP1161" s="130">
        <v>1</v>
      </c>
    </row>
    <row r="1162" spans="109:120" ht="15">
      <c r="DE1162" s="152"/>
      <c r="DF1162" s="160" t="s">
        <v>3231</v>
      </c>
      <c r="DG1162" s="160" t="s">
        <v>122</v>
      </c>
      <c r="DH1162" s="160" t="s">
        <v>125</v>
      </c>
      <c r="DI1162" s="160" t="s">
        <v>3232</v>
      </c>
      <c r="DJ1162" s="160" t="s">
        <v>3232</v>
      </c>
      <c r="DK1162" s="160" t="s">
        <v>1259</v>
      </c>
      <c r="DL1162" s="160" t="s">
        <v>1260</v>
      </c>
      <c r="DM1162" s="160" t="s">
        <v>1812</v>
      </c>
      <c r="DN1162" s="161" t="s">
        <v>1813</v>
      </c>
      <c r="DP1162" s="130">
        <v>1</v>
      </c>
    </row>
    <row r="1163" spans="109:120" ht="15">
      <c r="DE1163" s="152"/>
      <c r="DF1163" s="160" t="s">
        <v>3233</v>
      </c>
      <c r="DG1163" s="160" t="s">
        <v>122</v>
      </c>
      <c r="DH1163" s="160" t="s">
        <v>125</v>
      </c>
      <c r="DI1163" s="160" t="s">
        <v>3234</v>
      </c>
      <c r="DJ1163" s="160" t="s">
        <v>3234</v>
      </c>
      <c r="DK1163" s="160" t="s">
        <v>1259</v>
      </c>
      <c r="DL1163" s="160" t="s">
        <v>1260</v>
      </c>
      <c r="DM1163" s="160" t="s">
        <v>1812</v>
      </c>
      <c r="DN1163" s="161" t="s">
        <v>1813</v>
      </c>
      <c r="DP1163" s="130">
        <v>1</v>
      </c>
    </row>
    <row r="1164" spans="109:120" ht="15">
      <c r="DE1164" s="152"/>
      <c r="DF1164" s="160" t="s">
        <v>3235</v>
      </c>
      <c r="DG1164" s="160" t="s">
        <v>122</v>
      </c>
      <c r="DH1164" s="160" t="s">
        <v>125</v>
      </c>
      <c r="DI1164" s="160" t="s">
        <v>3236</v>
      </c>
      <c r="DJ1164" s="160" t="s">
        <v>3236</v>
      </c>
      <c r="DK1164" s="160" t="s">
        <v>1259</v>
      </c>
      <c r="DL1164" s="160" t="s">
        <v>1260</v>
      </c>
      <c r="DM1164" s="160" t="s">
        <v>1812</v>
      </c>
      <c r="DN1164" s="161" t="s">
        <v>1813</v>
      </c>
      <c r="DP1164" s="130">
        <v>1</v>
      </c>
    </row>
    <row r="1165" spans="109:120" ht="15">
      <c r="DE1165" s="152"/>
      <c r="DF1165" s="160" t="s">
        <v>3237</v>
      </c>
      <c r="DG1165" s="160" t="s">
        <v>122</v>
      </c>
      <c r="DH1165" s="160" t="s">
        <v>125</v>
      </c>
      <c r="DI1165" s="160" t="s">
        <v>3238</v>
      </c>
      <c r="DJ1165" s="160" t="s">
        <v>3238</v>
      </c>
      <c r="DK1165" s="160" t="s">
        <v>1259</v>
      </c>
      <c r="DL1165" s="160" t="s">
        <v>1260</v>
      </c>
      <c r="DM1165" s="160" t="s">
        <v>1812</v>
      </c>
      <c r="DN1165" s="161" t="s">
        <v>1813</v>
      </c>
      <c r="DP1165" s="130">
        <v>1</v>
      </c>
    </row>
    <row r="1166" spans="109:120" ht="15">
      <c r="DE1166" s="152"/>
      <c r="DF1166" s="160" t="s">
        <v>3239</v>
      </c>
      <c r="DG1166" s="160" t="s">
        <v>122</v>
      </c>
      <c r="DH1166" s="160" t="s">
        <v>125</v>
      </c>
      <c r="DI1166" s="160" t="s">
        <v>3240</v>
      </c>
      <c r="DJ1166" s="160" t="s">
        <v>3240</v>
      </c>
      <c r="DK1166" s="160" t="s">
        <v>1259</v>
      </c>
      <c r="DL1166" s="160" t="s">
        <v>1260</v>
      </c>
      <c r="DM1166" s="160" t="s">
        <v>1812</v>
      </c>
      <c r="DN1166" s="161" t="s">
        <v>1813</v>
      </c>
      <c r="DP1166" s="130">
        <v>1</v>
      </c>
    </row>
    <row r="1167" spans="109:120" ht="15">
      <c r="DE1167" s="152"/>
      <c r="DF1167" s="160" t="s">
        <v>3241</v>
      </c>
      <c r="DG1167" s="160" t="s">
        <v>122</v>
      </c>
      <c r="DH1167" s="160" t="s">
        <v>125</v>
      </c>
      <c r="DI1167" s="160" t="s">
        <v>3242</v>
      </c>
      <c r="DJ1167" s="160" t="s">
        <v>3242</v>
      </c>
      <c r="DK1167" s="160" t="s">
        <v>1259</v>
      </c>
      <c r="DL1167" s="160" t="s">
        <v>1260</v>
      </c>
      <c r="DM1167" s="160" t="s">
        <v>1812</v>
      </c>
      <c r="DN1167" s="161" t="s">
        <v>1813</v>
      </c>
      <c r="DP1167" s="130">
        <v>1</v>
      </c>
    </row>
    <row r="1168" spans="109:120" ht="15">
      <c r="DE1168" s="152"/>
      <c r="DF1168" s="160" t="s">
        <v>3243</v>
      </c>
      <c r="DG1168" s="160" t="s">
        <v>122</v>
      </c>
      <c r="DH1168" s="160" t="s">
        <v>125</v>
      </c>
      <c r="DI1168" s="160" t="s">
        <v>3244</v>
      </c>
      <c r="DJ1168" s="160" t="s">
        <v>3244</v>
      </c>
      <c r="DK1168" s="160" t="s">
        <v>1259</v>
      </c>
      <c r="DL1168" s="160" t="s">
        <v>1260</v>
      </c>
      <c r="DM1168" s="160" t="s">
        <v>1812</v>
      </c>
      <c r="DN1168" s="161" t="s">
        <v>1813</v>
      </c>
      <c r="DP1168" s="130">
        <v>1</v>
      </c>
    </row>
    <row r="1169" spans="109:120" ht="15">
      <c r="DE1169" s="152"/>
      <c r="DF1169" s="160" t="s">
        <v>3245</v>
      </c>
      <c r="DG1169" s="160" t="s">
        <v>122</v>
      </c>
      <c r="DH1169" s="160" t="s">
        <v>125</v>
      </c>
      <c r="DI1169" s="160" t="s">
        <v>3246</v>
      </c>
      <c r="DJ1169" s="160" t="s">
        <v>3246</v>
      </c>
      <c r="DK1169" s="160" t="s">
        <v>1259</v>
      </c>
      <c r="DL1169" s="160" t="s">
        <v>1260</v>
      </c>
      <c r="DM1169" s="160" t="s">
        <v>1812</v>
      </c>
      <c r="DN1169" s="161" t="s">
        <v>1813</v>
      </c>
      <c r="DP1169" s="130">
        <v>1</v>
      </c>
    </row>
    <row r="1170" spans="109:120" ht="15">
      <c r="DE1170" s="152"/>
      <c r="DF1170" s="160" t="s">
        <v>3247</v>
      </c>
      <c r="DG1170" s="160" t="s">
        <v>122</v>
      </c>
      <c r="DH1170" s="160" t="s">
        <v>125</v>
      </c>
      <c r="DI1170" s="160" t="s">
        <v>3248</v>
      </c>
      <c r="DJ1170" s="160" t="s">
        <v>3248</v>
      </c>
      <c r="DK1170" s="160" t="s">
        <v>1259</v>
      </c>
      <c r="DL1170" s="160" t="s">
        <v>1260</v>
      </c>
      <c r="DM1170" s="160" t="s">
        <v>1812</v>
      </c>
      <c r="DN1170" s="161" t="s">
        <v>1813</v>
      </c>
      <c r="DP1170" s="130">
        <v>1</v>
      </c>
    </row>
    <row r="1171" spans="109:120" ht="15">
      <c r="DE1171" s="152"/>
      <c r="DF1171" s="160" t="s">
        <v>3249</v>
      </c>
      <c r="DG1171" s="160" t="s">
        <v>122</v>
      </c>
      <c r="DH1171" s="160" t="s">
        <v>125</v>
      </c>
      <c r="DI1171" s="160" t="s">
        <v>3250</v>
      </c>
      <c r="DJ1171" s="160" t="s">
        <v>3250</v>
      </c>
      <c r="DK1171" s="160" t="s">
        <v>1259</v>
      </c>
      <c r="DL1171" s="160" t="s">
        <v>1260</v>
      </c>
      <c r="DM1171" s="160" t="s">
        <v>1812</v>
      </c>
      <c r="DN1171" s="161" t="s">
        <v>1813</v>
      </c>
      <c r="DP1171" s="130">
        <v>1</v>
      </c>
    </row>
    <row r="1172" spans="109:120" ht="15">
      <c r="DE1172" s="152"/>
      <c r="DF1172" s="160" t="s">
        <v>3251</v>
      </c>
      <c r="DG1172" s="160" t="s">
        <v>122</v>
      </c>
      <c r="DH1172" s="160" t="s">
        <v>125</v>
      </c>
      <c r="DI1172" s="160" t="s">
        <v>3252</v>
      </c>
      <c r="DJ1172" s="160" t="s">
        <v>3252</v>
      </c>
      <c r="DK1172" s="160" t="s">
        <v>1259</v>
      </c>
      <c r="DL1172" s="160" t="s">
        <v>1260</v>
      </c>
      <c r="DM1172" s="160" t="s">
        <v>1812</v>
      </c>
      <c r="DN1172" s="161" t="s">
        <v>1813</v>
      </c>
      <c r="DP1172" s="130">
        <v>1</v>
      </c>
    </row>
    <row r="1173" spans="109:120" ht="15">
      <c r="DE1173" s="152"/>
      <c r="DF1173" s="160" t="s">
        <v>3253</v>
      </c>
      <c r="DG1173" s="160" t="s">
        <v>122</v>
      </c>
      <c r="DH1173" s="160" t="s">
        <v>125</v>
      </c>
      <c r="DI1173" s="160" t="s">
        <v>3254</v>
      </c>
      <c r="DJ1173" s="160" t="s">
        <v>3254</v>
      </c>
      <c r="DK1173" s="160" t="s">
        <v>1259</v>
      </c>
      <c r="DL1173" s="160" t="s">
        <v>1260</v>
      </c>
      <c r="DM1173" s="160" t="s">
        <v>1812</v>
      </c>
      <c r="DN1173" s="161" t="s">
        <v>1813</v>
      </c>
      <c r="DP1173" s="130">
        <v>1</v>
      </c>
    </row>
    <row r="1174" spans="109:120" ht="15">
      <c r="DE1174" s="152"/>
      <c r="DF1174" s="160" t="s">
        <v>3255</v>
      </c>
      <c r="DG1174" s="160" t="s">
        <v>122</v>
      </c>
      <c r="DH1174" s="160" t="s">
        <v>125</v>
      </c>
      <c r="DI1174" s="160" t="s">
        <v>3256</v>
      </c>
      <c r="DJ1174" s="160" t="s">
        <v>3256</v>
      </c>
      <c r="DK1174" s="160" t="s">
        <v>1259</v>
      </c>
      <c r="DL1174" s="160" t="s">
        <v>1260</v>
      </c>
      <c r="DM1174" s="160" t="s">
        <v>1812</v>
      </c>
      <c r="DN1174" s="161" t="s">
        <v>1813</v>
      </c>
      <c r="DP1174" s="130">
        <v>1</v>
      </c>
    </row>
    <row r="1175" spans="109:120" ht="15">
      <c r="DE1175" s="152"/>
      <c r="DF1175" s="160" t="s">
        <v>3257</v>
      </c>
      <c r="DG1175" s="160" t="s">
        <v>122</v>
      </c>
      <c r="DH1175" s="160" t="s">
        <v>125</v>
      </c>
      <c r="DI1175" s="160" t="s">
        <v>3258</v>
      </c>
      <c r="DJ1175" s="160" t="s">
        <v>3258</v>
      </c>
      <c r="DK1175" s="160" t="s">
        <v>1259</v>
      </c>
      <c r="DL1175" s="160" t="s">
        <v>1260</v>
      </c>
      <c r="DM1175" s="160" t="s">
        <v>1812</v>
      </c>
      <c r="DN1175" s="161" t="s">
        <v>1813</v>
      </c>
      <c r="DP1175" s="130">
        <v>1</v>
      </c>
    </row>
    <row r="1176" spans="109:120" ht="15">
      <c r="DE1176" s="152"/>
      <c r="DF1176" s="160" t="s">
        <v>3259</v>
      </c>
      <c r="DG1176" s="160" t="s">
        <v>122</v>
      </c>
      <c r="DH1176" s="160" t="s">
        <v>125</v>
      </c>
      <c r="DI1176" s="160" t="s">
        <v>3260</v>
      </c>
      <c r="DJ1176" s="160" t="s">
        <v>3260</v>
      </c>
      <c r="DK1176" s="160" t="s">
        <v>1259</v>
      </c>
      <c r="DL1176" s="160" t="s">
        <v>1260</v>
      </c>
      <c r="DM1176" s="160" t="s">
        <v>1812</v>
      </c>
      <c r="DN1176" s="161" t="s">
        <v>1813</v>
      </c>
      <c r="DP1176" s="130">
        <v>1</v>
      </c>
    </row>
    <row r="1177" spans="109:120" ht="15">
      <c r="DE1177" s="152"/>
      <c r="DF1177" s="160" t="s">
        <v>3261</v>
      </c>
      <c r="DG1177" s="160" t="s">
        <v>122</v>
      </c>
      <c r="DH1177" s="160" t="s">
        <v>125</v>
      </c>
      <c r="DI1177" s="160" t="s">
        <v>3262</v>
      </c>
      <c r="DJ1177" s="160" t="s">
        <v>3262</v>
      </c>
      <c r="DK1177" s="160" t="s">
        <v>1259</v>
      </c>
      <c r="DL1177" s="160" t="s">
        <v>1260</v>
      </c>
      <c r="DM1177" s="160" t="s">
        <v>1812</v>
      </c>
      <c r="DN1177" s="161" t="s">
        <v>1813</v>
      </c>
      <c r="DP1177" s="130">
        <v>1</v>
      </c>
    </row>
    <row r="1178" spans="109:120" ht="15">
      <c r="DE1178" s="152"/>
      <c r="DF1178" s="160" t="s">
        <v>3263</v>
      </c>
      <c r="DG1178" s="160" t="s">
        <v>122</v>
      </c>
      <c r="DH1178" s="160" t="s">
        <v>125</v>
      </c>
      <c r="DI1178" s="160" t="s">
        <v>3264</v>
      </c>
      <c r="DJ1178" s="160" t="s">
        <v>3264</v>
      </c>
      <c r="DK1178" s="160" t="s">
        <v>1259</v>
      </c>
      <c r="DL1178" s="160" t="s">
        <v>1260</v>
      </c>
      <c r="DM1178" s="160" t="s">
        <v>1812</v>
      </c>
      <c r="DN1178" s="161" t="s">
        <v>1813</v>
      </c>
      <c r="DP1178" s="130">
        <v>1</v>
      </c>
    </row>
    <row r="1179" spans="109:120" ht="15">
      <c r="DE1179" s="152"/>
      <c r="DF1179" s="160" t="s">
        <v>3265</v>
      </c>
      <c r="DG1179" s="160" t="s">
        <v>122</v>
      </c>
      <c r="DH1179" s="160" t="s">
        <v>125</v>
      </c>
      <c r="DI1179" s="160" t="s">
        <v>3266</v>
      </c>
      <c r="DJ1179" s="160" t="s">
        <v>3266</v>
      </c>
      <c r="DK1179" s="160" t="s">
        <v>1259</v>
      </c>
      <c r="DL1179" s="160" t="s">
        <v>1260</v>
      </c>
      <c r="DM1179" s="160" t="s">
        <v>1812</v>
      </c>
      <c r="DN1179" s="161" t="s">
        <v>1813</v>
      </c>
      <c r="DP1179" s="130">
        <v>1</v>
      </c>
    </row>
    <row r="1180" spans="109:120" ht="15">
      <c r="DE1180" s="152"/>
      <c r="DF1180" s="160" t="s">
        <v>3267</v>
      </c>
      <c r="DG1180" s="160" t="s">
        <v>122</v>
      </c>
      <c r="DH1180" s="160" t="s">
        <v>125</v>
      </c>
      <c r="DI1180" s="160" t="s">
        <v>3268</v>
      </c>
      <c r="DJ1180" s="160" t="s">
        <v>3268</v>
      </c>
      <c r="DK1180" s="160" t="s">
        <v>1259</v>
      </c>
      <c r="DL1180" s="160" t="s">
        <v>1260</v>
      </c>
      <c r="DM1180" s="160" t="s">
        <v>1812</v>
      </c>
      <c r="DN1180" s="161" t="s">
        <v>1813</v>
      </c>
      <c r="DP1180" s="130">
        <v>1</v>
      </c>
    </row>
    <row r="1181" spans="109:120" ht="15">
      <c r="DE1181" s="152"/>
      <c r="DF1181" s="160" t="s">
        <v>3269</v>
      </c>
      <c r="DG1181" s="160" t="s">
        <v>122</v>
      </c>
      <c r="DH1181" s="160" t="s">
        <v>125</v>
      </c>
      <c r="DI1181" s="160" t="s">
        <v>3270</v>
      </c>
      <c r="DJ1181" s="160" t="s">
        <v>3270</v>
      </c>
      <c r="DK1181" s="160" t="s">
        <v>1259</v>
      </c>
      <c r="DL1181" s="160" t="s">
        <v>1260</v>
      </c>
      <c r="DM1181" s="160" t="s">
        <v>1812</v>
      </c>
      <c r="DN1181" s="161" t="s">
        <v>1813</v>
      </c>
      <c r="DP1181" s="130">
        <v>1</v>
      </c>
    </row>
    <row r="1182" spans="109:120" ht="15">
      <c r="DE1182" s="152"/>
      <c r="DF1182" s="160" t="s">
        <v>3271</v>
      </c>
      <c r="DG1182" s="160" t="s">
        <v>122</v>
      </c>
      <c r="DH1182" s="160" t="s">
        <v>125</v>
      </c>
      <c r="DI1182" s="160" t="s">
        <v>3272</v>
      </c>
      <c r="DJ1182" s="160" t="s">
        <v>3272</v>
      </c>
      <c r="DK1182" s="160" t="s">
        <v>1259</v>
      </c>
      <c r="DL1182" s="160" t="s">
        <v>1260</v>
      </c>
      <c r="DM1182" s="160" t="s">
        <v>1812</v>
      </c>
      <c r="DN1182" s="161" t="s">
        <v>1813</v>
      </c>
      <c r="DP1182" s="130">
        <v>1</v>
      </c>
    </row>
    <row r="1183" spans="109:120" ht="15">
      <c r="DE1183" s="152"/>
      <c r="DF1183" s="160" t="s">
        <v>3273</v>
      </c>
      <c r="DG1183" s="160" t="s">
        <v>122</v>
      </c>
      <c r="DH1183" s="160" t="s">
        <v>125</v>
      </c>
      <c r="DI1183" s="160" t="s">
        <v>3274</v>
      </c>
      <c r="DJ1183" s="160" t="s">
        <v>3274</v>
      </c>
      <c r="DK1183" s="160" t="s">
        <v>1259</v>
      </c>
      <c r="DL1183" s="160" t="s">
        <v>1260</v>
      </c>
      <c r="DM1183" s="160" t="s">
        <v>1812</v>
      </c>
      <c r="DN1183" s="161" t="s">
        <v>1813</v>
      </c>
      <c r="DP1183" s="130">
        <v>1</v>
      </c>
    </row>
    <row r="1184" spans="109:120" ht="15">
      <c r="DE1184" s="152"/>
      <c r="DF1184" s="160" t="s">
        <v>3275</v>
      </c>
      <c r="DG1184" s="160" t="s">
        <v>122</v>
      </c>
      <c r="DH1184" s="160" t="s">
        <v>125</v>
      </c>
      <c r="DI1184" s="160" t="s">
        <v>3276</v>
      </c>
      <c r="DJ1184" s="160" t="s">
        <v>3276</v>
      </c>
      <c r="DK1184" s="160" t="s">
        <v>1259</v>
      </c>
      <c r="DL1184" s="160" t="s">
        <v>1260</v>
      </c>
      <c r="DM1184" s="160" t="s">
        <v>1812</v>
      </c>
      <c r="DN1184" s="161" t="s">
        <v>1813</v>
      </c>
      <c r="DP1184" s="130">
        <v>1</v>
      </c>
    </row>
    <row r="1185" spans="109:120" ht="15">
      <c r="DE1185" s="152"/>
      <c r="DF1185" s="160" t="s">
        <v>3277</v>
      </c>
      <c r="DG1185" s="160" t="s">
        <v>122</v>
      </c>
      <c r="DH1185" s="160" t="s">
        <v>125</v>
      </c>
      <c r="DI1185" s="160" t="s">
        <v>3278</v>
      </c>
      <c r="DJ1185" s="160" t="s">
        <v>3278</v>
      </c>
      <c r="DK1185" s="160" t="s">
        <v>666</v>
      </c>
      <c r="DL1185" s="160" t="s">
        <v>667</v>
      </c>
      <c r="DM1185" s="160" t="s">
        <v>590</v>
      </c>
      <c r="DN1185" s="161" t="s">
        <v>668</v>
      </c>
      <c r="DP1185" s="130">
        <v>1</v>
      </c>
    </row>
    <row r="1186" spans="109:120" ht="15">
      <c r="DE1186" s="152"/>
      <c r="DF1186" s="160" t="s">
        <v>3279</v>
      </c>
      <c r="DG1186" s="160" t="s">
        <v>122</v>
      </c>
      <c r="DH1186" s="160" t="s">
        <v>125</v>
      </c>
      <c r="DI1186" s="160" t="s">
        <v>3280</v>
      </c>
      <c r="DJ1186" s="160" t="s">
        <v>3280</v>
      </c>
      <c r="DK1186" s="160" t="s">
        <v>1259</v>
      </c>
      <c r="DL1186" s="160" t="s">
        <v>1260</v>
      </c>
      <c r="DM1186" s="160" t="s">
        <v>1812</v>
      </c>
      <c r="DN1186" s="161" t="s">
        <v>1813</v>
      </c>
      <c r="DP1186" s="130">
        <v>1</v>
      </c>
    </row>
    <row r="1187" spans="109:120" ht="15">
      <c r="DE1187" s="152"/>
      <c r="DF1187" s="160" t="s">
        <v>3281</v>
      </c>
      <c r="DG1187" s="160" t="s">
        <v>122</v>
      </c>
      <c r="DH1187" s="160" t="s">
        <v>125</v>
      </c>
      <c r="DI1187" s="160" t="s">
        <v>3282</v>
      </c>
      <c r="DJ1187" s="160" t="s">
        <v>3282</v>
      </c>
      <c r="DK1187" s="160" t="s">
        <v>1259</v>
      </c>
      <c r="DL1187" s="160" t="s">
        <v>1260</v>
      </c>
      <c r="DM1187" s="160" t="s">
        <v>1812</v>
      </c>
      <c r="DN1187" s="161" t="s">
        <v>1813</v>
      </c>
      <c r="DP1187" s="130">
        <v>1</v>
      </c>
    </row>
    <row r="1188" spans="109:120" ht="15">
      <c r="DE1188" s="152"/>
      <c r="DF1188" s="160" t="s">
        <v>3283</v>
      </c>
      <c r="DG1188" s="160" t="s">
        <v>122</v>
      </c>
      <c r="DH1188" s="160" t="s">
        <v>125</v>
      </c>
      <c r="DI1188" s="160" t="s">
        <v>3284</v>
      </c>
      <c r="DJ1188" s="160" t="s">
        <v>3284</v>
      </c>
      <c r="DK1188" s="160" t="s">
        <v>1259</v>
      </c>
      <c r="DL1188" s="160" t="s">
        <v>1260</v>
      </c>
      <c r="DM1188" s="160" t="s">
        <v>1812</v>
      </c>
      <c r="DN1188" s="161" t="s">
        <v>1813</v>
      </c>
      <c r="DP1188" s="130">
        <v>1</v>
      </c>
    </row>
    <row r="1189" spans="109:120" ht="15">
      <c r="DE1189" s="152"/>
      <c r="DF1189" s="160" t="s">
        <v>3285</v>
      </c>
      <c r="DG1189" s="160" t="s">
        <v>122</v>
      </c>
      <c r="DH1189" s="160" t="s">
        <v>125</v>
      </c>
      <c r="DI1189" s="160" t="s">
        <v>3286</v>
      </c>
      <c r="DJ1189" s="160" t="s">
        <v>3286</v>
      </c>
      <c r="DK1189" s="160" t="s">
        <v>1259</v>
      </c>
      <c r="DL1189" s="160" t="s">
        <v>1260</v>
      </c>
      <c r="DM1189" s="160" t="s">
        <v>1812</v>
      </c>
      <c r="DN1189" s="161" t="s">
        <v>1813</v>
      </c>
      <c r="DP1189" s="130">
        <v>1</v>
      </c>
    </row>
    <row r="1190" spans="109:120" ht="15">
      <c r="DE1190" s="152"/>
      <c r="DF1190" s="160" t="s">
        <v>3287</v>
      </c>
      <c r="DG1190" s="160" t="s">
        <v>122</v>
      </c>
      <c r="DH1190" s="160" t="s">
        <v>125</v>
      </c>
      <c r="DI1190" s="160" t="s">
        <v>3288</v>
      </c>
      <c r="DJ1190" s="160" t="s">
        <v>3288</v>
      </c>
      <c r="DK1190" s="160" t="s">
        <v>1259</v>
      </c>
      <c r="DL1190" s="160" t="s">
        <v>1260</v>
      </c>
      <c r="DM1190" s="160" t="s">
        <v>1812</v>
      </c>
      <c r="DN1190" s="161" t="s">
        <v>1813</v>
      </c>
      <c r="DP1190" s="130">
        <v>1</v>
      </c>
    </row>
    <row r="1191" spans="109:120" ht="15">
      <c r="DE1191" s="152"/>
      <c r="DF1191" s="160" t="s">
        <v>3289</v>
      </c>
      <c r="DG1191" s="160" t="s">
        <v>122</v>
      </c>
      <c r="DH1191" s="160" t="s">
        <v>125</v>
      </c>
      <c r="DI1191" s="160" t="s">
        <v>3290</v>
      </c>
      <c r="DJ1191" s="160" t="s">
        <v>3290</v>
      </c>
      <c r="DK1191" s="160" t="s">
        <v>1259</v>
      </c>
      <c r="DL1191" s="160" t="s">
        <v>1260</v>
      </c>
      <c r="DM1191" s="160" t="s">
        <v>1812</v>
      </c>
      <c r="DN1191" s="161" t="s">
        <v>1813</v>
      </c>
      <c r="DP1191" s="130">
        <v>1</v>
      </c>
    </row>
    <row r="1192" spans="109:120" ht="15">
      <c r="DE1192" s="152"/>
      <c r="DF1192" s="160" t="s">
        <v>3291</v>
      </c>
      <c r="DG1192" s="160" t="s">
        <v>122</v>
      </c>
      <c r="DH1192" s="160" t="s">
        <v>125</v>
      </c>
      <c r="DI1192" s="160" t="s">
        <v>3292</v>
      </c>
      <c r="DJ1192" s="160" t="s">
        <v>3292</v>
      </c>
      <c r="DK1192" s="160" t="s">
        <v>1259</v>
      </c>
      <c r="DL1192" s="160" t="s">
        <v>1260</v>
      </c>
      <c r="DM1192" s="160" t="s">
        <v>1812</v>
      </c>
      <c r="DN1192" s="161" t="s">
        <v>1813</v>
      </c>
      <c r="DP1192" s="130">
        <v>1</v>
      </c>
    </row>
    <row r="1193" spans="109:120" ht="15">
      <c r="DE1193" s="152"/>
      <c r="DF1193" s="160" t="s">
        <v>3293</v>
      </c>
      <c r="DG1193" s="160" t="s">
        <v>122</v>
      </c>
      <c r="DH1193" s="160" t="s">
        <v>125</v>
      </c>
      <c r="DI1193" s="160" t="s">
        <v>296</v>
      </c>
      <c r="DJ1193" s="160" t="s">
        <v>296</v>
      </c>
      <c r="DK1193" s="160" t="s">
        <v>1259</v>
      </c>
      <c r="DL1193" s="160" t="s">
        <v>1260</v>
      </c>
      <c r="DM1193" s="160" t="s">
        <v>1812</v>
      </c>
      <c r="DN1193" s="161" t="s">
        <v>1813</v>
      </c>
      <c r="DP1193" s="130">
        <v>1</v>
      </c>
    </row>
    <row r="1194" spans="109:120" ht="15">
      <c r="DE1194" s="152"/>
      <c r="DF1194" s="160" t="s">
        <v>3294</v>
      </c>
      <c r="DG1194" s="160" t="s">
        <v>122</v>
      </c>
      <c r="DH1194" s="160" t="s">
        <v>125</v>
      </c>
      <c r="DI1194" s="160" t="s">
        <v>3295</v>
      </c>
      <c r="DJ1194" s="160" t="s">
        <v>3295</v>
      </c>
      <c r="DK1194" s="160" t="s">
        <v>1259</v>
      </c>
      <c r="DL1194" s="160" t="s">
        <v>1260</v>
      </c>
      <c r="DM1194" s="160" t="s">
        <v>1812</v>
      </c>
      <c r="DN1194" s="161" t="s">
        <v>1813</v>
      </c>
      <c r="DP1194" s="130">
        <v>1</v>
      </c>
    </row>
    <row r="1195" spans="109:120" ht="15">
      <c r="DE1195" s="152"/>
      <c r="DF1195" s="160" t="s">
        <v>3296</v>
      </c>
      <c r="DG1195" s="160" t="s">
        <v>122</v>
      </c>
      <c r="DH1195" s="160" t="s">
        <v>125</v>
      </c>
      <c r="DI1195" s="160" t="s">
        <v>3297</v>
      </c>
      <c r="DJ1195" s="160" t="s">
        <v>3297</v>
      </c>
      <c r="DK1195" s="160" t="s">
        <v>1259</v>
      </c>
      <c r="DL1195" s="160" t="s">
        <v>1260</v>
      </c>
      <c r="DM1195" s="160" t="s">
        <v>1812</v>
      </c>
      <c r="DN1195" s="161" t="s">
        <v>1813</v>
      </c>
      <c r="DP1195" s="130">
        <v>1</v>
      </c>
    </row>
    <row r="1196" spans="109:120" ht="15">
      <c r="DE1196" s="152"/>
      <c r="DF1196" s="160" t="s">
        <v>3298</v>
      </c>
      <c r="DG1196" s="160" t="s">
        <v>122</v>
      </c>
      <c r="DH1196" s="160" t="s">
        <v>125</v>
      </c>
      <c r="DI1196" s="160" t="s">
        <v>297</v>
      </c>
      <c r="DJ1196" s="160" t="s">
        <v>297</v>
      </c>
      <c r="DK1196" s="160" t="s">
        <v>666</v>
      </c>
      <c r="DL1196" s="160" t="s">
        <v>667</v>
      </c>
      <c r="DM1196" s="160" t="s">
        <v>590</v>
      </c>
      <c r="DN1196" s="161" t="s">
        <v>668</v>
      </c>
      <c r="DP1196" s="130">
        <v>1</v>
      </c>
    </row>
    <row r="1197" spans="109:120" ht="15">
      <c r="DE1197" s="152"/>
      <c r="DF1197" s="160" t="s">
        <v>3299</v>
      </c>
      <c r="DG1197" s="160" t="s">
        <v>122</v>
      </c>
      <c r="DH1197" s="160" t="s">
        <v>125</v>
      </c>
      <c r="DI1197" s="160" t="s">
        <v>3300</v>
      </c>
      <c r="DJ1197" s="160" t="s">
        <v>3300</v>
      </c>
      <c r="DK1197" s="160" t="s">
        <v>1259</v>
      </c>
      <c r="DL1197" s="160" t="s">
        <v>1260</v>
      </c>
      <c r="DM1197" s="160" t="s">
        <v>1812</v>
      </c>
      <c r="DN1197" s="161" t="s">
        <v>1813</v>
      </c>
      <c r="DP1197" s="130">
        <v>1</v>
      </c>
    </row>
    <row r="1198" spans="109:120" ht="15">
      <c r="DE1198" s="152"/>
      <c r="DF1198" s="160" t="s">
        <v>3301</v>
      </c>
      <c r="DG1198" s="160" t="s">
        <v>122</v>
      </c>
      <c r="DH1198" s="160" t="s">
        <v>125</v>
      </c>
      <c r="DI1198" s="160" t="s">
        <v>3302</v>
      </c>
      <c r="DJ1198" s="160" t="s">
        <v>3302</v>
      </c>
      <c r="DK1198" s="160" t="s">
        <v>1259</v>
      </c>
      <c r="DL1198" s="160" t="s">
        <v>1260</v>
      </c>
      <c r="DM1198" s="160" t="s">
        <v>1812</v>
      </c>
      <c r="DN1198" s="161" t="s">
        <v>1813</v>
      </c>
      <c r="DP1198" s="130">
        <v>1</v>
      </c>
    </row>
    <row r="1199" spans="109:120" ht="15">
      <c r="DE1199" s="152"/>
      <c r="DF1199" s="160" t="s">
        <v>3303</v>
      </c>
      <c r="DG1199" s="160" t="s">
        <v>122</v>
      </c>
      <c r="DH1199" s="160" t="s">
        <v>125</v>
      </c>
      <c r="DI1199" s="160" t="s">
        <v>3304</v>
      </c>
      <c r="DJ1199" s="160" t="s">
        <v>3304</v>
      </c>
      <c r="DK1199" s="160" t="s">
        <v>1259</v>
      </c>
      <c r="DL1199" s="160" t="s">
        <v>1260</v>
      </c>
      <c r="DM1199" s="160" t="s">
        <v>1812</v>
      </c>
      <c r="DN1199" s="161" t="s">
        <v>1813</v>
      </c>
      <c r="DP1199" s="130">
        <v>1</v>
      </c>
    </row>
    <row r="1200" spans="109:120" ht="15">
      <c r="DE1200" s="152"/>
      <c r="DF1200" s="160" t="s">
        <v>3305</v>
      </c>
      <c r="DG1200" s="160" t="s">
        <v>122</v>
      </c>
      <c r="DH1200" s="160" t="s">
        <v>125</v>
      </c>
      <c r="DI1200" s="160" t="s">
        <v>3306</v>
      </c>
      <c r="DJ1200" s="160" t="s">
        <v>3306</v>
      </c>
      <c r="DK1200" s="160" t="s">
        <v>1259</v>
      </c>
      <c r="DL1200" s="160" t="s">
        <v>1260</v>
      </c>
      <c r="DM1200" s="160" t="s">
        <v>1812</v>
      </c>
      <c r="DN1200" s="161" t="s">
        <v>1813</v>
      </c>
      <c r="DP1200" s="130">
        <v>1</v>
      </c>
    </row>
    <row r="1201" spans="109:120" ht="15">
      <c r="DE1201" s="152"/>
      <c r="DF1201" s="160" t="s">
        <v>3307</v>
      </c>
      <c r="DG1201" s="160" t="s">
        <v>122</v>
      </c>
      <c r="DH1201" s="160" t="s">
        <v>125</v>
      </c>
      <c r="DI1201" s="160" t="s">
        <v>3308</v>
      </c>
      <c r="DJ1201" s="160" t="s">
        <v>3308</v>
      </c>
      <c r="DK1201" s="160" t="s">
        <v>1259</v>
      </c>
      <c r="DL1201" s="160" t="s">
        <v>1260</v>
      </c>
      <c r="DM1201" s="160" t="s">
        <v>1812</v>
      </c>
      <c r="DN1201" s="161" t="s">
        <v>1813</v>
      </c>
      <c r="DP1201" s="130">
        <v>1</v>
      </c>
    </row>
    <row r="1202" spans="109:120" ht="15">
      <c r="DE1202" s="152"/>
      <c r="DF1202" s="160" t="s">
        <v>3309</v>
      </c>
      <c r="DG1202" s="160" t="s">
        <v>122</v>
      </c>
      <c r="DH1202" s="160" t="s">
        <v>125</v>
      </c>
      <c r="DI1202" s="160" t="s">
        <v>3310</v>
      </c>
      <c r="DJ1202" s="160" t="s">
        <v>3310</v>
      </c>
      <c r="DK1202" s="160" t="s">
        <v>1259</v>
      </c>
      <c r="DL1202" s="160" t="s">
        <v>1260</v>
      </c>
      <c r="DM1202" s="160" t="s">
        <v>1812</v>
      </c>
      <c r="DN1202" s="161" t="s">
        <v>1813</v>
      </c>
      <c r="DP1202" s="130">
        <v>1</v>
      </c>
    </row>
    <row r="1203" spans="109:120" ht="15">
      <c r="DE1203" s="152"/>
      <c r="DF1203" s="160" t="s">
        <v>3311</v>
      </c>
      <c r="DG1203" s="160" t="s">
        <v>122</v>
      </c>
      <c r="DH1203" s="160" t="s">
        <v>125</v>
      </c>
      <c r="DI1203" s="160" t="s">
        <v>3312</v>
      </c>
      <c r="DJ1203" s="160" t="s">
        <v>3312</v>
      </c>
      <c r="DK1203" s="160" t="s">
        <v>588</v>
      </c>
      <c r="DL1203" s="160" t="s">
        <v>1895</v>
      </c>
      <c r="DM1203" s="160" t="s">
        <v>590</v>
      </c>
      <c r="DN1203" s="161" t="s">
        <v>591</v>
      </c>
      <c r="DP1203" s="130">
        <v>1</v>
      </c>
    </row>
    <row r="1204" spans="109:120" ht="15">
      <c r="DE1204" s="152"/>
      <c r="DF1204" s="160" t="s">
        <v>3313</v>
      </c>
      <c r="DG1204" s="160" t="s">
        <v>122</v>
      </c>
      <c r="DH1204" s="160" t="s">
        <v>125</v>
      </c>
      <c r="DI1204" s="160" t="s">
        <v>526</v>
      </c>
      <c r="DJ1204" s="160" t="s">
        <v>526</v>
      </c>
      <c r="DK1204" s="160" t="s">
        <v>588</v>
      </c>
      <c r="DL1204" s="160" t="s">
        <v>1895</v>
      </c>
      <c r="DM1204" s="160" t="s">
        <v>590</v>
      </c>
      <c r="DN1204" s="161" t="s">
        <v>591</v>
      </c>
      <c r="DP1204" s="130">
        <v>1</v>
      </c>
    </row>
    <row r="1205" spans="109:120" ht="15">
      <c r="DE1205" s="152"/>
      <c r="DF1205" s="160" t="s">
        <v>3314</v>
      </c>
      <c r="DG1205" s="160" t="s">
        <v>122</v>
      </c>
      <c r="DH1205" s="160" t="s">
        <v>125</v>
      </c>
      <c r="DI1205" s="160" t="s">
        <v>298</v>
      </c>
      <c r="DJ1205" s="160" t="s">
        <v>298</v>
      </c>
      <c r="DK1205" s="160" t="s">
        <v>1259</v>
      </c>
      <c r="DL1205" s="160" t="s">
        <v>1260</v>
      </c>
      <c r="DM1205" s="160" t="s">
        <v>1812</v>
      </c>
      <c r="DN1205" s="161" t="s">
        <v>1813</v>
      </c>
      <c r="DP1205" s="130">
        <v>1</v>
      </c>
    </row>
    <row r="1206" spans="109:120" ht="15">
      <c r="DE1206" s="152"/>
      <c r="DF1206" s="160" t="s">
        <v>3315</v>
      </c>
      <c r="DG1206" s="160" t="s">
        <v>122</v>
      </c>
      <c r="DH1206" s="160" t="s">
        <v>125</v>
      </c>
      <c r="DI1206" s="160" t="s">
        <v>3316</v>
      </c>
      <c r="DJ1206" s="160" t="s">
        <v>3316</v>
      </c>
      <c r="DK1206" s="160" t="s">
        <v>1259</v>
      </c>
      <c r="DL1206" s="160" t="s">
        <v>1260</v>
      </c>
      <c r="DM1206" s="160" t="s">
        <v>1812</v>
      </c>
      <c r="DN1206" s="161" t="s">
        <v>1813</v>
      </c>
      <c r="DP1206" s="130">
        <v>1</v>
      </c>
    </row>
    <row r="1207" spans="109:120" ht="15">
      <c r="DE1207" s="152"/>
      <c r="DF1207" s="160" t="s">
        <v>3317</v>
      </c>
      <c r="DG1207" s="160" t="s">
        <v>122</v>
      </c>
      <c r="DH1207" s="160" t="s">
        <v>125</v>
      </c>
      <c r="DI1207" s="160" t="s">
        <v>3318</v>
      </c>
      <c r="DJ1207" s="160" t="s">
        <v>3318</v>
      </c>
      <c r="DK1207" s="160" t="s">
        <v>1259</v>
      </c>
      <c r="DL1207" s="160" t="s">
        <v>1260</v>
      </c>
      <c r="DM1207" s="160" t="s">
        <v>1812</v>
      </c>
      <c r="DN1207" s="161" t="s">
        <v>1813</v>
      </c>
      <c r="DP1207" s="130">
        <v>1</v>
      </c>
    </row>
    <row r="1208" spans="109:120" ht="15">
      <c r="DE1208" s="152"/>
      <c r="DF1208" s="160" t="s">
        <v>3319</v>
      </c>
      <c r="DG1208" s="160" t="s">
        <v>122</v>
      </c>
      <c r="DH1208" s="160" t="s">
        <v>125</v>
      </c>
      <c r="DI1208" s="160" t="s">
        <v>3320</v>
      </c>
      <c r="DJ1208" s="160" t="s">
        <v>3320</v>
      </c>
      <c r="DK1208" s="160" t="s">
        <v>1259</v>
      </c>
      <c r="DL1208" s="160" t="s">
        <v>1260</v>
      </c>
      <c r="DM1208" s="160" t="s">
        <v>1812</v>
      </c>
      <c r="DN1208" s="161" t="s">
        <v>1813</v>
      </c>
      <c r="DP1208" s="130">
        <v>1</v>
      </c>
    </row>
    <row r="1209" spans="109:120" ht="15">
      <c r="DE1209" s="152"/>
      <c r="DF1209" s="160" t="s">
        <v>3321</v>
      </c>
      <c r="DG1209" s="160" t="s">
        <v>122</v>
      </c>
      <c r="DH1209" s="160" t="s">
        <v>125</v>
      </c>
      <c r="DI1209" s="160" t="s">
        <v>3322</v>
      </c>
      <c r="DJ1209" s="160" t="s">
        <v>3322</v>
      </c>
      <c r="DK1209" s="160" t="s">
        <v>1259</v>
      </c>
      <c r="DL1209" s="160" t="s">
        <v>1260</v>
      </c>
      <c r="DM1209" s="160" t="s">
        <v>1812</v>
      </c>
      <c r="DN1209" s="161" t="s">
        <v>1813</v>
      </c>
      <c r="DP1209" s="130">
        <v>1</v>
      </c>
    </row>
    <row r="1210" spans="109:120" ht="15">
      <c r="DE1210" s="152"/>
      <c r="DF1210" s="160" t="s">
        <v>3323</v>
      </c>
      <c r="DG1210" s="160" t="s">
        <v>122</v>
      </c>
      <c r="DH1210" s="160" t="s">
        <v>125</v>
      </c>
      <c r="DI1210" s="160" t="s">
        <v>3324</v>
      </c>
      <c r="DJ1210" s="160" t="s">
        <v>3324</v>
      </c>
      <c r="DK1210" s="160" t="s">
        <v>1259</v>
      </c>
      <c r="DL1210" s="160" t="s">
        <v>1260</v>
      </c>
      <c r="DM1210" s="160" t="s">
        <v>1812</v>
      </c>
      <c r="DN1210" s="161" t="s">
        <v>1813</v>
      </c>
      <c r="DP1210" s="130">
        <v>1</v>
      </c>
    </row>
    <row r="1211" spans="109:120" ht="15">
      <c r="DE1211" s="152"/>
      <c r="DF1211" s="160" t="s">
        <v>3325</v>
      </c>
      <c r="DG1211" s="160" t="s">
        <v>122</v>
      </c>
      <c r="DH1211" s="160" t="s">
        <v>125</v>
      </c>
      <c r="DI1211" s="160" t="s">
        <v>3326</v>
      </c>
      <c r="DJ1211" s="160" t="s">
        <v>3326</v>
      </c>
      <c r="DK1211" s="160" t="s">
        <v>1259</v>
      </c>
      <c r="DL1211" s="160" t="s">
        <v>1260</v>
      </c>
      <c r="DM1211" s="160" t="s">
        <v>1812</v>
      </c>
      <c r="DN1211" s="161" t="s">
        <v>1813</v>
      </c>
      <c r="DP1211" s="130">
        <v>1</v>
      </c>
    </row>
    <row r="1212" spans="109:120" ht="15">
      <c r="DE1212" s="152"/>
      <c r="DF1212" s="160" t="s">
        <v>3327</v>
      </c>
      <c r="DG1212" s="160" t="s">
        <v>122</v>
      </c>
      <c r="DH1212" s="160" t="s">
        <v>125</v>
      </c>
      <c r="DI1212" s="160" t="s">
        <v>3328</v>
      </c>
      <c r="DJ1212" s="160" t="s">
        <v>3328</v>
      </c>
      <c r="DK1212" s="160" t="s">
        <v>1259</v>
      </c>
      <c r="DL1212" s="160" t="s">
        <v>1260</v>
      </c>
      <c r="DM1212" s="160" t="s">
        <v>1812</v>
      </c>
      <c r="DN1212" s="161" t="s">
        <v>1813</v>
      </c>
      <c r="DP1212" s="130">
        <v>1</v>
      </c>
    </row>
    <row r="1213" spans="109:120" ht="15">
      <c r="DE1213" s="152"/>
      <c r="DF1213" s="160" t="s">
        <v>3329</v>
      </c>
      <c r="DG1213" s="160" t="s">
        <v>122</v>
      </c>
      <c r="DH1213" s="160" t="s">
        <v>125</v>
      </c>
      <c r="DI1213" s="160" t="s">
        <v>3330</v>
      </c>
      <c r="DJ1213" s="160" t="s">
        <v>3330</v>
      </c>
      <c r="DK1213" s="160" t="s">
        <v>1259</v>
      </c>
      <c r="DL1213" s="160" t="s">
        <v>1260</v>
      </c>
      <c r="DM1213" s="160" t="s">
        <v>1812</v>
      </c>
      <c r="DN1213" s="161" t="s">
        <v>1813</v>
      </c>
      <c r="DP1213" s="130">
        <v>1</v>
      </c>
    </row>
    <row r="1214" spans="109:120" ht="15">
      <c r="DE1214" s="152"/>
      <c r="DF1214" s="160" t="s">
        <v>3331</v>
      </c>
      <c r="DG1214" s="160" t="s">
        <v>122</v>
      </c>
      <c r="DH1214" s="160" t="s">
        <v>125</v>
      </c>
      <c r="DI1214" s="160" t="s">
        <v>3332</v>
      </c>
      <c r="DJ1214" s="160" t="s">
        <v>3332</v>
      </c>
      <c r="DK1214" s="160" t="s">
        <v>1259</v>
      </c>
      <c r="DL1214" s="160" t="s">
        <v>1260</v>
      </c>
      <c r="DM1214" s="160" t="s">
        <v>1812</v>
      </c>
      <c r="DN1214" s="161" t="s">
        <v>1813</v>
      </c>
      <c r="DP1214" s="130">
        <v>1</v>
      </c>
    </row>
    <row r="1215" spans="109:120" ht="15">
      <c r="DE1215" s="152"/>
      <c r="DF1215" s="160" t="s">
        <v>3333</v>
      </c>
      <c r="DG1215" s="160" t="s">
        <v>122</v>
      </c>
      <c r="DH1215" s="160" t="s">
        <v>125</v>
      </c>
      <c r="DI1215" s="160" t="s">
        <v>3334</v>
      </c>
      <c r="DJ1215" s="160" t="s">
        <v>3334</v>
      </c>
      <c r="DK1215" s="160" t="s">
        <v>1259</v>
      </c>
      <c r="DL1215" s="160" t="s">
        <v>1260</v>
      </c>
      <c r="DM1215" s="160" t="s">
        <v>1812</v>
      </c>
      <c r="DN1215" s="161" t="s">
        <v>1813</v>
      </c>
      <c r="DP1215" s="130">
        <v>1</v>
      </c>
    </row>
    <row r="1216" spans="109:120" ht="15">
      <c r="DE1216" s="152"/>
      <c r="DF1216" s="160" t="s">
        <v>3335</v>
      </c>
      <c r="DG1216" s="160" t="s">
        <v>122</v>
      </c>
      <c r="DH1216" s="160" t="s">
        <v>125</v>
      </c>
      <c r="DI1216" s="160" t="s">
        <v>3336</v>
      </c>
      <c r="DJ1216" s="160" t="s">
        <v>3336</v>
      </c>
      <c r="DK1216" s="160" t="s">
        <v>666</v>
      </c>
      <c r="DL1216" s="160" t="s">
        <v>667</v>
      </c>
      <c r="DM1216" s="160" t="s">
        <v>590</v>
      </c>
      <c r="DN1216" s="161" t="s">
        <v>668</v>
      </c>
      <c r="DP1216" s="130">
        <v>1</v>
      </c>
    </row>
    <row r="1217" spans="109:120" ht="15">
      <c r="DE1217" s="152"/>
      <c r="DF1217" s="160" t="s">
        <v>3337</v>
      </c>
      <c r="DG1217" s="160" t="s">
        <v>122</v>
      </c>
      <c r="DH1217" s="160" t="s">
        <v>125</v>
      </c>
      <c r="DI1217" s="160" t="s">
        <v>3338</v>
      </c>
      <c r="DJ1217" s="160" t="s">
        <v>3338</v>
      </c>
      <c r="DK1217" s="160" t="s">
        <v>666</v>
      </c>
      <c r="DL1217" s="160" t="s">
        <v>667</v>
      </c>
      <c r="DM1217" s="160" t="s">
        <v>590</v>
      </c>
      <c r="DN1217" s="161" t="s">
        <v>668</v>
      </c>
      <c r="DP1217" s="130">
        <v>1</v>
      </c>
    </row>
    <row r="1218" spans="109:120" ht="15">
      <c r="DE1218" s="152"/>
      <c r="DF1218" s="160" t="s">
        <v>3339</v>
      </c>
      <c r="DG1218" s="160" t="s">
        <v>122</v>
      </c>
      <c r="DH1218" s="160" t="s">
        <v>125</v>
      </c>
      <c r="DI1218" s="160" t="s">
        <v>3340</v>
      </c>
      <c r="DJ1218" s="160" t="s">
        <v>3340</v>
      </c>
      <c r="DK1218" s="160" t="s">
        <v>666</v>
      </c>
      <c r="DL1218" s="160" t="s">
        <v>667</v>
      </c>
      <c r="DM1218" s="160" t="s">
        <v>590</v>
      </c>
      <c r="DN1218" s="161" t="s">
        <v>668</v>
      </c>
      <c r="DP1218" s="130">
        <v>1</v>
      </c>
    </row>
    <row r="1219" spans="109:120" ht="15">
      <c r="DE1219" s="152"/>
      <c r="DF1219" s="160" t="s">
        <v>3341</v>
      </c>
      <c r="DG1219" s="160" t="s">
        <v>122</v>
      </c>
      <c r="DH1219" s="160" t="s">
        <v>125</v>
      </c>
      <c r="DI1219" s="160" t="s">
        <v>3342</v>
      </c>
      <c r="DJ1219" s="160" t="s">
        <v>3342</v>
      </c>
      <c r="DK1219" s="160" t="s">
        <v>666</v>
      </c>
      <c r="DL1219" s="160" t="s">
        <v>667</v>
      </c>
      <c r="DM1219" s="160" t="s">
        <v>590</v>
      </c>
      <c r="DN1219" s="161" t="s">
        <v>668</v>
      </c>
      <c r="DP1219" s="130">
        <v>1</v>
      </c>
    </row>
    <row r="1220" spans="109:120" ht="15">
      <c r="DE1220" s="152"/>
      <c r="DF1220" s="160" t="s">
        <v>3343</v>
      </c>
      <c r="DG1220" s="160" t="s">
        <v>122</v>
      </c>
      <c r="DH1220" s="160" t="s">
        <v>125</v>
      </c>
      <c r="DI1220" s="160" t="s">
        <v>3344</v>
      </c>
      <c r="DJ1220" s="160" t="s">
        <v>3344</v>
      </c>
      <c r="DK1220" s="160" t="s">
        <v>1259</v>
      </c>
      <c r="DL1220" s="160" t="s">
        <v>1260</v>
      </c>
      <c r="DM1220" s="160" t="s">
        <v>1812</v>
      </c>
      <c r="DN1220" s="161" t="s">
        <v>1813</v>
      </c>
      <c r="DP1220" s="130">
        <v>1</v>
      </c>
    </row>
    <row r="1221" spans="109:120" ht="15">
      <c r="DE1221" s="152"/>
      <c r="DF1221" s="160" t="s">
        <v>3345</v>
      </c>
      <c r="DG1221" s="160" t="s">
        <v>122</v>
      </c>
      <c r="DH1221" s="160" t="s">
        <v>125</v>
      </c>
      <c r="DI1221" s="160" t="s">
        <v>3346</v>
      </c>
      <c r="DJ1221" s="160" t="s">
        <v>3346</v>
      </c>
      <c r="DK1221" s="160" t="s">
        <v>1259</v>
      </c>
      <c r="DL1221" s="160" t="s">
        <v>1260</v>
      </c>
      <c r="DM1221" s="160" t="s">
        <v>1812</v>
      </c>
      <c r="DN1221" s="161" t="s">
        <v>1813</v>
      </c>
      <c r="DP1221" s="130">
        <v>1</v>
      </c>
    </row>
    <row r="1222" spans="109:120" ht="15">
      <c r="DE1222" s="152"/>
      <c r="DF1222" s="160" t="s">
        <v>3347</v>
      </c>
      <c r="DG1222" s="160" t="s">
        <v>122</v>
      </c>
      <c r="DH1222" s="160" t="s">
        <v>125</v>
      </c>
      <c r="DI1222" s="160" t="s">
        <v>3348</v>
      </c>
      <c r="DJ1222" s="160" t="s">
        <v>3348</v>
      </c>
      <c r="DK1222" s="160" t="s">
        <v>1259</v>
      </c>
      <c r="DL1222" s="160" t="s">
        <v>1260</v>
      </c>
      <c r="DM1222" s="160" t="s">
        <v>1812</v>
      </c>
      <c r="DN1222" s="161" t="s">
        <v>1813</v>
      </c>
      <c r="DP1222" s="130">
        <v>1</v>
      </c>
    </row>
    <row r="1223" spans="109:120" ht="15">
      <c r="DE1223" s="152"/>
      <c r="DF1223" s="160" t="s">
        <v>3349</v>
      </c>
      <c r="DG1223" s="160" t="s">
        <v>122</v>
      </c>
      <c r="DH1223" s="160" t="s">
        <v>125</v>
      </c>
      <c r="DI1223" s="160" t="s">
        <v>3350</v>
      </c>
      <c r="DJ1223" s="160" t="s">
        <v>3350</v>
      </c>
      <c r="DK1223" s="160" t="s">
        <v>1259</v>
      </c>
      <c r="DL1223" s="160" t="s">
        <v>1260</v>
      </c>
      <c r="DM1223" s="160" t="s">
        <v>1812</v>
      </c>
      <c r="DN1223" s="161" t="s">
        <v>1813</v>
      </c>
      <c r="DP1223" s="130">
        <v>1</v>
      </c>
    </row>
    <row r="1224" spans="109:120" ht="15">
      <c r="DE1224" s="152"/>
      <c r="DF1224" s="160" t="s">
        <v>3351</v>
      </c>
      <c r="DG1224" s="160" t="s">
        <v>122</v>
      </c>
      <c r="DH1224" s="160" t="s">
        <v>125</v>
      </c>
      <c r="DI1224" s="160" t="s">
        <v>3352</v>
      </c>
      <c r="DJ1224" s="160" t="s">
        <v>3352</v>
      </c>
      <c r="DK1224" s="160" t="s">
        <v>1259</v>
      </c>
      <c r="DL1224" s="160" t="s">
        <v>1260</v>
      </c>
      <c r="DM1224" s="160" t="s">
        <v>1812</v>
      </c>
      <c r="DN1224" s="161" t="s">
        <v>1813</v>
      </c>
      <c r="DP1224" s="130">
        <v>1</v>
      </c>
    </row>
    <row r="1225" spans="109:120" ht="15">
      <c r="DE1225" s="152"/>
      <c r="DF1225" s="160" t="s">
        <v>3353</v>
      </c>
      <c r="DG1225" s="160" t="s">
        <v>122</v>
      </c>
      <c r="DH1225" s="160" t="s">
        <v>125</v>
      </c>
      <c r="DI1225" s="160" t="s">
        <v>3354</v>
      </c>
      <c r="DJ1225" s="160" t="s">
        <v>3354</v>
      </c>
      <c r="DK1225" s="160" t="s">
        <v>1259</v>
      </c>
      <c r="DL1225" s="160" t="s">
        <v>1260</v>
      </c>
      <c r="DM1225" s="160" t="s">
        <v>1812</v>
      </c>
      <c r="DN1225" s="161" t="s">
        <v>1813</v>
      </c>
      <c r="DP1225" s="130">
        <v>1</v>
      </c>
    </row>
    <row r="1226" spans="109:120" ht="15">
      <c r="DE1226" s="152"/>
      <c r="DF1226" s="160" t="s">
        <v>3355</v>
      </c>
      <c r="DG1226" s="160" t="s">
        <v>122</v>
      </c>
      <c r="DH1226" s="160" t="s">
        <v>125</v>
      </c>
      <c r="DI1226" s="160" t="s">
        <v>3356</v>
      </c>
      <c r="DJ1226" s="160" t="s">
        <v>3356</v>
      </c>
      <c r="DK1226" s="160" t="s">
        <v>1259</v>
      </c>
      <c r="DL1226" s="160" t="s">
        <v>1260</v>
      </c>
      <c r="DM1226" s="160" t="s">
        <v>1812</v>
      </c>
      <c r="DN1226" s="161" t="s">
        <v>1813</v>
      </c>
      <c r="DP1226" s="130">
        <v>1</v>
      </c>
    </row>
    <row r="1227" spans="109:120" ht="15">
      <c r="DE1227" s="152"/>
      <c r="DF1227" s="160" t="s">
        <v>3357</v>
      </c>
      <c r="DG1227" s="160" t="s">
        <v>122</v>
      </c>
      <c r="DH1227" s="160" t="s">
        <v>125</v>
      </c>
      <c r="DI1227" s="160" t="s">
        <v>3358</v>
      </c>
      <c r="DJ1227" s="160" t="s">
        <v>3358</v>
      </c>
      <c r="DK1227" s="160" t="s">
        <v>1259</v>
      </c>
      <c r="DL1227" s="160" t="s">
        <v>1260</v>
      </c>
      <c r="DM1227" s="160" t="s">
        <v>1812</v>
      </c>
      <c r="DN1227" s="161" t="s">
        <v>1813</v>
      </c>
      <c r="DP1227" s="130">
        <v>1</v>
      </c>
    </row>
    <row r="1228" spans="109:120" ht="15">
      <c r="DE1228" s="152"/>
      <c r="DF1228" s="160" t="s">
        <v>3359</v>
      </c>
      <c r="DG1228" s="160" t="s">
        <v>122</v>
      </c>
      <c r="DH1228" s="160" t="s">
        <v>125</v>
      </c>
      <c r="DI1228" s="160" t="s">
        <v>3360</v>
      </c>
      <c r="DJ1228" s="160" t="s">
        <v>3360</v>
      </c>
      <c r="DK1228" s="160" t="s">
        <v>1259</v>
      </c>
      <c r="DL1228" s="160" t="s">
        <v>1260</v>
      </c>
      <c r="DM1228" s="160" t="s">
        <v>1812</v>
      </c>
      <c r="DN1228" s="161" t="s">
        <v>1813</v>
      </c>
      <c r="DP1228" s="130">
        <v>1</v>
      </c>
    </row>
    <row r="1229" spans="109:120" ht="15">
      <c r="DE1229" s="152"/>
      <c r="DF1229" s="160" t="s">
        <v>3361</v>
      </c>
      <c r="DG1229" s="160" t="s">
        <v>122</v>
      </c>
      <c r="DH1229" s="160" t="s">
        <v>125</v>
      </c>
      <c r="DI1229" s="160" t="s">
        <v>3362</v>
      </c>
      <c r="DJ1229" s="160" t="s">
        <v>3362</v>
      </c>
      <c r="DK1229" s="160" t="s">
        <v>1259</v>
      </c>
      <c r="DL1229" s="160" t="s">
        <v>1260</v>
      </c>
      <c r="DM1229" s="160" t="s">
        <v>1812</v>
      </c>
      <c r="DN1229" s="161" t="s">
        <v>1813</v>
      </c>
      <c r="DP1229" s="130">
        <v>1</v>
      </c>
    </row>
    <row r="1230" spans="109:120" ht="15">
      <c r="DE1230" s="152"/>
      <c r="DF1230" s="160" t="s">
        <v>3363</v>
      </c>
      <c r="DG1230" s="160" t="s">
        <v>122</v>
      </c>
      <c r="DH1230" s="160" t="s">
        <v>125</v>
      </c>
      <c r="DI1230" s="160" t="s">
        <v>3364</v>
      </c>
      <c r="DJ1230" s="160" t="s">
        <v>3364</v>
      </c>
      <c r="DK1230" s="160" t="s">
        <v>1259</v>
      </c>
      <c r="DL1230" s="160" t="s">
        <v>1260</v>
      </c>
      <c r="DM1230" s="160" t="s">
        <v>1812</v>
      </c>
      <c r="DN1230" s="161" t="s">
        <v>1813</v>
      </c>
      <c r="DP1230" s="130">
        <v>1</v>
      </c>
    </row>
    <row r="1231" spans="109:120" ht="15">
      <c r="DE1231" s="152"/>
      <c r="DF1231" s="160" t="s">
        <v>3365</v>
      </c>
      <c r="DG1231" s="160" t="s">
        <v>122</v>
      </c>
      <c r="DH1231" s="160" t="s">
        <v>125</v>
      </c>
      <c r="DI1231" s="160" t="s">
        <v>3366</v>
      </c>
      <c r="DJ1231" s="160" t="s">
        <v>3366</v>
      </c>
      <c r="DK1231" s="160" t="s">
        <v>1259</v>
      </c>
      <c r="DL1231" s="160" t="s">
        <v>1260</v>
      </c>
      <c r="DM1231" s="160" t="s">
        <v>1812</v>
      </c>
      <c r="DN1231" s="161" t="s">
        <v>1813</v>
      </c>
      <c r="DP1231" s="130">
        <v>1</v>
      </c>
    </row>
    <row r="1232" spans="109:120" ht="15">
      <c r="DE1232" s="152"/>
      <c r="DF1232" s="160" t="s">
        <v>3367</v>
      </c>
      <c r="DG1232" s="160" t="s">
        <v>122</v>
      </c>
      <c r="DH1232" s="160" t="s">
        <v>125</v>
      </c>
      <c r="DI1232" s="160" t="s">
        <v>3368</v>
      </c>
      <c r="DJ1232" s="160" t="s">
        <v>3368</v>
      </c>
      <c r="DK1232" s="160" t="s">
        <v>1259</v>
      </c>
      <c r="DL1232" s="160" t="s">
        <v>1260</v>
      </c>
      <c r="DM1232" s="160" t="s">
        <v>1812</v>
      </c>
      <c r="DN1232" s="161" t="s">
        <v>1813</v>
      </c>
      <c r="DP1232" s="130">
        <v>1</v>
      </c>
    </row>
    <row r="1233" spans="109:120" ht="15">
      <c r="DE1233" s="152"/>
      <c r="DF1233" s="160" t="s">
        <v>3369</v>
      </c>
      <c r="DG1233" s="160" t="s">
        <v>122</v>
      </c>
      <c r="DH1233" s="160" t="s">
        <v>125</v>
      </c>
      <c r="DI1233" s="160" t="s">
        <v>3370</v>
      </c>
      <c r="DJ1233" s="160" t="s">
        <v>3370</v>
      </c>
      <c r="DK1233" s="160" t="s">
        <v>1259</v>
      </c>
      <c r="DL1233" s="160" t="s">
        <v>1260</v>
      </c>
      <c r="DM1233" s="160" t="s">
        <v>1812</v>
      </c>
      <c r="DN1233" s="161" t="s">
        <v>1813</v>
      </c>
      <c r="DP1233" s="130">
        <v>1</v>
      </c>
    </row>
    <row r="1234" spans="109:120" ht="15">
      <c r="DE1234" s="152"/>
      <c r="DF1234" s="160" t="s">
        <v>3371</v>
      </c>
      <c r="DG1234" s="160" t="s">
        <v>122</v>
      </c>
      <c r="DH1234" s="160" t="s">
        <v>125</v>
      </c>
      <c r="DI1234" s="160" t="s">
        <v>3372</v>
      </c>
      <c r="DJ1234" s="160" t="s">
        <v>3372</v>
      </c>
      <c r="DK1234" s="160" t="s">
        <v>1259</v>
      </c>
      <c r="DL1234" s="160" t="s">
        <v>1260</v>
      </c>
      <c r="DM1234" s="160" t="s">
        <v>1812</v>
      </c>
      <c r="DN1234" s="161" t="s">
        <v>1813</v>
      </c>
      <c r="DP1234" s="130">
        <v>1</v>
      </c>
    </row>
    <row r="1235" spans="109:120" ht="15">
      <c r="DE1235" s="152"/>
      <c r="DF1235" s="160" t="s">
        <v>3373</v>
      </c>
      <c r="DG1235" s="160" t="s">
        <v>122</v>
      </c>
      <c r="DH1235" s="160" t="s">
        <v>125</v>
      </c>
      <c r="DI1235" s="160" t="s">
        <v>3374</v>
      </c>
      <c r="DJ1235" s="160" t="s">
        <v>3374</v>
      </c>
      <c r="DK1235" s="160" t="s">
        <v>1259</v>
      </c>
      <c r="DL1235" s="160" t="s">
        <v>1260</v>
      </c>
      <c r="DM1235" s="160" t="s">
        <v>1812</v>
      </c>
      <c r="DN1235" s="161" t="s">
        <v>1813</v>
      </c>
      <c r="DP1235" s="130">
        <v>1</v>
      </c>
    </row>
    <row r="1236" spans="109:120" ht="15">
      <c r="DE1236" s="152"/>
      <c r="DF1236" s="160" t="s">
        <v>3375</v>
      </c>
      <c r="DG1236" s="160" t="s">
        <v>122</v>
      </c>
      <c r="DH1236" s="160" t="s">
        <v>125</v>
      </c>
      <c r="DI1236" s="160" t="s">
        <v>3376</v>
      </c>
      <c r="DJ1236" s="160" t="s">
        <v>3376</v>
      </c>
      <c r="DK1236" s="160" t="s">
        <v>1259</v>
      </c>
      <c r="DL1236" s="160" t="s">
        <v>1260</v>
      </c>
      <c r="DM1236" s="160" t="s">
        <v>1812</v>
      </c>
      <c r="DN1236" s="161" t="s">
        <v>1813</v>
      </c>
      <c r="DP1236" s="130">
        <v>1</v>
      </c>
    </row>
    <row r="1237" spans="109:120" ht="15">
      <c r="DE1237" s="152"/>
      <c r="DF1237" s="160" t="s">
        <v>3377</v>
      </c>
      <c r="DG1237" s="160" t="s">
        <v>122</v>
      </c>
      <c r="DH1237" s="160" t="s">
        <v>125</v>
      </c>
      <c r="DI1237" s="160" t="s">
        <v>3378</v>
      </c>
      <c r="DJ1237" s="160" t="s">
        <v>3378</v>
      </c>
      <c r="DK1237" s="160" t="s">
        <v>1259</v>
      </c>
      <c r="DL1237" s="160" t="s">
        <v>1260</v>
      </c>
      <c r="DM1237" s="160" t="s">
        <v>1812</v>
      </c>
      <c r="DN1237" s="161" t="s">
        <v>1813</v>
      </c>
      <c r="DP1237" s="130">
        <v>1</v>
      </c>
    </row>
    <row r="1238" spans="109:120" ht="15">
      <c r="DE1238" s="152"/>
      <c r="DF1238" s="160" t="s">
        <v>3379</v>
      </c>
      <c r="DG1238" s="160" t="s">
        <v>122</v>
      </c>
      <c r="DH1238" s="160" t="s">
        <v>125</v>
      </c>
      <c r="DI1238" s="160" t="s">
        <v>3380</v>
      </c>
      <c r="DJ1238" s="160" t="s">
        <v>3380</v>
      </c>
      <c r="DK1238" s="160" t="s">
        <v>1259</v>
      </c>
      <c r="DL1238" s="160" t="s">
        <v>1260</v>
      </c>
      <c r="DM1238" s="160" t="s">
        <v>1812</v>
      </c>
      <c r="DN1238" s="161" t="s">
        <v>1813</v>
      </c>
      <c r="DP1238" s="130">
        <v>1</v>
      </c>
    </row>
    <row r="1239" spans="109:120" ht="15">
      <c r="DE1239" s="152"/>
      <c r="DF1239" s="160" t="s">
        <v>3381</v>
      </c>
      <c r="DG1239" s="160" t="s">
        <v>122</v>
      </c>
      <c r="DH1239" s="160" t="s">
        <v>125</v>
      </c>
      <c r="DI1239" s="160" t="s">
        <v>3382</v>
      </c>
      <c r="DJ1239" s="160" t="s">
        <v>3382</v>
      </c>
      <c r="DK1239" s="160" t="s">
        <v>1259</v>
      </c>
      <c r="DL1239" s="160" t="s">
        <v>1260</v>
      </c>
      <c r="DM1239" s="160" t="s">
        <v>1812</v>
      </c>
      <c r="DN1239" s="161" t="s">
        <v>1813</v>
      </c>
      <c r="DP1239" s="130">
        <v>1</v>
      </c>
    </row>
    <row r="1240" spans="109:120" ht="15">
      <c r="DE1240" s="152"/>
      <c r="DF1240" s="160" t="s">
        <v>3383</v>
      </c>
      <c r="DG1240" s="160" t="s">
        <v>122</v>
      </c>
      <c r="DH1240" s="160" t="s">
        <v>125</v>
      </c>
      <c r="DI1240" s="160" t="s">
        <v>3384</v>
      </c>
      <c r="DJ1240" s="160" t="s">
        <v>3384</v>
      </c>
      <c r="DK1240" s="160" t="s">
        <v>1259</v>
      </c>
      <c r="DL1240" s="160" t="s">
        <v>1260</v>
      </c>
      <c r="DM1240" s="160" t="s">
        <v>1812</v>
      </c>
      <c r="DN1240" s="161" t="s">
        <v>1813</v>
      </c>
      <c r="DP1240" s="130">
        <v>1</v>
      </c>
    </row>
    <row r="1241" spans="109:120" ht="15">
      <c r="DE1241" s="152"/>
      <c r="DF1241" s="160" t="s">
        <v>3385</v>
      </c>
      <c r="DG1241" s="160" t="s">
        <v>122</v>
      </c>
      <c r="DH1241" s="160" t="s">
        <v>125</v>
      </c>
      <c r="DI1241" s="160" t="s">
        <v>3386</v>
      </c>
      <c r="DJ1241" s="160" t="s">
        <v>3386</v>
      </c>
      <c r="DK1241" s="160" t="s">
        <v>1259</v>
      </c>
      <c r="DL1241" s="160" t="s">
        <v>1260</v>
      </c>
      <c r="DM1241" s="160" t="s">
        <v>1812</v>
      </c>
      <c r="DN1241" s="161" t="s">
        <v>1813</v>
      </c>
      <c r="DP1241" s="130">
        <v>1</v>
      </c>
    </row>
    <row r="1242" spans="109:120" ht="15">
      <c r="DE1242" s="152"/>
      <c r="DF1242" s="160" t="s">
        <v>3387</v>
      </c>
      <c r="DG1242" s="160" t="s">
        <v>122</v>
      </c>
      <c r="DH1242" s="160" t="s">
        <v>125</v>
      </c>
      <c r="DI1242" s="160" t="s">
        <v>3388</v>
      </c>
      <c r="DJ1242" s="160" t="s">
        <v>3388</v>
      </c>
      <c r="DK1242" s="160" t="s">
        <v>1259</v>
      </c>
      <c r="DL1242" s="160" t="s">
        <v>1260</v>
      </c>
      <c r="DM1242" s="160" t="s">
        <v>1812</v>
      </c>
      <c r="DN1242" s="161" t="s">
        <v>1813</v>
      </c>
      <c r="DP1242" s="130">
        <v>1</v>
      </c>
    </row>
    <row r="1243" spans="109:120" ht="15">
      <c r="DE1243" s="152"/>
      <c r="DF1243" s="160" t="s">
        <v>3389</v>
      </c>
      <c r="DG1243" s="160" t="s">
        <v>122</v>
      </c>
      <c r="DH1243" s="160" t="s">
        <v>125</v>
      </c>
      <c r="DI1243" s="160" t="s">
        <v>3390</v>
      </c>
      <c r="DJ1243" s="160" t="s">
        <v>3390</v>
      </c>
      <c r="DK1243" s="160" t="s">
        <v>1259</v>
      </c>
      <c r="DL1243" s="160" t="s">
        <v>1260</v>
      </c>
      <c r="DM1243" s="160" t="s">
        <v>1812</v>
      </c>
      <c r="DN1243" s="161" t="s">
        <v>1813</v>
      </c>
      <c r="DP1243" s="130">
        <v>1</v>
      </c>
    </row>
    <row r="1244" spans="109:120" ht="15">
      <c r="DE1244" s="152"/>
      <c r="DF1244" s="160" t="s">
        <v>3391</v>
      </c>
      <c r="DG1244" s="160" t="s">
        <v>122</v>
      </c>
      <c r="DH1244" s="160" t="s">
        <v>125</v>
      </c>
      <c r="DI1244" s="160" t="s">
        <v>3392</v>
      </c>
      <c r="DJ1244" s="160" t="s">
        <v>3392</v>
      </c>
      <c r="DK1244" s="160" t="s">
        <v>1259</v>
      </c>
      <c r="DL1244" s="160" t="s">
        <v>1260</v>
      </c>
      <c r="DM1244" s="160" t="s">
        <v>1812</v>
      </c>
      <c r="DN1244" s="161" t="s">
        <v>1813</v>
      </c>
      <c r="DP1244" s="130">
        <v>1</v>
      </c>
    </row>
    <row r="1245" spans="109:120" ht="15">
      <c r="DE1245" s="152"/>
      <c r="DF1245" s="160" t="s">
        <v>3393</v>
      </c>
      <c r="DG1245" s="160" t="s">
        <v>122</v>
      </c>
      <c r="DH1245" s="160" t="s">
        <v>125</v>
      </c>
      <c r="DI1245" s="160" t="s">
        <v>3394</v>
      </c>
      <c r="DJ1245" s="160" t="s">
        <v>3394</v>
      </c>
      <c r="DK1245" s="160" t="s">
        <v>1259</v>
      </c>
      <c r="DL1245" s="160" t="s">
        <v>1260</v>
      </c>
      <c r="DM1245" s="160" t="s">
        <v>1812</v>
      </c>
      <c r="DN1245" s="161" t="s">
        <v>1813</v>
      </c>
      <c r="DP1245" s="130">
        <v>1</v>
      </c>
    </row>
    <row r="1246" spans="109:120" ht="15">
      <c r="DE1246" s="152"/>
      <c r="DF1246" s="160" t="s">
        <v>3395</v>
      </c>
      <c r="DG1246" s="160" t="s">
        <v>122</v>
      </c>
      <c r="DH1246" s="160" t="s">
        <v>125</v>
      </c>
      <c r="DI1246" s="160" t="s">
        <v>3396</v>
      </c>
      <c r="DJ1246" s="160" t="s">
        <v>3396</v>
      </c>
      <c r="DK1246" s="160" t="s">
        <v>1259</v>
      </c>
      <c r="DL1246" s="160" t="s">
        <v>1260</v>
      </c>
      <c r="DM1246" s="160" t="s">
        <v>1812</v>
      </c>
      <c r="DN1246" s="161" t="s">
        <v>1813</v>
      </c>
      <c r="DP1246" s="130">
        <v>1</v>
      </c>
    </row>
    <row r="1247" spans="109:120" ht="15">
      <c r="DE1247" s="152"/>
      <c r="DF1247" s="160" t="s">
        <v>3397</v>
      </c>
      <c r="DG1247" s="160" t="s">
        <v>122</v>
      </c>
      <c r="DH1247" s="160" t="s">
        <v>125</v>
      </c>
      <c r="DI1247" s="160" t="s">
        <v>3398</v>
      </c>
      <c r="DJ1247" s="160" t="s">
        <v>3398</v>
      </c>
      <c r="DK1247" s="160" t="s">
        <v>1259</v>
      </c>
      <c r="DL1247" s="160" t="s">
        <v>1260</v>
      </c>
      <c r="DM1247" s="160" t="s">
        <v>1812</v>
      </c>
      <c r="DN1247" s="161" t="s">
        <v>1813</v>
      </c>
      <c r="DP1247" s="130">
        <v>1</v>
      </c>
    </row>
    <row r="1248" spans="109:120" ht="15">
      <c r="DE1248" s="152"/>
      <c r="DF1248" s="160" t="s">
        <v>3399</v>
      </c>
      <c r="DG1248" s="160" t="s">
        <v>122</v>
      </c>
      <c r="DH1248" s="160" t="s">
        <v>125</v>
      </c>
      <c r="DI1248" s="160" t="s">
        <v>299</v>
      </c>
      <c r="DJ1248" s="160" t="s">
        <v>299</v>
      </c>
      <c r="DK1248" s="160" t="s">
        <v>1259</v>
      </c>
      <c r="DL1248" s="160" t="s">
        <v>1260</v>
      </c>
      <c r="DM1248" s="160" t="s">
        <v>1812</v>
      </c>
      <c r="DN1248" s="161" t="s">
        <v>1813</v>
      </c>
      <c r="DP1248" s="130">
        <v>1</v>
      </c>
    </row>
    <row r="1249" spans="109:120" ht="15">
      <c r="DE1249" s="152"/>
      <c r="DF1249" s="160" t="s">
        <v>3400</v>
      </c>
      <c r="DG1249" s="160" t="s">
        <v>122</v>
      </c>
      <c r="DH1249" s="160" t="s">
        <v>125</v>
      </c>
      <c r="DI1249" s="160" t="s">
        <v>3401</v>
      </c>
      <c r="DJ1249" s="160" t="s">
        <v>3401</v>
      </c>
      <c r="DK1249" s="160" t="s">
        <v>1259</v>
      </c>
      <c r="DL1249" s="160" t="s">
        <v>1260</v>
      </c>
      <c r="DM1249" s="160" t="s">
        <v>1812</v>
      </c>
      <c r="DN1249" s="161" t="s">
        <v>1813</v>
      </c>
      <c r="DP1249" s="130">
        <v>1</v>
      </c>
    </row>
    <row r="1250" spans="109:120" ht="15">
      <c r="DE1250" s="152"/>
      <c r="DF1250" s="160" t="s">
        <v>3402</v>
      </c>
      <c r="DG1250" s="160" t="s">
        <v>122</v>
      </c>
      <c r="DH1250" s="160" t="s">
        <v>125</v>
      </c>
      <c r="DI1250" s="160" t="s">
        <v>3403</v>
      </c>
      <c r="DJ1250" s="160" t="s">
        <v>3403</v>
      </c>
      <c r="DK1250" s="160" t="s">
        <v>1259</v>
      </c>
      <c r="DL1250" s="160" t="s">
        <v>1260</v>
      </c>
      <c r="DM1250" s="160" t="s">
        <v>1812</v>
      </c>
      <c r="DN1250" s="161" t="s">
        <v>1813</v>
      </c>
      <c r="DP1250" s="130">
        <v>1</v>
      </c>
    </row>
    <row r="1251" spans="109:120" ht="15">
      <c r="DE1251" s="152"/>
      <c r="DF1251" s="160" t="s">
        <v>3404</v>
      </c>
      <c r="DG1251" s="160" t="s">
        <v>122</v>
      </c>
      <c r="DH1251" s="160" t="s">
        <v>125</v>
      </c>
      <c r="DI1251" s="160" t="s">
        <v>3405</v>
      </c>
      <c r="DJ1251" s="160" t="s">
        <v>3405</v>
      </c>
      <c r="DK1251" s="160" t="s">
        <v>1259</v>
      </c>
      <c r="DL1251" s="160" t="s">
        <v>1260</v>
      </c>
      <c r="DM1251" s="160" t="s">
        <v>1812</v>
      </c>
      <c r="DN1251" s="161" t="s">
        <v>1813</v>
      </c>
      <c r="DP1251" s="130">
        <v>1</v>
      </c>
    </row>
    <row r="1252" spans="109:120" ht="15">
      <c r="DE1252" s="152"/>
      <c r="DF1252" s="160" t="s">
        <v>3406</v>
      </c>
      <c r="DG1252" s="160" t="s">
        <v>122</v>
      </c>
      <c r="DH1252" s="160" t="s">
        <v>125</v>
      </c>
      <c r="DI1252" s="160" t="s">
        <v>3407</v>
      </c>
      <c r="DJ1252" s="160" t="s">
        <v>3407</v>
      </c>
      <c r="DK1252" s="160" t="s">
        <v>1259</v>
      </c>
      <c r="DL1252" s="160" t="s">
        <v>1260</v>
      </c>
      <c r="DM1252" s="160" t="s">
        <v>1812</v>
      </c>
      <c r="DN1252" s="161" t="s">
        <v>1813</v>
      </c>
      <c r="DP1252" s="130">
        <v>1</v>
      </c>
    </row>
    <row r="1253" spans="109:120" ht="15">
      <c r="DE1253" s="152"/>
      <c r="DF1253" s="160" t="s">
        <v>3408</v>
      </c>
      <c r="DG1253" s="160" t="s">
        <v>122</v>
      </c>
      <c r="DH1253" s="160" t="s">
        <v>125</v>
      </c>
      <c r="DI1253" s="160" t="s">
        <v>3409</v>
      </c>
      <c r="DJ1253" s="160" t="s">
        <v>3409</v>
      </c>
      <c r="DK1253" s="160" t="s">
        <v>1259</v>
      </c>
      <c r="DL1253" s="160" t="s">
        <v>1260</v>
      </c>
      <c r="DM1253" s="160" t="s">
        <v>1812</v>
      </c>
      <c r="DN1253" s="161" t="s">
        <v>1813</v>
      </c>
      <c r="DP1253" s="130">
        <v>1</v>
      </c>
    </row>
    <row r="1254" spans="109:120" ht="15">
      <c r="DE1254" s="152"/>
      <c r="DF1254" s="160" t="s">
        <v>3410</v>
      </c>
      <c r="DG1254" s="160" t="s">
        <v>122</v>
      </c>
      <c r="DH1254" s="160" t="s">
        <v>125</v>
      </c>
      <c r="DI1254" s="160" t="s">
        <v>3411</v>
      </c>
      <c r="DJ1254" s="160" t="s">
        <v>3411</v>
      </c>
      <c r="DK1254" s="160" t="s">
        <v>1259</v>
      </c>
      <c r="DL1254" s="160" t="s">
        <v>1260</v>
      </c>
      <c r="DM1254" s="160" t="s">
        <v>1812</v>
      </c>
      <c r="DN1254" s="161" t="s">
        <v>1813</v>
      </c>
      <c r="DP1254" s="130">
        <v>1</v>
      </c>
    </row>
    <row r="1255" spans="109:120" ht="15">
      <c r="DE1255" s="152"/>
      <c r="DF1255" s="160" t="s">
        <v>3412</v>
      </c>
      <c r="DG1255" s="160" t="s">
        <v>122</v>
      </c>
      <c r="DH1255" s="160" t="s">
        <v>125</v>
      </c>
      <c r="DI1255" s="160" t="s">
        <v>3413</v>
      </c>
      <c r="DJ1255" s="160" t="s">
        <v>3413</v>
      </c>
      <c r="DK1255" s="160" t="s">
        <v>1259</v>
      </c>
      <c r="DL1255" s="160" t="s">
        <v>1260</v>
      </c>
      <c r="DM1255" s="160" t="s">
        <v>1812</v>
      </c>
      <c r="DN1255" s="161" t="s">
        <v>1813</v>
      </c>
      <c r="DP1255" s="130">
        <v>1</v>
      </c>
    </row>
    <row r="1256" spans="109:120" ht="15">
      <c r="DE1256" s="152"/>
      <c r="DF1256" s="160" t="s">
        <v>3414</v>
      </c>
      <c r="DG1256" s="160" t="s">
        <v>122</v>
      </c>
      <c r="DH1256" s="160" t="s">
        <v>125</v>
      </c>
      <c r="DI1256" s="160" t="s">
        <v>3415</v>
      </c>
      <c r="DJ1256" s="160" t="s">
        <v>3415</v>
      </c>
      <c r="DK1256" s="160" t="s">
        <v>1259</v>
      </c>
      <c r="DL1256" s="160" t="s">
        <v>1260</v>
      </c>
      <c r="DM1256" s="160" t="s">
        <v>1812</v>
      </c>
      <c r="DN1256" s="161" t="s">
        <v>1813</v>
      </c>
      <c r="DP1256" s="130">
        <v>1</v>
      </c>
    </row>
    <row r="1257" spans="109:120" ht="15">
      <c r="DE1257" s="152"/>
      <c r="DF1257" s="160" t="s">
        <v>3416</v>
      </c>
      <c r="DG1257" s="160" t="s">
        <v>122</v>
      </c>
      <c r="DH1257" s="160" t="s">
        <v>125</v>
      </c>
      <c r="DI1257" s="160" t="s">
        <v>3417</v>
      </c>
      <c r="DJ1257" s="160" t="s">
        <v>3417</v>
      </c>
      <c r="DK1257" s="160" t="s">
        <v>1259</v>
      </c>
      <c r="DL1257" s="160" t="s">
        <v>1260</v>
      </c>
      <c r="DM1257" s="160" t="s">
        <v>1812</v>
      </c>
      <c r="DN1257" s="161" t="s">
        <v>1813</v>
      </c>
      <c r="DP1257" s="130">
        <v>1</v>
      </c>
    </row>
    <row r="1258" spans="109:120" ht="15">
      <c r="DE1258" s="152"/>
      <c r="DF1258" s="160" t="s">
        <v>3418</v>
      </c>
      <c r="DG1258" s="160" t="s">
        <v>122</v>
      </c>
      <c r="DH1258" s="160" t="s">
        <v>125</v>
      </c>
      <c r="DI1258" s="160" t="s">
        <v>3419</v>
      </c>
      <c r="DJ1258" s="160" t="s">
        <v>3419</v>
      </c>
      <c r="DK1258" s="160" t="s">
        <v>1259</v>
      </c>
      <c r="DL1258" s="160" t="s">
        <v>1260</v>
      </c>
      <c r="DM1258" s="160" t="s">
        <v>1812</v>
      </c>
      <c r="DN1258" s="161" t="s">
        <v>1813</v>
      </c>
      <c r="DP1258" s="130">
        <v>1</v>
      </c>
    </row>
    <row r="1259" spans="109:120" ht="15">
      <c r="DE1259" s="152"/>
      <c r="DF1259" s="160" t="s">
        <v>3420</v>
      </c>
      <c r="DG1259" s="160" t="s">
        <v>122</v>
      </c>
      <c r="DH1259" s="160" t="s">
        <v>125</v>
      </c>
      <c r="DI1259" s="160" t="s">
        <v>3421</v>
      </c>
      <c r="DJ1259" s="160" t="s">
        <v>3421</v>
      </c>
      <c r="DK1259" s="160" t="s">
        <v>1259</v>
      </c>
      <c r="DL1259" s="160" t="s">
        <v>1260</v>
      </c>
      <c r="DM1259" s="160" t="s">
        <v>1812</v>
      </c>
      <c r="DN1259" s="161" t="s">
        <v>1813</v>
      </c>
      <c r="DP1259" s="130">
        <v>1</v>
      </c>
    </row>
    <row r="1260" spans="109:120" ht="15">
      <c r="DE1260" s="152"/>
      <c r="DF1260" s="160" t="s">
        <v>3422</v>
      </c>
      <c r="DG1260" s="160" t="s">
        <v>122</v>
      </c>
      <c r="DH1260" s="160" t="s">
        <v>125</v>
      </c>
      <c r="DI1260" s="160" t="s">
        <v>3423</v>
      </c>
      <c r="DJ1260" s="160" t="s">
        <v>3423</v>
      </c>
      <c r="DK1260" s="160" t="s">
        <v>1259</v>
      </c>
      <c r="DL1260" s="160" t="s">
        <v>1260</v>
      </c>
      <c r="DM1260" s="160" t="s">
        <v>1812</v>
      </c>
      <c r="DN1260" s="161" t="s">
        <v>1813</v>
      </c>
      <c r="DP1260" s="130">
        <v>1</v>
      </c>
    </row>
    <row r="1261" spans="109:120" ht="15">
      <c r="DE1261" s="152"/>
      <c r="DF1261" s="160" t="s">
        <v>3424</v>
      </c>
      <c r="DG1261" s="160" t="s">
        <v>122</v>
      </c>
      <c r="DH1261" s="160" t="s">
        <v>125</v>
      </c>
      <c r="DI1261" s="160" t="s">
        <v>3425</v>
      </c>
      <c r="DJ1261" s="160" t="s">
        <v>3425</v>
      </c>
      <c r="DK1261" s="160" t="s">
        <v>1259</v>
      </c>
      <c r="DL1261" s="160" t="s">
        <v>1260</v>
      </c>
      <c r="DM1261" s="160" t="s">
        <v>1812</v>
      </c>
      <c r="DN1261" s="161" t="s">
        <v>1813</v>
      </c>
      <c r="DP1261" s="130">
        <v>1</v>
      </c>
    </row>
    <row r="1262" spans="109:120" ht="15">
      <c r="DE1262" s="152"/>
      <c r="DF1262" s="160" t="s">
        <v>3426</v>
      </c>
      <c r="DG1262" s="160" t="s">
        <v>122</v>
      </c>
      <c r="DH1262" s="160" t="s">
        <v>125</v>
      </c>
      <c r="DI1262" s="160" t="s">
        <v>3427</v>
      </c>
      <c r="DJ1262" s="160" t="s">
        <v>3427</v>
      </c>
      <c r="DK1262" s="160" t="s">
        <v>1259</v>
      </c>
      <c r="DL1262" s="160" t="s">
        <v>1260</v>
      </c>
      <c r="DM1262" s="160" t="s">
        <v>1812</v>
      </c>
      <c r="DN1262" s="161" t="s">
        <v>1813</v>
      </c>
      <c r="DP1262" s="130">
        <v>1</v>
      </c>
    </row>
    <row r="1263" spans="109:120" ht="15">
      <c r="DE1263" s="152"/>
      <c r="DF1263" s="160" t="s">
        <v>3428</v>
      </c>
      <c r="DG1263" s="160" t="s">
        <v>122</v>
      </c>
      <c r="DH1263" s="160" t="s">
        <v>125</v>
      </c>
      <c r="DI1263" s="160" t="s">
        <v>3429</v>
      </c>
      <c r="DJ1263" s="160" t="s">
        <v>3429</v>
      </c>
      <c r="DK1263" s="160" t="s">
        <v>1259</v>
      </c>
      <c r="DL1263" s="160" t="s">
        <v>1260</v>
      </c>
      <c r="DM1263" s="160" t="s">
        <v>1812</v>
      </c>
      <c r="DN1263" s="161" t="s">
        <v>1813</v>
      </c>
      <c r="DP1263" s="130">
        <v>1</v>
      </c>
    </row>
    <row r="1264" spans="109:120" ht="15">
      <c r="DE1264" s="152"/>
      <c r="DF1264" s="160" t="s">
        <v>3430</v>
      </c>
      <c r="DG1264" s="160" t="s">
        <v>122</v>
      </c>
      <c r="DH1264" s="160" t="s">
        <v>125</v>
      </c>
      <c r="DI1264" s="160" t="s">
        <v>3431</v>
      </c>
      <c r="DJ1264" s="160" t="s">
        <v>3431</v>
      </c>
      <c r="DK1264" s="160" t="s">
        <v>1259</v>
      </c>
      <c r="DL1264" s="160" t="s">
        <v>1260</v>
      </c>
      <c r="DM1264" s="160" t="s">
        <v>1812</v>
      </c>
      <c r="DN1264" s="161" t="s">
        <v>1813</v>
      </c>
      <c r="DP1264" s="130">
        <v>1</v>
      </c>
    </row>
    <row r="1265" spans="109:120" ht="15">
      <c r="DE1265" s="152"/>
      <c r="DF1265" s="160" t="s">
        <v>3432</v>
      </c>
      <c r="DG1265" s="160" t="s">
        <v>122</v>
      </c>
      <c r="DH1265" s="160" t="s">
        <v>125</v>
      </c>
      <c r="DI1265" s="160" t="s">
        <v>3433</v>
      </c>
      <c r="DJ1265" s="160" t="s">
        <v>3433</v>
      </c>
      <c r="DK1265" s="160" t="s">
        <v>1259</v>
      </c>
      <c r="DL1265" s="160" t="s">
        <v>1260</v>
      </c>
      <c r="DM1265" s="160" t="s">
        <v>1812</v>
      </c>
      <c r="DN1265" s="161" t="s">
        <v>1813</v>
      </c>
      <c r="DP1265" s="130">
        <v>1</v>
      </c>
    </row>
    <row r="1266" spans="109:120" ht="15">
      <c r="DE1266" s="152"/>
      <c r="DF1266" s="160" t="s">
        <v>3434</v>
      </c>
      <c r="DG1266" s="160" t="s">
        <v>122</v>
      </c>
      <c r="DH1266" s="160" t="s">
        <v>125</v>
      </c>
      <c r="DI1266" s="160" t="s">
        <v>3435</v>
      </c>
      <c r="DJ1266" s="160" t="s">
        <v>3435</v>
      </c>
      <c r="DK1266" s="160" t="s">
        <v>1259</v>
      </c>
      <c r="DL1266" s="160" t="s">
        <v>1260</v>
      </c>
      <c r="DM1266" s="160" t="s">
        <v>1812</v>
      </c>
      <c r="DN1266" s="161" t="s">
        <v>1813</v>
      </c>
      <c r="DP1266" s="130">
        <v>1</v>
      </c>
    </row>
    <row r="1267" spans="109:120" ht="15">
      <c r="DE1267" s="152"/>
      <c r="DF1267" s="160" t="s">
        <v>3436</v>
      </c>
      <c r="DG1267" s="160" t="s">
        <v>122</v>
      </c>
      <c r="DH1267" s="160" t="s">
        <v>125</v>
      </c>
      <c r="DI1267" s="160" t="s">
        <v>3437</v>
      </c>
      <c r="DJ1267" s="160" t="s">
        <v>3437</v>
      </c>
      <c r="DK1267" s="160" t="s">
        <v>1259</v>
      </c>
      <c r="DL1267" s="160" t="s">
        <v>1260</v>
      </c>
      <c r="DM1267" s="160" t="s">
        <v>1812</v>
      </c>
      <c r="DN1267" s="161" t="s">
        <v>1813</v>
      </c>
      <c r="DP1267" s="130">
        <v>1</v>
      </c>
    </row>
    <row r="1268" spans="109:120" ht="15">
      <c r="DE1268" s="152"/>
      <c r="DF1268" s="160" t="s">
        <v>3438</v>
      </c>
      <c r="DG1268" s="160" t="s">
        <v>122</v>
      </c>
      <c r="DH1268" s="160" t="s">
        <v>125</v>
      </c>
      <c r="DI1268" s="160" t="s">
        <v>3439</v>
      </c>
      <c r="DJ1268" s="160" t="s">
        <v>3439</v>
      </c>
      <c r="DK1268" s="160" t="s">
        <v>1259</v>
      </c>
      <c r="DL1268" s="160" t="s">
        <v>1260</v>
      </c>
      <c r="DM1268" s="160" t="s">
        <v>1812</v>
      </c>
      <c r="DN1268" s="161" t="s">
        <v>1813</v>
      </c>
      <c r="DP1268" s="130">
        <v>1</v>
      </c>
    </row>
    <row r="1269" spans="109:120" ht="15">
      <c r="DE1269" s="152"/>
      <c r="DF1269" s="160" t="s">
        <v>3440</v>
      </c>
      <c r="DG1269" s="160" t="s">
        <v>122</v>
      </c>
      <c r="DH1269" s="160" t="s">
        <v>125</v>
      </c>
      <c r="DI1269" s="160" t="s">
        <v>3441</v>
      </c>
      <c r="DJ1269" s="160" t="s">
        <v>3441</v>
      </c>
      <c r="DK1269" s="160" t="s">
        <v>588</v>
      </c>
      <c r="DL1269" s="160" t="s">
        <v>1895</v>
      </c>
      <c r="DM1269" s="160" t="s">
        <v>590</v>
      </c>
      <c r="DN1269" s="161" t="s">
        <v>591</v>
      </c>
      <c r="DP1269" s="130">
        <v>1</v>
      </c>
    </row>
    <row r="1270" spans="109:120" ht="15">
      <c r="DE1270" s="152"/>
      <c r="DF1270" s="160" t="s">
        <v>3442</v>
      </c>
      <c r="DG1270" s="160" t="s">
        <v>122</v>
      </c>
      <c r="DH1270" s="160" t="s">
        <v>125</v>
      </c>
      <c r="DI1270" s="160" t="s">
        <v>3443</v>
      </c>
      <c r="DJ1270" s="160" t="s">
        <v>3443</v>
      </c>
      <c r="DK1270" s="160" t="s">
        <v>1259</v>
      </c>
      <c r="DL1270" s="160" t="s">
        <v>1260</v>
      </c>
      <c r="DM1270" s="160" t="s">
        <v>1812</v>
      </c>
      <c r="DN1270" s="161" t="s">
        <v>1813</v>
      </c>
      <c r="DP1270" s="130">
        <v>1</v>
      </c>
    </row>
    <row r="1271" spans="109:120" ht="15">
      <c r="DE1271" s="152"/>
      <c r="DF1271" s="160" t="s">
        <v>3444</v>
      </c>
      <c r="DG1271" s="160" t="s">
        <v>122</v>
      </c>
      <c r="DH1271" s="160" t="s">
        <v>125</v>
      </c>
      <c r="DI1271" s="160" t="s">
        <v>3445</v>
      </c>
      <c r="DJ1271" s="160" t="s">
        <v>3445</v>
      </c>
      <c r="DK1271" s="160" t="s">
        <v>1259</v>
      </c>
      <c r="DL1271" s="160" t="s">
        <v>1260</v>
      </c>
      <c r="DM1271" s="160" t="s">
        <v>1812</v>
      </c>
      <c r="DN1271" s="161" t="s">
        <v>1813</v>
      </c>
      <c r="DP1271" s="130">
        <v>1</v>
      </c>
    </row>
    <row r="1272" spans="109:120" ht="15">
      <c r="DE1272" s="152"/>
      <c r="DF1272" s="160" t="s">
        <v>3446</v>
      </c>
      <c r="DG1272" s="160" t="s">
        <v>122</v>
      </c>
      <c r="DH1272" s="160" t="s">
        <v>125</v>
      </c>
      <c r="DI1272" s="160" t="s">
        <v>3447</v>
      </c>
      <c r="DJ1272" s="160" t="s">
        <v>3447</v>
      </c>
      <c r="DK1272" s="160" t="s">
        <v>1259</v>
      </c>
      <c r="DL1272" s="160" t="s">
        <v>1260</v>
      </c>
      <c r="DM1272" s="160" t="s">
        <v>1812</v>
      </c>
      <c r="DN1272" s="161" t="s">
        <v>1813</v>
      </c>
      <c r="DP1272" s="130">
        <v>1</v>
      </c>
    </row>
    <row r="1273" spans="109:120" ht="15">
      <c r="DE1273" s="152"/>
      <c r="DF1273" s="160" t="s">
        <v>3448</v>
      </c>
      <c r="DG1273" s="160" t="s">
        <v>122</v>
      </c>
      <c r="DH1273" s="160" t="s">
        <v>125</v>
      </c>
      <c r="DI1273" s="160" t="s">
        <v>3449</v>
      </c>
      <c r="DJ1273" s="160" t="s">
        <v>3449</v>
      </c>
      <c r="DK1273" s="160" t="s">
        <v>1259</v>
      </c>
      <c r="DL1273" s="160" t="s">
        <v>1260</v>
      </c>
      <c r="DM1273" s="160" t="s">
        <v>1812</v>
      </c>
      <c r="DN1273" s="161" t="s">
        <v>1813</v>
      </c>
      <c r="DP1273" s="130">
        <v>1</v>
      </c>
    </row>
    <row r="1274" spans="109:120" ht="15">
      <c r="DE1274" s="152"/>
      <c r="DF1274" s="160" t="s">
        <v>3450</v>
      </c>
      <c r="DG1274" s="160" t="s">
        <v>122</v>
      </c>
      <c r="DH1274" s="160" t="s">
        <v>125</v>
      </c>
      <c r="DI1274" s="160" t="s">
        <v>3451</v>
      </c>
      <c r="DJ1274" s="160" t="s">
        <v>3451</v>
      </c>
      <c r="DK1274" s="160" t="s">
        <v>1259</v>
      </c>
      <c r="DL1274" s="160" t="s">
        <v>1260</v>
      </c>
      <c r="DM1274" s="160" t="s">
        <v>1812</v>
      </c>
      <c r="DN1274" s="161" t="s">
        <v>1813</v>
      </c>
      <c r="DP1274" s="130">
        <v>1</v>
      </c>
    </row>
    <row r="1275" spans="109:120" ht="15">
      <c r="DE1275" s="152"/>
      <c r="DF1275" s="160" t="s">
        <v>3452</v>
      </c>
      <c r="DG1275" s="160" t="s">
        <v>122</v>
      </c>
      <c r="DH1275" s="160" t="s">
        <v>125</v>
      </c>
      <c r="DI1275" s="160" t="s">
        <v>3453</v>
      </c>
      <c r="DJ1275" s="160" t="s">
        <v>3453</v>
      </c>
      <c r="DK1275" s="160" t="s">
        <v>1259</v>
      </c>
      <c r="DL1275" s="160" t="s">
        <v>1260</v>
      </c>
      <c r="DM1275" s="160" t="s">
        <v>1812</v>
      </c>
      <c r="DN1275" s="161" t="s">
        <v>1813</v>
      </c>
      <c r="DP1275" s="130">
        <v>1</v>
      </c>
    </row>
    <row r="1276" spans="109:120" ht="15">
      <c r="DE1276" s="152"/>
      <c r="DF1276" s="160" t="s">
        <v>3454</v>
      </c>
      <c r="DG1276" s="160" t="s">
        <v>122</v>
      </c>
      <c r="DH1276" s="160" t="s">
        <v>125</v>
      </c>
      <c r="DI1276" s="160" t="s">
        <v>3455</v>
      </c>
      <c r="DJ1276" s="160" t="s">
        <v>3455</v>
      </c>
      <c r="DK1276" s="160" t="s">
        <v>1259</v>
      </c>
      <c r="DL1276" s="160" t="s">
        <v>1260</v>
      </c>
      <c r="DM1276" s="160" t="s">
        <v>1812</v>
      </c>
      <c r="DN1276" s="161" t="s">
        <v>1813</v>
      </c>
      <c r="DP1276" s="130">
        <v>1</v>
      </c>
    </row>
    <row r="1277" spans="109:120" ht="15">
      <c r="DE1277" s="152"/>
      <c r="DF1277" s="160" t="s">
        <v>3456</v>
      </c>
      <c r="DG1277" s="160" t="s">
        <v>122</v>
      </c>
      <c r="DH1277" s="160" t="s">
        <v>125</v>
      </c>
      <c r="DI1277" s="160" t="s">
        <v>3457</v>
      </c>
      <c r="DJ1277" s="160" t="s">
        <v>3457</v>
      </c>
      <c r="DK1277" s="160" t="s">
        <v>1259</v>
      </c>
      <c r="DL1277" s="160" t="s">
        <v>1260</v>
      </c>
      <c r="DM1277" s="160" t="s">
        <v>1812</v>
      </c>
      <c r="DN1277" s="161" t="s">
        <v>1813</v>
      </c>
      <c r="DP1277" s="130">
        <v>1</v>
      </c>
    </row>
    <row r="1278" spans="109:120" ht="15">
      <c r="DE1278" s="152"/>
      <c r="DF1278" s="160" t="s">
        <v>3458</v>
      </c>
      <c r="DG1278" s="160" t="s">
        <v>122</v>
      </c>
      <c r="DH1278" s="160" t="s">
        <v>125</v>
      </c>
      <c r="DI1278" s="160" t="s">
        <v>3459</v>
      </c>
      <c r="DJ1278" s="160" t="s">
        <v>3459</v>
      </c>
      <c r="DK1278" s="160" t="s">
        <v>1259</v>
      </c>
      <c r="DL1278" s="160" t="s">
        <v>1260</v>
      </c>
      <c r="DM1278" s="160" t="s">
        <v>1812</v>
      </c>
      <c r="DN1278" s="161" t="s">
        <v>1813</v>
      </c>
      <c r="DP1278" s="130">
        <v>1</v>
      </c>
    </row>
    <row r="1279" spans="109:120" ht="15">
      <c r="DE1279" s="152"/>
      <c r="DF1279" s="160" t="s">
        <v>3460</v>
      </c>
      <c r="DG1279" s="160" t="s">
        <v>122</v>
      </c>
      <c r="DH1279" s="160" t="s">
        <v>125</v>
      </c>
      <c r="DI1279" s="160" t="s">
        <v>3461</v>
      </c>
      <c r="DJ1279" s="160" t="s">
        <v>3461</v>
      </c>
      <c r="DK1279" s="160" t="s">
        <v>1259</v>
      </c>
      <c r="DL1279" s="160" t="s">
        <v>1260</v>
      </c>
      <c r="DM1279" s="160" t="s">
        <v>1812</v>
      </c>
      <c r="DN1279" s="161" t="s">
        <v>1813</v>
      </c>
      <c r="DP1279" s="130">
        <v>1</v>
      </c>
    </row>
    <row r="1280" spans="109:120" ht="15">
      <c r="DE1280" s="152"/>
      <c r="DF1280" s="160" t="s">
        <v>3462</v>
      </c>
      <c r="DG1280" s="160" t="s">
        <v>122</v>
      </c>
      <c r="DH1280" s="160" t="s">
        <v>125</v>
      </c>
      <c r="DI1280" s="160" t="s">
        <v>3463</v>
      </c>
      <c r="DJ1280" s="160" t="s">
        <v>3463</v>
      </c>
      <c r="DK1280" s="160" t="s">
        <v>1259</v>
      </c>
      <c r="DL1280" s="160" t="s">
        <v>1260</v>
      </c>
      <c r="DM1280" s="160" t="s">
        <v>1812</v>
      </c>
      <c r="DN1280" s="161" t="s">
        <v>1813</v>
      </c>
      <c r="DP1280" s="130">
        <v>1</v>
      </c>
    </row>
    <row r="1281" spans="109:120" ht="15">
      <c r="DE1281" s="152"/>
      <c r="DF1281" s="160" t="s">
        <v>3464</v>
      </c>
      <c r="DG1281" s="160" t="s">
        <v>122</v>
      </c>
      <c r="DH1281" s="160" t="s">
        <v>125</v>
      </c>
      <c r="DI1281" s="160" t="s">
        <v>300</v>
      </c>
      <c r="DJ1281" s="160" t="s">
        <v>300</v>
      </c>
      <c r="DK1281" s="160" t="s">
        <v>588</v>
      </c>
      <c r="DL1281" s="160" t="s">
        <v>1895</v>
      </c>
      <c r="DM1281" s="160" t="s">
        <v>590</v>
      </c>
      <c r="DN1281" s="161" t="s">
        <v>591</v>
      </c>
      <c r="DP1281" s="130">
        <v>1</v>
      </c>
    </row>
    <row r="1282" spans="109:120" ht="15">
      <c r="DE1282" s="152"/>
      <c r="DF1282" s="160" t="s">
        <v>3465</v>
      </c>
      <c r="DG1282" s="160" t="s">
        <v>122</v>
      </c>
      <c r="DH1282" s="160" t="s">
        <v>125</v>
      </c>
      <c r="DI1282" s="160" t="s">
        <v>3466</v>
      </c>
      <c r="DJ1282" s="160" t="s">
        <v>3466</v>
      </c>
      <c r="DK1282" s="160" t="s">
        <v>666</v>
      </c>
      <c r="DL1282" s="160" t="s">
        <v>667</v>
      </c>
      <c r="DM1282" s="160" t="s">
        <v>590</v>
      </c>
      <c r="DN1282" s="161" t="s">
        <v>668</v>
      </c>
      <c r="DP1282" s="130">
        <v>1</v>
      </c>
    </row>
    <row r="1283" spans="109:120" ht="15">
      <c r="DE1283" s="152"/>
      <c r="DF1283" s="160" t="s">
        <v>3467</v>
      </c>
      <c r="DG1283" s="160" t="s">
        <v>122</v>
      </c>
      <c r="DH1283" s="160" t="s">
        <v>125</v>
      </c>
      <c r="DI1283" s="160" t="s">
        <v>3468</v>
      </c>
      <c r="DJ1283" s="160" t="s">
        <v>3468</v>
      </c>
      <c r="DK1283" s="160" t="s">
        <v>1259</v>
      </c>
      <c r="DL1283" s="160" t="s">
        <v>1260</v>
      </c>
      <c r="DM1283" s="160" t="s">
        <v>1812</v>
      </c>
      <c r="DN1283" s="161" t="s">
        <v>1813</v>
      </c>
      <c r="DP1283" s="130">
        <v>1</v>
      </c>
    </row>
    <row r="1284" spans="109:120" ht="15">
      <c r="DE1284" s="152"/>
      <c r="DF1284" s="160" t="s">
        <v>3469</v>
      </c>
      <c r="DG1284" s="160" t="s">
        <v>122</v>
      </c>
      <c r="DH1284" s="160" t="s">
        <v>125</v>
      </c>
      <c r="DI1284" s="160" t="s">
        <v>3470</v>
      </c>
      <c r="DJ1284" s="160" t="s">
        <v>3470</v>
      </c>
      <c r="DK1284" s="160" t="s">
        <v>1259</v>
      </c>
      <c r="DL1284" s="160" t="s">
        <v>1260</v>
      </c>
      <c r="DM1284" s="160" t="s">
        <v>1812</v>
      </c>
      <c r="DN1284" s="161" t="s">
        <v>1813</v>
      </c>
      <c r="DP1284" s="130">
        <v>1</v>
      </c>
    </row>
    <row r="1285" spans="109:120" ht="15">
      <c r="DE1285" s="152"/>
      <c r="DF1285" s="160" t="s">
        <v>3471</v>
      </c>
      <c r="DG1285" s="160" t="s">
        <v>122</v>
      </c>
      <c r="DH1285" s="160" t="s">
        <v>125</v>
      </c>
      <c r="DI1285" s="160" t="s">
        <v>3472</v>
      </c>
      <c r="DJ1285" s="160" t="s">
        <v>3472</v>
      </c>
      <c r="DK1285" s="160" t="s">
        <v>1259</v>
      </c>
      <c r="DL1285" s="160" t="s">
        <v>1260</v>
      </c>
      <c r="DM1285" s="160" t="s">
        <v>1812</v>
      </c>
      <c r="DN1285" s="161" t="s">
        <v>1813</v>
      </c>
      <c r="DP1285" s="130">
        <v>1</v>
      </c>
    </row>
    <row r="1286" spans="109:120" ht="15">
      <c r="DE1286" s="152"/>
      <c r="DF1286" s="160" t="s">
        <v>3473</v>
      </c>
      <c r="DG1286" s="160" t="s">
        <v>122</v>
      </c>
      <c r="DH1286" s="160" t="s">
        <v>125</v>
      </c>
      <c r="DI1286" s="160" t="s">
        <v>3474</v>
      </c>
      <c r="DJ1286" s="160" t="s">
        <v>3474</v>
      </c>
      <c r="DK1286" s="160" t="s">
        <v>1259</v>
      </c>
      <c r="DL1286" s="160" t="s">
        <v>1260</v>
      </c>
      <c r="DM1286" s="160" t="s">
        <v>1812</v>
      </c>
      <c r="DN1286" s="161" t="s">
        <v>1813</v>
      </c>
      <c r="DP1286" s="130">
        <v>1</v>
      </c>
    </row>
    <row r="1287" spans="109:120" ht="15">
      <c r="DE1287" s="152"/>
      <c r="DF1287" s="160" t="s">
        <v>3475</v>
      </c>
      <c r="DG1287" s="160" t="s">
        <v>122</v>
      </c>
      <c r="DH1287" s="160" t="s">
        <v>125</v>
      </c>
      <c r="DI1287" s="160" t="s">
        <v>3476</v>
      </c>
      <c r="DJ1287" s="160" t="s">
        <v>3476</v>
      </c>
      <c r="DK1287" s="160" t="s">
        <v>1259</v>
      </c>
      <c r="DL1287" s="160" t="s">
        <v>1260</v>
      </c>
      <c r="DM1287" s="160" t="s">
        <v>1812</v>
      </c>
      <c r="DN1287" s="161" t="s">
        <v>1813</v>
      </c>
      <c r="DP1287" s="130">
        <v>1</v>
      </c>
    </row>
    <row r="1288" spans="109:120" ht="15">
      <c r="DE1288" s="152"/>
      <c r="DF1288" s="160" t="s">
        <v>3477</v>
      </c>
      <c r="DG1288" s="160" t="s">
        <v>122</v>
      </c>
      <c r="DH1288" s="160" t="s">
        <v>125</v>
      </c>
      <c r="DI1288" s="160" t="s">
        <v>3478</v>
      </c>
      <c r="DJ1288" s="160" t="s">
        <v>3478</v>
      </c>
      <c r="DK1288" s="160" t="s">
        <v>1259</v>
      </c>
      <c r="DL1288" s="160" t="s">
        <v>1260</v>
      </c>
      <c r="DM1288" s="160" t="s">
        <v>1812</v>
      </c>
      <c r="DN1288" s="161" t="s">
        <v>1813</v>
      </c>
      <c r="DP1288" s="130">
        <v>1</v>
      </c>
    </row>
    <row r="1289" spans="109:120" ht="15">
      <c r="DE1289" s="152"/>
      <c r="DF1289" s="160" t="s">
        <v>3479</v>
      </c>
      <c r="DG1289" s="160" t="s">
        <v>122</v>
      </c>
      <c r="DH1289" s="160" t="s">
        <v>125</v>
      </c>
      <c r="DI1289" s="160" t="s">
        <v>3480</v>
      </c>
      <c r="DJ1289" s="160" t="s">
        <v>3480</v>
      </c>
      <c r="DK1289" s="160" t="s">
        <v>1259</v>
      </c>
      <c r="DL1289" s="160" t="s">
        <v>1260</v>
      </c>
      <c r="DM1289" s="160" t="s">
        <v>1812</v>
      </c>
      <c r="DN1289" s="161" t="s">
        <v>1813</v>
      </c>
      <c r="DP1289" s="130">
        <v>1</v>
      </c>
    </row>
    <row r="1290" spans="109:120" ht="15">
      <c r="DE1290" s="152"/>
      <c r="DF1290" s="160" t="s">
        <v>3481</v>
      </c>
      <c r="DG1290" s="160" t="s">
        <v>122</v>
      </c>
      <c r="DH1290" s="160" t="s">
        <v>125</v>
      </c>
      <c r="DI1290" s="160" t="s">
        <v>3482</v>
      </c>
      <c r="DJ1290" s="160" t="s">
        <v>3482</v>
      </c>
      <c r="DK1290" s="160" t="s">
        <v>1259</v>
      </c>
      <c r="DL1290" s="160" t="s">
        <v>1260</v>
      </c>
      <c r="DM1290" s="160" t="s">
        <v>1812</v>
      </c>
      <c r="DN1290" s="161" t="s">
        <v>1813</v>
      </c>
      <c r="DP1290" s="130">
        <v>1</v>
      </c>
    </row>
    <row r="1291" spans="109:120" ht="15">
      <c r="DE1291" s="152"/>
      <c r="DF1291" s="160" t="s">
        <v>3483</v>
      </c>
      <c r="DG1291" s="160" t="s">
        <v>122</v>
      </c>
      <c r="DH1291" s="160" t="s">
        <v>125</v>
      </c>
      <c r="DI1291" s="160" t="s">
        <v>3484</v>
      </c>
      <c r="DJ1291" s="160" t="s">
        <v>3484</v>
      </c>
      <c r="DK1291" s="160" t="s">
        <v>588</v>
      </c>
      <c r="DL1291" s="160" t="s">
        <v>1895</v>
      </c>
      <c r="DM1291" s="160" t="s">
        <v>590</v>
      </c>
      <c r="DN1291" s="161" t="s">
        <v>591</v>
      </c>
      <c r="DP1291" s="130">
        <v>1</v>
      </c>
    </row>
    <row r="1292" spans="109:120" ht="15">
      <c r="DE1292" s="152"/>
      <c r="DF1292" s="160" t="s">
        <v>3485</v>
      </c>
      <c r="DG1292" s="160" t="s">
        <v>122</v>
      </c>
      <c r="DH1292" s="160" t="s">
        <v>125</v>
      </c>
      <c r="DI1292" s="160" t="s">
        <v>3486</v>
      </c>
      <c r="DJ1292" s="160" t="s">
        <v>3486</v>
      </c>
      <c r="DK1292" s="160" t="s">
        <v>588</v>
      </c>
      <c r="DL1292" s="160" t="s">
        <v>1895</v>
      </c>
      <c r="DM1292" s="160" t="s">
        <v>590</v>
      </c>
      <c r="DN1292" s="161" t="s">
        <v>591</v>
      </c>
      <c r="DP1292" s="130">
        <v>1</v>
      </c>
    </row>
    <row r="1293" spans="109:120" ht="15">
      <c r="DE1293" s="152"/>
      <c r="DF1293" s="160" t="s">
        <v>3487</v>
      </c>
      <c r="DG1293" s="160" t="s">
        <v>122</v>
      </c>
      <c r="DH1293" s="160" t="s">
        <v>125</v>
      </c>
      <c r="DI1293" s="160" t="s">
        <v>3488</v>
      </c>
      <c r="DJ1293" s="160" t="s">
        <v>3488</v>
      </c>
      <c r="DK1293" s="160" t="s">
        <v>1259</v>
      </c>
      <c r="DL1293" s="160" t="s">
        <v>1260</v>
      </c>
      <c r="DM1293" s="160" t="s">
        <v>1812</v>
      </c>
      <c r="DN1293" s="161" t="s">
        <v>1813</v>
      </c>
      <c r="DP1293" s="130">
        <v>1</v>
      </c>
    </row>
    <row r="1294" spans="109:120" ht="15">
      <c r="DE1294" s="152"/>
      <c r="DF1294" s="160" t="s">
        <v>3489</v>
      </c>
      <c r="DG1294" s="160" t="s">
        <v>122</v>
      </c>
      <c r="DH1294" s="160" t="s">
        <v>125</v>
      </c>
      <c r="DI1294" s="160" t="s">
        <v>3490</v>
      </c>
      <c r="DJ1294" s="160" t="s">
        <v>3490</v>
      </c>
      <c r="DK1294" s="160" t="s">
        <v>588</v>
      </c>
      <c r="DL1294" s="160" t="s">
        <v>1895</v>
      </c>
      <c r="DM1294" s="160" t="s">
        <v>590</v>
      </c>
      <c r="DN1294" s="161" t="s">
        <v>591</v>
      </c>
      <c r="DP1294" s="130">
        <v>1</v>
      </c>
    </row>
    <row r="1295" spans="109:120" ht="15">
      <c r="DE1295" s="152"/>
      <c r="DF1295" s="160" t="s">
        <v>3491</v>
      </c>
      <c r="DG1295" s="160" t="s">
        <v>122</v>
      </c>
      <c r="DH1295" s="160" t="s">
        <v>125</v>
      </c>
      <c r="DI1295" s="160" t="s">
        <v>3492</v>
      </c>
      <c r="DJ1295" s="160" t="s">
        <v>3492</v>
      </c>
      <c r="DK1295" s="160" t="s">
        <v>1259</v>
      </c>
      <c r="DL1295" s="160" t="s">
        <v>1260</v>
      </c>
      <c r="DM1295" s="160" t="s">
        <v>1812</v>
      </c>
      <c r="DN1295" s="161" t="s">
        <v>1813</v>
      </c>
      <c r="DP1295" s="130">
        <v>1</v>
      </c>
    </row>
    <row r="1296" spans="109:120" ht="15">
      <c r="DE1296" s="152"/>
      <c r="DF1296" s="160" t="s">
        <v>3493</v>
      </c>
      <c r="DG1296" s="160" t="s">
        <v>122</v>
      </c>
      <c r="DH1296" s="160" t="s">
        <v>125</v>
      </c>
      <c r="DI1296" s="160" t="s">
        <v>3494</v>
      </c>
      <c r="DJ1296" s="160" t="s">
        <v>3494</v>
      </c>
      <c r="DK1296" s="160" t="s">
        <v>1259</v>
      </c>
      <c r="DL1296" s="160" t="s">
        <v>1260</v>
      </c>
      <c r="DM1296" s="160" t="s">
        <v>1812</v>
      </c>
      <c r="DN1296" s="161" t="s">
        <v>1813</v>
      </c>
      <c r="DP1296" s="130">
        <v>1</v>
      </c>
    </row>
    <row r="1297" spans="109:120" ht="15">
      <c r="DE1297" s="152"/>
      <c r="DF1297" s="160" t="s">
        <v>3495</v>
      </c>
      <c r="DG1297" s="160" t="s">
        <v>122</v>
      </c>
      <c r="DH1297" s="160" t="s">
        <v>125</v>
      </c>
      <c r="DI1297" s="160" t="s">
        <v>3496</v>
      </c>
      <c r="DJ1297" s="160" t="s">
        <v>3496</v>
      </c>
      <c r="DK1297" s="160" t="s">
        <v>1259</v>
      </c>
      <c r="DL1297" s="160" t="s">
        <v>1260</v>
      </c>
      <c r="DM1297" s="160" t="s">
        <v>1812</v>
      </c>
      <c r="DN1297" s="161" t="s">
        <v>1813</v>
      </c>
      <c r="DP1297" s="130">
        <v>1</v>
      </c>
    </row>
    <row r="1298" spans="109:120" ht="15">
      <c r="DE1298" s="152"/>
      <c r="DF1298" s="160" t="s">
        <v>3497</v>
      </c>
      <c r="DG1298" s="160" t="s">
        <v>122</v>
      </c>
      <c r="DH1298" s="160" t="s">
        <v>125</v>
      </c>
      <c r="DI1298" s="160" t="s">
        <v>3498</v>
      </c>
      <c r="DJ1298" s="160" t="s">
        <v>3498</v>
      </c>
      <c r="DK1298" s="160" t="s">
        <v>1259</v>
      </c>
      <c r="DL1298" s="160" t="s">
        <v>1260</v>
      </c>
      <c r="DM1298" s="160" t="s">
        <v>1812</v>
      </c>
      <c r="DN1298" s="161" t="s">
        <v>1813</v>
      </c>
      <c r="DP1298" s="130">
        <v>1</v>
      </c>
    </row>
    <row r="1299" spans="109:120" ht="15">
      <c r="DE1299" s="152"/>
      <c r="DF1299" s="160" t="s">
        <v>3499</v>
      </c>
      <c r="DG1299" s="160" t="s">
        <v>122</v>
      </c>
      <c r="DH1299" s="160" t="s">
        <v>125</v>
      </c>
      <c r="DI1299" s="160" t="s">
        <v>3500</v>
      </c>
      <c r="DJ1299" s="160" t="s">
        <v>3500</v>
      </c>
      <c r="DK1299" s="160" t="s">
        <v>1259</v>
      </c>
      <c r="DL1299" s="160" t="s">
        <v>1260</v>
      </c>
      <c r="DM1299" s="160" t="s">
        <v>1812</v>
      </c>
      <c r="DN1299" s="161" t="s">
        <v>1813</v>
      </c>
      <c r="DP1299" s="130">
        <v>1</v>
      </c>
    </row>
    <row r="1300" spans="109:120" ht="15">
      <c r="DE1300" s="152"/>
      <c r="DF1300" s="160" t="s">
        <v>3501</v>
      </c>
      <c r="DG1300" s="160" t="s">
        <v>122</v>
      </c>
      <c r="DH1300" s="160" t="s">
        <v>125</v>
      </c>
      <c r="DI1300" s="160" t="s">
        <v>3502</v>
      </c>
      <c r="DJ1300" s="160" t="s">
        <v>3502</v>
      </c>
      <c r="DK1300" s="160" t="s">
        <v>1259</v>
      </c>
      <c r="DL1300" s="160" t="s">
        <v>1260</v>
      </c>
      <c r="DM1300" s="160" t="s">
        <v>1812</v>
      </c>
      <c r="DN1300" s="161" t="s">
        <v>1813</v>
      </c>
      <c r="DP1300" s="130">
        <v>1</v>
      </c>
    </row>
    <row r="1301" spans="109:120" ht="15">
      <c r="DE1301" s="152"/>
      <c r="DF1301" s="160" t="s">
        <v>3503</v>
      </c>
      <c r="DG1301" s="160" t="s">
        <v>122</v>
      </c>
      <c r="DH1301" s="160" t="s">
        <v>125</v>
      </c>
      <c r="DI1301" s="160" t="s">
        <v>3504</v>
      </c>
      <c r="DJ1301" s="160" t="s">
        <v>3504</v>
      </c>
      <c r="DK1301" s="160" t="s">
        <v>1259</v>
      </c>
      <c r="DL1301" s="160" t="s">
        <v>1260</v>
      </c>
      <c r="DM1301" s="160" t="s">
        <v>1812</v>
      </c>
      <c r="DN1301" s="161" t="s">
        <v>1813</v>
      </c>
      <c r="DP1301" s="130">
        <v>1</v>
      </c>
    </row>
    <row r="1302" spans="109:120" ht="15">
      <c r="DE1302" s="152"/>
      <c r="DF1302" s="160" t="s">
        <v>3505</v>
      </c>
      <c r="DG1302" s="160" t="s">
        <v>122</v>
      </c>
      <c r="DH1302" s="160" t="s">
        <v>125</v>
      </c>
      <c r="DI1302" s="160" t="s">
        <v>3506</v>
      </c>
      <c r="DJ1302" s="160" t="s">
        <v>3506</v>
      </c>
      <c r="DK1302" s="160" t="s">
        <v>1259</v>
      </c>
      <c r="DL1302" s="160" t="s">
        <v>1260</v>
      </c>
      <c r="DM1302" s="160" t="s">
        <v>1812</v>
      </c>
      <c r="DN1302" s="161" t="s">
        <v>1813</v>
      </c>
      <c r="DP1302" s="130">
        <v>1</v>
      </c>
    </row>
    <row r="1303" spans="109:120" ht="15">
      <c r="DE1303" s="152"/>
      <c r="DF1303" s="160" t="s">
        <v>3507</v>
      </c>
      <c r="DG1303" s="160" t="s">
        <v>122</v>
      </c>
      <c r="DH1303" s="160" t="s">
        <v>125</v>
      </c>
      <c r="DI1303" s="160" t="s">
        <v>3508</v>
      </c>
      <c r="DJ1303" s="160" t="s">
        <v>3508</v>
      </c>
      <c r="DK1303" s="160" t="s">
        <v>1259</v>
      </c>
      <c r="DL1303" s="160" t="s">
        <v>1260</v>
      </c>
      <c r="DM1303" s="160" t="s">
        <v>1812</v>
      </c>
      <c r="DN1303" s="161" t="s">
        <v>1813</v>
      </c>
      <c r="DP1303" s="130">
        <v>1</v>
      </c>
    </row>
    <row r="1304" spans="109:120" ht="15">
      <c r="DE1304" s="152"/>
      <c r="DF1304" s="160" t="s">
        <v>3509</v>
      </c>
      <c r="DG1304" s="160" t="s">
        <v>122</v>
      </c>
      <c r="DH1304" s="160" t="s">
        <v>125</v>
      </c>
      <c r="DI1304" s="160" t="s">
        <v>3510</v>
      </c>
      <c r="DJ1304" s="160" t="s">
        <v>3510</v>
      </c>
      <c r="DK1304" s="160" t="s">
        <v>1259</v>
      </c>
      <c r="DL1304" s="160" t="s">
        <v>1260</v>
      </c>
      <c r="DM1304" s="160" t="s">
        <v>1812</v>
      </c>
      <c r="DN1304" s="161" t="s">
        <v>1813</v>
      </c>
      <c r="DP1304" s="130">
        <v>1</v>
      </c>
    </row>
    <row r="1305" spans="109:120" ht="15">
      <c r="DE1305" s="152"/>
      <c r="DF1305" s="160" t="s">
        <v>3511</v>
      </c>
      <c r="DG1305" s="160" t="s">
        <v>122</v>
      </c>
      <c r="DH1305" s="160" t="s">
        <v>125</v>
      </c>
      <c r="DI1305" s="160" t="s">
        <v>3512</v>
      </c>
      <c r="DJ1305" s="160" t="s">
        <v>3512</v>
      </c>
      <c r="DK1305" s="160" t="s">
        <v>1259</v>
      </c>
      <c r="DL1305" s="160" t="s">
        <v>1260</v>
      </c>
      <c r="DM1305" s="160" t="s">
        <v>1812</v>
      </c>
      <c r="DN1305" s="161" t="s">
        <v>1813</v>
      </c>
      <c r="DP1305" s="130">
        <v>1</v>
      </c>
    </row>
    <row r="1306" spans="109:120" ht="15">
      <c r="DE1306" s="152"/>
      <c r="DF1306" s="160" t="s">
        <v>3513</v>
      </c>
      <c r="DG1306" s="160" t="s">
        <v>122</v>
      </c>
      <c r="DH1306" s="160" t="s">
        <v>125</v>
      </c>
      <c r="DI1306" s="160" t="s">
        <v>3514</v>
      </c>
      <c r="DJ1306" s="160" t="s">
        <v>3514</v>
      </c>
      <c r="DK1306" s="160" t="s">
        <v>1259</v>
      </c>
      <c r="DL1306" s="160" t="s">
        <v>1260</v>
      </c>
      <c r="DM1306" s="160" t="s">
        <v>1812</v>
      </c>
      <c r="DN1306" s="161" t="s">
        <v>1813</v>
      </c>
      <c r="DP1306" s="130">
        <v>1</v>
      </c>
    </row>
    <row r="1307" spans="109:120" ht="15">
      <c r="DE1307" s="152"/>
      <c r="DF1307" s="160" t="s">
        <v>3515</v>
      </c>
      <c r="DG1307" s="160" t="s">
        <v>122</v>
      </c>
      <c r="DH1307" s="160" t="s">
        <v>125</v>
      </c>
      <c r="DI1307" s="160" t="s">
        <v>3516</v>
      </c>
      <c r="DJ1307" s="160" t="s">
        <v>3516</v>
      </c>
      <c r="DK1307" s="160" t="s">
        <v>1259</v>
      </c>
      <c r="DL1307" s="160" t="s">
        <v>1260</v>
      </c>
      <c r="DM1307" s="160" t="s">
        <v>1812</v>
      </c>
      <c r="DN1307" s="161" t="s">
        <v>1813</v>
      </c>
      <c r="DP1307" s="130">
        <v>1</v>
      </c>
    </row>
    <row r="1308" spans="109:120" ht="15">
      <c r="DE1308" s="152"/>
      <c r="DF1308" s="160" t="s">
        <v>3517</v>
      </c>
      <c r="DG1308" s="160" t="s">
        <v>122</v>
      </c>
      <c r="DH1308" s="160" t="s">
        <v>125</v>
      </c>
      <c r="DI1308" s="160" t="s">
        <v>3518</v>
      </c>
      <c r="DJ1308" s="160" t="s">
        <v>3518</v>
      </c>
      <c r="DK1308" s="160" t="s">
        <v>1259</v>
      </c>
      <c r="DL1308" s="160" t="s">
        <v>1260</v>
      </c>
      <c r="DM1308" s="160" t="s">
        <v>1812</v>
      </c>
      <c r="DN1308" s="161" t="s">
        <v>1813</v>
      </c>
      <c r="DP1308" s="130">
        <v>1</v>
      </c>
    </row>
    <row r="1309" spans="109:120" ht="15">
      <c r="DE1309" s="152"/>
      <c r="DF1309" s="160" t="s">
        <v>3519</v>
      </c>
      <c r="DG1309" s="160" t="s">
        <v>122</v>
      </c>
      <c r="DH1309" s="160" t="s">
        <v>125</v>
      </c>
      <c r="DI1309" s="160" t="s">
        <v>3520</v>
      </c>
      <c r="DJ1309" s="160" t="s">
        <v>3520</v>
      </c>
      <c r="DK1309" s="160" t="s">
        <v>1259</v>
      </c>
      <c r="DL1309" s="160" t="s">
        <v>1260</v>
      </c>
      <c r="DM1309" s="160" t="s">
        <v>1812</v>
      </c>
      <c r="DN1309" s="161" t="s">
        <v>1813</v>
      </c>
      <c r="DP1309" s="130">
        <v>1</v>
      </c>
    </row>
    <row r="1310" spans="109:120" ht="15">
      <c r="DE1310" s="152"/>
      <c r="DF1310" s="160" t="s">
        <v>3521</v>
      </c>
      <c r="DG1310" s="160" t="s">
        <v>122</v>
      </c>
      <c r="DH1310" s="160" t="s">
        <v>125</v>
      </c>
      <c r="DI1310" s="160" t="s">
        <v>3522</v>
      </c>
      <c r="DJ1310" s="160" t="s">
        <v>3522</v>
      </c>
      <c r="DK1310" s="160" t="s">
        <v>1259</v>
      </c>
      <c r="DL1310" s="160" t="s">
        <v>1260</v>
      </c>
      <c r="DM1310" s="160" t="s">
        <v>1812</v>
      </c>
      <c r="DN1310" s="161" t="s">
        <v>1813</v>
      </c>
      <c r="DP1310" s="130">
        <v>1</v>
      </c>
    </row>
    <row r="1311" spans="109:120" ht="15">
      <c r="DE1311" s="152"/>
      <c r="DF1311" s="160" t="s">
        <v>3523</v>
      </c>
      <c r="DG1311" s="160" t="s">
        <v>122</v>
      </c>
      <c r="DH1311" s="160" t="s">
        <v>125</v>
      </c>
      <c r="DI1311" s="160" t="s">
        <v>3524</v>
      </c>
      <c r="DJ1311" s="160" t="s">
        <v>3524</v>
      </c>
      <c r="DK1311" s="160" t="s">
        <v>1259</v>
      </c>
      <c r="DL1311" s="160" t="s">
        <v>1260</v>
      </c>
      <c r="DM1311" s="160" t="s">
        <v>1812</v>
      </c>
      <c r="DN1311" s="161" t="s">
        <v>1813</v>
      </c>
      <c r="DP1311" s="130">
        <v>1</v>
      </c>
    </row>
    <row r="1312" spans="109:120" ht="15">
      <c r="DE1312" s="152"/>
      <c r="DF1312" s="160" t="s">
        <v>3525</v>
      </c>
      <c r="DG1312" s="160" t="s">
        <v>122</v>
      </c>
      <c r="DH1312" s="160" t="s">
        <v>125</v>
      </c>
      <c r="DI1312" s="160" t="s">
        <v>3526</v>
      </c>
      <c r="DJ1312" s="160" t="s">
        <v>3526</v>
      </c>
      <c r="DK1312" s="160" t="s">
        <v>1259</v>
      </c>
      <c r="DL1312" s="160" t="s">
        <v>1260</v>
      </c>
      <c r="DM1312" s="160" t="s">
        <v>1812</v>
      </c>
      <c r="DN1312" s="161" t="s">
        <v>1813</v>
      </c>
      <c r="DP1312" s="130">
        <v>1</v>
      </c>
    </row>
    <row r="1313" spans="109:120" ht="15">
      <c r="DE1313" s="152"/>
      <c r="DF1313" s="160" t="s">
        <v>3527</v>
      </c>
      <c r="DG1313" s="160" t="s">
        <v>122</v>
      </c>
      <c r="DH1313" s="160" t="s">
        <v>125</v>
      </c>
      <c r="DI1313" s="160" t="s">
        <v>3528</v>
      </c>
      <c r="DJ1313" s="160" t="s">
        <v>3528</v>
      </c>
      <c r="DK1313" s="160" t="s">
        <v>1259</v>
      </c>
      <c r="DL1313" s="160" t="s">
        <v>1260</v>
      </c>
      <c r="DM1313" s="160" t="s">
        <v>1812</v>
      </c>
      <c r="DN1313" s="161" t="s">
        <v>1813</v>
      </c>
      <c r="DP1313" s="130">
        <v>1</v>
      </c>
    </row>
    <row r="1314" spans="109:120" ht="15">
      <c r="DE1314" s="152"/>
      <c r="DF1314" s="160" t="s">
        <v>3529</v>
      </c>
      <c r="DG1314" s="160" t="s">
        <v>122</v>
      </c>
      <c r="DH1314" s="160" t="s">
        <v>125</v>
      </c>
      <c r="DI1314" s="160" t="s">
        <v>3530</v>
      </c>
      <c r="DJ1314" s="160" t="s">
        <v>3530</v>
      </c>
      <c r="DK1314" s="160" t="s">
        <v>1259</v>
      </c>
      <c r="DL1314" s="160" t="s">
        <v>1260</v>
      </c>
      <c r="DM1314" s="160" t="s">
        <v>1812</v>
      </c>
      <c r="DN1314" s="161" t="s">
        <v>1813</v>
      </c>
      <c r="DP1314" s="130">
        <v>1</v>
      </c>
    </row>
    <row r="1315" spans="109:120" ht="15">
      <c r="DE1315" s="152"/>
      <c r="DF1315" s="160" t="s">
        <v>3531</v>
      </c>
      <c r="DG1315" s="160" t="s">
        <v>122</v>
      </c>
      <c r="DH1315" s="160" t="s">
        <v>125</v>
      </c>
      <c r="DI1315" s="160" t="s">
        <v>527</v>
      </c>
      <c r="DJ1315" s="160" t="s">
        <v>527</v>
      </c>
      <c r="DK1315" s="160" t="s">
        <v>1259</v>
      </c>
      <c r="DL1315" s="160" t="s">
        <v>1260</v>
      </c>
      <c r="DM1315" s="160" t="s">
        <v>1812</v>
      </c>
      <c r="DN1315" s="161" t="s">
        <v>1813</v>
      </c>
      <c r="DP1315" s="130">
        <v>1</v>
      </c>
    </row>
    <row r="1316" spans="109:120" ht="15">
      <c r="DE1316" s="152"/>
      <c r="DF1316" s="160" t="s">
        <v>3532</v>
      </c>
      <c r="DG1316" s="160" t="s">
        <v>122</v>
      </c>
      <c r="DH1316" s="160" t="s">
        <v>125</v>
      </c>
      <c r="DI1316" s="160" t="s">
        <v>3533</v>
      </c>
      <c r="DJ1316" s="160" t="s">
        <v>3533</v>
      </c>
      <c r="DK1316" s="160" t="s">
        <v>1259</v>
      </c>
      <c r="DL1316" s="160" t="s">
        <v>1260</v>
      </c>
      <c r="DM1316" s="160" t="s">
        <v>1812</v>
      </c>
      <c r="DN1316" s="161" t="s">
        <v>1813</v>
      </c>
      <c r="DP1316" s="130">
        <v>1</v>
      </c>
    </row>
    <row r="1317" spans="109:120" ht="15">
      <c r="DE1317" s="152"/>
      <c r="DF1317" s="160" t="s">
        <v>3534</v>
      </c>
      <c r="DG1317" s="160" t="s">
        <v>122</v>
      </c>
      <c r="DH1317" s="160" t="s">
        <v>125</v>
      </c>
      <c r="DI1317" s="160" t="s">
        <v>3535</v>
      </c>
      <c r="DJ1317" s="160" t="s">
        <v>3535</v>
      </c>
      <c r="DK1317" s="160" t="s">
        <v>1259</v>
      </c>
      <c r="DL1317" s="160" t="s">
        <v>1260</v>
      </c>
      <c r="DM1317" s="160" t="s">
        <v>1812</v>
      </c>
      <c r="DN1317" s="161" t="s">
        <v>1813</v>
      </c>
      <c r="DP1317" s="130">
        <v>1</v>
      </c>
    </row>
    <row r="1318" spans="109:120" ht="15">
      <c r="DE1318" s="152"/>
      <c r="DF1318" s="160" t="s">
        <v>3536</v>
      </c>
      <c r="DG1318" s="160" t="s">
        <v>122</v>
      </c>
      <c r="DH1318" s="160" t="s">
        <v>125</v>
      </c>
      <c r="DI1318" s="160" t="s">
        <v>3537</v>
      </c>
      <c r="DJ1318" s="160" t="s">
        <v>3537</v>
      </c>
      <c r="DK1318" s="160" t="s">
        <v>1259</v>
      </c>
      <c r="DL1318" s="160" t="s">
        <v>1260</v>
      </c>
      <c r="DM1318" s="160" t="s">
        <v>1812</v>
      </c>
      <c r="DN1318" s="161" t="s">
        <v>1813</v>
      </c>
      <c r="DP1318" s="130">
        <v>1</v>
      </c>
    </row>
    <row r="1319" spans="109:120" ht="15">
      <c r="DE1319" s="152"/>
      <c r="DF1319" s="160" t="s">
        <v>3538</v>
      </c>
      <c r="DG1319" s="160" t="s">
        <v>122</v>
      </c>
      <c r="DH1319" s="160" t="s">
        <v>125</v>
      </c>
      <c r="DI1319" s="160" t="s">
        <v>3539</v>
      </c>
      <c r="DJ1319" s="160" t="s">
        <v>3539</v>
      </c>
      <c r="DK1319" s="160" t="s">
        <v>1259</v>
      </c>
      <c r="DL1319" s="160" t="s">
        <v>1260</v>
      </c>
      <c r="DM1319" s="160" t="s">
        <v>1812</v>
      </c>
      <c r="DN1319" s="161" t="s">
        <v>1813</v>
      </c>
      <c r="DP1319" s="130">
        <v>1</v>
      </c>
    </row>
    <row r="1320" spans="109:120" ht="15">
      <c r="DE1320" s="152"/>
      <c r="DF1320" s="160" t="s">
        <v>3540</v>
      </c>
      <c r="DG1320" s="160" t="s">
        <v>122</v>
      </c>
      <c r="DH1320" s="160" t="s">
        <v>125</v>
      </c>
      <c r="DI1320" s="160" t="s">
        <v>3541</v>
      </c>
      <c r="DJ1320" s="160" t="s">
        <v>3541</v>
      </c>
      <c r="DK1320" s="160" t="s">
        <v>1259</v>
      </c>
      <c r="DL1320" s="160" t="s">
        <v>1260</v>
      </c>
      <c r="DM1320" s="160" t="s">
        <v>1812</v>
      </c>
      <c r="DN1320" s="161" t="s">
        <v>1813</v>
      </c>
      <c r="DP1320" s="130">
        <v>1</v>
      </c>
    </row>
    <row r="1321" spans="109:120" ht="15">
      <c r="DE1321" s="152"/>
      <c r="DF1321" s="160" t="s">
        <v>3542</v>
      </c>
      <c r="DG1321" s="160" t="s">
        <v>122</v>
      </c>
      <c r="DH1321" s="160" t="s">
        <v>125</v>
      </c>
      <c r="DI1321" s="160" t="s">
        <v>3543</v>
      </c>
      <c r="DJ1321" s="160" t="s">
        <v>3543</v>
      </c>
      <c r="DK1321" s="160" t="s">
        <v>1259</v>
      </c>
      <c r="DL1321" s="160" t="s">
        <v>1260</v>
      </c>
      <c r="DM1321" s="160" t="s">
        <v>1812</v>
      </c>
      <c r="DN1321" s="161" t="s">
        <v>1813</v>
      </c>
      <c r="DP1321" s="130">
        <v>1</v>
      </c>
    </row>
    <row r="1322" spans="109:120" ht="15">
      <c r="DE1322" s="152"/>
      <c r="DF1322" s="160" t="s">
        <v>3544</v>
      </c>
      <c r="DG1322" s="160" t="s">
        <v>122</v>
      </c>
      <c r="DH1322" s="160" t="s">
        <v>125</v>
      </c>
      <c r="DI1322" s="160" t="s">
        <v>3545</v>
      </c>
      <c r="DJ1322" s="160" t="s">
        <v>3545</v>
      </c>
      <c r="DK1322" s="160" t="s">
        <v>1259</v>
      </c>
      <c r="DL1322" s="160" t="s">
        <v>1260</v>
      </c>
      <c r="DM1322" s="160" t="s">
        <v>1812</v>
      </c>
      <c r="DN1322" s="161" t="s">
        <v>1813</v>
      </c>
      <c r="DP1322" s="130">
        <v>1</v>
      </c>
    </row>
    <row r="1323" spans="109:120" ht="15">
      <c r="DE1323" s="152"/>
      <c r="DF1323" s="160" t="s">
        <v>3546</v>
      </c>
      <c r="DG1323" s="160" t="s">
        <v>122</v>
      </c>
      <c r="DH1323" s="160" t="s">
        <v>125</v>
      </c>
      <c r="DI1323" s="160" t="s">
        <v>3547</v>
      </c>
      <c r="DJ1323" s="160" t="s">
        <v>3547</v>
      </c>
      <c r="DK1323" s="160" t="s">
        <v>666</v>
      </c>
      <c r="DL1323" s="160" t="s">
        <v>667</v>
      </c>
      <c r="DM1323" s="160" t="s">
        <v>590</v>
      </c>
      <c r="DN1323" s="161" t="s">
        <v>668</v>
      </c>
      <c r="DP1323" s="130">
        <v>1</v>
      </c>
    </row>
    <row r="1324" spans="109:120" ht="15">
      <c r="DE1324" s="152"/>
      <c r="DF1324" s="160" t="s">
        <v>3548</v>
      </c>
      <c r="DG1324" s="160" t="s">
        <v>122</v>
      </c>
      <c r="DH1324" s="160" t="s">
        <v>125</v>
      </c>
      <c r="DI1324" s="160" t="s">
        <v>302</v>
      </c>
      <c r="DJ1324" s="160" t="s">
        <v>302</v>
      </c>
      <c r="DK1324" s="160" t="s">
        <v>1259</v>
      </c>
      <c r="DL1324" s="160" t="s">
        <v>1260</v>
      </c>
      <c r="DM1324" s="160" t="s">
        <v>1812</v>
      </c>
      <c r="DN1324" s="161" t="s">
        <v>1813</v>
      </c>
      <c r="DP1324" s="130">
        <v>1</v>
      </c>
    </row>
    <row r="1325" spans="109:120" ht="15">
      <c r="DE1325" s="152"/>
      <c r="DF1325" s="160" t="s">
        <v>3549</v>
      </c>
      <c r="DG1325" s="160" t="s">
        <v>122</v>
      </c>
      <c r="DH1325" s="160" t="s">
        <v>125</v>
      </c>
      <c r="DI1325" s="160" t="s">
        <v>3550</v>
      </c>
      <c r="DJ1325" s="160" t="s">
        <v>3550</v>
      </c>
      <c r="DK1325" s="160" t="s">
        <v>1259</v>
      </c>
      <c r="DL1325" s="160" t="s">
        <v>1260</v>
      </c>
      <c r="DM1325" s="160" t="s">
        <v>1812</v>
      </c>
      <c r="DN1325" s="161" t="s">
        <v>1813</v>
      </c>
      <c r="DP1325" s="130">
        <v>1</v>
      </c>
    </row>
    <row r="1326" spans="109:120" ht="15">
      <c r="DE1326" s="152"/>
      <c r="DF1326" s="160" t="s">
        <v>3551</v>
      </c>
      <c r="DG1326" s="160" t="s">
        <v>122</v>
      </c>
      <c r="DH1326" s="160" t="s">
        <v>125</v>
      </c>
      <c r="DI1326" s="160" t="s">
        <v>3552</v>
      </c>
      <c r="DJ1326" s="160" t="s">
        <v>3552</v>
      </c>
      <c r="DK1326" s="160" t="s">
        <v>666</v>
      </c>
      <c r="DL1326" s="160" t="s">
        <v>667</v>
      </c>
      <c r="DM1326" s="160" t="s">
        <v>590</v>
      </c>
      <c r="DN1326" s="161" t="s">
        <v>668</v>
      </c>
      <c r="DP1326" s="130">
        <v>1</v>
      </c>
    </row>
    <row r="1327" spans="109:120" ht="15">
      <c r="DE1327" s="152"/>
      <c r="DF1327" s="160" t="s">
        <v>3553</v>
      </c>
      <c r="DG1327" s="160" t="s">
        <v>122</v>
      </c>
      <c r="DH1327" s="160" t="s">
        <v>125</v>
      </c>
      <c r="DI1327" s="160" t="s">
        <v>3554</v>
      </c>
      <c r="DJ1327" s="160" t="s">
        <v>3554</v>
      </c>
      <c r="DK1327" s="160" t="s">
        <v>1259</v>
      </c>
      <c r="DL1327" s="160" t="s">
        <v>1260</v>
      </c>
      <c r="DM1327" s="160" t="s">
        <v>1812</v>
      </c>
      <c r="DN1327" s="161" t="s">
        <v>1813</v>
      </c>
      <c r="DP1327" s="130">
        <v>1</v>
      </c>
    </row>
    <row r="1328" spans="109:120" ht="15">
      <c r="DE1328" s="152"/>
      <c r="DF1328" s="160" t="s">
        <v>3555</v>
      </c>
      <c r="DG1328" s="160" t="s">
        <v>122</v>
      </c>
      <c r="DH1328" s="160" t="s">
        <v>125</v>
      </c>
      <c r="DI1328" s="160" t="s">
        <v>3556</v>
      </c>
      <c r="DJ1328" s="160" t="s">
        <v>3556</v>
      </c>
      <c r="DK1328" s="160" t="s">
        <v>1259</v>
      </c>
      <c r="DL1328" s="160" t="s">
        <v>1260</v>
      </c>
      <c r="DM1328" s="160" t="s">
        <v>1812</v>
      </c>
      <c r="DN1328" s="161" t="s">
        <v>1813</v>
      </c>
      <c r="DP1328" s="130">
        <v>1</v>
      </c>
    </row>
    <row r="1329" spans="109:120" ht="15">
      <c r="DE1329" s="152"/>
      <c r="DF1329" s="160" t="s">
        <v>3557</v>
      </c>
      <c r="DG1329" s="160" t="s">
        <v>122</v>
      </c>
      <c r="DH1329" s="160" t="s">
        <v>125</v>
      </c>
      <c r="DI1329" s="160" t="s">
        <v>3558</v>
      </c>
      <c r="DJ1329" s="160" t="s">
        <v>3558</v>
      </c>
      <c r="DK1329" s="160" t="s">
        <v>1259</v>
      </c>
      <c r="DL1329" s="160" t="s">
        <v>1260</v>
      </c>
      <c r="DM1329" s="160" t="s">
        <v>1812</v>
      </c>
      <c r="DN1329" s="161" t="s">
        <v>1813</v>
      </c>
      <c r="DP1329" s="130">
        <v>1</v>
      </c>
    </row>
    <row r="1330" spans="109:120" ht="15">
      <c r="DE1330" s="152"/>
      <c r="DF1330" s="160" t="s">
        <v>3559</v>
      </c>
      <c r="DG1330" s="160" t="s">
        <v>122</v>
      </c>
      <c r="DH1330" s="160" t="s">
        <v>125</v>
      </c>
      <c r="DI1330" s="160" t="s">
        <v>3560</v>
      </c>
      <c r="DJ1330" s="160" t="s">
        <v>3560</v>
      </c>
      <c r="DK1330" s="160" t="s">
        <v>1259</v>
      </c>
      <c r="DL1330" s="160" t="s">
        <v>1260</v>
      </c>
      <c r="DM1330" s="160" t="s">
        <v>1812</v>
      </c>
      <c r="DN1330" s="161" t="s">
        <v>1813</v>
      </c>
      <c r="DP1330" s="130">
        <v>1</v>
      </c>
    </row>
    <row r="1331" spans="109:120" ht="15">
      <c r="DE1331" s="152"/>
      <c r="DF1331" s="160" t="s">
        <v>3561</v>
      </c>
      <c r="DG1331" s="160" t="s">
        <v>122</v>
      </c>
      <c r="DH1331" s="160" t="s">
        <v>125</v>
      </c>
      <c r="DI1331" s="160" t="s">
        <v>3562</v>
      </c>
      <c r="DJ1331" s="160" t="s">
        <v>3562</v>
      </c>
      <c r="DK1331" s="160" t="s">
        <v>1259</v>
      </c>
      <c r="DL1331" s="160" t="s">
        <v>1260</v>
      </c>
      <c r="DM1331" s="160" t="s">
        <v>1812</v>
      </c>
      <c r="DN1331" s="161" t="s">
        <v>1813</v>
      </c>
      <c r="DP1331" s="130">
        <v>1</v>
      </c>
    </row>
    <row r="1332" spans="109:120" ht="15">
      <c r="DE1332" s="152"/>
      <c r="DF1332" s="160" t="s">
        <v>3563</v>
      </c>
      <c r="DG1332" s="160" t="s">
        <v>122</v>
      </c>
      <c r="DH1332" s="160" t="s">
        <v>125</v>
      </c>
      <c r="DI1332" s="160" t="s">
        <v>3564</v>
      </c>
      <c r="DJ1332" s="160" t="s">
        <v>3564</v>
      </c>
      <c r="DK1332" s="160" t="s">
        <v>1259</v>
      </c>
      <c r="DL1332" s="160" t="s">
        <v>1260</v>
      </c>
      <c r="DM1332" s="160" t="s">
        <v>1812</v>
      </c>
      <c r="DN1332" s="161" t="s">
        <v>1813</v>
      </c>
      <c r="DP1332" s="130">
        <v>1</v>
      </c>
    </row>
    <row r="1333" spans="109:120" ht="15">
      <c r="DE1333" s="152"/>
      <c r="DF1333" s="160" t="s">
        <v>3565</v>
      </c>
      <c r="DG1333" s="160" t="s">
        <v>122</v>
      </c>
      <c r="DH1333" s="160" t="s">
        <v>125</v>
      </c>
      <c r="DI1333" s="160" t="s">
        <v>3566</v>
      </c>
      <c r="DJ1333" s="160" t="s">
        <v>3566</v>
      </c>
      <c r="DK1333" s="160" t="s">
        <v>1259</v>
      </c>
      <c r="DL1333" s="160" t="s">
        <v>1260</v>
      </c>
      <c r="DM1333" s="160" t="s">
        <v>1812</v>
      </c>
      <c r="DN1333" s="161" t="s">
        <v>1813</v>
      </c>
      <c r="DP1333" s="130">
        <v>1</v>
      </c>
    </row>
    <row r="1334" spans="109:120" ht="15">
      <c r="DE1334" s="152"/>
      <c r="DF1334" s="160" t="s">
        <v>3567</v>
      </c>
      <c r="DG1334" s="160" t="s">
        <v>122</v>
      </c>
      <c r="DH1334" s="160" t="s">
        <v>125</v>
      </c>
      <c r="DI1334" s="160" t="s">
        <v>3568</v>
      </c>
      <c r="DJ1334" s="160" t="s">
        <v>3568</v>
      </c>
      <c r="DK1334" s="160" t="s">
        <v>1259</v>
      </c>
      <c r="DL1334" s="160" t="s">
        <v>1260</v>
      </c>
      <c r="DM1334" s="160" t="s">
        <v>1812</v>
      </c>
      <c r="DN1334" s="161" t="s">
        <v>1813</v>
      </c>
      <c r="DP1334" s="130">
        <v>1</v>
      </c>
    </row>
    <row r="1335" spans="109:120" ht="15">
      <c r="DE1335" s="152"/>
      <c r="DF1335" s="160" t="s">
        <v>3569</v>
      </c>
      <c r="DG1335" s="160" t="s">
        <v>122</v>
      </c>
      <c r="DH1335" s="160" t="s">
        <v>125</v>
      </c>
      <c r="DI1335" s="160" t="s">
        <v>3570</v>
      </c>
      <c r="DJ1335" s="160" t="s">
        <v>3570</v>
      </c>
      <c r="DK1335" s="160" t="s">
        <v>1259</v>
      </c>
      <c r="DL1335" s="160" t="s">
        <v>1260</v>
      </c>
      <c r="DM1335" s="160" t="s">
        <v>1812</v>
      </c>
      <c r="DN1335" s="161" t="s">
        <v>1813</v>
      </c>
      <c r="DP1335" s="130">
        <v>1</v>
      </c>
    </row>
    <row r="1336" spans="109:120" ht="15">
      <c r="DE1336" s="152"/>
      <c r="DF1336" s="160" t="s">
        <v>3571</v>
      </c>
      <c r="DG1336" s="160" t="s">
        <v>122</v>
      </c>
      <c r="DH1336" s="160" t="s">
        <v>125</v>
      </c>
      <c r="DI1336" s="160" t="s">
        <v>3572</v>
      </c>
      <c r="DJ1336" s="160" t="s">
        <v>3572</v>
      </c>
      <c r="DK1336" s="160" t="s">
        <v>1259</v>
      </c>
      <c r="DL1336" s="160" t="s">
        <v>1260</v>
      </c>
      <c r="DM1336" s="160" t="s">
        <v>1812</v>
      </c>
      <c r="DN1336" s="161" t="s">
        <v>1813</v>
      </c>
      <c r="DP1336" s="130">
        <v>1</v>
      </c>
    </row>
    <row r="1337" spans="109:120" ht="15">
      <c r="DE1337" s="152"/>
      <c r="DF1337" s="160" t="s">
        <v>3573</v>
      </c>
      <c r="DG1337" s="160" t="s">
        <v>122</v>
      </c>
      <c r="DH1337" s="160" t="s">
        <v>125</v>
      </c>
      <c r="DI1337" s="160" t="s">
        <v>3574</v>
      </c>
      <c r="DJ1337" s="160" t="s">
        <v>3574</v>
      </c>
      <c r="DK1337" s="160" t="s">
        <v>1259</v>
      </c>
      <c r="DL1337" s="160" t="s">
        <v>1260</v>
      </c>
      <c r="DM1337" s="160" t="s">
        <v>1812</v>
      </c>
      <c r="DN1337" s="161" t="s">
        <v>1813</v>
      </c>
      <c r="DP1337" s="130">
        <v>1</v>
      </c>
    </row>
    <row r="1338" spans="109:120" ht="15">
      <c r="DE1338" s="152"/>
      <c r="DF1338" s="160" t="s">
        <v>3575</v>
      </c>
      <c r="DG1338" s="160" t="s">
        <v>122</v>
      </c>
      <c r="DH1338" s="160" t="s">
        <v>125</v>
      </c>
      <c r="DI1338" s="160" t="s">
        <v>3576</v>
      </c>
      <c r="DJ1338" s="160" t="s">
        <v>3576</v>
      </c>
      <c r="DK1338" s="160" t="s">
        <v>1259</v>
      </c>
      <c r="DL1338" s="160" t="s">
        <v>1260</v>
      </c>
      <c r="DM1338" s="160" t="s">
        <v>1812</v>
      </c>
      <c r="DN1338" s="161" t="s">
        <v>1813</v>
      </c>
      <c r="DP1338" s="130">
        <v>1</v>
      </c>
    </row>
    <row r="1339" spans="109:120" ht="15">
      <c r="DE1339" s="152"/>
      <c r="DF1339" s="160" t="s">
        <v>3577</v>
      </c>
      <c r="DG1339" s="160" t="s">
        <v>122</v>
      </c>
      <c r="DH1339" s="160" t="s">
        <v>125</v>
      </c>
      <c r="DI1339" s="160" t="s">
        <v>3578</v>
      </c>
      <c r="DJ1339" s="160" t="s">
        <v>3578</v>
      </c>
      <c r="DK1339" s="160" t="s">
        <v>1259</v>
      </c>
      <c r="DL1339" s="160" t="s">
        <v>1260</v>
      </c>
      <c r="DM1339" s="160" t="s">
        <v>1812</v>
      </c>
      <c r="DN1339" s="161" t="s">
        <v>1813</v>
      </c>
      <c r="DP1339" s="130">
        <v>1</v>
      </c>
    </row>
    <row r="1340" spans="109:120" ht="15">
      <c r="DE1340" s="152"/>
      <c r="DF1340" s="160" t="s">
        <v>3579</v>
      </c>
      <c r="DG1340" s="160" t="s">
        <v>122</v>
      </c>
      <c r="DH1340" s="160" t="s">
        <v>125</v>
      </c>
      <c r="DI1340" s="160" t="s">
        <v>3580</v>
      </c>
      <c r="DJ1340" s="160" t="s">
        <v>3580</v>
      </c>
      <c r="DK1340" s="160" t="s">
        <v>1259</v>
      </c>
      <c r="DL1340" s="160" t="s">
        <v>1260</v>
      </c>
      <c r="DM1340" s="160" t="s">
        <v>1812</v>
      </c>
      <c r="DN1340" s="161" t="s">
        <v>1813</v>
      </c>
      <c r="DP1340" s="130">
        <v>1</v>
      </c>
    </row>
    <row r="1341" spans="109:120" ht="15">
      <c r="DE1341" s="152"/>
      <c r="DF1341" s="160" t="s">
        <v>3581</v>
      </c>
      <c r="DG1341" s="160" t="s">
        <v>122</v>
      </c>
      <c r="DH1341" s="160" t="s">
        <v>125</v>
      </c>
      <c r="DI1341" s="160" t="s">
        <v>3582</v>
      </c>
      <c r="DJ1341" s="160" t="s">
        <v>3582</v>
      </c>
      <c r="DK1341" s="160" t="s">
        <v>1259</v>
      </c>
      <c r="DL1341" s="160" t="s">
        <v>1260</v>
      </c>
      <c r="DM1341" s="160" t="s">
        <v>1812</v>
      </c>
      <c r="DN1341" s="161" t="s">
        <v>1813</v>
      </c>
      <c r="DP1341" s="130">
        <v>1</v>
      </c>
    </row>
    <row r="1342" spans="109:120" ht="15">
      <c r="DE1342" s="152"/>
      <c r="DF1342" s="160" t="s">
        <v>3583</v>
      </c>
      <c r="DG1342" s="160" t="s">
        <v>122</v>
      </c>
      <c r="DH1342" s="160" t="s">
        <v>125</v>
      </c>
      <c r="DI1342" s="160" t="s">
        <v>3584</v>
      </c>
      <c r="DJ1342" s="160" t="s">
        <v>3584</v>
      </c>
      <c r="DK1342" s="160" t="s">
        <v>1259</v>
      </c>
      <c r="DL1342" s="160" t="s">
        <v>1260</v>
      </c>
      <c r="DM1342" s="160" t="s">
        <v>1812</v>
      </c>
      <c r="DN1342" s="161" t="s">
        <v>1813</v>
      </c>
      <c r="DP1342" s="130">
        <v>1</v>
      </c>
    </row>
    <row r="1343" spans="109:120" ht="15">
      <c r="DE1343" s="152"/>
      <c r="DF1343" s="160" t="s">
        <v>3585</v>
      </c>
      <c r="DG1343" s="160" t="s">
        <v>122</v>
      </c>
      <c r="DH1343" s="160" t="s">
        <v>125</v>
      </c>
      <c r="DI1343" s="160" t="s">
        <v>3586</v>
      </c>
      <c r="DJ1343" s="160" t="s">
        <v>3586</v>
      </c>
      <c r="DK1343" s="160" t="s">
        <v>1259</v>
      </c>
      <c r="DL1343" s="160" t="s">
        <v>1260</v>
      </c>
      <c r="DM1343" s="160" t="s">
        <v>1812</v>
      </c>
      <c r="DN1343" s="161" t="s">
        <v>1813</v>
      </c>
      <c r="DP1343" s="130">
        <v>1</v>
      </c>
    </row>
    <row r="1344" spans="109:120" ht="15">
      <c r="DE1344" s="152"/>
      <c r="DF1344" s="160" t="s">
        <v>3587</v>
      </c>
      <c r="DG1344" s="160" t="s">
        <v>122</v>
      </c>
      <c r="DH1344" s="160" t="s">
        <v>125</v>
      </c>
      <c r="DI1344" s="160" t="s">
        <v>3588</v>
      </c>
      <c r="DJ1344" s="160" t="s">
        <v>3588</v>
      </c>
      <c r="DK1344" s="160" t="s">
        <v>1259</v>
      </c>
      <c r="DL1344" s="160" t="s">
        <v>1260</v>
      </c>
      <c r="DM1344" s="160" t="s">
        <v>1812</v>
      </c>
      <c r="DN1344" s="161" t="s">
        <v>1813</v>
      </c>
      <c r="DP1344" s="130">
        <v>1</v>
      </c>
    </row>
    <row r="1345" spans="109:120" ht="15">
      <c r="DE1345" s="152"/>
      <c r="DF1345" s="160" t="s">
        <v>3589</v>
      </c>
      <c r="DG1345" s="160" t="s">
        <v>122</v>
      </c>
      <c r="DH1345" s="160" t="s">
        <v>125</v>
      </c>
      <c r="DI1345" s="160" t="s">
        <v>3590</v>
      </c>
      <c r="DJ1345" s="160" t="s">
        <v>3590</v>
      </c>
      <c r="DK1345" s="160" t="s">
        <v>1259</v>
      </c>
      <c r="DL1345" s="160" t="s">
        <v>1260</v>
      </c>
      <c r="DM1345" s="160" t="s">
        <v>1812</v>
      </c>
      <c r="DN1345" s="161" t="s">
        <v>1813</v>
      </c>
      <c r="DP1345" s="130">
        <v>1</v>
      </c>
    </row>
    <row r="1346" spans="109:120" ht="15">
      <c r="DE1346" s="152"/>
      <c r="DF1346" s="160" t="s">
        <v>3591</v>
      </c>
      <c r="DG1346" s="160" t="s">
        <v>122</v>
      </c>
      <c r="DH1346" s="160" t="s">
        <v>125</v>
      </c>
      <c r="DI1346" s="160" t="s">
        <v>3592</v>
      </c>
      <c r="DJ1346" s="160" t="s">
        <v>3592</v>
      </c>
      <c r="DK1346" s="160" t="s">
        <v>1259</v>
      </c>
      <c r="DL1346" s="160" t="s">
        <v>1260</v>
      </c>
      <c r="DM1346" s="160" t="s">
        <v>1812</v>
      </c>
      <c r="DN1346" s="161" t="s">
        <v>1813</v>
      </c>
      <c r="DP1346" s="130">
        <v>1</v>
      </c>
    </row>
    <row r="1347" spans="109:120" ht="15">
      <c r="DE1347" s="152"/>
      <c r="DF1347" s="160" t="s">
        <v>3593</v>
      </c>
      <c r="DG1347" s="160" t="s">
        <v>122</v>
      </c>
      <c r="DH1347" s="160" t="s">
        <v>125</v>
      </c>
      <c r="DI1347" s="160" t="s">
        <v>3594</v>
      </c>
      <c r="DJ1347" s="160" t="s">
        <v>3594</v>
      </c>
      <c r="DK1347" s="160" t="s">
        <v>1259</v>
      </c>
      <c r="DL1347" s="160" t="s">
        <v>1260</v>
      </c>
      <c r="DM1347" s="160" t="s">
        <v>1812</v>
      </c>
      <c r="DN1347" s="161" t="s">
        <v>1813</v>
      </c>
      <c r="DP1347" s="130">
        <v>1</v>
      </c>
    </row>
    <row r="1348" spans="109:120" ht="15">
      <c r="DE1348" s="152"/>
      <c r="DF1348" s="160" t="s">
        <v>3595</v>
      </c>
      <c r="DG1348" s="160" t="s">
        <v>122</v>
      </c>
      <c r="DH1348" s="160" t="s">
        <v>125</v>
      </c>
      <c r="DI1348" s="160" t="s">
        <v>3596</v>
      </c>
      <c r="DJ1348" s="160" t="s">
        <v>3596</v>
      </c>
      <c r="DK1348" s="160" t="s">
        <v>1259</v>
      </c>
      <c r="DL1348" s="160" t="s">
        <v>1260</v>
      </c>
      <c r="DM1348" s="160" t="s">
        <v>1812</v>
      </c>
      <c r="DN1348" s="161" t="s">
        <v>1813</v>
      </c>
      <c r="DP1348" s="130">
        <v>1</v>
      </c>
    </row>
    <row r="1349" spans="109:120" ht="15">
      <c r="DE1349" s="152"/>
      <c r="DF1349" s="160" t="s">
        <v>3597</v>
      </c>
      <c r="DG1349" s="160" t="s">
        <v>122</v>
      </c>
      <c r="DH1349" s="160" t="s">
        <v>125</v>
      </c>
      <c r="DI1349" s="160" t="s">
        <v>3598</v>
      </c>
      <c r="DJ1349" s="160" t="s">
        <v>3598</v>
      </c>
      <c r="DK1349" s="160" t="s">
        <v>1259</v>
      </c>
      <c r="DL1349" s="160" t="s">
        <v>1260</v>
      </c>
      <c r="DM1349" s="160" t="s">
        <v>1812</v>
      </c>
      <c r="DN1349" s="161" t="s">
        <v>1813</v>
      </c>
      <c r="DP1349" s="130">
        <v>1</v>
      </c>
    </row>
    <row r="1350" spans="109:120" ht="15">
      <c r="DE1350" s="152"/>
      <c r="DF1350" s="160" t="s">
        <v>3599</v>
      </c>
      <c r="DG1350" s="160" t="s">
        <v>122</v>
      </c>
      <c r="DH1350" s="160" t="s">
        <v>125</v>
      </c>
      <c r="DI1350" s="160" t="s">
        <v>3600</v>
      </c>
      <c r="DJ1350" s="160" t="s">
        <v>3600</v>
      </c>
      <c r="DK1350" s="160" t="s">
        <v>1259</v>
      </c>
      <c r="DL1350" s="160" t="s">
        <v>1260</v>
      </c>
      <c r="DM1350" s="160" t="s">
        <v>1812</v>
      </c>
      <c r="DN1350" s="161" t="s">
        <v>1813</v>
      </c>
      <c r="DP1350" s="130">
        <v>1</v>
      </c>
    </row>
    <row r="1351" spans="109:120" ht="15">
      <c r="DE1351" s="152"/>
      <c r="DF1351" s="160" t="s">
        <v>3601</v>
      </c>
      <c r="DG1351" s="160" t="s">
        <v>122</v>
      </c>
      <c r="DH1351" s="160" t="s">
        <v>125</v>
      </c>
      <c r="DI1351" s="160" t="s">
        <v>3602</v>
      </c>
      <c r="DJ1351" s="160" t="s">
        <v>3602</v>
      </c>
      <c r="DK1351" s="160" t="s">
        <v>1259</v>
      </c>
      <c r="DL1351" s="160" t="s">
        <v>1260</v>
      </c>
      <c r="DM1351" s="160" t="s">
        <v>1812</v>
      </c>
      <c r="DN1351" s="161" t="s">
        <v>1813</v>
      </c>
      <c r="DP1351" s="130">
        <v>1</v>
      </c>
    </row>
    <row r="1352" spans="109:120" ht="15">
      <c r="DE1352" s="152"/>
      <c r="DF1352" s="160" t="s">
        <v>3603</v>
      </c>
      <c r="DG1352" s="160" t="s">
        <v>122</v>
      </c>
      <c r="DH1352" s="160" t="s">
        <v>125</v>
      </c>
      <c r="DI1352" s="160" t="s">
        <v>3604</v>
      </c>
      <c r="DJ1352" s="160" t="s">
        <v>3604</v>
      </c>
      <c r="DK1352" s="160" t="s">
        <v>1259</v>
      </c>
      <c r="DL1352" s="160" t="s">
        <v>1260</v>
      </c>
      <c r="DM1352" s="160" t="s">
        <v>1812</v>
      </c>
      <c r="DN1352" s="161" t="s">
        <v>1813</v>
      </c>
      <c r="DP1352" s="130">
        <v>1</v>
      </c>
    </row>
    <row r="1353" spans="109:120" ht="15">
      <c r="DE1353" s="152"/>
      <c r="DF1353" s="160" t="s">
        <v>3605</v>
      </c>
      <c r="DG1353" s="160" t="s">
        <v>122</v>
      </c>
      <c r="DH1353" s="160" t="s">
        <v>125</v>
      </c>
      <c r="DI1353" s="160" t="s">
        <v>3606</v>
      </c>
      <c r="DJ1353" s="160" t="s">
        <v>3606</v>
      </c>
      <c r="DK1353" s="160" t="s">
        <v>1259</v>
      </c>
      <c r="DL1353" s="160" t="s">
        <v>1260</v>
      </c>
      <c r="DM1353" s="160" t="s">
        <v>1812</v>
      </c>
      <c r="DN1353" s="161" t="s">
        <v>1813</v>
      </c>
      <c r="DP1353" s="130">
        <v>1</v>
      </c>
    </row>
    <row r="1354" spans="109:120" ht="15">
      <c r="DE1354" s="152"/>
      <c r="DF1354" s="160" t="s">
        <v>3607</v>
      </c>
      <c r="DG1354" s="160" t="s">
        <v>122</v>
      </c>
      <c r="DH1354" s="160" t="s">
        <v>125</v>
      </c>
      <c r="DI1354" s="160" t="s">
        <v>3608</v>
      </c>
      <c r="DJ1354" s="160" t="s">
        <v>3608</v>
      </c>
      <c r="DK1354" s="160" t="s">
        <v>1259</v>
      </c>
      <c r="DL1354" s="160" t="s">
        <v>1260</v>
      </c>
      <c r="DM1354" s="160" t="s">
        <v>1812</v>
      </c>
      <c r="DN1354" s="161" t="s">
        <v>1813</v>
      </c>
      <c r="DP1354" s="130">
        <v>1</v>
      </c>
    </row>
    <row r="1355" spans="109:120" ht="15">
      <c r="DE1355" s="152"/>
      <c r="DF1355" s="160" t="s">
        <v>3609</v>
      </c>
      <c r="DG1355" s="160" t="s">
        <v>122</v>
      </c>
      <c r="DH1355" s="160" t="s">
        <v>125</v>
      </c>
      <c r="DI1355" s="160" t="s">
        <v>3610</v>
      </c>
      <c r="DJ1355" s="160" t="s">
        <v>3610</v>
      </c>
      <c r="DK1355" s="160" t="s">
        <v>1259</v>
      </c>
      <c r="DL1355" s="160" t="s">
        <v>1260</v>
      </c>
      <c r="DM1355" s="160" t="s">
        <v>1812</v>
      </c>
      <c r="DN1355" s="161" t="s">
        <v>1813</v>
      </c>
      <c r="DP1355" s="130">
        <v>1</v>
      </c>
    </row>
    <row r="1356" spans="109:120" ht="15">
      <c r="DE1356" s="152"/>
      <c r="DF1356" s="160" t="s">
        <v>3611</v>
      </c>
      <c r="DG1356" s="160" t="s">
        <v>122</v>
      </c>
      <c r="DH1356" s="160" t="s">
        <v>125</v>
      </c>
      <c r="DI1356" s="160" t="s">
        <v>3612</v>
      </c>
      <c r="DJ1356" s="160" t="s">
        <v>3612</v>
      </c>
      <c r="DK1356" s="160" t="s">
        <v>1259</v>
      </c>
      <c r="DL1356" s="160" t="s">
        <v>1260</v>
      </c>
      <c r="DM1356" s="160" t="s">
        <v>1812</v>
      </c>
      <c r="DN1356" s="161" t="s">
        <v>1813</v>
      </c>
      <c r="DP1356" s="130">
        <v>1</v>
      </c>
    </row>
    <row r="1357" spans="109:120" ht="15">
      <c r="DE1357" s="152"/>
      <c r="DF1357" s="160" t="s">
        <v>3613</v>
      </c>
      <c r="DG1357" s="160" t="s">
        <v>122</v>
      </c>
      <c r="DH1357" s="160" t="s">
        <v>125</v>
      </c>
      <c r="DI1357" s="160" t="s">
        <v>3614</v>
      </c>
      <c r="DJ1357" s="160" t="s">
        <v>3614</v>
      </c>
      <c r="DK1357" s="160" t="s">
        <v>1259</v>
      </c>
      <c r="DL1357" s="160" t="s">
        <v>1260</v>
      </c>
      <c r="DM1357" s="160" t="s">
        <v>1812</v>
      </c>
      <c r="DN1357" s="161" t="s">
        <v>1813</v>
      </c>
      <c r="DP1357" s="130">
        <v>1</v>
      </c>
    </row>
    <row r="1358" spans="109:120" ht="15">
      <c r="DE1358" s="152"/>
      <c r="DF1358" s="160" t="s">
        <v>3615</v>
      </c>
      <c r="DG1358" s="160" t="s">
        <v>122</v>
      </c>
      <c r="DH1358" s="160" t="s">
        <v>125</v>
      </c>
      <c r="DI1358" s="160" t="s">
        <v>3616</v>
      </c>
      <c r="DJ1358" s="160" t="s">
        <v>3616</v>
      </c>
      <c r="DK1358" s="160" t="s">
        <v>1259</v>
      </c>
      <c r="DL1358" s="160" t="s">
        <v>1260</v>
      </c>
      <c r="DM1358" s="160" t="s">
        <v>1812</v>
      </c>
      <c r="DN1358" s="161" t="s">
        <v>1813</v>
      </c>
      <c r="DP1358" s="130">
        <v>1</v>
      </c>
    </row>
    <row r="1359" spans="109:120" ht="15">
      <c r="DE1359" s="152"/>
      <c r="DF1359" s="160" t="s">
        <v>3617</v>
      </c>
      <c r="DG1359" s="160" t="s">
        <v>122</v>
      </c>
      <c r="DH1359" s="160" t="s">
        <v>125</v>
      </c>
      <c r="DI1359" s="160" t="s">
        <v>3618</v>
      </c>
      <c r="DJ1359" s="160" t="s">
        <v>3618</v>
      </c>
      <c r="DK1359" s="160" t="s">
        <v>1259</v>
      </c>
      <c r="DL1359" s="160" t="s">
        <v>1260</v>
      </c>
      <c r="DM1359" s="160" t="s">
        <v>1812</v>
      </c>
      <c r="DN1359" s="161" t="s">
        <v>1813</v>
      </c>
      <c r="DP1359" s="130">
        <v>1</v>
      </c>
    </row>
    <row r="1360" spans="109:120" ht="15">
      <c r="DE1360" s="152"/>
      <c r="DF1360" s="160" t="s">
        <v>3619</v>
      </c>
      <c r="DG1360" s="160" t="s">
        <v>122</v>
      </c>
      <c r="DH1360" s="160" t="s">
        <v>125</v>
      </c>
      <c r="DI1360" s="160" t="s">
        <v>3620</v>
      </c>
      <c r="DJ1360" s="160" t="s">
        <v>3620</v>
      </c>
      <c r="DK1360" s="160" t="s">
        <v>1259</v>
      </c>
      <c r="DL1360" s="160" t="s">
        <v>1260</v>
      </c>
      <c r="DM1360" s="160" t="s">
        <v>1812</v>
      </c>
      <c r="DN1360" s="161" t="s">
        <v>1813</v>
      </c>
      <c r="DP1360" s="130">
        <v>1</v>
      </c>
    </row>
    <row r="1361" spans="109:120" ht="15">
      <c r="DE1361" s="152"/>
      <c r="DF1361" s="160" t="s">
        <v>3621</v>
      </c>
      <c r="DG1361" s="160" t="s">
        <v>122</v>
      </c>
      <c r="DH1361" s="160" t="s">
        <v>125</v>
      </c>
      <c r="DI1361" s="160" t="s">
        <v>3622</v>
      </c>
      <c r="DJ1361" s="160" t="s">
        <v>3622</v>
      </c>
      <c r="DK1361" s="160" t="s">
        <v>1259</v>
      </c>
      <c r="DL1361" s="160" t="s">
        <v>1260</v>
      </c>
      <c r="DM1361" s="160" t="s">
        <v>1812</v>
      </c>
      <c r="DN1361" s="161" t="s">
        <v>1813</v>
      </c>
      <c r="DP1361" s="130">
        <v>1</v>
      </c>
    </row>
    <row r="1362" spans="109:120" ht="15">
      <c r="DE1362" s="152"/>
      <c r="DF1362" s="160" t="s">
        <v>3623</v>
      </c>
      <c r="DG1362" s="160" t="s">
        <v>122</v>
      </c>
      <c r="DH1362" s="160" t="s">
        <v>125</v>
      </c>
      <c r="DI1362" s="160" t="s">
        <v>3624</v>
      </c>
      <c r="DJ1362" s="160" t="s">
        <v>3624</v>
      </c>
      <c r="DK1362" s="160" t="s">
        <v>1259</v>
      </c>
      <c r="DL1362" s="160" t="s">
        <v>1260</v>
      </c>
      <c r="DM1362" s="160" t="s">
        <v>1812</v>
      </c>
      <c r="DN1362" s="161" t="s">
        <v>1813</v>
      </c>
      <c r="DP1362" s="130">
        <v>1</v>
      </c>
    </row>
    <row r="1363" spans="109:120" ht="15">
      <c r="DE1363" s="152"/>
      <c r="DF1363" s="160" t="s">
        <v>3625</v>
      </c>
      <c r="DG1363" s="160" t="s">
        <v>122</v>
      </c>
      <c r="DH1363" s="160" t="s">
        <v>125</v>
      </c>
      <c r="DI1363" s="160" t="s">
        <v>3626</v>
      </c>
      <c r="DJ1363" s="160" t="s">
        <v>3626</v>
      </c>
      <c r="DK1363" s="160" t="s">
        <v>1259</v>
      </c>
      <c r="DL1363" s="160" t="s">
        <v>1260</v>
      </c>
      <c r="DM1363" s="160" t="s">
        <v>1812</v>
      </c>
      <c r="DN1363" s="161" t="s">
        <v>1813</v>
      </c>
      <c r="DP1363" s="130">
        <v>1</v>
      </c>
    </row>
    <row r="1364" spans="109:120" ht="15">
      <c r="DE1364" s="152"/>
      <c r="DF1364" s="160" t="s">
        <v>3627</v>
      </c>
      <c r="DG1364" s="160" t="s">
        <v>122</v>
      </c>
      <c r="DH1364" s="160" t="s">
        <v>125</v>
      </c>
      <c r="DI1364" s="160" t="s">
        <v>3628</v>
      </c>
      <c r="DJ1364" s="160" t="s">
        <v>3628</v>
      </c>
      <c r="DK1364" s="160" t="s">
        <v>1259</v>
      </c>
      <c r="DL1364" s="160" t="s">
        <v>1260</v>
      </c>
      <c r="DM1364" s="160" t="s">
        <v>1812</v>
      </c>
      <c r="DN1364" s="161" t="s">
        <v>1813</v>
      </c>
      <c r="DP1364" s="130">
        <v>1</v>
      </c>
    </row>
    <row r="1365" spans="109:120" ht="15">
      <c r="DE1365" s="152"/>
      <c r="DF1365" s="160" t="s">
        <v>3629</v>
      </c>
      <c r="DG1365" s="160" t="s">
        <v>122</v>
      </c>
      <c r="DH1365" s="160" t="s">
        <v>125</v>
      </c>
      <c r="DI1365" s="160" t="s">
        <v>3630</v>
      </c>
      <c r="DJ1365" s="160" t="s">
        <v>3630</v>
      </c>
      <c r="DK1365" s="160" t="s">
        <v>1259</v>
      </c>
      <c r="DL1365" s="160" t="s">
        <v>1260</v>
      </c>
      <c r="DM1365" s="160" t="s">
        <v>1812</v>
      </c>
      <c r="DN1365" s="161" t="s">
        <v>1813</v>
      </c>
      <c r="DP1365" s="130">
        <v>1</v>
      </c>
    </row>
    <row r="1366" spans="109:120" ht="15">
      <c r="DE1366" s="152"/>
      <c r="DF1366" s="160" t="s">
        <v>3631</v>
      </c>
      <c r="DG1366" s="160" t="s">
        <v>122</v>
      </c>
      <c r="DH1366" s="160" t="s">
        <v>125</v>
      </c>
      <c r="DI1366" s="160" t="s">
        <v>3632</v>
      </c>
      <c r="DJ1366" s="160" t="s">
        <v>3632</v>
      </c>
      <c r="DK1366" s="160" t="s">
        <v>1259</v>
      </c>
      <c r="DL1366" s="160" t="s">
        <v>1260</v>
      </c>
      <c r="DM1366" s="160" t="s">
        <v>1812</v>
      </c>
      <c r="DN1366" s="161" t="s">
        <v>1813</v>
      </c>
      <c r="DP1366" s="130">
        <v>1</v>
      </c>
    </row>
    <row r="1367" spans="109:120" ht="15">
      <c r="DE1367" s="152"/>
      <c r="DF1367" s="160" t="s">
        <v>3633</v>
      </c>
      <c r="DG1367" s="160" t="s">
        <v>122</v>
      </c>
      <c r="DH1367" s="160" t="s">
        <v>125</v>
      </c>
      <c r="DI1367" s="160" t="s">
        <v>3634</v>
      </c>
      <c r="DJ1367" s="160" t="s">
        <v>3634</v>
      </c>
      <c r="DK1367" s="160" t="s">
        <v>1259</v>
      </c>
      <c r="DL1367" s="160" t="s">
        <v>1260</v>
      </c>
      <c r="DM1367" s="160" t="s">
        <v>1812</v>
      </c>
      <c r="DN1367" s="161" t="s">
        <v>1813</v>
      </c>
      <c r="DP1367" s="130">
        <v>1</v>
      </c>
    </row>
    <row r="1368" spans="109:120" ht="15">
      <c r="DE1368" s="152"/>
      <c r="DF1368" s="160" t="s">
        <v>3635</v>
      </c>
      <c r="DG1368" s="160" t="s">
        <v>122</v>
      </c>
      <c r="DH1368" s="160" t="s">
        <v>125</v>
      </c>
      <c r="DI1368" s="160" t="s">
        <v>3636</v>
      </c>
      <c r="DJ1368" s="160" t="s">
        <v>3636</v>
      </c>
      <c r="DK1368" s="160" t="s">
        <v>1259</v>
      </c>
      <c r="DL1368" s="160" t="s">
        <v>1260</v>
      </c>
      <c r="DM1368" s="160" t="s">
        <v>1812</v>
      </c>
      <c r="DN1368" s="161" t="s">
        <v>1813</v>
      </c>
      <c r="DP1368" s="130">
        <v>1</v>
      </c>
    </row>
    <row r="1369" spans="109:120" ht="15">
      <c r="DE1369" s="152"/>
      <c r="DF1369" s="160" t="s">
        <v>3637</v>
      </c>
      <c r="DG1369" s="160" t="s">
        <v>122</v>
      </c>
      <c r="DH1369" s="160" t="s">
        <v>125</v>
      </c>
      <c r="DI1369" s="160" t="s">
        <v>3638</v>
      </c>
      <c r="DJ1369" s="160" t="s">
        <v>3638</v>
      </c>
      <c r="DK1369" s="160" t="s">
        <v>1259</v>
      </c>
      <c r="DL1369" s="160" t="s">
        <v>1260</v>
      </c>
      <c r="DM1369" s="160" t="s">
        <v>1812</v>
      </c>
      <c r="DN1369" s="161" t="s">
        <v>1813</v>
      </c>
      <c r="DP1369" s="130">
        <v>1</v>
      </c>
    </row>
    <row r="1370" spans="109:120" ht="15">
      <c r="DE1370" s="152"/>
      <c r="DF1370" s="160" t="s">
        <v>3639</v>
      </c>
      <c r="DG1370" s="160" t="s">
        <v>122</v>
      </c>
      <c r="DH1370" s="160" t="s">
        <v>125</v>
      </c>
      <c r="DI1370" s="160" t="s">
        <v>3640</v>
      </c>
      <c r="DJ1370" s="160" t="s">
        <v>3640</v>
      </c>
      <c r="DK1370" s="160" t="s">
        <v>1259</v>
      </c>
      <c r="DL1370" s="160" t="s">
        <v>1260</v>
      </c>
      <c r="DM1370" s="160" t="s">
        <v>1812</v>
      </c>
      <c r="DN1370" s="161" t="s">
        <v>1813</v>
      </c>
      <c r="DP1370" s="130">
        <v>1</v>
      </c>
    </row>
    <row r="1371" spans="109:120" ht="15">
      <c r="DE1371" s="152"/>
      <c r="DF1371" s="160" t="s">
        <v>3641</v>
      </c>
      <c r="DG1371" s="160" t="s">
        <v>122</v>
      </c>
      <c r="DH1371" s="160" t="s">
        <v>125</v>
      </c>
      <c r="DI1371" s="160" t="s">
        <v>3642</v>
      </c>
      <c r="DJ1371" s="160" t="s">
        <v>3642</v>
      </c>
      <c r="DK1371" s="160" t="s">
        <v>1259</v>
      </c>
      <c r="DL1371" s="160" t="s">
        <v>1260</v>
      </c>
      <c r="DM1371" s="160" t="s">
        <v>1812</v>
      </c>
      <c r="DN1371" s="161" t="s">
        <v>1813</v>
      </c>
      <c r="DP1371" s="130">
        <v>1</v>
      </c>
    </row>
    <row r="1372" spans="109:120" ht="15">
      <c r="DE1372" s="152"/>
      <c r="DF1372" s="160" t="s">
        <v>3643</v>
      </c>
      <c r="DG1372" s="160" t="s">
        <v>122</v>
      </c>
      <c r="DH1372" s="160" t="s">
        <v>125</v>
      </c>
      <c r="DI1372" s="160" t="s">
        <v>3644</v>
      </c>
      <c r="DJ1372" s="160" t="s">
        <v>3644</v>
      </c>
      <c r="DK1372" s="160" t="s">
        <v>1259</v>
      </c>
      <c r="DL1372" s="160" t="s">
        <v>1260</v>
      </c>
      <c r="DM1372" s="160" t="s">
        <v>1812</v>
      </c>
      <c r="DN1372" s="161" t="s">
        <v>1813</v>
      </c>
      <c r="DP1372" s="130">
        <v>1</v>
      </c>
    </row>
    <row r="1373" spans="109:120" ht="15">
      <c r="DE1373" s="152"/>
      <c r="DF1373" s="160" t="s">
        <v>3645</v>
      </c>
      <c r="DG1373" s="160" t="s">
        <v>122</v>
      </c>
      <c r="DH1373" s="160" t="s">
        <v>125</v>
      </c>
      <c r="DI1373" s="160" t="s">
        <v>3646</v>
      </c>
      <c r="DJ1373" s="160" t="s">
        <v>3646</v>
      </c>
      <c r="DK1373" s="160" t="s">
        <v>1259</v>
      </c>
      <c r="DL1373" s="160" t="s">
        <v>1260</v>
      </c>
      <c r="DM1373" s="160" t="s">
        <v>1812</v>
      </c>
      <c r="DN1373" s="161" t="s">
        <v>1813</v>
      </c>
      <c r="DP1373" s="130">
        <v>1</v>
      </c>
    </row>
    <row r="1374" spans="109:120" ht="15">
      <c r="DE1374" s="152"/>
      <c r="DF1374" s="160" t="s">
        <v>3647</v>
      </c>
      <c r="DG1374" s="160" t="s">
        <v>122</v>
      </c>
      <c r="DH1374" s="160" t="s">
        <v>125</v>
      </c>
      <c r="DI1374" s="160" t="s">
        <v>3648</v>
      </c>
      <c r="DJ1374" s="160" t="s">
        <v>3648</v>
      </c>
      <c r="DK1374" s="160" t="s">
        <v>1259</v>
      </c>
      <c r="DL1374" s="160" t="s">
        <v>1260</v>
      </c>
      <c r="DM1374" s="160" t="s">
        <v>1812</v>
      </c>
      <c r="DN1374" s="161" t="s">
        <v>1813</v>
      </c>
      <c r="DP1374" s="130">
        <v>1</v>
      </c>
    </row>
    <row r="1375" spans="109:120" ht="15">
      <c r="DE1375" s="152"/>
      <c r="DF1375" s="160" t="s">
        <v>3649</v>
      </c>
      <c r="DG1375" s="160" t="s">
        <v>122</v>
      </c>
      <c r="DH1375" s="160" t="s">
        <v>126</v>
      </c>
      <c r="DI1375" s="160" t="s">
        <v>3650</v>
      </c>
      <c r="DJ1375" s="160" t="s">
        <v>3651</v>
      </c>
      <c r="DK1375" s="160" t="s">
        <v>666</v>
      </c>
      <c r="DL1375" s="160" t="s">
        <v>952</v>
      </c>
      <c r="DM1375" s="160" t="s">
        <v>590</v>
      </c>
      <c r="DN1375" s="161" t="s">
        <v>668</v>
      </c>
      <c r="DP1375" s="130">
        <v>1</v>
      </c>
    </row>
    <row r="1376" spans="109:120" ht="15">
      <c r="DE1376" s="152"/>
      <c r="DF1376" s="160" t="s">
        <v>3652</v>
      </c>
      <c r="DG1376" s="160" t="s">
        <v>122</v>
      </c>
      <c r="DH1376" s="160" t="s">
        <v>126</v>
      </c>
      <c r="DI1376" s="160" t="s">
        <v>3653</v>
      </c>
      <c r="DJ1376" s="160" t="s">
        <v>3654</v>
      </c>
      <c r="DK1376" s="160" t="s">
        <v>666</v>
      </c>
      <c r="DL1376" s="160" t="s">
        <v>952</v>
      </c>
      <c r="DM1376" s="160" t="s">
        <v>590</v>
      </c>
      <c r="DN1376" s="161" t="s">
        <v>668</v>
      </c>
      <c r="DP1376" s="130">
        <v>1</v>
      </c>
    </row>
    <row r="1377" spans="109:120" ht="15">
      <c r="DE1377" s="152"/>
      <c r="DF1377" s="160" t="s">
        <v>3655</v>
      </c>
      <c r="DG1377" s="160" t="s">
        <v>122</v>
      </c>
      <c r="DH1377" s="160" t="s">
        <v>126</v>
      </c>
      <c r="DI1377" s="160" t="s">
        <v>3656</v>
      </c>
      <c r="DJ1377" s="160" t="s">
        <v>554</v>
      </c>
      <c r="DK1377" s="160" t="s">
        <v>666</v>
      </c>
      <c r="DL1377" s="160" t="s">
        <v>952</v>
      </c>
      <c r="DM1377" s="160" t="s">
        <v>590</v>
      </c>
      <c r="DN1377" s="161" t="s">
        <v>668</v>
      </c>
      <c r="DP1377" s="130">
        <v>1</v>
      </c>
    </row>
    <row r="1378" spans="109:120" ht="15">
      <c r="DE1378" s="152"/>
      <c r="DF1378" s="160" t="s">
        <v>3657</v>
      </c>
      <c r="DG1378" s="160" t="s">
        <v>122</v>
      </c>
      <c r="DH1378" s="160" t="s">
        <v>126</v>
      </c>
      <c r="DI1378" s="160" t="s">
        <v>3658</v>
      </c>
      <c r="DJ1378" s="160" t="s">
        <v>3659</v>
      </c>
      <c r="DK1378" s="160" t="s">
        <v>666</v>
      </c>
      <c r="DL1378" s="160" t="s">
        <v>952</v>
      </c>
      <c r="DM1378" s="160" t="s">
        <v>590</v>
      </c>
      <c r="DN1378" s="161" t="s">
        <v>668</v>
      </c>
      <c r="DP1378" s="130">
        <v>1</v>
      </c>
    </row>
    <row r="1379" spans="109:120" ht="15">
      <c r="DE1379" s="152"/>
      <c r="DF1379" s="160" t="s">
        <v>3660</v>
      </c>
      <c r="DG1379" s="160" t="s">
        <v>122</v>
      </c>
      <c r="DH1379" s="160" t="s">
        <v>126</v>
      </c>
      <c r="DI1379" s="160" t="s">
        <v>3661</v>
      </c>
      <c r="DJ1379" s="160" t="s">
        <v>3662</v>
      </c>
      <c r="DK1379" s="160" t="s">
        <v>666</v>
      </c>
      <c r="DL1379" s="160" t="s">
        <v>952</v>
      </c>
      <c r="DM1379" s="160" t="s">
        <v>590</v>
      </c>
      <c r="DN1379" s="161" t="s">
        <v>668</v>
      </c>
      <c r="DP1379" s="130">
        <v>1</v>
      </c>
    </row>
    <row r="1380" spans="109:120" ht="15">
      <c r="DE1380" s="152"/>
      <c r="DF1380" s="160" t="s">
        <v>3663</v>
      </c>
      <c r="DG1380" s="160" t="s">
        <v>122</v>
      </c>
      <c r="DH1380" s="160" t="s">
        <v>126</v>
      </c>
      <c r="DI1380" s="160" t="s">
        <v>555</v>
      </c>
      <c r="DJ1380" s="160" t="s">
        <v>555</v>
      </c>
      <c r="DK1380" s="160" t="s">
        <v>666</v>
      </c>
      <c r="DL1380" s="160" t="s">
        <v>952</v>
      </c>
      <c r="DM1380" s="160" t="s">
        <v>590</v>
      </c>
      <c r="DN1380" s="161" t="s">
        <v>668</v>
      </c>
      <c r="DP1380" s="130">
        <v>1</v>
      </c>
    </row>
    <row r="1381" spans="109:120" ht="15">
      <c r="DE1381" s="152"/>
      <c r="DF1381" s="160" t="s">
        <v>3664</v>
      </c>
      <c r="DG1381" s="160" t="s">
        <v>122</v>
      </c>
      <c r="DH1381" s="160" t="s">
        <v>126</v>
      </c>
      <c r="DI1381" s="160" t="s">
        <v>3665</v>
      </c>
      <c r="DJ1381" s="160" t="s">
        <v>3665</v>
      </c>
      <c r="DK1381" s="160" t="s">
        <v>666</v>
      </c>
      <c r="DL1381" s="160" t="s">
        <v>952</v>
      </c>
      <c r="DM1381" s="160" t="s">
        <v>590</v>
      </c>
      <c r="DN1381" s="161" t="s">
        <v>668</v>
      </c>
      <c r="DP1381" s="130">
        <v>1</v>
      </c>
    </row>
    <row r="1382" spans="109:120" ht="15">
      <c r="DE1382" s="152"/>
      <c r="DF1382" s="160" t="s">
        <v>3666</v>
      </c>
      <c r="DG1382" s="160" t="s">
        <v>122</v>
      </c>
      <c r="DH1382" s="160" t="s">
        <v>126</v>
      </c>
      <c r="DI1382" s="160" t="s">
        <v>3667</v>
      </c>
      <c r="DJ1382" s="160" t="s">
        <v>3667</v>
      </c>
      <c r="DK1382" s="160" t="s">
        <v>666</v>
      </c>
      <c r="DL1382" s="160" t="s">
        <v>952</v>
      </c>
      <c r="DM1382" s="160" t="s">
        <v>590</v>
      </c>
      <c r="DN1382" s="161" t="s">
        <v>668</v>
      </c>
      <c r="DP1382" s="130">
        <v>1</v>
      </c>
    </row>
    <row r="1383" spans="109:120" ht="15">
      <c r="DE1383" s="152"/>
      <c r="DF1383" s="160" t="s">
        <v>3668</v>
      </c>
      <c r="DG1383" s="160" t="s">
        <v>122</v>
      </c>
      <c r="DH1383" s="160" t="s">
        <v>126</v>
      </c>
      <c r="DI1383" s="160" t="s">
        <v>3669</v>
      </c>
      <c r="DJ1383" s="160" t="s">
        <v>3669</v>
      </c>
      <c r="DK1383" s="160" t="s">
        <v>666</v>
      </c>
      <c r="DL1383" s="160" t="s">
        <v>952</v>
      </c>
      <c r="DM1383" s="160" t="s">
        <v>590</v>
      </c>
      <c r="DN1383" s="161" t="s">
        <v>668</v>
      </c>
      <c r="DP1383" s="130">
        <v>1</v>
      </c>
    </row>
    <row r="1384" spans="109:120" ht="15">
      <c r="DE1384" s="152"/>
      <c r="DF1384" s="160" t="s">
        <v>3670</v>
      </c>
      <c r="DG1384" s="160" t="s">
        <v>122</v>
      </c>
      <c r="DH1384" s="160" t="s">
        <v>1182</v>
      </c>
      <c r="DI1384" s="160" t="s">
        <v>3671</v>
      </c>
      <c r="DJ1384" s="160" t="s">
        <v>3672</v>
      </c>
      <c r="DK1384" s="160" t="s">
        <v>588</v>
      </c>
      <c r="DL1384" s="160" t="s">
        <v>3673</v>
      </c>
      <c r="DM1384" s="160" t="s">
        <v>590</v>
      </c>
      <c r="DN1384" s="161" t="s">
        <v>591</v>
      </c>
      <c r="DP1384" s="130">
        <v>1</v>
      </c>
    </row>
    <row r="1385" spans="109:120" ht="15">
      <c r="DE1385" s="152"/>
      <c r="DF1385" s="160" t="s">
        <v>3674</v>
      </c>
      <c r="DG1385" s="160" t="s">
        <v>122</v>
      </c>
      <c r="DH1385" s="160" t="s">
        <v>1182</v>
      </c>
      <c r="DI1385" s="160" t="s">
        <v>3675</v>
      </c>
      <c r="DJ1385" s="160" t="s">
        <v>3675</v>
      </c>
      <c r="DK1385" s="160" t="s">
        <v>588</v>
      </c>
      <c r="DL1385" s="160" t="s">
        <v>3673</v>
      </c>
      <c r="DM1385" s="160" t="s">
        <v>590</v>
      </c>
      <c r="DN1385" s="161" t="s">
        <v>591</v>
      </c>
      <c r="DP1385" s="130">
        <v>1</v>
      </c>
    </row>
    <row r="1386" spans="109:120" ht="15">
      <c r="DE1386" s="152"/>
      <c r="DF1386" s="160" t="s">
        <v>3676</v>
      </c>
      <c r="DG1386" s="160" t="s">
        <v>122</v>
      </c>
      <c r="DH1386" s="160" t="s">
        <v>1182</v>
      </c>
      <c r="DI1386" s="160" t="s">
        <v>3677</v>
      </c>
      <c r="DJ1386" s="160" t="s">
        <v>3677</v>
      </c>
      <c r="DK1386" s="160" t="s">
        <v>588</v>
      </c>
      <c r="DL1386" s="160" t="s">
        <v>3673</v>
      </c>
      <c r="DM1386" s="160" t="s">
        <v>590</v>
      </c>
      <c r="DN1386" s="161" t="s">
        <v>591</v>
      </c>
      <c r="DP1386" s="130">
        <v>1</v>
      </c>
    </row>
    <row r="1387" spans="109:120" ht="15">
      <c r="DE1387" s="152"/>
      <c r="DF1387" s="160" t="s">
        <v>3678</v>
      </c>
      <c r="DG1387" s="160" t="s">
        <v>122</v>
      </c>
      <c r="DH1387" s="160" t="s">
        <v>1182</v>
      </c>
      <c r="DI1387" s="160" t="s">
        <v>3679</v>
      </c>
      <c r="DJ1387" s="160" t="s">
        <v>3680</v>
      </c>
      <c r="DK1387" s="160" t="s">
        <v>588</v>
      </c>
      <c r="DL1387" s="160" t="s">
        <v>3673</v>
      </c>
      <c r="DM1387" s="160" t="s">
        <v>590</v>
      </c>
      <c r="DN1387" s="161" t="s">
        <v>591</v>
      </c>
      <c r="DP1387" s="130">
        <v>1</v>
      </c>
    </row>
    <row r="1388" spans="109:120" ht="15">
      <c r="DE1388" s="152"/>
      <c r="DF1388" s="160" t="s">
        <v>3681</v>
      </c>
      <c r="DG1388" s="160" t="s">
        <v>122</v>
      </c>
      <c r="DH1388" s="160" t="s">
        <v>1182</v>
      </c>
      <c r="DI1388" s="160" t="s">
        <v>3682</v>
      </c>
      <c r="DJ1388" s="160" t="s">
        <v>3682</v>
      </c>
      <c r="DK1388" s="160" t="s">
        <v>588</v>
      </c>
      <c r="DL1388" s="160" t="s">
        <v>3673</v>
      </c>
      <c r="DM1388" s="160" t="s">
        <v>590</v>
      </c>
      <c r="DN1388" s="161" t="s">
        <v>591</v>
      </c>
      <c r="DP1388" s="130">
        <v>1</v>
      </c>
    </row>
    <row r="1389" spans="109:120" ht="15">
      <c r="DE1389" s="152"/>
      <c r="DF1389" s="160" t="s">
        <v>3683</v>
      </c>
      <c r="DG1389" s="160" t="s">
        <v>122</v>
      </c>
      <c r="DH1389" s="160" t="s">
        <v>1182</v>
      </c>
      <c r="DI1389" s="160" t="s">
        <v>3684</v>
      </c>
      <c r="DJ1389" s="160" t="s">
        <v>3684</v>
      </c>
      <c r="DK1389" s="160" t="s">
        <v>588</v>
      </c>
      <c r="DL1389" s="160" t="s">
        <v>3673</v>
      </c>
      <c r="DM1389" s="160" t="s">
        <v>590</v>
      </c>
      <c r="DN1389" s="161" t="s">
        <v>591</v>
      </c>
      <c r="DP1389" s="130">
        <v>1</v>
      </c>
    </row>
    <row r="1390" spans="109:120" ht="15">
      <c r="DE1390" s="152"/>
      <c r="DF1390" s="160" t="s">
        <v>3685</v>
      </c>
      <c r="DG1390" s="160" t="s">
        <v>122</v>
      </c>
      <c r="DH1390" s="160" t="s">
        <v>1182</v>
      </c>
      <c r="DI1390" s="160" t="s">
        <v>3686</v>
      </c>
      <c r="DJ1390" s="160" t="s">
        <v>3686</v>
      </c>
      <c r="DK1390" s="160" t="s">
        <v>588</v>
      </c>
      <c r="DL1390" s="160" t="s">
        <v>3673</v>
      </c>
      <c r="DM1390" s="160" t="s">
        <v>590</v>
      </c>
      <c r="DN1390" s="161" t="s">
        <v>591</v>
      </c>
      <c r="DP1390" s="130">
        <v>1</v>
      </c>
    </row>
    <row r="1391" spans="109:120" ht="15">
      <c r="DE1391" s="152"/>
      <c r="DF1391" s="160" t="s">
        <v>3687</v>
      </c>
      <c r="DG1391" s="160" t="s">
        <v>122</v>
      </c>
      <c r="DH1391" s="160" t="s">
        <v>1182</v>
      </c>
      <c r="DI1391" s="160" t="s">
        <v>1228</v>
      </c>
      <c r="DJ1391" s="160" t="s">
        <v>1228</v>
      </c>
      <c r="DK1391" s="160" t="s">
        <v>588</v>
      </c>
      <c r="DL1391" s="160" t="s">
        <v>3673</v>
      </c>
      <c r="DM1391" s="160" t="s">
        <v>590</v>
      </c>
      <c r="DN1391" s="161" t="s">
        <v>591</v>
      </c>
      <c r="DP1391" s="130">
        <v>1</v>
      </c>
    </row>
    <row r="1392" spans="109:120" ht="15">
      <c r="DE1392" s="152"/>
      <c r="DF1392" s="160" t="s">
        <v>3688</v>
      </c>
      <c r="DG1392" s="160" t="s">
        <v>122</v>
      </c>
      <c r="DH1392" s="160" t="s">
        <v>1182</v>
      </c>
      <c r="DI1392" s="160" t="s">
        <v>3689</v>
      </c>
      <c r="DJ1392" s="160" t="s">
        <v>3690</v>
      </c>
      <c r="DK1392" s="160" t="s">
        <v>588</v>
      </c>
      <c r="DL1392" s="160" t="s">
        <v>3673</v>
      </c>
      <c r="DM1392" s="160" t="s">
        <v>590</v>
      </c>
      <c r="DN1392" s="161" t="s">
        <v>591</v>
      </c>
      <c r="DP1392" s="130">
        <v>1</v>
      </c>
    </row>
    <row r="1393" spans="109:120" ht="15">
      <c r="DE1393" s="152"/>
      <c r="DF1393" s="160" t="s">
        <v>3691</v>
      </c>
      <c r="DG1393" s="160" t="s">
        <v>122</v>
      </c>
      <c r="DH1393" s="160" t="s">
        <v>1182</v>
      </c>
      <c r="DI1393" s="160" t="s">
        <v>1237</v>
      </c>
      <c r="DJ1393" s="160" t="s">
        <v>1237</v>
      </c>
      <c r="DK1393" s="160" t="s">
        <v>588</v>
      </c>
      <c r="DL1393" s="160" t="s">
        <v>3673</v>
      </c>
      <c r="DM1393" s="160" t="s">
        <v>590</v>
      </c>
      <c r="DN1393" s="161" t="s">
        <v>591</v>
      </c>
      <c r="DP1393" s="130">
        <v>1</v>
      </c>
    </row>
    <row r="1394" spans="109:120" ht="15">
      <c r="DE1394" s="152"/>
      <c r="DF1394" s="160" t="s">
        <v>3692</v>
      </c>
      <c r="DG1394" s="160" t="s">
        <v>122</v>
      </c>
      <c r="DH1394" s="160" t="s">
        <v>1182</v>
      </c>
      <c r="DI1394" s="160" t="s">
        <v>3693</v>
      </c>
      <c r="DJ1394" s="160" t="s">
        <v>3693</v>
      </c>
      <c r="DK1394" s="160" t="s">
        <v>588</v>
      </c>
      <c r="DL1394" s="160" t="s">
        <v>3673</v>
      </c>
      <c r="DM1394" s="160" t="s">
        <v>590</v>
      </c>
      <c r="DN1394" s="161" t="s">
        <v>591</v>
      </c>
      <c r="DP1394" s="130">
        <v>1</v>
      </c>
    </row>
    <row r="1395" spans="109:120" ht="15">
      <c r="DE1395" s="152"/>
      <c r="DF1395" s="160" t="s">
        <v>3694</v>
      </c>
      <c r="DG1395" s="160" t="s">
        <v>117</v>
      </c>
      <c r="DH1395" s="160" t="s">
        <v>125</v>
      </c>
      <c r="DI1395" s="160" t="s">
        <v>127</v>
      </c>
      <c r="DJ1395" s="160" t="s">
        <v>127</v>
      </c>
      <c r="DK1395" s="160" t="s">
        <v>588</v>
      </c>
      <c r="DL1395" s="160" t="s">
        <v>3695</v>
      </c>
      <c r="DM1395" s="160" t="s">
        <v>590</v>
      </c>
      <c r="DN1395" s="161" t="s">
        <v>591</v>
      </c>
      <c r="DP1395" s="130">
        <v>1</v>
      </c>
    </row>
    <row r="1396" spans="109:120" ht="15">
      <c r="DE1396" s="152"/>
      <c r="DF1396" s="160" t="s">
        <v>3696</v>
      </c>
      <c r="DG1396" s="160" t="s">
        <v>117</v>
      </c>
      <c r="DH1396" s="160" t="s">
        <v>125</v>
      </c>
      <c r="DI1396" s="160" t="s">
        <v>128</v>
      </c>
      <c r="DJ1396" s="160" t="s">
        <v>128</v>
      </c>
      <c r="DK1396" s="160" t="s">
        <v>588</v>
      </c>
      <c r="DL1396" s="160" t="s">
        <v>3695</v>
      </c>
      <c r="DM1396" s="160" t="s">
        <v>590</v>
      </c>
      <c r="DN1396" s="161" t="s">
        <v>591</v>
      </c>
      <c r="DP1396" s="130">
        <v>1</v>
      </c>
    </row>
    <row r="1397" spans="109:120" ht="15">
      <c r="DE1397" s="152"/>
      <c r="DF1397" s="160" t="s">
        <v>3697</v>
      </c>
      <c r="DG1397" s="160" t="s">
        <v>117</v>
      </c>
      <c r="DH1397" s="160" t="s">
        <v>125</v>
      </c>
      <c r="DI1397" s="160" t="s">
        <v>129</v>
      </c>
      <c r="DJ1397" s="160" t="s">
        <v>129</v>
      </c>
      <c r="DK1397" s="160" t="s">
        <v>588</v>
      </c>
      <c r="DL1397" s="160" t="s">
        <v>3695</v>
      </c>
      <c r="DM1397" s="160" t="s">
        <v>590</v>
      </c>
      <c r="DN1397" s="161" t="s">
        <v>591</v>
      </c>
      <c r="DP1397" s="130">
        <v>1</v>
      </c>
    </row>
    <row r="1398" spans="109:120" ht="15">
      <c r="DE1398" s="152"/>
      <c r="DF1398" s="160" t="s">
        <v>3698</v>
      </c>
      <c r="DG1398" s="160" t="s">
        <v>117</v>
      </c>
      <c r="DH1398" s="160" t="s">
        <v>125</v>
      </c>
      <c r="DI1398" s="160" t="s">
        <v>3699</v>
      </c>
      <c r="DJ1398" s="160" t="s">
        <v>130</v>
      </c>
      <c r="DK1398" s="160" t="s">
        <v>588</v>
      </c>
      <c r="DL1398" s="160" t="s">
        <v>3695</v>
      </c>
      <c r="DM1398" s="160" t="s">
        <v>590</v>
      </c>
      <c r="DN1398" s="161" t="s">
        <v>591</v>
      </c>
      <c r="DP1398" s="130">
        <v>1</v>
      </c>
    </row>
    <row r="1399" spans="109:120" ht="15">
      <c r="DE1399" s="152"/>
      <c r="DF1399" s="160" t="s">
        <v>3700</v>
      </c>
      <c r="DG1399" s="160" t="s">
        <v>117</v>
      </c>
      <c r="DH1399" s="160" t="s">
        <v>125</v>
      </c>
      <c r="DI1399" s="160" t="s">
        <v>3701</v>
      </c>
      <c r="DJ1399" s="160" t="s">
        <v>131</v>
      </c>
      <c r="DK1399" s="160" t="s">
        <v>588</v>
      </c>
      <c r="DL1399" s="160" t="s">
        <v>3695</v>
      </c>
      <c r="DM1399" s="160" t="s">
        <v>590</v>
      </c>
      <c r="DN1399" s="161" t="s">
        <v>591</v>
      </c>
      <c r="DP1399" s="130">
        <v>1</v>
      </c>
    </row>
    <row r="1400" spans="109:120" ht="15">
      <c r="DE1400" s="152"/>
      <c r="DF1400" s="160" t="s">
        <v>3702</v>
      </c>
      <c r="DG1400" s="160" t="s">
        <v>117</v>
      </c>
      <c r="DH1400" s="160" t="s">
        <v>125</v>
      </c>
      <c r="DI1400" s="160" t="s">
        <v>3703</v>
      </c>
      <c r="DJ1400" s="160" t="s">
        <v>132</v>
      </c>
      <c r="DK1400" s="160" t="s">
        <v>588</v>
      </c>
      <c r="DL1400" s="160" t="s">
        <v>3695</v>
      </c>
      <c r="DM1400" s="160" t="s">
        <v>590</v>
      </c>
      <c r="DN1400" s="161" t="s">
        <v>591</v>
      </c>
      <c r="DP1400" s="130">
        <v>1</v>
      </c>
    </row>
    <row r="1401" spans="109:120" ht="15">
      <c r="DE1401" s="152"/>
      <c r="DF1401" s="160" t="s">
        <v>3704</v>
      </c>
      <c r="DG1401" s="160" t="s">
        <v>117</v>
      </c>
      <c r="DH1401" s="160" t="s">
        <v>125</v>
      </c>
      <c r="DI1401" s="160" t="s">
        <v>420</v>
      </c>
      <c r="DJ1401" s="160" t="s">
        <v>420</v>
      </c>
      <c r="DK1401" s="160" t="s">
        <v>588</v>
      </c>
      <c r="DL1401" s="160" t="s">
        <v>3695</v>
      </c>
      <c r="DM1401" s="160" t="s">
        <v>590</v>
      </c>
      <c r="DN1401" s="161" t="s">
        <v>591</v>
      </c>
      <c r="DP1401" s="130">
        <v>1</v>
      </c>
    </row>
    <row r="1402" spans="109:120" ht="15">
      <c r="DE1402" s="152"/>
      <c r="DF1402" s="160" t="s">
        <v>3705</v>
      </c>
      <c r="DG1402" s="160" t="s">
        <v>117</v>
      </c>
      <c r="DH1402" s="160" t="s">
        <v>125</v>
      </c>
      <c r="DI1402" s="160" t="s">
        <v>421</v>
      </c>
      <c r="DJ1402" s="160" t="s">
        <v>421</v>
      </c>
      <c r="DK1402" s="160" t="s">
        <v>666</v>
      </c>
      <c r="DL1402" s="160" t="s">
        <v>667</v>
      </c>
      <c r="DM1402" s="160" t="s">
        <v>590</v>
      </c>
      <c r="DN1402" s="161" t="s">
        <v>668</v>
      </c>
      <c r="DP1402" s="130">
        <v>1</v>
      </c>
    </row>
    <row r="1403" spans="109:120" ht="15">
      <c r="DE1403" s="152"/>
      <c r="DF1403" s="160" t="s">
        <v>3706</v>
      </c>
      <c r="DG1403" s="160" t="s">
        <v>117</v>
      </c>
      <c r="DH1403" s="160" t="s">
        <v>125</v>
      </c>
      <c r="DI1403" s="160" t="s">
        <v>3707</v>
      </c>
      <c r="DJ1403" s="160" t="s">
        <v>3707</v>
      </c>
      <c r="DK1403" s="160" t="s">
        <v>666</v>
      </c>
      <c r="DL1403" s="160" t="s">
        <v>667</v>
      </c>
      <c r="DM1403" s="160" t="s">
        <v>590</v>
      </c>
      <c r="DN1403" s="161" t="s">
        <v>668</v>
      </c>
      <c r="DP1403" s="130">
        <v>1</v>
      </c>
    </row>
    <row r="1404" spans="109:120" ht="15">
      <c r="DE1404" s="152"/>
      <c r="DF1404" s="160" t="s">
        <v>3708</v>
      </c>
      <c r="DG1404" s="160" t="s">
        <v>117</v>
      </c>
      <c r="DH1404" s="160" t="s">
        <v>125</v>
      </c>
      <c r="DI1404" s="160" t="s">
        <v>422</v>
      </c>
      <c r="DJ1404" s="160" t="s">
        <v>422</v>
      </c>
      <c r="DK1404" s="160" t="s">
        <v>666</v>
      </c>
      <c r="DL1404" s="160" t="s">
        <v>667</v>
      </c>
      <c r="DM1404" s="160" t="s">
        <v>590</v>
      </c>
      <c r="DN1404" s="161" t="s">
        <v>668</v>
      </c>
      <c r="DP1404" s="130">
        <v>1</v>
      </c>
    </row>
    <row r="1405" spans="109:120" ht="15">
      <c r="DE1405" s="152"/>
      <c r="DF1405" s="160" t="s">
        <v>3709</v>
      </c>
      <c r="DG1405" s="160" t="s">
        <v>117</v>
      </c>
      <c r="DH1405" s="160" t="s">
        <v>125</v>
      </c>
      <c r="DI1405" s="160" t="s">
        <v>133</v>
      </c>
      <c r="DJ1405" s="160" t="s">
        <v>133</v>
      </c>
      <c r="DK1405" s="160" t="s">
        <v>588</v>
      </c>
      <c r="DL1405" s="160" t="s">
        <v>3695</v>
      </c>
      <c r="DM1405" s="160" t="s">
        <v>590</v>
      </c>
      <c r="DN1405" s="161" t="s">
        <v>591</v>
      </c>
      <c r="DP1405" s="130">
        <v>1</v>
      </c>
    </row>
    <row r="1406" spans="109:120" ht="15">
      <c r="DE1406" s="152"/>
      <c r="DF1406" s="160" t="s">
        <v>3710</v>
      </c>
      <c r="DG1406" s="160" t="s">
        <v>117</v>
      </c>
      <c r="DH1406" s="160" t="s">
        <v>125</v>
      </c>
      <c r="DI1406" s="160" t="s">
        <v>3711</v>
      </c>
      <c r="DJ1406" s="160" t="s">
        <v>134</v>
      </c>
      <c r="DK1406" s="160" t="s">
        <v>588</v>
      </c>
      <c r="DL1406" s="160" t="s">
        <v>3695</v>
      </c>
      <c r="DM1406" s="160" t="s">
        <v>590</v>
      </c>
      <c r="DN1406" s="161" t="s">
        <v>591</v>
      </c>
      <c r="DP1406" s="130">
        <v>1</v>
      </c>
    </row>
    <row r="1407" spans="109:120" ht="15">
      <c r="DE1407" s="152"/>
      <c r="DF1407" s="160" t="s">
        <v>3712</v>
      </c>
      <c r="DG1407" s="160" t="s">
        <v>117</v>
      </c>
      <c r="DH1407" s="160" t="s">
        <v>125</v>
      </c>
      <c r="DI1407" s="160" t="s">
        <v>423</v>
      </c>
      <c r="DJ1407" s="160" t="s">
        <v>423</v>
      </c>
      <c r="DK1407" s="160" t="s">
        <v>588</v>
      </c>
      <c r="DL1407" s="160" t="s">
        <v>3695</v>
      </c>
      <c r="DM1407" s="160" t="s">
        <v>590</v>
      </c>
      <c r="DN1407" s="161" t="s">
        <v>591</v>
      </c>
      <c r="DP1407" s="130">
        <v>1</v>
      </c>
    </row>
    <row r="1408" spans="109:120" ht="15">
      <c r="DE1408" s="152"/>
      <c r="DF1408" s="160" t="s">
        <v>3713</v>
      </c>
      <c r="DG1408" s="160" t="s">
        <v>117</v>
      </c>
      <c r="DH1408" s="160" t="s">
        <v>125</v>
      </c>
      <c r="DI1408" s="160" t="s">
        <v>424</v>
      </c>
      <c r="DJ1408" s="160" t="s">
        <v>424</v>
      </c>
      <c r="DK1408" s="160" t="s">
        <v>666</v>
      </c>
      <c r="DL1408" s="160" t="s">
        <v>667</v>
      </c>
      <c r="DM1408" s="160" t="s">
        <v>590</v>
      </c>
      <c r="DN1408" s="161" t="s">
        <v>668</v>
      </c>
      <c r="DP1408" s="130">
        <v>1</v>
      </c>
    </row>
    <row r="1409" spans="109:120" ht="15">
      <c r="DE1409" s="152"/>
      <c r="DF1409" s="160" t="s">
        <v>3714</v>
      </c>
      <c r="DG1409" s="160" t="s">
        <v>117</v>
      </c>
      <c r="DH1409" s="160" t="s">
        <v>125</v>
      </c>
      <c r="DI1409" s="160" t="s">
        <v>425</v>
      </c>
      <c r="DJ1409" s="160" t="s">
        <v>425</v>
      </c>
      <c r="DK1409" s="160" t="s">
        <v>588</v>
      </c>
      <c r="DL1409" s="160" t="s">
        <v>3695</v>
      </c>
      <c r="DM1409" s="160" t="s">
        <v>590</v>
      </c>
      <c r="DN1409" s="161" t="s">
        <v>591</v>
      </c>
      <c r="DP1409" s="130">
        <v>1</v>
      </c>
    </row>
    <row r="1410" spans="109:120" ht="15">
      <c r="DE1410" s="152"/>
      <c r="DF1410" s="160" t="s">
        <v>3715</v>
      </c>
      <c r="DG1410" s="160" t="s">
        <v>117</v>
      </c>
      <c r="DH1410" s="160" t="s">
        <v>125</v>
      </c>
      <c r="DI1410" s="160" t="s">
        <v>3716</v>
      </c>
      <c r="DJ1410" s="160" t="s">
        <v>3717</v>
      </c>
      <c r="DK1410" s="160" t="s">
        <v>588</v>
      </c>
      <c r="DL1410" s="160" t="s">
        <v>3695</v>
      </c>
      <c r="DM1410" s="160" t="s">
        <v>590</v>
      </c>
      <c r="DN1410" s="161" t="s">
        <v>591</v>
      </c>
      <c r="DP1410" s="130">
        <v>1</v>
      </c>
    </row>
    <row r="1411" spans="109:120" ht="15">
      <c r="DE1411" s="152"/>
      <c r="DF1411" s="160" t="s">
        <v>3718</v>
      </c>
      <c r="DG1411" s="160" t="s">
        <v>117</v>
      </c>
      <c r="DH1411" s="160" t="s">
        <v>125</v>
      </c>
      <c r="DI1411" s="160" t="s">
        <v>3719</v>
      </c>
      <c r="DJ1411" s="160" t="s">
        <v>426</v>
      </c>
      <c r="DK1411" s="160" t="s">
        <v>588</v>
      </c>
      <c r="DL1411" s="160" t="s">
        <v>3695</v>
      </c>
      <c r="DM1411" s="160" t="s">
        <v>590</v>
      </c>
      <c r="DN1411" s="161" t="s">
        <v>591</v>
      </c>
      <c r="DP1411" s="130">
        <v>1</v>
      </c>
    </row>
    <row r="1412" spans="109:120" ht="15">
      <c r="DE1412" s="152"/>
      <c r="DF1412" s="160" t="s">
        <v>3720</v>
      </c>
      <c r="DG1412" s="160" t="s">
        <v>117</v>
      </c>
      <c r="DH1412" s="160" t="s">
        <v>125</v>
      </c>
      <c r="DI1412" s="160" t="s">
        <v>3721</v>
      </c>
      <c r="DJ1412" s="160" t="s">
        <v>3721</v>
      </c>
      <c r="DK1412" s="160" t="s">
        <v>588</v>
      </c>
      <c r="DL1412" s="160" t="s">
        <v>3695</v>
      </c>
      <c r="DM1412" s="160" t="s">
        <v>590</v>
      </c>
      <c r="DN1412" s="161" t="s">
        <v>591</v>
      </c>
      <c r="DP1412" s="130">
        <v>1</v>
      </c>
    </row>
    <row r="1413" spans="109:120" ht="15">
      <c r="DE1413" s="152"/>
      <c r="DF1413" s="160" t="s">
        <v>3722</v>
      </c>
      <c r="DG1413" s="160" t="s">
        <v>117</v>
      </c>
      <c r="DH1413" s="160" t="s">
        <v>125</v>
      </c>
      <c r="DI1413" s="160" t="s">
        <v>3723</v>
      </c>
      <c r="DJ1413" s="160" t="s">
        <v>3724</v>
      </c>
      <c r="DK1413" s="160" t="s">
        <v>588</v>
      </c>
      <c r="DL1413" s="160" t="s">
        <v>3695</v>
      </c>
      <c r="DM1413" s="160" t="s">
        <v>590</v>
      </c>
      <c r="DN1413" s="161" t="s">
        <v>591</v>
      </c>
      <c r="DP1413" s="130">
        <v>1</v>
      </c>
    </row>
    <row r="1414" spans="109:120" ht="15">
      <c r="DE1414" s="152"/>
      <c r="DF1414" s="160" t="s">
        <v>3725</v>
      </c>
      <c r="DG1414" s="160" t="s">
        <v>117</v>
      </c>
      <c r="DH1414" s="160" t="s">
        <v>125</v>
      </c>
      <c r="DI1414" s="160" t="s">
        <v>3726</v>
      </c>
      <c r="DJ1414" s="160" t="s">
        <v>3727</v>
      </c>
      <c r="DK1414" s="160" t="s">
        <v>588</v>
      </c>
      <c r="DL1414" s="160" t="s">
        <v>3695</v>
      </c>
      <c r="DM1414" s="160" t="s">
        <v>590</v>
      </c>
      <c r="DN1414" s="161" t="s">
        <v>591</v>
      </c>
      <c r="DP1414" s="130">
        <v>1</v>
      </c>
    </row>
    <row r="1415" spans="109:120" ht="15">
      <c r="DE1415" s="152"/>
      <c r="DF1415" s="160" t="s">
        <v>3728</v>
      </c>
      <c r="DG1415" s="160" t="s">
        <v>117</v>
      </c>
      <c r="DH1415" s="160" t="s">
        <v>125</v>
      </c>
      <c r="DI1415" s="160" t="s">
        <v>3729</v>
      </c>
      <c r="DJ1415" s="160" t="s">
        <v>3729</v>
      </c>
      <c r="DK1415" s="160" t="s">
        <v>588</v>
      </c>
      <c r="DL1415" s="160" t="s">
        <v>3695</v>
      </c>
      <c r="DM1415" s="160" t="s">
        <v>590</v>
      </c>
      <c r="DN1415" s="161" t="s">
        <v>591</v>
      </c>
      <c r="DP1415" s="130">
        <v>1</v>
      </c>
    </row>
    <row r="1416" spans="109:120" ht="15">
      <c r="DE1416" s="152"/>
      <c r="DF1416" s="160" t="s">
        <v>3730</v>
      </c>
      <c r="DG1416" s="160" t="s">
        <v>123</v>
      </c>
      <c r="DH1416" s="160" t="s">
        <v>125</v>
      </c>
      <c r="DI1416" s="160" t="s">
        <v>312</v>
      </c>
      <c r="DJ1416" s="160" t="s">
        <v>312</v>
      </c>
      <c r="DK1416" s="160" t="s">
        <v>588</v>
      </c>
      <c r="DL1416" s="160" t="s">
        <v>3731</v>
      </c>
      <c r="DM1416" s="160" t="s">
        <v>590</v>
      </c>
      <c r="DN1416" s="161" t="s">
        <v>591</v>
      </c>
      <c r="DP1416" s="130">
        <v>1</v>
      </c>
    </row>
    <row r="1417" spans="109:120" ht="15">
      <c r="DE1417" s="152"/>
      <c r="DF1417" s="160" t="s">
        <v>3732</v>
      </c>
      <c r="DG1417" s="160" t="s">
        <v>123</v>
      </c>
      <c r="DH1417" s="160" t="s">
        <v>125</v>
      </c>
      <c r="DI1417" s="160" t="s">
        <v>3733</v>
      </c>
      <c r="DJ1417" s="160" t="s">
        <v>3734</v>
      </c>
      <c r="DK1417" s="160" t="s">
        <v>588</v>
      </c>
      <c r="DL1417" s="160" t="s">
        <v>3731</v>
      </c>
      <c r="DM1417" s="160" t="s">
        <v>590</v>
      </c>
      <c r="DN1417" s="161" t="s">
        <v>591</v>
      </c>
      <c r="DP1417" s="130">
        <v>1</v>
      </c>
    </row>
    <row r="1418" spans="109:120" ht="15">
      <c r="DE1418" s="152"/>
      <c r="DF1418" s="160" t="s">
        <v>3735</v>
      </c>
      <c r="DG1418" s="160" t="s">
        <v>123</v>
      </c>
      <c r="DH1418" s="160" t="s">
        <v>125</v>
      </c>
      <c r="DI1418" s="160" t="s">
        <v>3736</v>
      </c>
      <c r="DJ1418" s="160" t="s">
        <v>313</v>
      </c>
      <c r="DK1418" s="160" t="s">
        <v>588</v>
      </c>
      <c r="DL1418" s="160" t="s">
        <v>3731</v>
      </c>
      <c r="DM1418" s="160" t="s">
        <v>590</v>
      </c>
      <c r="DN1418" s="161" t="s">
        <v>591</v>
      </c>
      <c r="DP1418" s="130">
        <v>1</v>
      </c>
    </row>
    <row r="1419" spans="109:120" ht="15">
      <c r="DE1419" s="152"/>
      <c r="DF1419" s="160" t="s">
        <v>3737</v>
      </c>
      <c r="DG1419" s="160" t="s">
        <v>123</v>
      </c>
      <c r="DH1419" s="160" t="s">
        <v>125</v>
      </c>
      <c r="DI1419" s="160" t="s">
        <v>3738</v>
      </c>
      <c r="DJ1419" s="160" t="s">
        <v>3738</v>
      </c>
      <c r="DK1419" s="160" t="s">
        <v>588</v>
      </c>
      <c r="DL1419" s="160" t="s">
        <v>3731</v>
      </c>
      <c r="DM1419" s="160" t="s">
        <v>590</v>
      </c>
      <c r="DN1419" s="161" t="s">
        <v>591</v>
      </c>
      <c r="DP1419" s="130">
        <v>1</v>
      </c>
    </row>
    <row r="1420" spans="109:120" ht="15">
      <c r="DE1420" s="152"/>
      <c r="DF1420" s="160" t="s">
        <v>3739</v>
      </c>
      <c r="DG1420" s="160" t="s">
        <v>123</v>
      </c>
      <c r="DH1420" s="160" t="s">
        <v>125</v>
      </c>
      <c r="DI1420" s="160" t="s">
        <v>3740</v>
      </c>
      <c r="DJ1420" s="160" t="s">
        <v>3741</v>
      </c>
      <c r="DK1420" s="160" t="s">
        <v>588</v>
      </c>
      <c r="DL1420" s="160" t="s">
        <v>3731</v>
      </c>
      <c r="DM1420" s="160" t="s">
        <v>590</v>
      </c>
      <c r="DN1420" s="161" t="s">
        <v>591</v>
      </c>
      <c r="DP1420" s="130">
        <v>1</v>
      </c>
    </row>
    <row r="1421" spans="109:120" ht="15">
      <c r="DE1421" s="152"/>
      <c r="DF1421" s="160" t="s">
        <v>3742</v>
      </c>
      <c r="DG1421" s="160" t="s">
        <v>123</v>
      </c>
      <c r="DH1421" s="160" t="s">
        <v>125</v>
      </c>
      <c r="DI1421" s="160" t="s">
        <v>314</v>
      </c>
      <c r="DJ1421" s="160" t="s">
        <v>314</v>
      </c>
      <c r="DK1421" s="160" t="s">
        <v>588</v>
      </c>
      <c r="DL1421" s="160" t="s">
        <v>3731</v>
      </c>
      <c r="DM1421" s="160" t="s">
        <v>590</v>
      </c>
      <c r="DN1421" s="161" t="s">
        <v>591</v>
      </c>
      <c r="DP1421" s="130">
        <v>1</v>
      </c>
    </row>
    <row r="1422" spans="109:120" ht="15">
      <c r="DE1422" s="152"/>
      <c r="DF1422" s="160" t="s">
        <v>3743</v>
      </c>
      <c r="DG1422" s="160" t="s">
        <v>123</v>
      </c>
      <c r="DH1422" s="160" t="s">
        <v>125</v>
      </c>
      <c r="DI1422" s="160" t="s">
        <v>315</v>
      </c>
      <c r="DJ1422" s="160" t="s">
        <v>315</v>
      </c>
      <c r="DK1422" s="160" t="s">
        <v>588</v>
      </c>
      <c r="DL1422" s="160" t="s">
        <v>3731</v>
      </c>
      <c r="DM1422" s="160" t="s">
        <v>590</v>
      </c>
      <c r="DN1422" s="161" t="s">
        <v>591</v>
      </c>
      <c r="DP1422" s="130">
        <v>1</v>
      </c>
    </row>
    <row r="1423" spans="109:120" ht="15">
      <c r="DE1423" s="152"/>
      <c r="DF1423" s="160" t="s">
        <v>3744</v>
      </c>
      <c r="DG1423" s="160" t="s">
        <v>123</v>
      </c>
      <c r="DH1423" s="160" t="s">
        <v>125</v>
      </c>
      <c r="DI1423" s="160" t="s">
        <v>3745</v>
      </c>
      <c r="DJ1423" s="160" t="s">
        <v>3746</v>
      </c>
      <c r="DK1423" s="160" t="s">
        <v>588</v>
      </c>
      <c r="DL1423" s="160" t="s">
        <v>3731</v>
      </c>
      <c r="DM1423" s="160" t="s">
        <v>590</v>
      </c>
      <c r="DN1423" s="161" t="s">
        <v>591</v>
      </c>
      <c r="DP1423" s="130">
        <v>1</v>
      </c>
    </row>
    <row r="1424" spans="109:120" ht="15">
      <c r="DE1424" s="152"/>
      <c r="DF1424" s="160" t="s">
        <v>3747</v>
      </c>
      <c r="DG1424" s="160" t="s">
        <v>123</v>
      </c>
      <c r="DH1424" s="160" t="s">
        <v>125</v>
      </c>
      <c r="DI1424" s="160" t="s">
        <v>3748</v>
      </c>
      <c r="DJ1424" s="160" t="s">
        <v>3749</v>
      </c>
      <c r="DK1424" s="160" t="s">
        <v>588</v>
      </c>
      <c r="DL1424" s="160" t="s">
        <v>3731</v>
      </c>
      <c r="DM1424" s="160" t="s">
        <v>590</v>
      </c>
      <c r="DN1424" s="161" t="s">
        <v>591</v>
      </c>
      <c r="DP1424" s="130">
        <v>1</v>
      </c>
    </row>
    <row r="1425" spans="109:120" ht="15">
      <c r="DE1425" s="152"/>
      <c r="DF1425" s="160" t="s">
        <v>3750</v>
      </c>
      <c r="DG1425" s="160" t="s">
        <v>123</v>
      </c>
      <c r="DH1425" s="160" t="s">
        <v>125</v>
      </c>
      <c r="DI1425" s="160" t="s">
        <v>3751</v>
      </c>
      <c r="DJ1425" s="160" t="s">
        <v>3751</v>
      </c>
      <c r="DK1425" s="160" t="s">
        <v>588</v>
      </c>
      <c r="DL1425" s="160" t="s">
        <v>3731</v>
      </c>
      <c r="DM1425" s="160" t="s">
        <v>590</v>
      </c>
      <c r="DN1425" s="161" t="s">
        <v>591</v>
      </c>
      <c r="DP1425" s="130">
        <v>1</v>
      </c>
    </row>
    <row r="1426" spans="109:120" ht="15">
      <c r="DE1426" s="152"/>
      <c r="DF1426" s="160" t="s">
        <v>3752</v>
      </c>
      <c r="DG1426" s="160" t="s">
        <v>123</v>
      </c>
      <c r="DH1426" s="160" t="s">
        <v>125</v>
      </c>
      <c r="DI1426" s="160" t="s">
        <v>316</v>
      </c>
      <c r="DJ1426" s="160" t="s">
        <v>316</v>
      </c>
      <c r="DK1426" s="160" t="s">
        <v>588</v>
      </c>
      <c r="DL1426" s="160" t="s">
        <v>3731</v>
      </c>
      <c r="DM1426" s="160" t="s">
        <v>590</v>
      </c>
      <c r="DN1426" s="161" t="s">
        <v>591</v>
      </c>
      <c r="DP1426" s="130">
        <v>1</v>
      </c>
    </row>
    <row r="1427" spans="109:120" ht="15">
      <c r="DE1427" s="152"/>
      <c r="DF1427" s="160" t="s">
        <v>3753</v>
      </c>
      <c r="DG1427" s="160" t="s">
        <v>123</v>
      </c>
      <c r="DH1427" s="160" t="s">
        <v>125</v>
      </c>
      <c r="DI1427" s="160" t="s">
        <v>3754</v>
      </c>
      <c r="DJ1427" s="160" t="s">
        <v>3754</v>
      </c>
      <c r="DK1427" s="160" t="s">
        <v>588</v>
      </c>
      <c r="DL1427" s="160" t="s">
        <v>3731</v>
      </c>
      <c r="DM1427" s="160" t="s">
        <v>590</v>
      </c>
      <c r="DN1427" s="161" t="s">
        <v>591</v>
      </c>
      <c r="DP1427" s="130">
        <v>1</v>
      </c>
    </row>
    <row r="1428" spans="109:120" ht="15">
      <c r="DE1428" s="152"/>
      <c r="DF1428" s="160" t="s">
        <v>3755</v>
      </c>
      <c r="DG1428" s="160" t="s">
        <v>123</v>
      </c>
      <c r="DH1428" s="160" t="s">
        <v>125</v>
      </c>
      <c r="DI1428" s="160" t="s">
        <v>317</v>
      </c>
      <c r="DJ1428" s="160" t="s">
        <v>317</v>
      </c>
      <c r="DK1428" s="160" t="s">
        <v>588</v>
      </c>
      <c r="DL1428" s="160" t="s">
        <v>3731</v>
      </c>
      <c r="DM1428" s="160" t="s">
        <v>590</v>
      </c>
      <c r="DN1428" s="161" t="s">
        <v>591</v>
      </c>
      <c r="DP1428" s="130">
        <v>1</v>
      </c>
    </row>
    <row r="1429" spans="109:120" ht="15">
      <c r="DE1429" s="152"/>
      <c r="DF1429" s="160" t="s">
        <v>3756</v>
      </c>
      <c r="DG1429" s="160" t="s">
        <v>123</v>
      </c>
      <c r="DH1429" s="160" t="s">
        <v>125</v>
      </c>
      <c r="DI1429" s="160" t="s">
        <v>3757</v>
      </c>
      <c r="DJ1429" s="160" t="s">
        <v>318</v>
      </c>
      <c r="DK1429" s="160" t="s">
        <v>588</v>
      </c>
      <c r="DL1429" s="160" t="s">
        <v>3731</v>
      </c>
      <c r="DM1429" s="160" t="s">
        <v>590</v>
      </c>
      <c r="DN1429" s="161" t="s">
        <v>591</v>
      </c>
      <c r="DP1429" s="130">
        <v>1</v>
      </c>
    </row>
    <row r="1430" spans="109:120" ht="15">
      <c r="DE1430" s="152"/>
      <c r="DF1430" s="160" t="s">
        <v>3758</v>
      </c>
      <c r="DG1430" s="160" t="s">
        <v>123</v>
      </c>
      <c r="DH1430" s="160" t="s">
        <v>125</v>
      </c>
      <c r="DI1430" s="160" t="s">
        <v>319</v>
      </c>
      <c r="DJ1430" s="160" t="s">
        <v>319</v>
      </c>
      <c r="DK1430" s="160" t="s">
        <v>588</v>
      </c>
      <c r="DL1430" s="160" t="s">
        <v>3731</v>
      </c>
      <c r="DM1430" s="160" t="s">
        <v>590</v>
      </c>
      <c r="DN1430" s="161" t="s">
        <v>591</v>
      </c>
      <c r="DP1430" s="130">
        <v>1</v>
      </c>
    </row>
    <row r="1431" spans="109:120" ht="15">
      <c r="DE1431" s="152"/>
      <c r="DF1431" s="160" t="s">
        <v>3759</v>
      </c>
      <c r="DG1431" s="160" t="s">
        <v>123</v>
      </c>
      <c r="DH1431" s="160" t="s">
        <v>125</v>
      </c>
      <c r="DI1431" s="160" t="s">
        <v>529</v>
      </c>
      <c r="DJ1431" s="160" t="s">
        <v>529</v>
      </c>
      <c r="DK1431" s="160" t="s">
        <v>588</v>
      </c>
      <c r="DL1431" s="160" t="s">
        <v>3731</v>
      </c>
      <c r="DM1431" s="160" t="s">
        <v>590</v>
      </c>
      <c r="DN1431" s="161" t="s">
        <v>591</v>
      </c>
      <c r="DP1431" s="130">
        <v>1</v>
      </c>
    </row>
    <row r="1432" spans="109:120" ht="15">
      <c r="DE1432" s="152"/>
      <c r="DF1432" s="160" t="s">
        <v>3760</v>
      </c>
      <c r="DG1432" s="160" t="s">
        <v>123</v>
      </c>
      <c r="DH1432" s="160" t="s">
        <v>125</v>
      </c>
      <c r="DI1432" s="160" t="s">
        <v>3761</v>
      </c>
      <c r="DJ1432" s="160" t="s">
        <v>3761</v>
      </c>
      <c r="DK1432" s="160" t="s">
        <v>588</v>
      </c>
      <c r="DL1432" s="160" t="s">
        <v>3731</v>
      </c>
      <c r="DM1432" s="160" t="s">
        <v>590</v>
      </c>
      <c r="DN1432" s="161" t="s">
        <v>591</v>
      </c>
      <c r="DP1432" s="130">
        <v>1</v>
      </c>
    </row>
    <row r="1433" spans="109:120" ht="15">
      <c r="DE1433" s="152"/>
      <c r="DF1433" s="160" t="s">
        <v>3762</v>
      </c>
      <c r="DG1433" s="160" t="s">
        <v>123</v>
      </c>
      <c r="DH1433" s="160" t="s">
        <v>125</v>
      </c>
      <c r="DI1433" s="160" t="s">
        <v>3763</v>
      </c>
      <c r="DJ1433" s="160" t="s">
        <v>320</v>
      </c>
      <c r="DK1433" s="160" t="s">
        <v>588</v>
      </c>
      <c r="DL1433" s="160" t="s">
        <v>3731</v>
      </c>
      <c r="DM1433" s="160" t="s">
        <v>590</v>
      </c>
      <c r="DN1433" s="161" t="s">
        <v>591</v>
      </c>
      <c r="DP1433" s="130">
        <v>1</v>
      </c>
    </row>
    <row r="1434" spans="109:120" ht="15">
      <c r="DE1434" s="152"/>
      <c r="DF1434" s="160" t="s">
        <v>3764</v>
      </c>
      <c r="DG1434" s="160" t="s">
        <v>123</v>
      </c>
      <c r="DH1434" s="160" t="s">
        <v>125</v>
      </c>
      <c r="DI1434" s="160" t="s">
        <v>3765</v>
      </c>
      <c r="DJ1434" s="160" t="s">
        <v>3766</v>
      </c>
      <c r="DK1434" s="160" t="s">
        <v>588</v>
      </c>
      <c r="DL1434" s="160" t="s">
        <v>3731</v>
      </c>
      <c r="DM1434" s="160" t="s">
        <v>590</v>
      </c>
      <c r="DN1434" s="161" t="s">
        <v>591</v>
      </c>
      <c r="DP1434" s="130">
        <v>1</v>
      </c>
    </row>
    <row r="1435" spans="109:120" ht="15">
      <c r="DE1435" s="152"/>
      <c r="DF1435" s="160" t="s">
        <v>3767</v>
      </c>
      <c r="DG1435" s="160" t="s">
        <v>123</v>
      </c>
      <c r="DH1435" s="160" t="s">
        <v>125</v>
      </c>
      <c r="DI1435" s="160" t="s">
        <v>3768</v>
      </c>
      <c r="DJ1435" s="160" t="s">
        <v>321</v>
      </c>
      <c r="DK1435" s="160" t="s">
        <v>588</v>
      </c>
      <c r="DL1435" s="160" t="s">
        <v>3731</v>
      </c>
      <c r="DM1435" s="160" t="s">
        <v>590</v>
      </c>
      <c r="DN1435" s="161" t="s">
        <v>591</v>
      </c>
      <c r="DP1435" s="130">
        <v>1</v>
      </c>
    </row>
    <row r="1436" spans="109:120" ht="15">
      <c r="DE1436" s="152"/>
      <c r="DF1436" s="160" t="s">
        <v>3769</v>
      </c>
      <c r="DG1436" s="160" t="s">
        <v>123</v>
      </c>
      <c r="DH1436" s="160" t="s">
        <v>125</v>
      </c>
      <c r="DI1436" s="160" t="s">
        <v>3770</v>
      </c>
      <c r="DJ1436" s="160" t="s">
        <v>3771</v>
      </c>
      <c r="DK1436" s="160" t="s">
        <v>588</v>
      </c>
      <c r="DL1436" s="160" t="s">
        <v>3731</v>
      </c>
      <c r="DM1436" s="160" t="s">
        <v>590</v>
      </c>
      <c r="DN1436" s="161" t="s">
        <v>591</v>
      </c>
      <c r="DP1436" s="130">
        <v>1</v>
      </c>
    </row>
    <row r="1437" spans="109:120" ht="15">
      <c r="DE1437" s="152"/>
      <c r="DF1437" s="160" t="s">
        <v>3772</v>
      </c>
      <c r="DG1437" s="160" t="s">
        <v>123</v>
      </c>
      <c r="DH1437" s="160" t="s">
        <v>125</v>
      </c>
      <c r="DI1437" s="160" t="s">
        <v>322</v>
      </c>
      <c r="DJ1437" s="160" t="s">
        <v>322</v>
      </c>
      <c r="DK1437" s="160" t="s">
        <v>588</v>
      </c>
      <c r="DL1437" s="160" t="s">
        <v>3731</v>
      </c>
      <c r="DM1437" s="160" t="s">
        <v>590</v>
      </c>
      <c r="DN1437" s="161" t="s">
        <v>591</v>
      </c>
      <c r="DP1437" s="130">
        <v>1</v>
      </c>
    </row>
    <row r="1438" spans="109:120" ht="15">
      <c r="DE1438" s="152"/>
      <c r="DF1438" s="160" t="s">
        <v>3773</v>
      </c>
      <c r="DG1438" s="160" t="s">
        <v>123</v>
      </c>
      <c r="DH1438" s="160" t="s">
        <v>125</v>
      </c>
      <c r="DI1438" s="160" t="s">
        <v>1247</v>
      </c>
      <c r="DJ1438" s="160" t="s">
        <v>1247</v>
      </c>
      <c r="DK1438" s="160" t="s">
        <v>588</v>
      </c>
      <c r="DL1438" s="160" t="s">
        <v>3731</v>
      </c>
      <c r="DM1438" s="160" t="s">
        <v>590</v>
      </c>
      <c r="DN1438" s="161" t="s">
        <v>591</v>
      </c>
      <c r="DP1438" s="130">
        <v>1</v>
      </c>
    </row>
    <row r="1439" spans="109:120" ht="15">
      <c r="DE1439" s="152"/>
      <c r="DF1439" s="160" t="s">
        <v>3774</v>
      </c>
      <c r="DG1439" s="160" t="s">
        <v>123</v>
      </c>
      <c r="DH1439" s="160" t="s">
        <v>125</v>
      </c>
      <c r="DI1439" s="160" t="s">
        <v>323</v>
      </c>
      <c r="DJ1439" s="160" t="s">
        <v>323</v>
      </c>
      <c r="DK1439" s="160" t="s">
        <v>588</v>
      </c>
      <c r="DL1439" s="160" t="s">
        <v>3731</v>
      </c>
      <c r="DM1439" s="160" t="s">
        <v>590</v>
      </c>
      <c r="DN1439" s="161" t="s">
        <v>591</v>
      </c>
      <c r="DP1439" s="130">
        <v>1</v>
      </c>
    </row>
    <row r="1440" spans="109:120" ht="15">
      <c r="DE1440" s="152"/>
      <c r="DF1440" s="160" t="s">
        <v>3775</v>
      </c>
      <c r="DG1440" s="160" t="s">
        <v>123</v>
      </c>
      <c r="DH1440" s="160" t="s">
        <v>125</v>
      </c>
      <c r="DI1440" s="160" t="s">
        <v>3776</v>
      </c>
      <c r="DJ1440" s="160" t="s">
        <v>3776</v>
      </c>
      <c r="DK1440" s="160" t="s">
        <v>666</v>
      </c>
      <c r="DL1440" s="160" t="s">
        <v>667</v>
      </c>
      <c r="DM1440" s="160" t="s">
        <v>590</v>
      </c>
      <c r="DN1440" s="161" t="s">
        <v>668</v>
      </c>
      <c r="DP1440" s="130">
        <v>1</v>
      </c>
    </row>
    <row r="1441" spans="109:120" ht="15">
      <c r="DE1441" s="152"/>
      <c r="DF1441" s="160" t="s">
        <v>3777</v>
      </c>
      <c r="DG1441" s="160" t="s">
        <v>123</v>
      </c>
      <c r="DH1441" s="160" t="s">
        <v>125</v>
      </c>
      <c r="DI1441" s="160" t="s">
        <v>3778</v>
      </c>
      <c r="DJ1441" s="160" t="s">
        <v>3778</v>
      </c>
      <c r="DK1441" s="160" t="s">
        <v>666</v>
      </c>
      <c r="DL1441" s="160" t="s">
        <v>667</v>
      </c>
      <c r="DM1441" s="160" t="s">
        <v>590</v>
      </c>
      <c r="DN1441" s="161" t="s">
        <v>668</v>
      </c>
      <c r="DP1441" s="130">
        <v>1</v>
      </c>
    </row>
    <row r="1442" spans="109:120" ht="15">
      <c r="DE1442" s="152"/>
      <c r="DF1442" s="160" t="s">
        <v>3779</v>
      </c>
      <c r="DG1442" s="160" t="s">
        <v>123</v>
      </c>
      <c r="DH1442" s="160" t="s">
        <v>125</v>
      </c>
      <c r="DI1442" s="160" t="s">
        <v>3780</v>
      </c>
      <c r="DJ1442" s="160" t="s">
        <v>3780</v>
      </c>
      <c r="DK1442" s="160" t="s">
        <v>666</v>
      </c>
      <c r="DL1442" s="160" t="s">
        <v>667</v>
      </c>
      <c r="DM1442" s="160" t="s">
        <v>590</v>
      </c>
      <c r="DN1442" s="161" t="s">
        <v>668</v>
      </c>
      <c r="DP1442" s="130">
        <v>1</v>
      </c>
    </row>
    <row r="1443" spans="109:120" ht="15">
      <c r="DE1443" s="152"/>
      <c r="DF1443" s="160" t="s">
        <v>3781</v>
      </c>
      <c r="DG1443" s="160" t="s">
        <v>123</v>
      </c>
      <c r="DH1443" s="160" t="s">
        <v>125</v>
      </c>
      <c r="DI1443" s="160" t="s">
        <v>324</v>
      </c>
      <c r="DJ1443" s="160" t="s">
        <v>324</v>
      </c>
      <c r="DK1443" s="160" t="s">
        <v>588</v>
      </c>
      <c r="DL1443" s="160" t="s">
        <v>3731</v>
      </c>
      <c r="DM1443" s="160" t="s">
        <v>590</v>
      </c>
      <c r="DN1443" s="161" t="s">
        <v>591</v>
      </c>
      <c r="DP1443" s="130">
        <v>1</v>
      </c>
    </row>
    <row r="1444" spans="109:120" ht="15">
      <c r="DE1444" s="152"/>
      <c r="DF1444" s="160" t="s">
        <v>3782</v>
      </c>
      <c r="DG1444" s="160" t="s">
        <v>123</v>
      </c>
      <c r="DH1444" s="160" t="s">
        <v>125</v>
      </c>
      <c r="DI1444" s="160" t="s">
        <v>3783</v>
      </c>
      <c r="DJ1444" s="160" t="s">
        <v>3783</v>
      </c>
      <c r="DK1444" s="160" t="s">
        <v>666</v>
      </c>
      <c r="DL1444" s="160" t="s">
        <v>667</v>
      </c>
      <c r="DM1444" s="160" t="s">
        <v>590</v>
      </c>
      <c r="DN1444" s="161" t="s">
        <v>668</v>
      </c>
      <c r="DP1444" s="130">
        <v>1</v>
      </c>
    </row>
    <row r="1445" spans="109:120" ht="15">
      <c r="DE1445" s="152"/>
      <c r="DF1445" s="160" t="s">
        <v>3784</v>
      </c>
      <c r="DG1445" s="160" t="s">
        <v>123</v>
      </c>
      <c r="DH1445" s="160" t="s">
        <v>125</v>
      </c>
      <c r="DI1445" s="160" t="s">
        <v>3785</v>
      </c>
      <c r="DJ1445" s="160" t="s">
        <v>3785</v>
      </c>
      <c r="DK1445" s="160" t="s">
        <v>666</v>
      </c>
      <c r="DL1445" s="160" t="s">
        <v>667</v>
      </c>
      <c r="DM1445" s="160" t="s">
        <v>590</v>
      </c>
      <c r="DN1445" s="161" t="s">
        <v>668</v>
      </c>
      <c r="DP1445" s="130">
        <v>1</v>
      </c>
    </row>
    <row r="1446" spans="109:120" ht="15">
      <c r="DE1446" s="152"/>
      <c r="DF1446" s="160" t="s">
        <v>3786</v>
      </c>
      <c r="DG1446" s="160" t="s">
        <v>123</v>
      </c>
      <c r="DH1446" s="160" t="s">
        <v>125</v>
      </c>
      <c r="DI1446" s="160" t="s">
        <v>3787</v>
      </c>
      <c r="DJ1446" s="160" t="s">
        <v>3787</v>
      </c>
      <c r="DK1446" s="160" t="s">
        <v>666</v>
      </c>
      <c r="DL1446" s="160" t="s">
        <v>667</v>
      </c>
      <c r="DM1446" s="160" t="s">
        <v>590</v>
      </c>
      <c r="DN1446" s="161" t="s">
        <v>668</v>
      </c>
      <c r="DP1446" s="130">
        <v>1</v>
      </c>
    </row>
    <row r="1447" spans="109:120" ht="15">
      <c r="DE1447" s="152"/>
      <c r="DF1447" s="160" t="s">
        <v>3788</v>
      </c>
      <c r="DG1447" s="160" t="s">
        <v>123</v>
      </c>
      <c r="DH1447" s="160" t="s">
        <v>125</v>
      </c>
      <c r="DI1447" s="160" t="s">
        <v>530</v>
      </c>
      <c r="DJ1447" s="160" t="s">
        <v>530</v>
      </c>
      <c r="DK1447" s="160" t="s">
        <v>588</v>
      </c>
      <c r="DL1447" s="160" t="s">
        <v>3731</v>
      </c>
      <c r="DM1447" s="160" t="s">
        <v>590</v>
      </c>
      <c r="DN1447" s="161" t="s">
        <v>591</v>
      </c>
      <c r="DP1447" s="130">
        <v>1</v>
      </c>
    </row>
    <row r="1448" spans="109:120" ht="15">
      <c r="DE1448" s="152"/>
      <c r="DF1448" s="160" t="s">
        <v>3789</v>
      </c>
      <c r="DG1448" s="160" t="s">
        <v>123</v>
      </c>
      <c r="DH1448" s="160" t="s">
        <v>125</v>
      </c>
      <c r="DI1448" s="160" t="s">
        <v>325</v>
      </c>
      <c r="DJ1448" s="160" t="s">
        <v>325</v>
      </c>
      <c r="DK1448" s="160" t="s">
        <v>588</v>
      </c>
      <c r="DL1448" s="160" t="s">
        <v>3731</v>
      </c>
      <c r="DM1448" s="160" t="s">
        <v>590</v>
      </c>
      <c r="DN1448" s="161" t="s">
        <v>591</v>
      </c>
      <c r="DP1448" s="130">
        <v>1</v>
      </c>
    </row>
    <row r="1449" spans="109:120" ht="15">
      <c r="DE1449" s="152"/>
      <c r="DF1449" s="160" t="s">
        <v>3790</v>
      </c>
      <c r="DG1449" s="160" t="s">
        <v>123</v>
      </c>
      <c r="DH1449" s="160" t="s">
        <v>125</v>
      </c>
      <c r="DI1449" s="160" t="s">
        <v>3791</v>
      </c>
      <c r="DJ1449" s="160" t="s">
        <v>3791</v>
      </c>
      <c r="DK1449" s="160" t="s">
        <v>588</v>
      </c>
      <c r="DL1449" s="160" t="s">
        <v>3731</v>
      </c>
      <c r="DM1449" s="160" t="s">
        <v>590</v>
      </c>
      <c r="DN1449" s="161" t="s">
        <v>591</v>
      </c>
      <c r="DP1449" s="130">
        <v>1</v>
      </c>
    </row>
    <row r="1450" spans="109:120" ht="15">
      <c r="DE1450" s="152"/>
      <c r="DF1450" s="160" t="s">
        <v>3792</v>
      </c>
      <c r="DG1450" s="160" t="s">
        <v>123</v>
      </c>
      <c r="DH1450" s="160" t="s">
        <v>125</v>
      </c>
      <c r="DI1450" s="160" t="s">
        <v>326</v>
      </c>
      <c r="DJ1450" s="160" t="s">
        <v>326</v>
      </c>
      <c r="DK1450" s="160" t="s">
        <v>588</v>
      </c>
      <c r="DL1450" s="160" t="s">
        <v>3731</v>
      </c>
      <c r="DM1450" s="160" t="s">
        <v>590</v>
      </c>
      <c r="DN1450" s="161" t="s">
        <v>591</v>
      </c>
      <c r="DP1450" s="130">
        <v>1</v>
      </c>
    </row>
    <row r="1451" spans="109:120" ht="15">
      <c r="DE1451" s="152"/>
      <c r="DF1451" s="160" t="s">
        <v>3793</v>
      </c>
      <c r="DG1451" s="160" t="s">
        <v>123</v>
      </c>
      <c r="DH1451" s="160" t="s">
        <v>125</v>
      </c>
      <c r="DI1451" s="160" t="s">
        <v>3794</v>
      </c>
      <c r="DJ1451" s="160" t="s">
        <v>3795</v>
      </c>
      <c r="DK1451" s="160" t="s">
        <v>588</v>
      </c>
      <c r="DL1451" s="160" t="s">
        <v>3731</v>
      </c>
      <c r="DM1451" s="160" t="s">
        <v>590</v>
      </c>
      <c r="DN1451" s="161" t="s">
        <v>591</v>
      </c>
      <c r="DP1451" s="130">
        <v>1</v>
      </c>
    </row>
    <row r="1452" spans="109:120" ht="15">
      <c r="DE1452" s="152"/>
      <c r="DF1452" s="160" t="s">
        <v>3796</v>
      </c>
      <c r="DG1452" s="160" t="s">
        <v>123</v>
      </c>
      <c r="DH1452" s="160" t="s">
        <v>125</v>
      </c>
      <c r="DI1452" s="160" t="s">
        <v>3797</v>
      </c>
      <c r="DJ1452" s="160" t="s">
        <v>3797</v>
      </c>
      <c r="DK1452" s="160" t="s">
        <v>588</v>
      </c>
      <c r="DL1452" s="160" t="s">
        <v>3731</v>
      </c>
      <c r="DM1452" s="160" t="s">
        <v>590</v>
      </c>
      <c r="DN1452" s="161" t="s">
        <v>591</v>
      </c>
      <c r="DP1452" s="130">
        <v>1</v>
      </c>
    </row>
    <row r="1453" spans="109:120" ht="15">
      <c r="DE1453" s="152"/>
      <c r="DF1453" s="160" t="s">
        <v>3798</v>
      </c>
      <c r="DG1453" s="160" t="s">
        <v>123</v>
      </c>
      <c r="DH1453" s="160" t="s">
        <v>125</v>
      </c>
      <c r="DI1453" s="160" t="s">
        <v>3799</v>
      </c>
      <c r="DJ1453" s="160" t="s">
        <v>3799</v>
      </c>
      <c r="DK1453" s="160" t="s">
        <v>588</v>
      </c>
      <c r="DL1453" s="160" t="s">
        <v>3731</v>
      </c>
      <c r="DM1453" s="160" t="s">
        <v>590</v>
      </c>
      <c r="DN1453" s="161" t="s">
        <v>591</v>
      </c>
      <c r="DP1453" s="130">
        <v>1</v>
      </c>
    </row>
    <row r="1454" spans="109:120" ht="15">
      <c r="DE1454" s="152"/>
      <c r="DF1454" s="160" t="s">
        <v>3800</v>
      </c>
      <c r="DG1454" s="160" t="s">
        <v>123</v>
      </c>
      <c r="DH1454" s="160" t="s">
        <v>126</v>
      </c>
      <c r="DI1454" s="160" t="s">
        <v>3801</v>
      </c>
      <c r="DJ1454" s="160" t="s">
        <v>372</v>
      </c>
      <c r="DK1454" s="160" t="s">
        <v>588</v>
      </c>
      <c r="DL1454" s="160" t="s">
        <v>3802</v>
      </c>
      <c r="DM1454" s="160" t="s">
        <v>590</v>
      </c>
      <c r="DN1454" s="161" t="s">
        <v>591</v>
      </c>
      <c r="DP1454" s="130">
        <v>1</v>
      </c>
    </row>
    <row r="1455" spans="109:120" ht="15">
      <c r="DE1455" s="152"/>
      <c r="DF1455" s="160" t="s">
        <v>3803</v>
      </c>
      <c r="DG1455" s="160" t="s">
        <v>123</v>
      </c>
      <c r="DH1455" s="160" t="s">
        <v>126</v>
      </c>
      <c r="DI1455" s="160" t="s">
        <v>3804</v>
      </c>
      <c r="DJ1455" s="160" t="s">
        <v>373</v>
      </c>
      <c r="DK1455" s="160" t="s">
        <v>588</v>
      </c>
      <c r="DL1455" s="160" t="s">
        <v>3802</v>
      </c>
      <c r="DM1455" s="160" t="s">
        <v>590</v>
      </c>
      <c r="DN1455" s="161" t="s">
        <v>591</v>
      </c>
      <c r="DP1455" s="130">
        <v>1</v>
      </c>
    </row>
    <row r="1456" spans="109:120" ht="15">
      <c r="DE1456" s="152"/>
      <c r="DF1456" s="160" t="s">
        <v>3805</v>
      </c>
      <c r="DG1456" s="160" t="s">
        <v>123</v>
      </c>
      <c r="DH1456" s="160" t="s">
        <v>1182</v>
      </c>
      <c r="DI1456" s="160" t="s">
        <v>3806</v>
      </c>
      <c r="DJ1456" s="160" t="s">
        <v>3806</v>
      </c>
      <c r="DK1456" s="160" t="s">
        <v>588</v>
      </c>
      <c r="DL1456" s="160" t="s">
        <v>3673</v>
      </c>
      <c r="DM1456" s="160" t="s">
        <v>590</v>
      </c>
      <c r="DN1456" s="161" t="s">
        <v>591</v>
      </c>
      <c r="DP1456" s="130">
        <v>1</v>
      </c>
    </row>
    <row r="1457" spans="109:120" ht="15">
      <c r="DE1457" s="152"/>
      <c r="DF1457" s="160" t="s">
        <v>3807</v>
      </c>
      <c r="DG1457" s="160" t="s">
        <v>123</v>
      </c>
      <c r="DH1457" s="160" t="s">
        <v>1182</v>
      </c>
      <c r="DI1457" s="160" t="s">
        <v>3808</v>
      </c>
      <c r="DJ1457" s="160" t="s">
        <v>3808</v>
      </c>
      <c r="DK1457" s="160" t="s">
        <v>588</v>
      </c>
      <c r="DL1457" s="160" t="s">
        <v>3673</v>
      </c>
      <c r="DM1457" s="160" t="s">
        <v>590</v>
      </c>
      <c r="DN1457" s="161" t="s">
        <v>591</v>
      </c>
      <c r="DP1457" s="130">
        <v>1</v>
      </c>
    </row>
    <row r="1458" spans="109:120" ht="15">
      <c r="DE1458" s="152"/>
      <c r="DF1458" s="160" t="s">
        <v>3809</v>
      </c>
      <c r="DG1458" s="160" t="s">
        <v>123</v>
      </c>
      <c r="DH1458" s="160" t="s">
        <v>1182</v>
      </c>
      <c r="DI1458" s="160" t="s">
        <v>3810</v>
      </c>
      <c r="DJ1458" s="160" t="s">
        <v>3810</v>
      </c>
      <c r="DK1458" s="160" t="s">
        <v>588</v>
      </c>
      <c r="DL1458" s="160" t="s">
        <v>3673</v>
      </c>
      <c r="DM1458" s="160" t="s">
        <v>590</v>
      </c>
      <c r="DN1458" s="161" t="s">
        <v>591</v>
      </c>
      <c r="DP1458" s="130">
        <v>1</v>
      </c>
    </row>
    <row r="1459" spans="109:120" ht="15">
      <c r="DE1459" s="152"/>
      <c r="DF1459" s="160" t="s">
        <v>3811</v>
      </c>
      <c r="DG1459" s="160" t="s">
        <v>123</v>
      </c>
      <c r="DH1459" s="160" t="s">
        <v>1182</v>
      </c>
      <c r="DI1459" s="160" t="s">
        <v>1212</v>
      </c>
      <c r="DJ1459" s="160" t="s">
        <v>1212</v>
      </c>
      <c r="DK1459" s="160" t="s">
        <v>588</v>
      </c>
      <c r="DL1459" s="160" t="s">
        <v>3673</v>
      </c>
      <c r="DM1459" s="160" t="s">
        <v>590</v>
      </c>
      <c r="DN1459" s="161" t="s">
        <v>591</v>
      </c>
      <c r="DP1459" s="130">
        <v>1</v>
      </c>
    </row>
    <row r="1460" spans="109:120" ht="15">
      <c r="DE1460" s="152"/>
      <c r="DF1460" s="160" t="s">
        <v>3812</v>
      </c>
      <c r="DG1460" s="160" t="s">
        <v>123</v>
      </c>
      <c r="DH1460" s="160" t="s">
        <v>1182</v>
      </c>
      <c r="DI1460" s="160" t="s">
        <v>3813</v>
      </c>
      <c r="DJ1460" s="160" t="s">
        <v>3814</v>
      </c>
      <c r="DK1460" s="160" t="s">
        <v>588</v>
      </c>
      <c r="DL1460" s="160" t="s">
        <v>3673</v>
      </c>
      <c r="DM1460" s="160" t="s">
        <v>590</v>
      </c>
      <c r="DN1460" s="161" t="s">
        <v>591</v>
      </c>
      <c r="DP1460" s="130">
        <v>1</v>
      </c>
    </row>
    <row r="1461" spans="109:120" ht="15">
      <c r="DE1461" s="152"/>
      <c r="DF1461" s="160" t="s">
        <v>3815</v>
      </c>
      <c r="DG1461" s="160" t="s">
        <v>123</v>
      </c>
      <c r="DH1461" s="160" t="s">
        <v>1182</v>
      </c>
      <c r="DI1461" s="160" t="s">
        <v>3816</v>
      </c>
      <c r="DJ1461" s="160" t="s">
        <v>3816</v>
      </c>
      <c r="DK1461" s="160" t="s">
        <v>588</v>
      </c>
      <c r="DL1461" s="160" t="s">
        <v>3673</v>
      </c>
      <c r="DM1461" s="160" t="s">
        <v>590</v>
      </c>
      <c r="DN1461" s="161" t="s">
        <v>591</v>
      </c>
      <c r="DP1461" s="130">
        <v>1</v>
      </c>
    </row>
    <row r="1462" spans="109:120" ht="15">
      <c r="DE1462" s="152"/>
      <c r="DF1462" s="160" t="s">
        <v>3817</v>
      </c>
      <c r="DG1462" s="160" t="s">
        <v>123</v>
      </c>
      <c r="DH1462" s="160" t="s">
        <v>1182</v>
      </c>
      <c r="DI1462" s="160" t="s">
        <v>3818</v>
      </c>
      <c r="DJ1462" s="160" t="s">
        <v>3819</v>
      </c>
      <c r="DK1462" s="160" t="s">
        <v>588</v>
      </c>
      <c r="DL1462" s="160" t="s">
        <v>3673</v>
      </c>
      <c r="DM1462" s="160" t="s">
        <v>590</v>
      </c>
      <c r="DN1462" s="161" t="s">
        <v>591</v>
      </c>
      <c r="DP1462" s="130">
        <v>1</v>
      </c>
    </row>
    <row r="1463" spans="109:120" ht="15">
      <c r="DE1463" s="152"/>
      <c r="DF1463" s="160" t="s">
        <v>3820</v>
      </c>
      <c r="DG1463" s="160" t="s">
        <v>123</v>
      </c>
      <c r="DH1463" s="160" t="s">
        <v>1182</v>
      </c>
      <c r="DI1463" s="160" t="s">
        <v>3821</v>
      </c>
      <c r="DJ1463" s="160" t="s">
        <v>3821</v>
      </c>
      <c r="DK1463" s="160" t="s">
        <v>588</v>
      </c>
      <c r="DL1463" s="160" t="s">
        <v>3673</v>
      </c>
      <c r="DM1463" s="160" t="s">
        <v>590</v>
      </c>
      <c r="DN1463" s="161" t="s">
        <v>591</v>
      </c>
      <c r="DP1463" s="130">
        <v>1</v>
      </c>
    </row>
    <row r="1464" spans="109:120" ht="15">
      <c r="DE1464" s="152"/>
      <c r="DF1464" s="160" t="s">
        <v>3822</v>
      </c>
      <c r="DG1464" s="160" t="s">
        <v>123</v>
      </c>
      <c r="DH1464" s="160" t="s">
        <v>1182</v>
      </c>
      <c r="DI1464" s="160" t="s">
        <v>3823</v>
      </c>
      <c r="DJ1464" s="160" t="s">
        <v>3823</v>
      </c>
      <c r="DK1464" s="160" t="s">
        <v>588</v>
      </c>
      <c r="DL1464" s="160" t="s">
        <v>3673</v>
      </c>
      <c r="DM1464" s="160" t="s">
        <v>590</v>
      </c>
      <c r="DN1464" s="161" t="s">
        <v>591</v>
      </c>
      <c r="DP1464" s="130">
        <v>1</v>
      </c>
    </row>
    <row r="1465" spans="109:120" ht="15">
      <c r="DE1465" s="152"/>
      <c r="DF1465" s="160" t="s">
        <v>3824</v>
      </c>
      <c r="DG1465" s="160" t="s">
        <v>123</v>
      </c>
      <c r="DH1465" s="160" t="s">
        <v>1182</v>
      </c>
      <c r="DI1465" s="160" t="s">
        <v>3825</v>
      </c>
      <c r="DJ1465" s="160" t="s">
        <v>3825</v>
      </c>
      <c r="DK1465" s="160" t="s">
        <v>588</v>
      </c>
      <c r="DL1465" s="160" t="s">
        <v>3673</v>
      </c>
      <c r="DM1465" s="160" t="s">
        <v>590</v>
      </c>
      <c r="DN1465" s="161" t="s">
        <v>591</v>
      </c>
      <c r="DP1465" s="130">
        <v>1</v>
      </c>
    </row>
    <row r="1466" spans="109:120" ht="15">
      <c r="DE1466" s="152"/>
      <c r="DF1466" s="160" t="s">
        <v>3826</v>
      </c>
      <c r="DG1466" s="160" t="s">
        <v>123</v>
      </c>
      <c r="DH1466" s="160" t="s">
        <v>1182</v>
      </c>
      <c r="DI1466" s="160" t="s">
        <v>3827</v>
      </c>
      <c r="DJ1466" s="160" t="s">
        <v>3827</v>
      </c>
      <c r="DK1466" s="160" t="s">
        <v>588</v>
      </c>
      <c r="DL1466" s="160" t="s">
        <v>3673</v>
      </c>
      <c r="DM1466" s="160" t="s">
        <v>590</v>
      </c>
      <c r="DN1466" s="161" t="s">
        <v>591</v>
      </c>
      <c r="DP1466" s="130">
        <v>1</v>
      </c>
    </row>
    <row r="1467" spans="109:120" ht="25.5">
      <c r="DE1467" s="152"/>
      <c r="DF1467" s="160" t="s">
        <v>3828</v>
      </c>
      <c r="DG1467" s="160" t="s">
        <v>118</v>
      </c>
      <c r="DH1467" s="160" t="s">
        <v>125</v>
      </c>
      <c r="DI1467" s="160" t="s">
        <v>3829</v>
      </c>
      <c r="DJ1467" s="160" t="s">
        <v>3829</v>
      </c>
      <c r="DK1467" s="160" t="s">
        <v>3830</v>
      </c>
      <c r="DL1467" s="160" t="s">
        <v>3831</v>
      </c>
      <c r="DM1467" s="160" t="s">
        <v>821</v>
      </c>
      <c r="DN1467" s="161" t="s">
        <v>3832</v>
      </c>
      <c r="DP1467" s="130">
        <v>1</v>
      </c>
    </row>
    <row r="1468" spans="109:120" ht="25.5">
      <c r="DE1468" s="152"/>
      <c r="DF1468" s="160" t="s">
        <v>3833</v>
      </c>
      <c r="DG1468" s="160" t="s">
        <v>118</v>
      </c>
      <c r="DH1468" s="160" t="s">
        <v>125</v>
      </c>
      <c r="DI1468" s="160" t="s">
        <v>3834</v>
      </c>
      <c r="DJ1468" s="160" t="s">
        <v>3834</v>
      </c>
      <c r="DK1468" s="160" t="s">
        <v>3830</v>
      </c>
      <c r="DL1468" s="160" t="s">
        <v>3831</v>
      </c>
      <c r="DM1468" s="160" t="s">
        <v>821</v>
      </c>
      <c r="DN1468" s="161" t="s">
        <v>3832</v>
      </c>
      <c r="DP1468" s="130">
        <v>1</v>
      </c>
    </row>
    <row r="1469" spans="109:120" ht="25.5">
      <c r="DE1469" s="152"/>
      <c r="DF1469" s="160" t="s">
        <v>3835</v>
      </c>
      <c r="DG1469" s="160" t="s">
        <v>118</v>
      </c>
      <c r="DH1469" s="160" t="s">
        <v>125</v>
      </c>
      <c r="DI1469" s="160" t="s">
        <v>3836</v>
      </c>
      <c r="DJ1469" s="160" t="s">
        <v>3836</v>
      </c>
      <c r="DK1469" s="160" t="s">
        <v>3830</v>
      </c>
      <c r="DL1469" s="160" t="s">
        <v>3831</v>
      </c>
      <c r="DM1469" s="160" t="s">
        <v>821</v>
      </c>
      <c r="DN1469" s="161" t="s">
        <v>3832</v>
      </c>
      <c r="DP1469" s="130">
        <v>1</v>
      </c>
    </row>
    <row r="1470" spans="109:120" ht="25.5">
      <c r="DE1470" s="152"/>
      <c r="DF1470" s="160" t="s">
        <v>3837</v>
      </c>
      <c r="DG1470" s="160" t="s">
        <v>118</v>
      </c>
      <c r="DH1470" s="160" t="s">
        <v>125</v>
      </c>
      <c r="DI1470" s="160" t="s">
        <v>3838</v>
      </c>
      <c r="DJ1470" s="160" t="s">
        <v>3838</v>
      </c>
      <c r="DK1470" s="160" t="s">
        <v>3830</v>
      </c>
      <c r="DL1470" s="160" t="s">
        <v>3831</v>
      </c>
      <c r="DM1470" s="160" t="s">
        <v>821</v>
      </c>
      <c r="DN1470" s="161" t="s">
        <v>3832</v>
      </c>
      <c r="DP1470" s="130">
        <v>1</v>
      </c>
    </row>
    <row r="1471" spans="109:120" ht="25.5">
      <c r="DE1471" s="152"/>
      <c r="DF1471" s="160" t="s">
        <v>3839</v>
      </c>
      <c r="DG1471" s="160" t="s">
        <v>118</v>
      </c>
      <c r="DH1471" s="160" t="s">
        <v>125</v>
      </c>
      <c r="DI1471" s="160" t="s">
        <v>3840</v>
      </c>
      <c r="DJ1471" s="160" t="s">
        <v>3840</v>
      </c>
      <c r="DK1471" s="160" t="s">
        <v>3830</v>
      </c>
      <c r="DL1471" s="160" t="s">
        <v>3831</v>
      </c>
      <c r="DM1471" s="160" t="s">
        <v>821</v>
      </c>
      <c r="DN1471" s="161" t="s">
        <v>3832</v>
      </c>
      <c r="DP1471" s="130">
        <v>1</v>
      </c>
    </row>
    <row r="1472" spans="109:120" ht="25.5">
      <c r="DE1472" s="152"/>
      <c r="DF1472" s="160" t="s">
        <v>3841</v>
      </c>
      <c r="DG1472" s="160" t="s">
        <v>118</v>
      </c>
      <c r="DH1472" s="160" t="s">
        <v>125</v>
      </c>
      <c r="DI1472" s="160" t="s">
        <v>3842</v>
      </c>
      <c r="DJ1472" s="160" t="s">
        <v>3842</v>
      </c>
      <c r="DK1472" s="160" t="s">
        <v>3830</v>
      </c>
      <c r="DL1472" s="160" t="s">
        <v>3831</v>
      </c>
      <c r="DM1472" s="160" t="s">
        <v>821</v>
      </c>
      <c r="DN1472" s="161" t="s">
        <v>3832</v>
      </c>
      <c r="DP1472" s="130">
        <v>1</v>
      </c>
    </row>
    <row r="1473" spans="109:120" ht="15">
      <c r="DE1473" s="152"/>
      <c r="DF1473" s="160" t="s">
        <v>3843</v>
      </c>
      <c r="DG1473" s="160" t="s">
        <v>118</v>
      </c>
      <c r="DH1473" s="160" t="s">
        <v>125</v>
      </c>
      <c r="DI1473" s="160" t="s">
        <v>202</v>
      </c>
      <c r="DJ1473" s="160" t="s">
        <v>202</v>
      </c>
      <c r="DK1473" s="160" t="s">
        <v>588</v>
      </c>
      <c r="DL1473" s="160" t="s">
        <v>3844</v>
      </c>
      <c r="DM1473" s="160" t="s">
        <v>590</v>
      </c>
      <c r="DN1473" s="161" t="s">
        <v>591</v>
      </c>
      <c r="DP1473" s="130">
        <v>1</v>
      </c>
    </row>
    <row r="1474" spans="109:120" ht="25.5">
      <c r="DE1474" s="152"/>
      <c r="DF1474" s="160" t="s">
        <v>3845</v>
      </c>
      <c r="DG1474" s="160" t="s">
        <v>118</v>
      </c>
      <c r="DH1474" s="160" t="s">
        <v>125</v>
      </c>
      <c r="DI1474" s="160" t="s">
        <v>3846</v>
      </c>
      <c r="DJ1474" s="160" t="s">
        <v>3846</v>
      </c>
      <c r="DK1474" s="160" t="s">
        <v>3830</v>
      </c>
      <c r="DL1474" s="160" t="s">
        <v>3831</v>
      </c>
      <c r="DM1474" s="160" t="s">
        <v>821</v>
      </c>
      <c r="DN1474" s="161" t="s">
        <v>3832</v>
      </c>
      <c r="DP1474" s="130">
        <v>1</v>
      </c>
    </row>
    <row r="1475" spans="109:120" ht="15">
      <c r="DE1475" s="152"/>
      <c r="DF1475" s="160" t="s">
        <v>3847</v>
      </c>
      <c r="DG1475" s="160" t="s">
        <v>118</v>
      </c>
      <c r="DH1475" s="160" t="s">
        <v>125</v>
      </c>
      <c r="DI1475" s="160" t="s">
        <v>3848</v>
      </c>
      <c r="DJ1475" s="160" t="s">
        <v>3848</v>
      </c>
      <c r="DK1475" s="160" t="s">
        <v>666</v>
      </c>
      <c r="DL1475" s="160" t="s">
        <v>667</v>
      </c>
      <c r="DM1475" s="160" t="s">
        <v>590</v>
      </c>
      <c r="DN1475" s="161" t="s">
        <v>668</v>
      </c>
      <c r="DP1475" s="130">
        <v>1</v>
      </c>
    </row>
    <row r="1476" spans="109:120" ht="25.5">
      <c r="DE1476" s="152"/>
      <c r="DF1476" s="160" t="s">
        <v>3849</v>
      </c>
      <c r="DG1476" s="160" t="s">
        <v>118</v>
      </c>
      <c r="DH1476" s="160" t="s">
        <v>125</v>
      </c>
      <c r="DI1476" s="160" t="s">
        <v>3850</v>
      </c>
      <c r="DJ1476" s="160" t="s">
        <v>3850</v>
      </c>
      <c r="DK1476" s="160" t="s">
        <v>3830</v>
      </c>
      <c r="DL1476" s="160" t="s">
        <v>3831</v>
      </c>
      <c r="DM1476" s="160" t="s">
        <v>821</v>
      </c>
      <c r="DN1476" s="161" t="s">
        <v>3832</v>
      </c>
      <c r="DP1476" s="130">
        <v>1</v>
      </c>
    </row>
    <row r="1477" spans="109:120" ht="15">
      <c r="DE1477" s="152"/>
      <c r="DF1477" s="160" t="s">
        <v>3851</v>
      </c>
      <c r="DG1477" s="160" t="s">
        <v>118</v>
      </c>
      <c r="DH1477" s="160" t="s">
        <v>125</v>
      </c>
      <c r="DI1477" s="160" t="s">
        <v>3852</v>
      </c>
      <c r="DJ1477" s="160" t="s">
        <v>3852</v>
      </c>
      <c r="DK1477" s="160" t="s">
        <v>588</v>
      </c>
      <c r="DL1477" s="160" t="s">
        <v>3844</v>
      </c>
      <c r="DM1477" s="160" t="s">
        <v>590</v>
      </c>
      <c r="DN1477" s="161" t="s">
        <v>591</v>
      </c>
      <c r="DP1477" s="130">
        <v>1</v>
      </c>
    </row>
    <row r="1478" spans="109:120" ht="25.5">
      <c r="DE1478" s="152"/>
      <c r="DF1478" s="160" t="s">
        <v>3853</v>
      </c>
      <c r="DG1478" s="160" t="s">
        <v>118</v>
      </c>
      <c r="DH1478" s="160" t="s">
        <v>125</v>
      </c>
      <c r="DI1478" s="160" t="s">
        <v>3854</v>
      </c>
      <c r="DJ1478" s="160" t="s">
        <v>3854</v>
      </c>
      <c r="DK1478" s="160" t="s">
        <v>3830</v>
      </c>
      <c r="DL1478" s="160" t="s">
        <v>3831</v>
      </c>
      <c r="DM1478" s="160" t="s">
        <v>821</v>
      </c>
      <c r="DN1478" s="161" t="s">
        <v>3832</v>
      </c>
      <c r="DP1478" s="130">
        <v>1</v>
      </c>
    </row>
    <row r="1479" spans="109:120" ht="15">
      <c r="DE1479" s="152"/>
      <c r="DF1479" s="160" t="s">
        <v>3855</v>
      </c>
      <c r="DG1479" s="160" t="s">
        <v>118</v>
      </c>
      <c r="DH1479" s="160" t="s">
        <v>125</v>
      </c>
      <c r="DI1479" s="160" t="s">
        <v>203</v>
      </c>
      <c r="DJ1479" s="160" t="s">
        <v>203</v>
      </c>
      <c r="DK1479" s="160" t="s">
        <v>588</v>
      </c>
      <c r="DL1479" s="160" t="s">
        <v>3844</v>
      </c>
      <c r="DM1479" s="160" t="s">
        <v>590</v>
      </c>
      <c r="DN1479" s="161" t="s">
        <v>591</v>
      </c>
      <c r="DP1479" s="130">
        <v>1</v>
      </c>
    </row>
    <row r="1480" spans="109:120" ht="25.5">
      <c r="DE1480" s="152"/>
      <c r="DF1480" s="160" t="s">
        <v>3856</v>
      </c>
      <c r="DG1480" s="160" t="s">
        <v>118</v>
      </c>
      <c r="DH1480" s="160" t="s">
        <v>125</v>
      </c>
      <c r="DI1480" s="160" t="s">
        <v>3857</v>
      </c>
      <c r="DJ1480" s="160" t="s">
        <v>3857</v>
      </c>
      <c r="DK1480" s="160" t="s">
        <v>3830</v>
      </c>
      <c r="DL1480" s="160" t="s">
        <v>3831</v>
      </c>
      <c r="DM1480" s="160" t="s">
        <v>821</v>
      </c>
      <c r="DN1480" s="161" t="s">
        <v>3832</v>
      </c>
      <c r="DP1480" s="130">
        <v>1</v>
      </c>
    </row>
    <row r="1481" spans="109:120" ht="25.5">
      <c r="DE1481" s="152"/>
      <c r="DF1481" s="160" t="s">
        <v>3858</v>
      </c>
      <c r="DG1481" s="160" t="s">
        <v>118</v>
      </c>
      <c r="DH1481" s="160" t="s">
        <v>125</v>
      </c>
      <c r="DI1481" s="160" t="s">
        <v>3859</v>
      </c>
      <c r="DJ1481" s="160" t="s">
        <v>476</v>
      </c>
      <c r="DK1481" s="160" t="s">
        <v>3830</v>
      </c>
      <c r="DL1481" s="160" t="s">
        <v>3831</v>
      </c>
      <c r="DM1481" s="160" t="s">
        <v>821</v>
      </c>
      <c r="DN1481" s="161" t="s">
        <v>3832</v>
      </c>
      <c r="DP1481" s="130">
        <v>1</v>
      </c>
    </row>
    <row r="1482" spans="109:120" ht="15">
      <c r="DE1482" s="152"/>
      <c r="DF1482" s="160" t="s">
        <v>3860</v>
      </c>
      <c r="DG1482" s="160" t="s">
        <v>118</v>
      </c>
      <c r="DH1482" s="160" t="s">
        <v>125</v>
      </c>
      <c r="DI1482" s="160" t="s">
        <v>204</v>
      </c>
      <c r="DJ1482" s="160" t="s">
        <v>204</v>
      </c>
      <c r="DK1482" s="160" t="s">
        <v>588</v>
      </c>
      <c r="DL1482" s="160" t="s">
        <v>3844</v>
      </c>
      <c r="DM1482" s="160" t="s">
        <v>590</v>
      </c>
      <c r="DN1482" s="161" t="s">
        <v>591</v>
      </c>
      <c r="DP1482" s="130">
        <v>1</v>
      </c>
    </row>
    <row r="1483" spans="109:120" ht="15">
      <c r="DE1483" s="152"/>
      <c r="DF1483" s="160" t="s">
        <v>3861</v>
      </c>
      <c r="DG1483" s="160" t="s">
        <v>118</v>
      </c>
      <c r="DH1483" s="160" t="s">
        <v>125</v>
      </c>
      <c r="DI1483" s="160" t="s">
        <v>205</v>
      </c>
      <c r="DJ1483" s="160" t="s">
        <v>205</v>
      </c>
      <c r="DK1483" s="160" t="s">
        <v>588</v>
      </c>
      <c r="DL1483" s="160" t="s">
        <v>3844</v>
      </c>
      <c r="DM1483" s="160" t="s">
        <v>590</v>
      </c>
      <c r="DN1483" s="161" t="s">
        <v>591</v>
      </c>
      <c r="DP1483" s="130">
        <v>1</v>
      </c>
    </row>
    <row r="1484" spans="109:120" ht="15">
      <c r="DE1484" s="152"/>
      <c r="DF1484" s="160" t="s">
        <v>3862</v>
      </c>
      <c r="DG1484" s="160" t="s">
        <v>118</v>
      </c>
      <c r="DH1484" s="160" t="s">
        <v>125</v>
      </c>
      <c r="DI1484" s="160" t="s">
        <v>206</v>
      </c>
      <c r="DJ1484" s="160" t="s">
        <v>206</v>
      </c>
      <c r="DK1484" s="160" t="s">
        <v>588</v>
      </c>
      <c r="DL1484" s="160" t="s">
        <v>3844</v>
      </c>
      <c r="DM1484" s="160" t="s">
        <v>590</v>
      </c>
      <c r="DN1484" s="161" t="s">
        <v>591</v>
      </c>
      <c r="DP1484" s="130">
        <v>1</v>
      </c>
    </row>
    <row r="1485" spans="109:120" ht="25.5">
      <c r="DE1485" s="152"/>
      <c r="DF1485" s="160" t="s">
        <v>3863</v>
      </c>
      <c r="DG1485" s="160" t="s">
        <v>118</v>
      </c>
      <c r="DH1485" s="160" t="s">
        <v>125</v>
      </c>
      <c r="DI1485" s="160" t="s">
        <v>3864</v>
      </c>
      <c r="DJ1485" s="160" t="s">
        <v>3865</v>
      </c>
      <c r="DK1485" s="160" t="s">
        <v>3830</v>
      </c>
      <c r="DL1485" s="160" t="s">
        <v>3831</v>
      </c>
      <c r="DM1485" s="160" t="s">
        <v>821</v>
      </c>
      <c r="DN1485" s="161" t="s">
        <v>3832</v>
      </c>
      <c r="DP1485" s="130">
        <v>1</v>
      </c>
    </row>
    <row r="1486" spans="109:120" ht="25.5">
      <c r="DE1486" s="152"/>
      <c r="DF1486" s="160" t="s">
        <v>3866</v>
      </c>
      <c r="DG1486" s="160" t="s">
        <v>118</v>
      </c>
      <c r="DH1486" s="160" t="s">
        <v>125</v>
      </c>
      <c r="DI1486" s="160" t="s">
        <v>477</v>
      </c>
      <c r="DJ1486" s="160" t="s">
        <v>477</v>
      </c>
      <c r="DK1486" s="160" t="s">
        <v>3830</v>
      </c>
      <c r="DL1486" s="160" t="s">
        <v>3831</v>
      </c>
      <c r="DM1486" s="160" t="s">
        <v>821</v>
      </c>
      <c r="DN1486" s="161" t="s">
        <v>3832</v>
      </c>
      <c r="DP1486" s="130">
        <v>1</v>
      </c>
    </row>
    <row r="1487" spans="109:120" ht="15">
      <c r="DE1487" s="152"/>
      <c r="DF1487" s="160" t="s">
        <v>3867</v>
      </c>
      <c r="DG1487" s="160" t="s">
        <v>118</v>
      </c>
      <c r="DH1487" s="160" t="s">
        <v>125</v>
      </c>
      <c r="DI1487" s="160" t="s">
        <v>3868</v>
      </c>
      <c r="DJ1487" s="160" t="s">
        <v>3869</v>
      </c>
      <c r="DK1487" s="160" t="s">
        <v>588</v>
      </c>
      <c r="DL1487" s="160" t="s">
        <v>3844</v>
      </c>
      <c r="DM1487" s="160" t="s">
        <v>590</v>
      </c>
      <c r="DN1487" s="161" t="s">
        <v>591</v>
      </c>
      <c r="DP1487" s="130">
        <v>1</v>
      </c>
    </row>
    <row r="1488" spans="109:120" ht="25.5">
      <c r="DE1488" s="152"/>
      <c r="DF1488" s="160" t="s">
        <v>3870</v>
      </c>
      <c r="DG1488" s="160" t="s">
        <v>118</v>
      </c>
      <c r="DH1488" s="160" t="s">
        <v>125</v>
      </c>
      <c r="DI1488" s="160" t="s">
        <v>3871</v>
      </c>
      <c r="DJ1488" s="160" t="s">
        <v>3871</v>
      </c>
      <c r="DK1488" s="160" t="s">
        <v>3830</v>
      </c>
      <c r="DL1488" s="160" t="s">
        <v>3831</v>
      </c>
      <c r="DM1488" s="160" t="s">
        <v>821</v>
      </c>
      <c r="DN1488" s="161" t="s">
        <v>3832</v>
      </c>
      <c r="DP1488" s="130">
        <v>1</v>
      </c>
    </row>
    <row r="1489" spans="109:120" ht="15">
      <c r="DE1489" s="152"/>
      <c r="DF1489" s="160" t="s">
        <v>3872</v>
      </c>
      <c r="DG1489" s="160" t="s">
        <v>118</v>
      </c>
      <c r="DH1489" s="160" t="s">
        <v>125</v>
      </c>
      <c r="DI1489" s="160" t="s">
        <v>3873</v>
      </c>
      <c r="DJ1489" s="160" t="s">
        <v>3873</v>
      </c>
      <c r="DK1489" s="160" t="s">
        <v>588</v>
      </c>
      <c r="DL1489" s="160" t="s">
        <v>3844</v>
      </c>
      <c r="DM1489" s="160" t="s">
        <v>590</v>
      </c>
      <c r="DN1489" s="161" t="s">
        <v>591</v>
      </c>
      <c r="DP1489" s="130">
        <v>1</v>
      </c>
    </row>
    <row r="1490" spans="109:120" ht="25.5">
      <c r="DE1490" s="152"/>
      <c r="DF1490" s="160" t="s">
        <v>3874</v>
      </c>
      <c r="DG1490" s="160" t="s">
        <v>118</v>
      </c>
      <c r="DH1490" s="160" t="s">
        <v>125</v>
      </c>
      <c r="DI1490" s="160" t="s">
        <v>3875</v>
      </c>
      <c r="DJ1490" s="160" t="s">
        <v>3875</v>
      </c>
      <c r="DK1490" s="160" t="s">
        <v>3830</v>
      </c>
      <c r="DL1490" s="160" t="s">
        <v>3831</v>
      </c>
      <c r="DM1490" s="160" t="s">
        <v>821</v>
      </c>
      <c r="DN1490" s="161" t="s">
        <v>3832</v>
      </c>
      <c r="DP1490" s="130">
        <v>1</v>
      </c>
    </row>
    <row r="1491" spans="109:120" ht="25.5">
      <c r="DE1491" s="152"/>
      <c r="DF1491" s="160" t="s">
        <v>3876</v>
      </c>
      <c r="DG1491" s="160" t="s">
        <v>118</v>
      </c>
      <c r="DH1491" s="160" t="s">
        <v>125</v>
      </c>
      <c r="DI1491" s="160" t="s">
        <v>3877</v>
      </c>
      <c r="DJ1491" s="160" t="s">
        <v>3877</v>
      </c>
      <c r="DK1491" s="160" t="s">
        <v>3830</v>
      </c>
      <c r="DL1491" s="160" t="s">
        <v>3831</v>
      </c>
      <c r="DM1491" s="160" t="s">
        <v>821</v>
      </c>
      <c r="DN1491" s="161" t="s">
        <v>3832</v>
      </c>
      <c r="DP1491" s="130">
        <v>1</v>
      </c>
    </row>
    <row r="1492" spans="109:120" ht="25.5">
      <c r="DE1492" s="152"/>
      <c r="DF1492" s="160" t="s">
        <v>3878</v>
      </c>
      <c r="DG1492" s="160" t="s">
        <v>118</v>
      </c>
      <c r="DH1492" s="160" t="s">
        <v>125</v>
      </c>
      <c r="DI1492" s="160" t="s">
        <v>3879</v>
      </c>
      <c r="DJ1492" s="160" t="s">
        <v>3879</v>
      </c>
      <c r="DK1492" s="160" t="s">
        <v>3830</v>
      </c>
      <c r="DL1492" s="160" t="s">
        <v>3831</v>
      </c>
      <c r="DM1492" s="160" t="s">
        <v>821</v>
      </c>
      <c r="DN1492" s="161" t="s">
        <v>3832</v>
      </c>
      <c r="DP1492" s="130">
        <v>1</v>
      </c>
    </row>
    <row r="1493" spans="109:120" ht="25.5">
      <c r="DE1493" s="152"/>
      <c r="DF1493" s="160" t="s">
        <v>3880</v>
      </c>
      <c r="DG1493" s="160" t="s">
        <v>118</v>
      </c>
      <c r="DH1493" s="160" t="s">
        <v>125</v>
      </c>
      <c r="DI1493" s="160" t="s">
        <v>3881</v>
      </c>
      <c r="DJ1493" s="160" t="s">
        <v>3881</v>
      </c>
      <c r="DK1493" s="160" t="s">
        <v>3830</v>
      </c>
      <c r="DL1493" s="160" t="s">
        <v>3831</v>
      </c>
      <c r="DM1493" s="160" t="s">
        <v>821</v>
      </c>
      <c r="DN1493" s="161" t="s">
        <v>3832</v>
      </c>
      <c r="DP1493" s="130">
        <v>1</v>
      </c>
    </row>
    <row r="1494" spans="109:120" ht="15">
      <c r="DE1494" s="152"/>
      <c r="DF1494" s="160" t="s">
        <v>3882</v>
      </c>
      <c r="DG1494" s="160" t="s">
        <v>118</v>
      </c>
      <c r="DH1494" s="160" t="s">
        <v>125</v>
      </c>
      <c r="DI1494" s="160" t="s">
        <v>3883</v>
      </c>
      <c r="DJ1494" s="160" t="s">
        <v>3883</v>
      </c>
      <c r="DK1494" s="160" t="s">
        <v>588</v>
      </c>
      <c r="DL1494" s="160" t="s">
        <v>3844</v>
      </c>
      <c r="DM1494" s="160" t="s">
        <v>590</v>
      </c>
      <c r="DN1494" s="161" t="s">
        <v>591</v>
      </c>
      <c r="DP1494" s="130">
        <v>1</v>
      </c>
    </row>
    <row r="1495" spans="109:120" ht="25.5">
      <c r="DE1495" s="152"/>
      <c r="DF1495" s="160" t="s">
        <v>3884</v>
      </c>
      <c r="DG1495" s="160" t="s">
        <v>118</v>
      </c>
      <c r="DH1495" s="160" t="s">
        <v>125</v>
      </c>
      <c r="DI1495" s="160" t="s">
        <v>3885</v>
      </c>
      <c r="DJ1495" s="160" t="s">
        <v>3885</v>
      </c>
      <c r="DK1495" s="160" t="s">
        <v>3830</v>
      </c>
      <c r="DL1495" s="160" t="s">
        <v>3831</v>
      </c>
      <c r="DM1495" s="160" t="s">
        <v>821</v>
      </c>
      <c r="DN1495" s="161" t="s">
        <v>3832</v>
      </c>
      <c r="DP1495" s="130">
        <v>1</v>
      </c>
    </row>
    <row r="1496" spans="109:120" ht="25.5">
      <c r="DE1496" s="152"/>
      <c r="DF1496" s="160" t="s">
        <v>3886</v>
      </c>
      <c r="DG1496" s="160" t="s">
        <v>118</v>
      </c>
      <c r="DH1496" s="160" t="s">
        <v>125</v>
      </c>
      <c r="DI1496" s="160" t="s">
        <v>3887</v>
      </c>
      <c r="DJ1496" s="160" t="s">
        <v>3887</v>
      </c>
      <c r="DK1496" s="160" t="s">
        <v>3830</v>
      </c>
      <c r="DL1496" s="160" t="s">
        <v>3831</v>
      </c>
      <c r="DM1496" s="160" t="s">
        <v>821</v>
      </c>
      <c r="DN1496" s="161" t="s">
        <v>3832</v>
      </c>
      <c r="DP1496" s="130">
        <v>1</v>
      </c>
    </row>
    <row r="1497" spans="109:120" ht="25.5">
      <c r="DE1497" s="152"/>
      <c r="DF1497" s="160" t="s">
        <v>3888</v>
      </c>
      <c r="DG1497" s="160" t="s">
        <v>118</v>
      </c>
      <c r="DH1497" s="160" t="s">
        <v>125</v>
      </c>
      <c r="DI1497" s="160" t="s">
        <v>3889</v>
      </c>
      <c r="DJ1497" s="160" t="s">
        <v>3890</v>
      </c>
      <c r="DK1497" s="160" t="s">
        <v>3830</v>
      </c>
      <c r="DL1497" s="160" t="s">
        <v>3831</v>
      </c>
      <c r="DM1497" s="160" t="s">
        <v>821</v>
      </c>
      <c r="DN1497" s="161" t="s">
        <v>3832</v>
      </c>
      <c r="DP1497" s="130">
        <v>1</v>
      </c>
    </row>
    <row r="1498" spans="109:120" ht="15">
      <c r="DE1498" s="152"/>
      <c r="DF1498" s="160" t="s">
        <v>3891</v>
      </c>
      <c r="DG1498" s="160" t="s">
        <v>118</v>
      </c>
      <c r="DH1498" s="160" t="s">
        <v>125</v>
      </c>
      <c r="DI1498" s="160" t="s">
        <v>3892</v>
      </c>
      <c r="DJ1498" s="160" t="s">
        <v>3892</v>
      </c>
      <c r="DK1498" s="160" t="s">
        <v>588</v>
      </c>
      <c r="DL1498" s="160" t="s">
        <v>3844</v>
      </c>
      <c r="DM1498" s="160" t="s">
        <v>590</v>
      </c>
      <c r="DN1498" s="161" t="s">
        <v>591</v>
      </c>
      <c r="DP1498" s="130">
        <v>1</v>
      </c>
    </row>
    <row r="1499" spans="109:120" ht="15">
      <c r="DE1499" s="152"/>
      <c r="DF1499" s="160" t="s">
        <v>3893</v>
      </c>
      <c r="DG1499" s="160" t="s">
        <v>118</v>
      </c>
      <c r="DH1499" s="160" t="s">
        <v>125</v>
      </c>
      <c r="DI1499" s="160" t="s">
        <v>3894</v>
      </c>
      <c r="DJ1499" s="160" t="s">
        <v>3894</v>
      </c>
      <c r="DK1499" s="160" t="s">
        <v>588</v>
      </c>
      <c r="DL1499" s="160" t="s">
        <v>3844</v>
      </c>
      <c r="DM1499" s="160" t="s">
        <v>590</v>
      </c>
      <c r="DN1499" s="161" t="s">
        <v>591</v>
      </c>
      <c r="DP1499" s="130">
        <v>1</v>
      </c>
    </row>
    <row r="1500" spans="109:120" ht="25.5">
      <c r="DE1500" s="152"/>
      <c r="DF1500" s="160" t="s">
        <v>3895</v>
      </c>
      <c r="DG1500" s="160" t="s">
        <v>118</v>
      </c>
      <c r="DH1500" s="160" t="s">
        <v>125</v>
      </c>
      <c r="DI1500" s="160" t="s">
        <v>3896</v>
      </c>
      <c r="DJ1500" s="160" t="s">
        <v>3896</v>
      </c>
      <c r="DK1500" s="160" t="s">
        <v>3830</v>
      </c>
      <c r="DL1500" s="160" t="s">
        <v>3831</v>
      </c>
      <c r="DM1500" s="160" t="s">
        <v>821</v>
      </c>
      <c r="DN1500" s="161" t="s">
        <v>3832</v>
      </c>
      <c r="DP1500" s="130">
        <v>1</v>
      </c>
    </row>
    <row r="1501" spans="109:120" ht="25.5">
      <c r="DE1501" s="152"/>
      <c r="DF1501" s="160" t="s">
        <v>3897</v>
      </c>
      <c r="DG1501" s="160" t="s">
        <v>118</v>
      </c>
      <c r="DH1501" s="160" t="s">
        <v>125</v>
      </c>
      <c r="DI1501" s="160" t="s">
        <v>3898</v>
      </c>
      <c r="DJ1501" s="160" t="s">
        <v>3898</v>
      </c>
      <c r="DK1501" s="160" t="s">
        <v>3830</v>
      </c>
      <c r="DL1501" s="160" t="s">
        <v>3831</v>
      </c>
      <c r="DM1501" s="160" t="s">
        <v>821</v>
      </c>
      <c r="DN1501" s="161" t="s">
        <v>3832</v>
      </c>
      <c r="DP1501" s="130">
        <v>1</v>
      </c>
    </row>
    <row r="1502" spans="109:120" ht="25.5">
      <c r="DE1502" s="152"/>
      <c r="DF1502" s="160" t="s">
        <v>3899</v>
      </c>
      <c r="DG1502" s="160" t="s">
        <v>118</v>
      </c>
      <c r="DH1502" s="160" t="s">
        <v>125</v>
      </c>
      <c r="DI1502" s="160" t="s">
        <v>3900</v>
      </c>
      <c r="DJ1502" s="160" t="s">
        <v>3901</v>
      </c>
      <c r="DK1502" s="160" t="s">
        <v>3830</v>
      </c>
      <c r="DL1502" s="160" t="s">
        <v>3831</v>
      </c>
      <c r="DM1502" s="160" t="s">
        <v>821</v>
      </c>
      <c r="DN1502" s="161" t="s">
        <v>3832</v>
      </c>
      <c r="DP1502" s="130">
        <v>1</v>
      </c>
    </row>
    <row r="1503" spans="109:120" ht="15">
      <c r="DE1503" s="152"/>
      <c r="DF1503" s="160" t="s">
        <v>3902</v>
      </c>
      <c r="DG1503" s="160" t="s">
        <v>118</v>
      </c>
      <c r="DH1503" s="160" t="s">
        <v>125</v>
      </c>
      <c r="DI1503" s="160" t="s">
        <v>3903</v>
      </c>
      <c r="DJ1503" s="160" t="s">
        <v>3903</v>
      </c>
      <c r="DK1503" s="160" t="s">
        <v>588</v>
      </c>
      <c r="DL1503" s="160" t="s">
        <v>3844</v>
      </c>
      <c r="DM1503" s="160" t="s">
        <v>590</v>
      </c>
      <c r="DN1503" s="161" t="s">
        <v>591</v>
      </c>
      <c r="DP1503" s="130">
        <v>1</v>
      </c>
    </row>
    <row r="1504" spans="109:120" ht="15">
      <c r="DE1504" s="152"/>
      <c r="DF1504" s="160" t="s">
        <v>3904</v>
      </c>
      <c r="DG1504" s="160" t="s">
        <v>118</v>
      </c>
      <c r="DH1504" s="160" t="s">
        <v>125</v>
      </c>
      <c r="DI1504" s="160" t="s">
        <v>3905</v>
      </c>
      <c r="DJ1504" s="160" t="s">
        <v>3905</v>
      </c>
      <c r="DK1504" s="160" t="s">
        <v>666</v>
      </c>
      <c r="DL1504" s="160" t="s">
        <v>667</v>
      </c>
      <c r="DM1504" s="160" t="s">
        <v>590</v>
      </c>
      <c r="DN1504" s="161" t="s">
        <v>668</v>
      </c>
      <c r="DP1504" s="130">
        <v>1</v>
      </c>
    </row>
    <row r="1505" spans="109:120" ht="25.5">
      <c r="DE1505" s="152"/>
      <c r="DF1505" s="160" t="s">
        <v>3906</v>
      </c>
      <c r="DG1505" s="160" t="s">
        <v>118</v>
      </c>
      <c r="DH1505" s="160" t="s">
        <v>125</v>
      </c>
      <c r="DI1505" s="160" t="s">
        <v>3907</v>
      </c>
      <c r="DJ1505" s="160" t="s">
        <v>3907</v>
      </c>
      <c r="DK1505" s="160" t="s">
        <v>3830</v>
      </c>
      <c r="DL1505" s="160" t="s">
        <v>3831</v>
      </c>
      <c r="DM1505" s="160" t="s">
        <v>821</v>
      </c>
      <c r="DN1505" s="161" t="s">
        <v>3832</v>
      </c>
      <c r="DP1505" s="130">
        <v>1</v>
      </c>
    </row>
    <row r="1506" spans="109:120" ht="25.5">
      <c r="DE1506" s="152"/>
      <c r="DF1506" s="160" t="s">
        <v>3908</v>
      </c>
      <c r="DG1506" s="160" t="s">
        <v>118</v>
      </c>
      <c r="DH1506" s="160" t="s">
        <v>125</v>
      </c>
      <c r="DI1506" s="160" t="s">
        <v>3909</v>
      </c>
      <c r="DJ1506" s="160" t="s">
        <v>3910</v>
      </c>
      <c r="DK1506" s="160" t="s">
        <v>3830</v>
      </c>
      <c r="DL1506" s="160" t="s">
        <v>3831</v>
      </c>
      <c r="DM1506" s="160" t="s">
        <v>821</v>
      </c>
      <c r="DN1506" s="161" t="s">
        <v>3832</v>
      </c>
      <c r="DP1506" s="130">
        <v>1</v>
      </c>
    </row>
    <row r="1507" spans="109:120" ht="25.5">
      <c r="DE1507" s="152"/>
      <c r="DF1507" s="160" t="s">
        <v>3911</v>
      </c>
      <c r="DG1507" s="160" t="s">
        <v>118</v>
      </c>
      <c r="DH1507" s="160" t="s">
        <v>125</v>
      </c>
      <c r="DI1507" s="160" t="s">
        <v>3912</v>
      </c>
      <c r="DJ1507" s="160" t="s">
        <v>3912</v>
      </c>
      <c r="DK1507" s="160" t="s">
        <v>3830</v>
      </c>
      <c r="DL1507" s="160" t="s">
        <v>3831</v>
      </c>
      <c r="DM1507" s="160" t="s">
        <v>821</v>
      </c>
      <c r="DN1507" s="161" t="s">
        <v>3832</v>
      </c>
      <c r="DP1507" s="130">
        <v>1</v>
      </c>
    </row>
    <row r="1508" spans="109:120" ht="25.5">
      <c r="DE1508" s="152"/>
      <c r="DF1508" s="160" t="s">
        <v>3913</v>
      </c>
      <c r="DG1508" s="160" t="s">
        <v>118</v>
      </c>
      <c r="DH1508" s="160" t="s">
        <v>125</v>
      </c>
      <c r="DI1508" s="160" t="s">
        <v>3914</v>
      </c>
      <c r="DJ1508" s="160" t="s">
        <v>3914</v>
      </c>
      <c r="DK1508" s="160" t="s">
        <v>3830</v>
      </c>
      <c r="DL1508" s="160" t="s">
        <v>3831</v>
      </c>
      <c r="DM1508" s="160" t="s">
        <v>821</v>
      </c>
      <c r="DN1508" s="161" t="s">
        <v>3832</v>
      </c>
      <c r="DP1508" s="130">
        <v>1</v>
      </c>
    </row>
    <row r="1509" spans="109:120" ht="25.5">
      <c r="DE1509" s="152"/>
      <c r="DF1509" s="160" t="s">
        <v>3915</v>
      </c>
      <c r="DG1509" s="160" t="s">
        <v>118</v>
      </c>
      <c r="DH1509" s="160" t="s">
        <v>125</v>
      </c>
      <c r="DI1509" s="160" t="s">
        <v>3916</v>
      </c>
      <c r="DJ1509" s="160" t="s">
        <v>3916</v>
      </c>
      <c r="DK1509" s="160" t="s">
        <v>3830</v>
      </c>
      <c r="DL1509" s="160" t="s">
        <v>3831</v>
      </c>
      <c r="DM1509" s="160" t="s">
        <v>821</v>
      </c>
      <c r="DN1509" s="161" t="s">
        <v>3832</v>
      </c>
      <c r="DP1509" s="130">
        <v>1</v>
      </c>
    </row>
    <row r="1510" spans="109:120" ht="25.5">
      <c r="DE1510" s="152"/>
      <c r="DF1510" s="160" t="s">
        <v>3917</v>
      </c>
      <c r="DG1510" s="160" t="s">
        <v>118</v>
      </c>
      <c r="DH1510" s="160" t="s">
        <v>125</v>
      </c>
      <c r="DI1510" s="160" t="s">
        <v>3918</v>
      </c>
      <c r="DJ1510" s="160" t="s">
        <v>3919</v>
      </c>
      <c r="DK1510" s="160" t="s">
        <v>3830</v>
      </c>
      <c r="DL1510" s="160" t="s">
        <v>3831</v>
      </c>
      <c r="DM1510" s="160" t="s">
        <v>821</v>
      </c>
      <c r="DN1510" s="161" t="s">
        <v>3832</v>
      </c>
      <c r="DP1510" s="130">
        <v>1</v>
      </c>
    </row>
    <row r="1511" spans="109:120" ht="25.5">
      <c r="DE1511" s="152"/>
      <c r="DF1511" s="160" t="s">
        <v>3920</v>
      </c>
      <c r="DG1511" s="160" t="s">
        <v>118</v>
      </c>
      <c r="DH1511" s="160" t="s">
        <v>125</v>
      </c>
      <c r="DI1511" s="160" t="s">
        <v>3921</v>
      </c>
      <c r="DJ1511" s="160" t="s">
        <v>3922</v>
      </c>
      <c r="DK1511" s="160" t="s">
        <v>3830</v>
      </c>
      <c r="DL1511" s="160" t="s">
        <v>3831</v>
      </c>
      <c r="DM1511" s="160" t="s">
        <v>821</v>
      </c>
      <c r="DN1511" s="161" t="s">
        <v>3832</v>
      </c>
      <c r="DP1511" s="130">
        <v>1</v>
      </c>
    </row>
    <row r="1512" spans="109:120" ht="15">
      <c r="DE1512" s="152"/>
      <c r="DF1512" s="160" t="s">
        <v>3923</v>
      </c>
      <c r="DG1512" s="160" t="s">
        <v>118</v>
      </c>
      <c r="DH1512" s="160" t="s">
        <v>125</v>
      </c>
      <c r="DI1512" s="160" t="s">
        <v>3924</v>
      </c>
      <c r="DJ1512" s="160" t="s">
        <v>3924</v>
      </c>
      <c r="DK1512" s="160" t="s">
        <v>588</v>
      </c>
      <c r="DL1512" s="160" t="s">
        <v>3844</v>
      </c>
      <c r="DM1512" s="160" t="s">
        <v>590</v>
      </c>
      <c r="DN1512" s="161" t="s">
        <v>591</v>
      </c>
      <c r="DP1512" s="130">
        <v>1</v>
      </c>
    </row>
    <row r="1513" spans="109:120" ht="25.5">
      <c r="DE1513" s="152"/>
      <c r="DF1513" s="160" t="s">
        <v>3925</v>
      </c>
      <c r="DG1513" s="160" t="s">
        <v>118</v>
      </c>
      <c r="DH1513" s="160" t="s">
        <v>125</v>
      </c>
      <c r="DI1513" s="160" t="s">
        <v>3926</v>
      </c>
      <c r="DJ1513" s="160" t="s">
        <v>3926</v>
      </c>
      <c r="DK1513" s="160" t="s">
        <v>3830</v>
      </c>
      <c r="DL1513" s="160" t="s">
        <v>3831</v>
      </c>
      <c r="DM1513" s="160" t="s">
        <v>821</v>
      </c>
      <c r="DN1513" s="161" t="s">
        <v>3832</v>
      </c>
      <c r="DP1513" s="130">
        <v>1</v>
      </c>
    </row>
    <row r="1514" spans="109:120" ht="15">
      <c r="DE1514" s="152"/>
      <c r="DF1514" s="160" t="s">
        <v>3927</v>
      </c>
      <c r="DG1514" s="160" t="s">
        <v>118</v>
      </c>
      <c r="DH1514" s="160" t="s">
        <v>125</v>
      </c>
      <c r="DI1514" s="160" t="s">
        <v>3928</v>
      </c>
      <c r="DJ1514" s="160" t="s">
        <v>3928</v>
      </c>
      <c r="DK1514" s="160" t="s">
        <v>588</v>
      </c>
      <c r="DL1514" s="160" t="s">
        <v>3844</v>
      </c>
      <c r="DM1514" s="160" t="s">
        <v>590</v>
      </c>
      <c r="DN1514" s="161" t="s">
        <v>591</v>
      </c>
      <c r="DP1514" s="130">
        <v>1</v>
      </c>
    </row>
    <row r="1515" spans="109:120" ht="15">
      <c r="DE1515" s="152"/>
      <c r="DF1515" s="160" t="s">
        <v>3929</v>
      </c>
      <c r="DG1515" s="160" t="s">
        <v>118</v>
      </c>
      <c r="DH1515" s="160" t="s">
        <v>125</v>
      </c>
      <c r="DI1515" s="160" t="s">
        <v>3930</v>
      </c>
      <c r="DJ1515" s="160" t="s">
        <v>3930</v>
      </c>
      <c r="DK1515" s="160" t="s">
        <v>588</v>
      </c>
      <c r="DL1515" s="160" t="s">
        <v>3844</v>
      </c>
      <c r="DM1515" s="160" t="s">
        <v>590</v>
      </c>
      <c r="DN1515" s="161" t="s">
        <v>591</v>
      </c>
      <c r="DP1515" s="130">
        <v>1</v>
      </c>
    </row>
    <row r="1516" spans="109:120" ht="25.5">
      <c r="DE1516" s="152"/>
      <c r="DF1516" s="160" t="s">
        <v>3931</v>
      </c>
      <c r="DG1516" s="160" t="s">
        <v>118</v>
      </c>
      <c r="DH1516" s="160" t="s">
        <v>125</v>
      </c>
      <c r="DI1516" s="160" t="s">
        <v>3932</v>
      </c>
      <c r="DJ1516" s="160" t="s">
        <v>3932</v>
      </c>
      <c r="DK1516" s="160" t="s">
        <v>3830</v>
      </c>
      <c r="DL1516" s="160" t="s">
        <v>3831</v>
      </c>
      <c r="DM1516" s="160" t="s">
        <v>821</v>
      </c>
      <c r="DN1516" s="161" t="s">
        <v>3832</v>
      </c>
      <c r="DP1516" s="130">
        <v>1</v>
      </c>
    </row>
    <row r="1517" spans="109:120" ht="25.5">
      <c r="DE1517" s="152"/>
      <c r="DF1517" s="160" t="s">
        <v>3933</v>
      </c>
      <c r="DG1517" s="160" t="s">
        <v>118</v>
      </c>
      <c r="DH1517" s="160" t="s">
        <v>125</v>
      </c>
      <c r="DI1517" s="160" t="s">
        <v>3934</v>
      </c>
      <c r="DJ1517" s="160" t="s">
        <v>3934</v>
      </c>
      <c r="DK1517" s="160" t="s">
        <v>3830</v>
      </c>
      <c r="DL1517" s="160" t="s">
        <v>3831</v>
      </c>
      <c r="DM1517" s="160" t="s">
        <v>821</v>
      </c>
      <c r="DN1517" s="161" t="s">
        <v>3832</v>
      </c>
      <c r="DP1517" s="130">
        <v>1</v>
      </c>
    </row>
    <row r="1518" spans="109:120" ht="15">
      <c r="DE1518" s="152"/>
      <c r="DF1518" s="160" t="s">
        <v>3935</v>
      </c>
      <c r="DG1518" s="160" t="s">
        <v>118</v>
      </c>
      <c r="DH1518" s="160" t="s">
        <v>125</v>
      </c>
      <c r="DI1518" s="160" t="s">
        <v>3936</v>
      </c>
      <c r="DJ1518" s="160" t="s">
        <v>3936</v>
      </c>
      <c r="DK1518" s="160" t="s">
        <v>588</v>
      </c>
      <c r="DL1518" s="160" t="s">
        <v>3844</v>
      </c>
      <c r="DM1518" s="160" t="s">
        <v>590</v>
      </c>
      <c r="DN1518" s="161" t="s">
        <v>591</v>
      </c>
      <c r="DP1518" s="130">
        <v>1</v>
      </c>
    </row>
    <row r="1519" spans="109:120" ht="25.5">
      <c r="DE1519" s="152"/>
      <c r="DF1519" s="160" t="s">
        <v>3937</v>
      </c>
      <c r="DG1519" s="160" t="s">
        <v>118</v>
      </c>
      <c r="DH1519" s="160" t="s">
        <v>125</v>
      </c>
      <c r="DI1519" s="160" t="s">
        <v>3938</v>
      </c>
      <c r="DJ1519" s="160" t="s">
        <v>3939</v>
      </c>
      <c r="DK1519" s="160" t="s">
        <v>3830</v>
      </c>
      <c r="DL1519" s="160" t="s">
        <v>3831</v>
      </c>
      <c r="DM1519" s="160" t="s">
        <v>821</v>
      </c>
      <c r="DN1519" s="161" t="s">
        <v>3832</v>
      </c>
      <c r="DP1519" s="130">
        <v>1</v>
      </c>
    </row>
    <row r="1520" spans="109:120" ht="15">
      <c r="DE1520" s="152"/>
      <c r="DF1520" s="160" t="s">
        <v>3940</v>
      </c>
      <c r="DG1520" s="160" t="s">
        <v>118</v>
      </c>
      <c r="DH1520" s="160" t="s">
        <v>125</v>
      </c>
      <c r="DI1520" s="160" t="s">
        <v>3941</v>
      </c>
      <c r="DJ1520" s="160" t="s">
        <v>3942</v>
      </c>
      <c r="DK1520" s="160" t="s">
        <v>588</v>
      </c>
      <c r="DL1520" s="160" t="s">
        <v>3844</v>
      </c>
      <c r="DM1520" s="160" t="s">
        <v>590</v>
      </c>
      <c r="DN1520" s="161" t="s">
        <v>591</v>
      </c>
      <c r="DP1520" s="130">
        <v>1</v>
      </c>
    </row>
    <row r="1521" spans="109:120" ht="25.5">
      <c r="DE1521" s="152"/>
      <c r="DF1521" s="160" t="s">
        <v>3943</v>
      </c>
      <c r="DG1521" s="160" t="s">
        <v>118</v>
      </c>
      <c r="DH1521" s="160" t="s">
        <v>125</v>
      </c>
      <c r="DI1521" s="160" t="s">
        <v>3944</v>
      </c>
      <c r="DJ1521" s="160" t="s">
        <v>3945</v>
      </c>
      <c r="DK1521" s="160" t="s">
        <v>3830</v>
      </c>
      <c r="DL1521" s="160" t="s">
        <v>3831</v>
      </c>
      <c r="DM1521" s="160" t="s">
        <v>821</v>
      </c>
      <c r="DN1521" s="161" t="s">
        <v>3832</v>
      </c>
      <c r="DP1521" s="130">
        <v>1</v>
      </c>
    </row>
    <row r="1522" spans="109:120" ht="15">
      <c r="DE1522" s="152"/>
      <c r="DF1522" s="160" t="s">
        <v>3946</v>
      </c>
      <c r="DG1522" s="160" t="s">
        <v>118</v>
      </c>
      <c r="DH1522" s="160" t="s">
        <v>125</v>
      </c>
      <c r="DI1522" s="160" t="s">
        <v>3947</v>
      </c>
      <c r="DJ1522" s="160" t="s">
        <v>3947</v>
      </c>
      <c r="DK1522" s="160" t="s">
        <v>666</v>
      </c>
      <c r="DL1522" s="160" t="s">
        <v>667</v>
      </c>
      <c r="DM1522" s="160" t="s">
        <v>590</v>
      </c>
      <c r="DN1522" s="161" t="s">
        <v>668</v>
      </c>
      <c r="DP1522" s="130">
        <v>1</v>
      </c>
    </row>
    <row r="1523" spans="109:120" ht="15">
      <c r="DE1523" s="152"/>
      <c r="DF1523" s="160" t="s">
        <v>3948</v>
      </c>
      <c r="DG1523" s="160" t="s">
        <v>118</v>
      </c>
      <c r="DH1523" s="160" t="s">
        <v>125</v>
      </c>
      <c r="DI1523" s="160" t="s">
        <v>3949</v>
      </c>
      <c r="DJ1523" s="160" t="s">
        <v>207</v>
      </c>
      <c r="DK1523" s="160" t="s">
        <v>588</v>
      </c>
      <c r="DL1523" s="160" t="s">
        <v>3844</v>
      </c>
      <c r="DM1523" s="160" t="s">
        <v>590</v>
      </c>
      <c r="DN1523" s="161" t="s">
        <v>591</v>
      </c>
      <c r="DP1523" s="130">
        <v>1</v>
      </c>
    </row>
    <row r="1524" spans="109:120" ht="25.5">
      <c r="DE1524" s="152"/>
      <c r="DF1524" s="160" t="s">
        <v>3950</v>
      </c>
      <c r="DG1524" s="160" t="s">
        <v>118</v>
      </c>
      <c r="DH1524" s="160" t="s">
        <v>125</v>
      </c>
      <c r="DI1524" s="160" t="s">
        <v>3951</v>
      </c>
      <c r="DJ1524" s="160" t="s">
        <v>478</v>
      </c>
      <c r="DK1524" s="160" t="s">
        <v>3830</v>
      </c>
      <c r="DL1524" s="160" t="s">
        <v>3831</v>
      </c>
      <c r="DM1524" s="160" t="s">
        <v>821</v>
      </c>
      <c r="DN1524" s="161" t="s">
        <v>3832</v>
      </c>
      <c r="DP1524" s="130">
        <v>1</v>
      </c>
    </row>
    <row r="1525" spans="109:120" ht="25.5">
      <c r="DE1525" s="152"/>
      <c r="DF1525" s="160" t="s">
        <v>3952</v>
      </c>
      <c r="DG1525" s="160" t="s">
        <v>118</v>
      </c>
      <c r="DH1525" s="160" t="s">
        <v>125</v>
      </c>
      <c r="DI1525" s="160" t="s">
        <v>3953</v>
      </c>
      <c r="DJ1525" s="160" t="s">
        <v>479</v>
      </c>
      <c r="DK1525" s="160" t="s">
        <v>3830</v>
      </c>
      <c r="DL1525" s="160" t="s">
        <v>3831</v>
      </c>
      <c r="DM1525" s="160" t="s">
        <v>821</v>
      </c>
      <c r="DN1525" s="161" t="s">
        <v>3832</v>
      </c>
      <c r="DP1525" s="130">
        <v>1</v>
      </c>
    </row>
    <row r="1526" spans="109:120" ht="15">
      <c r="DE1526" s="152"/>
      <c r="DF1526" s="160" t="s">
        <v>3954</v>
      </c>
      <c r="DG1526" s="160" t="s">
        <v>118</v>
      </c>
      <c r="DH1526" s="160" t="s">
        <v>125</v>
      </c>
      <c r="DI1526" s="160" t="s">
        <v>3955</v>
      </c>
      <c r="DJ1526" s="160" t="s">
        <v>208</v>
      </c>
      <c r="DK1526" s="160" t="s">
        <v>588</v>
      </c>
      <c r="DL1526" s="160" t="s">
        <v>3844</v>
      </c>
      <c r="DM1526" s="160" t="s">
        <v>590</v>
      </c>
      <c r="DN1526" s="161" t="s">
        <v>591</v>
      </c>
      <c r="DP1526" s="130">
        <v>1</v>
      </c>
    </row>
    <row r="1527" spans="109:120" ht="15">
      <c r="DE1527" s="152"/>
      <c r="DF1527" s="160" t="s">
        <v>3956</v>
      </c>
      <c r="DG1527" s="160" t="s">
        <v>118</v>
      </c>
      <c r="DH1527" s="160" t="s">
        <v>125</v>
      </c>
      <c r="DI1527" s="160" t="s">
        <v>3957</v>
      </c>
      <c r="DJ1527" s="160" t="s">
        <v>209</v>
      </c>
      <c r="DK1527" s="160" t="s">
        <v>588</v>
      </c>
      <c r="DL1527" s="160" t="s">
        <v>3844</v>
      </c>
      <c r="DM1527" s="160" t="s">
        <v>590</v>
      </c>
      <c r="DN1527" s="161" t="s">
        <v>591</v>
      </c>
      <c r="DP1527" s="130">
        <v>1</v>
      </c>
    </row>
    <row r="1528" spans="109:120" ht="25.5">
      <c r="DE1528" s="152"/>
      <c r="DF1528" s="160" t="s">
        <v>3958</v>
      </c>
      <c r="DG1528" s="160" t="s">
        <v>118</v>
      </c>
      <c r="DH1528" s="160" t="s">
        <v>125</v>
      </c>
      <c r="DI1528" s="160" t="s">
        <v>3959</v>
      </c>
      <c r="DJ1528" s="160" t="s">
        <v>3959</v>
      </c>
      <c r="DK1528" s="160" t="s">
        <v>3830</v>
      </c>
      <c r="DL1528" s="160" t="s">
        <v>3831</v>
      </c>
      <c r="DM1528" s="160" t="s">
        <v>821</v>
      </c>
      <c r="DN1528" s="161" t="s">
        <v>3832</v>
      </c>
      <c r="DP1528" s="130">
        <v>1</v>
      </c>
    </row>
    <row r="1529" spans="109:120" ht="15">
      <c r="DE1529" s="152"/>
      <c r="DF1529" s="160" t="s">
        <v>3960</v>
      </c>
      <c r="DG1529" s="160" t="s">
        <v>118</v>
      </c>
      <c r="DH1529" s="160" t="s">
        <v>125</v>
      </c>
      <c r="DI1529" s="160" t="s">
        <v>3961</v>
      </c>
      <c r="DJ1529" s="160" t="s">
        <v>3961</v>
      </c>
      <c r="DK1529" s="160" t="s">
        <v>588</v>
      </c>
      <c r="DL1529" s="160" t="s">
        <v>3844</v>
      </c>
      <c r="DM1529" s="160" t="s">
        <v>590</v>
      </c>
      <c r="DN1529" s="161" t="s">
        <v>591</v>
      </c>
      <c r="DP1529" s="130">
        <v>1</v>
      </c>
    </row>
    <row r="1530" spans="109:120" ht="25.5">
      <c r="DE1530" s="152"/>
      <c r="DF1530" s="160" t="s">
        <v>3962</v>
      </c>
      <c r="DG1530" s="160" t="s">
        <v>118</v>
      </c>
      <c r="DH1530" s="160" t="s">
        <v>125</v>
      </c>
      <c r="DI1530" s="160" t="s">
        <v>3963</v>
      </c>
      <c r="DJ1530" s="160" t="s">
        <v>3963</v>
      </c>
      <c r="DK1530" s="160" t="s">
        <v>3830</v>
      </c>
      <c r="DL1530" s="160" t="s">
        <v>3831</v>
      </c>
      <c r="DM1530" s="160" t="s">
        <v>821</v>
      </c>
      <c r="DN1530" s="161" t="s">
        <v>3832</v>
      </c>
      <c r="DP1530" s="130">
        <v>1</v>
      </c>
    </row>
    <row r="1531" spans="109:120" ht="25.5">
      <c r="DE1531" s="152"/>
      <c r="DF1531" s="160" t="s">
        <v>3964</v>
      </c>
      <c r="DG1531" s="160" t="s">
        <v>118</v>
      </c>
      <c r="DH1531" s="160" t="s">
        <v>125</v>
      </c>
      <c r="DI1531" s="160" t="s">
        <v>3965</v>
      </c>
      <c r="DJ1531" s="160" t="s">
        <v>3965</v>
      </c>
      <c r="DK1531" s="160" t="s">
        <v>3830</v>
      </c>
      <c r="DL1531" s="160" t="s">
        <v>3831</v>
      </c>
      <c r="DM1531" s="160" t="s">
        <v>821</v>
      </c>
      <c r="DN1531" s="161" t="s">
        <v>3832</v>
      </c>
      <c r="DP1531" s="130">
        <v>1</v>
      </c>
    </row>
    <row r="1532" spans="109:120" ht="15">
      <c r="DE1532" s="152"/>
      <c r="DF1532" s="160" t="s">
        <v>3966</v>
      </c>
      <c r="DG1532" s="160" t="s">
        <v>118</v>
      </c>
      <c r="DH1532" s="160" t="s">
        <v>125</v>
      </c>
      <c r="DI1532" s="160" t="s">
        <v>480</v>
      </c>
      <c r="DJ1532" s="160" t="s">
        <v>480</v>
      </c>
      <c r="DK1532" s="160" t="s">
        <v>588</v>
      </c>
      <c r="DL1532" s="160" t="s">
        <v>3844</v>
      </c>
      <c r="DM1532" s="160" t="s">
        <v>590</v>
      </c>
      <c r="DN1532" s="161" t="s">
        <v>591</v>
      </c>
      <c r="DP1532" s="130">
        <v>1</v>
      </c>
    </row>
    <row r="1533" spans="109:120" ht="15">
      <c r="DE1533" s="152"/>
      <c r="DF1533" s="160" t="s">
        <v>3967</v>
      </c>
      <c r="DG1533" s="160" t="s">
        <v>118</v>
      </c>
      <c r="DH1533" s="160" t="s">
        <v>125</v>
      </c>
      <c r="DI1533" s="160" t="s">
        <v>3968</v>
      </c>
      <c r="DJ1533" s="160" t="s">
        <v>3968</v>
      </c>
      <c r="DK1533" s="160" t="s">
        <v>666</v>
      </c>
      <c r="DL1533" s="160" t="s">
        <v>667</v>
      </c>
      <c r="DM1533" s="160" t="s">
        <v>590</v>
      </c>
      <c r="DN1533" s="161" t="s">
        <v>668</v>
      </c>
      <c r="DP1533" s="130">
        <v>1</v>
      </c>
    </row>
    <row r="1534" spans="109:120" ht="25.5">
      <c r="DE1534" s="152"/>
      <c r="DF1534" s="160" t="s">
        <v>3969</v>
      </c>
      <c r="DG1534" s="160" t="s">
        <v>118</v>
      </c>
      <c r="DH1534" s="160" t="s">
        <v>125</v>
      </c>
      <c r="DI1534" s="160" t="s">
        <v>3970</v>
      </c>
      <c r="DJ1534" s="160" t="s">
        <v>3970</v>
      </c>
      <c r="DK1534" s="160" t="s">
        <v>3830</v>
      </c>
      <c r="DL1534" s="160" t="s">
        <v>3831</v>
      </c>
      <c r="DM1534" s="160" t="s">
        <v>821</v>
      </c>
      <c r="DN1534" s="161" t="s">
        <v>3832</v>
      </c>
      <c r="DP1534" s="130">
        <v>1</v>
      </c>
    </row>
    <row r="1535" spans="109:120" ht="15">
      <c r="DE1535" s="152"/>
      <c r="DF1535" s="160" t="s">
        <v>3971</v>
      </c>
      <c r="DG1535" s="160" t="s">
        <v>118</v>
      </c>
      <c r="DH1535" s="160" t="s">
        <v>125</v>
      </c>
      <c r="DI1535" s="160" t="s">
        <v>3972</v>
      </c>
      <c r="DJ1535" s="160" t="s">
        <v>3973</v>
      </c>
      <c r="DK1535" s="160" t="s">
        <v>588</v>
      </c>
      <c r="DL1535" s="160" t="s">
        <v>3844</v>
      </c>
      <c r="DM1535" s="160" t="s">
        <v>590</v>
      </c>
      <c r="DN1535" s="161" t="s">
        <v>591</v>
      </c>
      <c r="DP1535" s="130">
        <v>1</v>
      </c>
    </row>
    <row r="1536" spans="109:120" ht="25.5">
      <c r="DE1536" s="152"/>
      <c r="DF1536" s="160" t="s">
        <v>3974</v>
      </c>
      <c r="DG1536" s="160" t="s">
        <v>118</v>
      </c>
      <c r="DH1536" s="160" t="s">
        <v>125</v>
      </c>
      <c r="DI1536" s="160" t="s">
        <v>3975</v>
      </c>
      <c r="DJ1536" s="160" t="s">
        <v>3976</v>
      </c>
      <c r="DK1536" s="160" t="s">
        <v>3830</v>
      </c>
      <c r="DL1536" s="160" t="s">
        <v>3831</v>
      </c>
      <c r="DM1536" s="160" t="s">
        <v>821</v>
      </c>
      <c r="DN1536" s="161" t="s">
        <v>3832</v>
      </c>
      <c r="DP1536" s="130">
        <v>1</v>
      </c>
    </row>
    <row r="1537" spans="109:120" ht="25.5">
      <c r="DE1537" s="152"/>
      <c r="DF1537" s="160" t="s">
        <v>3977</v>
      </c>
      <c r="DG1537" s="160" t="s">
        <v>118</v>
      </c>
      <c r="DH1537" s="160" t="s">
        <v>125</v>
      </c>
      <c r="DI1537" s="160" t="s">
        <v>3978</v>
      </c>
      <c r="DJ1537" s="160" t="s">
        <v>3978</v>
      </c>
      <c r="DK1537" s="160" t="s">
        <v>3830</v>
      </c>
      <c r="DL1537" s="160" t="s">
        <v>3831</v>
      </c>
      <c r="DM1537" s="160" t="s">
        <v>821</v>
      </c>
      <c r="DN1537" s="161" t="s">
        <v>3832</v>
      </c>
      <c r="DP1537" s="130">
        <v>1</v>
      </c>
    </row>
    <row r="1538" spans="109:120" ht="15">
      <c r="DE1538" s="152"/>
      <c r="DF1538" s="160" t="s">
        <v>3979</v>
      </c>
      <c r="DG1538" s="160" t="s">
        <v>118</v>
      </c>
      <c r="DH1538" s="160" t="s">
        <v>125</v>
      </c>
      <c r="DI1538" s="160" t="s">
        <v>3980</v>
      </c>
      <c r="DJ1538" s="160" t="s">
        <v>3980</v>
      </c>
      <c r="DK1538" s="160" t="s">
        <v>588</v>
      </c>
      <c r="DL1538" s="160" t="s">
        <v>3844</v>
      </c>
      <c r="DM1538" s="160" t="s">
        <v>590</v>
      </c>
      <c r="DN1538" s="161" t="s">
        <v>591</v>
      </c>
      <c r="DP1538" s="130">
        <v>1</v>
      </c>
    </row>
    <row r="1539" spans="109:120" ht="15">
      <c r="DE1539" s="152"/>
      <c r="DF1539" s="160" t="s">
        <v>3981</v>
      </c>
      <c r="DG1539" s="160" t="s">
        <v>118</v>
      </c>
      <c r="DH1539" s="160" t="s">
        <v>125</v>
      </c>
      <c r="DI1539" s="160" t="s">
        <v>3982</v>
      </c>
      <c r="DJ1539" s="160" t="s">
        <v>3982</v>
      </c>
      <c r="DK1539" s="160" t="s">
        <v>588</v>
      </c>
      <c r="DL1539" s="160" t="s">
        <v>3844</v>
      </c>
      <c r="DM1539" s="160" t="s">
        <v>590</v>
      </c>
      <c r="DN1539" s="161" t="s">
        <v>591</v>
      </c>
      <c r="DP1539" s="130">
        <v>1</v>
      </c>
    </row>
    <row r="1540" spans="109:120" ht="25.5">
      <c r="DE1540" s="152"/>
      <c r="DF1540" s="160" t="s">
        <v>3983</v>
      </c>
      <c r="DG1540" s="160" t="s">
        <v>118</v>
      </c>
      <c r="DH1540" s="160" t="s">
        <v>125</v>
      </c>
      <c r="DI1540" s="160" t="s">
        <v>3984</v>
      </c>
      <c r="DJ1540" s="160" t="s">
        <v>3984</v>
      </c>
      <c r="DK1540" s="160" t="s">
        <v>3830</v>
      </c>
      <c r="DL1540" s="160" t="s">
        <v>3831</v>
      </c>
      <c r="DM1540" s="160" t="s">
        <v>821</v>
      </c>
      <c r="DN1540" s="161" t="s">
        <v>3832</v>
      </c>
      <c r="DP1540" s="130">
        <v>1</v>
      </c>
    </row>
    <row r="1541" spans="109:120" ht="25.5">
      <c r="DE1541" s="152"/>
      <c r="DF1541" s="160" t="s">
        <v>3985</v>
      </c>
      <c r="DG1541" s="160" t="s">
        <v>118</v>
      </c>
      <c r="DH1541" s="160" t="s">
        <v>125</v>
      </c>
      <c r="DI1541" s="160" t="s">
        <v>3986</v>
      </c>
      <c r="DJ1541" s="160" t="s">
        <v>3986</v>
      </c>
      <c r="DK1541" s="160" t="s">
        <v>3830</v>
      </c>
      <c r="DL1541" s="160" t="s">
        <v>3831</v>
      </c>
      <c r="DM1541" s="160" t="s">
        <v>821</v>
      </c>
      <c r="DN1541" s="161" t="s">
        <v>3832</v>
      </c>
      <c r="DP1541" s="130">
        <v>1</v>
      </c>
    </row>
    <row r="1542" spans="109:120" ht="15">
      <c r="DE1542" s="152"/>
      <c r="DF1542" s="160" t="s">
        <v>3987</v>
      </c>
      <c r="DG1542" s="160" t="s">
        <v>118</v>
      </c>
      <c r="DH1542" s="160" t="s">
        <v>125</v>
      </c>
      <c r="DI1542" s="160" t="s">
        <v>3988</v>
      </c>
      <c r="DJ1542" s="160" t="s">
        <v>3989</v>
      </c>
      <c r="DK1542" s="160" t="s">
        <v>588</v>
      </c>
      <c r="DL1542" s="160" t="s">
        <v>3844</v>
      </c>
      <c r="DM1542" s="160" t="s">
        <v>590</v>
      </c>
      <c r="DN1542" s="161" t="s">
        <v>591</v>
      </c>
      <c r="DP1542" s="130">
        <v>1</v>
      </c>
    </row>
    <row r="1543" spans="109:120" ht="15">
      <c r="DE1543" s="152"/>
      <c r="DF1543" s="160" t="s">
        <v>3990</v>
      </c>
      <c r="DG1543" s="160" t="s">
        <v>118</v>
      </c>
      <c r="DH1543" s="160" t="s">
        <v>125</v>
      </c>
      <c r="DI1543" s="160" t="s">
        <v>3991</v>
      </c>
      <c r="DJ1543" s="160" t="s">
        <v>3991</v>
      </c>
      <c r="DK1543" s="160" t="s">
        <v>588</v>
      </c>
      <c r="DL1543" s="160" t="s">
        <v>3844</v>
      </c>
      <c r="DM1543" s="160" t="s">
        <v>590</v>
      </c>
      <c r="DN1543" s="161" t="s">
        <v>591</v>
      </c>
      <c r="DP1543" s="130">
        <v>1</v>
      </c>
    </row>
    <row r="1544" spans="109:120" ht="25.5">
      <c r="DE1544" s="152"/>
      <c r="DF1544" s="160" t="s">
        <v>3992</v>
      </c>
      <c r="DG1544" s="160" t="s">
        <v>118</v>
      </c>
      <c r="DH1544" s="160" t="s">
        <v>125</v>
      </c>
      <c r="DI1544" s="160" t="s">
        <v>481</v>
      </c>
      <c r="DJ1544" s="160" t="s">
        <v>481</v>
      </c>
      <c r="DK1544" s="160" t="s">
        <v>3830</v>
      </c>
      <c r="DL1544" s="160" t="s">
        <v>3831</v>
      </c>
      <c r="DM1544" s="160" t="s">
        <v>821</v>
      </c>
      <c r="DN1544" s="161" t="s">
        <v>3832</v>
      </c>
      <c r="DP1544" s="130">
        <v>1</v>
      </c>
    </row>
    <row r="1545" spans="109:120" ht="15">
      <c r="DE1545" s="152"/>
      <c r="DF1545" s="160" t="s">
        <v>3993</v>
      </c>
      <c r="DG1545" s="160" t="s">
        <v>118</v>
      </c>
      <c r="DH1545" s="160" t="s">
        <v>125</v>
      </c>
      <c r="DI1545" s="160" t="s">
        <v>3994</v>
      </c>
      <c r="DJ1545" s="160" t="s">
        <v>3994</v>
      </c>
      <c r="DK1545" s="160" t="s">
        <v>588</v>
      </c>
      <c r="DL1545" s="160" t="s">
        <v>3844</v>
      </c>
      <c r="DM1545" s="160" t="s">
        <v>590</v>
      </c>
      <c r="DN1545" s="161" t="s">
        <v>591</v>
      </c>
      <c r="DP1545" s="130">
        <v>1</v>
      </c>
    </row>
    <row r="1546" spans="109:120" ht="15">
      <c r="DE1546" s="152"/>
      <c r="DF1546" s="160" t="s">
        <v>3995</v>
      </c>
      <c r="DG1546" s="160" t="s">
        <v>118</v>
      </c>
      <c r="DH1546" s="160" t="s">
        <v>125</v>
      </c>
      <c r="DI1546" s="160" t="s">
        <v>3996</v>
      </c>
      <c r="DJ1546" s="160" t="s">
        <v>3996</v>
      </c>
      <c r="DK1546" s="160" t="s">
        <v>666</v>
      </c>
      <c r="DL1546" s="160" t="s">
        <v>667</v>
      </c>
      <c r="DM1546" s="160" t="s">
        <v>590</v>
      </c>
      <c r="DN1546" s="161" t="s">
        <v>668</v>
      </c>
      <c r="DP1546" s="130">
        <v>1</v>
      </c>
    </row>
    <row r="1547" spans="109:120" ht="15">
      <c r="DE1547" s="152"/>
      <c r="DF1547" s="160" t="s">
        <v>3997</v>
      </c>
      <c r="DG1547" s="160" t="s">
        <v>118</v>
      </c>
      <c r="DH1547" s="160" t="s">
        <v>125</v>
      </c>
      <c r="DI1547" s="160" t="s">
        <v>3998</v>
      </c>
      <c r="DJ1547" s="160" t="s">
        <v>3998</v>
      </c>
      <c r="DK1547" s="160" t="s">
        <v>588</v>
      </c>
      <c r="DL1547" s="160" t="s">
        <v>3844</v>
      </c>
      <c r="DM1547" s="160" t="s">
        <v>590</v>
      </c>
      <c r="DN1547" s="161" t="s">
        <v>591</v>
      </c>
      <c r="DP1547" s="130">
        <v>1</v>
      </c>
    </row>
    <row r="1548" spans="109:120" ht="15">
      <c r="DE1548" s="152"/>
      <c r="DF1548" s="160" t="s">
        <v>3999</v>
      </c>
      <c r="DG1548" s="160" t="s">
        <v>118</v>
      </c>
      <c r="DH1548" s="160" t="s">
        <v>125</v>
      </c>
      <c r="DI1548" s="160" t="s">
        <v>4000</v>
      </c>
      <c r="DJ1548" s="160" t="s">
        <v>4000</v>
      </c>
      <c r="DK1548" s="160" t="s">
        <v>666</v>
      </c>
      <c r="DL1548" s="160" t="s">
        <v>667</v>
      </c>
      <c r="DM1548" s="160" t="s">
        <v>590</v>
      </c>
      <c r="DN1548" s="161" t="s">
        <v>668</v>
      </c>
      <c r="DP1548" s="130">
        <v>1</v>
      </c>
    </row>
    <row r="1549" spans="109:120" ht="15">
      <c r="DE1549" s="152"/>
      <c r="DF1549" s="160" t="s">
        <v>4001</v>
      </c>
      <c r="DG1549" s="160" t="s">
        <v>118</v>
      </c>
      <c r="DH1549" s="160" t="s">
        <v>125</v>
      </c>
      <c r="DI1549" s="160" t="s">
        <v>4002</v>
      </c>
      <c r="DJ1549" s="160" t="s">
        <v>210</v>
      </c>
      <c r="DK1549" s="160" t="s">
        <v>588</v>
      </c>
      <c r="DL1549" s="160" t="s">
        <v>3844</v>
      </c>
      <c r="DM1549" s="160" t="s">
        <v>590</v>
      </c>
      <c r="DN1549" s="161" t="s">
        <v>591</v>
      </c>
      <c r="DP1549" s="130">
        <v>1</v>
      </c>
    </row>
    <row r="1550" spans="109:120" ht="25.5">
      <c r="DE1550" s="152"/>
      <c r="DF1550" s="160" t="s">
        <v>4003</v>
      </c>
      <c r="DG1550" s="160" t="s">
        <v>118</v>
      </c>
      <c r="DH1550" s="160" t="s">
        <v>125</v>
      </c>
      <c r="DI1550" s="160" t="s">
        <v>4004</v>
      </c>
      <c r="DJ1550" s="160" t="s">
        <v>4005</v>
      </c>
      <c r="DK1550" s="160" t="s">
        <v>3830</v>
      </c>
      <c r="DL1550" s="160" t="s">
        <v>3831</v>
      </c>
      <c r="DM1550" s="160" t="s">
        <v>821</v>
      </c>
      <c r="DN1550" s="161" t="s">
        <v>3832</v>
      </c>
      <c r="DP1550" s="130">
        <v>1</v>
      </c>
    </row>
    <row r="1551" spans="109:120" ht="25.5">
      <c r="DE1551" s="152"/>
      <c r="DF1551" s="160" t="s">
        <v>4006</v>
      </c>
      <c r="DG1551" s="160" t="s">
        <v>118</v>
      </c>
      <c r="DH1551" s="160" t="s">
        <v>125</v>
      </c>
      <c r="DI1551" s="160" t="s">
        <v>4007</v>
      </c>
      <c r="DJ1551" s="160" t="s">
        <v>4008</v>
      </c>
      <c r="DK1551" s="160" t="s">
        <v>3830</v>
      </c>
      <c r="DL1551" s="160" t="s">
        <v>3831</v>
      </c>
      <c r="DM1551" s="160" t="s">
        <v>821</v>
      </c>
      <c r="DN1551" s="161" t="s">
        <v>3832</v>
      </c>
      <c r="DP1551" s="130">
        <v>1</v>
      </c>
    </row>
    <row r="1552" spans="109:120" ht="15">
      <c r="DE1552" s="152"/>
      <c r="DF1552" s="160" t="s">
        <v>4009</v>
      </c>
      <c r="DG1552" s="160" t="s">
        <v>118</v>
      </c>
      <c r="DH1552" s="160" t="s">
        <v>125</v>
      </c>
      <c r="DI1552" s="160" t="s">
        <v>4010</v>
      </c>
      <c r="DJ1552" s="160" t="s">
        <v>4011</v>
      </c>
      <c r="DK1552" s="160" t="s">
        <v>666</v>
      </c>
      <c r="DL1552" s="160" t="s">
        <v>667</v>
      </c>
      <c r="DM1552" s="160" t="s">
        <v>590</v>
      </c>
      <c r="DN1552" s="161" t="s">
        <v>668</v>
      </c>
      <c r="DP1552" s="130">
        <v>1</v>
      </c>
    </row>
    <row r="1553" spans="109:120" ht="25.5">
      <c r="DE1553" s="152"/>
      <c r="DF1553" s="160" t="s">
        <v>4012</v>
      </c>
      <c r="DG1553" s="160" t="s">
        <v>118</v>
      </c>
      <c r="DH1553" s="160" t="s">
        <v>125</v>
      </c>
      <c r="DI1553" s="160" t="s">
        <v>4013</v>
      </c>
      <c r="DJ1553" s="160" t="s">
        <v>4014</v>
      </c>
      <c r="DK1553" s="160" t="s">
        <v>3830</v>
      </c>
      <c r="DL1553" s="160" t="s">
        <v>3831</v>
      </c>
      <c r="DM1553" s="160" t="s">
        <v>821</v>
      </c>
      <c r="DN1553" s="161" t="s">
        <v>3832</v>
      </c>
      <c r="DP1553" s="130">
        <v>1</v>
      </c>
    </row>
    <row r="1554" spans="109:120" ht="15">
      <c r="DE1554" s="152"/>
      <c r="DF1554" s="160" t="s">
        <v>4015</v>
      </c>
      <c r="DG1554" s="160" t="s">
        <v>118</v>
      </c>
      <c r="DH1554" s="160" t="s">
        <v>125</v>
      </c>
      <c r="DI1554" s="160" t="s">
        <v>4016</v>
      </c>
      <c r="DJ1554" s="160" t="s">
        <v>211</v>
      </c>
      <c r="DK1554" s="160" t="s">
        <v>588</v>
      </c>
      <c r="DL1554" s="160" t="s">
        <v>3844</v>
      </c>
      <c r="DM1554" s="160" t="s">
        <v>590</v>
      </c>
      <c r="DN1554" s="161" t="s">
        <v>591</v>
      </c>
      <c r="DP1554" s="130">
        <v>1</v>
      </c>
    </row>
    <row r="1555" spans="109:120" ht="25.5">
      <c r="DE1555" s="152"/>
      <c r="DF1555" s="160" t="s">
        <v>4017</v>
      </c>
      <c r="DG1555" s="160" t="s">
        <v>118</v>
      </c>
      <c r="DH1555" s="160" t="s">
        <v>125</v>
      </c>
      <c r="DI1555" s="160" t="s">
        <v>4018</v>
      </c>
      <c r="DJ1555" s="160" t="s">
        <v>482</v>
      </c>
      <c r="DK1555" s="160" t="s">
        <v>3830</v>
      </c>
      <c r="DL1555" s="160" t="s">
        <v>3831</v>
      </c>
      <c r="DM1555" s="160" t="s">
        <v>821</v>
      </c>
      <c r="DN1555" s="161" t="s">
        <v>3832</v>
      </c>
      <c r="DP1555" s="130">
        <v>1</v>
      </c>
    </row>
    <row r="1556" spans="109:120" ht="25.5">
      <c r="DE1556" s="152"/>
      <c r="DF1556" s="160" t="s">
        <v>4019</v>
      </c>
      <c r="DG1556" s="160" t="s">
        <v>118</v>
      </c>
      <c r="DH1556" s="160" t="s">
        <v>125</v>
      </c>
      <c r="DI1556" s="160" t="s">
        <v>4020</v>
      </c>
      <c r="DJ1556" s="160" t="s">
        <v>483</v>
      </c>
      <c r="DK1556" s="160" t="s">
        <v>3830</v>
      </c>
      <c r="DL1556" s="160" t="s">
        <v>3831</v>
      </c>
      <c r="DM1556" s="160" t="s">
        <v>821</v>
      </c>
      <c r="DN1556" s="161" t="s">
        <v>3832</v>
      </c>
      <c r="DP1556" s="130">
        <v>1</v>
      </c>
    </row>
    <row r="1557" spans="109:120" ht="15">
      <c r="DE1557" s="152"/>
      <c r="DF1557" s="160" t="s">
        <v>4021</v>
      </c>
      <c r="DG1557" s="160" t="s">
        <v>118</v>
      </c>
      <c r="DH1557" s="160" t="s">
        <v>125</v>
      </c>
      <c r="DI1557" s="160" t="s">
        <v>4022</v>
      </c>
      <c r="DJ1557" s="160" t="s">
        <v>212</v>
      </c>
      <c r="DK1557" s="160" t="s">
        <v>588</v>
      </c>
      <c r="DL1557" s="160" t="s">
        <v>3844</v>
      </c>
      <c r="DM1557" s="160" t="s">
        <v>590</v>
      </c>
      <c r="DN1557" s="161" t="s">
        <v>591</v>
      </c>
      <c r="DP1557" s="130">
        <v>1</v>
      </c>
    </row>
    <row r="1558" spans="109:120" ht="15">
      <c r="DE1558" s="152"/>
      <c r="DF1558" s="160" t="s">
        <v>4023</v>
      </c>
      <c r="DG1558" s="160" t="s">
        <v>118</v>
      </c>
      <c r="DH1558" s="160" t="s">
        <v>125</v>
      </c>
      <c r="DI1558" s="160" t="s">
        <v>1754</v>
      </c>
      <c r="DJ1558" s="160" t="s">
        <v>1755</v>
      </c>
      <c r="DK1558" s="160" t="s">
        <v>588</v>
      </c>
      <c r="DL1558" s="160" t="s">
        <v>3844</v>
      </c>
      <c r="DM1558" s="160" t="s">
        <v>590</v>
      </c>
      <c r="DN1558" s="161" t="s">
        <v>591</v>
      </c>
      <c r="DP1558" s="130">
        <v>1</v>
      </c>
    </row>
    <row r="1559" spans="109:120" ht="15">
      <c r="DE1559" s="152"/>
      <c r="DF1559" s="160" t="s">
        <v>4024</v>
      </c>
      <c r="DG1559" s="160" t="s">
        <v>118</v>
      </c>
      <c r="DH1559" s="160" t="s">
        <v>125</v>
      </c>
      <c r="DI1559" s="160" t="s">
        <v>4025</v>
      </c>
      <c r="DJ1559" s="160" t="s">
        <v>213</v>
      </c>
      <c r="DK1559" s="160" t="s">
        <v>588</v>
      </c>
      <c r="DL1559" s="160" t="s">
        <v>3844</v>
      </c>
      <c r="DM1559" s="160" t="s">
        <v>590</v>
      </c>
      <c r="DN1559" s="161" t="s">
        <v>591</v>
      </c>
      <c r="DP1559" s="130">
        <v>1</v>
      </c>
    </row>
    <row r="1560" spans="109:120" ht="25.5">
      <c r="DE1560" s="152"/>
      <c r="DF1560" s="160" t="s">
        <v>4026</v>
      </c>
      <c r="DG1560" s="160" t="s">
        <v>118</v>
      </c>
      <c r="DH1560" s="160" t="s">
        <v>125</v>
      </c>
      <c r="DI1560" s="160" t="s">
        <v>4027</v>
      </c>
      <c r="DJ1560" s="160" t="s">
        <v>4027</v>
      </c>
      <c r="DK1560" s="160" t="s">
        <v>3830</v>
      </c>
      <c r="DL1560" s="160" t="s">
        <v>3831</v>
      </c>
      <c r="DM1560" s="160" t="s">
        <v>821</v>
      </c>
      <c r="DN1560" s="161" t="s">
        <v>3832</v>
      </c>
      <c r="DP1560" s="130">
        <v>1</v>
      </c>
    </row>
    <row r="1561" spans="109:120" ht="25.5">
      <c r="DE1561" s="152"/>
      <c r="DF1561" s="160" t="s">
        <v>4028</v>
      </c>
      <c r="DG1561" s="160" t="s">
        <v>118</v>
      </c>
      <c r="DH1561" s="160" t="s">
        <v>125</v>
      </c>
      <c r="DI1561" s="160" t="s">
        <v>4029</v>
      </c>
      <c r="DJ1561" s="160" t="s">
        <v>4029</v>
      </c>
      <c r="DK1561" s="160" t="s">
        <v>3830</v>
      </c>
      <c r="DL1561" s="160" t="s">
        <v>3831</v>
      </c>
      <c r="DM1561" s="160" t="s">
        <v>821</v>
      </c>
      <c r="DN1561" s="161" t="s">
        <v>3832</v>
      </c>
      <c r="DP1561" s="130">
        <v>1</v>
      </c>
    </row>
    <row r="1562" spans="109:120" ht="25.5">
      <c r="DE1562" s="152"/>
      <c r="DF1562" s="160" t="s">
        <v>4030</v>
      </c>
      <c r="DG1562" s="160" t="s">
        <v>118</v>
      </c>
      <c r="DH1562" s="160" t="s">
        <v>125</v>
      </c>
      <c r="DI1562" s="160" t="s">
        <v>4031</v>
      </c>
      <c r="DJ1562" s="160" t="s">
        <v>4031</v>
      </c>
      <c r="DK1562" s="160" t="s">
        <v>3830</v>
      </c>
      <c r="DL1562" s="160" t="s">
        <v>3831</v>
      </c>
      <c r="DM1562" s="160" t="s">
        <v>821</v>
      </c>
      <c r="DN1562" s="161" t="s">
        <v>3832</v>
      </c>
      <c r="DP1562" s="130">
        <v>1</v>
      </c>
    </row>
    <row r="1563" spans="109:120" ht="25.5">
      <c r="DE1563" s="152"/>
      <c r="DF1563" s="160" t="s">
        <v>4032</v>
      </c>
      <c r="DG1563" s="160" t="s">
        <v>118</v>
      </c>
      <c r="DH1563" s="160" t="s">
        <v>125</v>
      </c>
      <c r="DI1563" s="160" t="s">
        <v>4033</v>
      </c>
      <c r="DJ1563" s="160" t="s">
        <v>4033</v>
      </c>
      <c r="DK1563" s="160" t="s">
        <v>3830</v>
      </c>
      <c r="DL1563" s="160" t="s">
        <v>3831</v>
      </c>
      <c r="DM1563" s="160" t="s">
        <v>821</v>
      </c>
      <c r="DN1563" s="161" t="s">
        <v>3832</v>
      </c>
      <c r="DP1563" s="130">
        <v>1</v>
      </c>
    </row>
    <row r="1564" spans="109:120" ht="25.5">
      <c r="DE1564" s="152"/>
      <c r="DF1564" s="160" t="s">
        <v>4034</v>
      </c>
      <c r="DG1564" s="160" t="s">
        <v>118</v>
      </c>
      <c r="DH1564" s="160" t="s">
        <v>125</v>
      </c>
      <c r="DI1564" s="160" t="s">
        <v>4035</v>
      </c>
      <c r="DJ1564" s="160" t="s">
        <v>4035</v>
      </c>
      <c r="DK1564" s="160" t="s">
        <v>3830</v>
      </c>
      <c r="DL1564" s="160" t="s">
        <v>3831</v>
      </c>
      <c r="DM1564" s="160" t="s">
        <v>821</v>
      </c>
      <c r="DN1564" s="161" t="s">
        <v>3832</v>
      </c>
      <c r="DP1564" s="130">
        <v>1</v>
      </c>
    </row>
    <row r="1565" spans="109:120" ht="15">
      <c r="DE1565" s="152"/>
      <c r="DF1565" s="160" t="s">
        <v>4036</v>
      </c>
      <c r="DG1565" s="160" t="s">
        <v>118</v>
      </c>
      <c r="DH1565" s="160" t="s">
        <v>125</v>
      </c>
      <c r="DI1565" s="160" t="s">
        <v>4037</v>
      </c>
      <c r="DJ1565" s="160" t="s">
        <v>4037</v>
      </c>
      <c r="DK1565" s="160" t="s">
        <v>588</v>
      </c>
      <c r="DL1565" s="160" t="s">
        <v>3844</v>
      </c>
      <c r="DM1565" s="160" t="s">
        <v>590</v>
      </c>
      <c r="DN1565" s="161" t="s">
        <v>591</v>
      </c>
      <c r="DP1565" s="130">
        <v>1</v>
      </c>
    </row>
    <row r="1566" spans="109:120" ht="15">
      <c r="DE1566" s="152"/>
      <c r="DF1566" s="160" t="s">
        <v>4038</v>
      </c>
      <c r="DG1566" s="160" t="s">
        <v>118</v>
      </c>
      <c r="DH1566" s="160" t="s">
        <v>125</v>
      </c>
      <c r="DI1566" s="160" t="s">
        <v>4039</v>
      </c>
      <c r="DJ1566" s="160" t="s">
        <v>4039</v>
      </c>
      <c r="DK1566" s="160" t="s">
        <v>588</v>
      </c>
      <c r="DL1566" s="160" t="s">
        <v>3844</v>
      </c>
      <c r="DM1566" s="160" t="s">
        <v>590</v>
      </c>
      <c r="DN1566" s="161" t="s">
        <v>591</v>
      </c>
      <c r="DP1566" s="130">
        <v>1</v>
      </c>
    </row>
    <row r="1567" spans="109:120" ht="15">
      <c r="DE1567" s="152"/>
      <c r="DF1567" s="160" t="s">
        <v>4040</v>
      </c>
      <c r="DG1567" s="160" t="s">
        <v>118</v>
      </c>
      <c r="DH1567" s="160" t="s">
        <v>125</v>
      </c>
      <c r="DI1567" s="160" t="s">
        <v>484</v>
      </c>
      <c r="DJ1567" s="160" t="s">
        <v>484</v>
      </c>
      <c r="DK1567" s="160" t="s">
        <v>588</v>
      </c>
      <c r="DL1567" s="160" t="s">
        <v>3844</v>
      </c>
      <c r="DM1567" s="160" t="s">
        <v>590</v>
      </c>
      <c r="DN1567" s="161" t="s">
        <v>591</v>
      </c>
      <c r="DP1567" s="130">
        <v>1</v>
      </c>
    </row>
    <row r="1568" spans="109:120" ht="25.5">
      <c r="DE1568" s="152"/>
      <c r="DF1568" s="160" t="s">
        <v>4041</v>
      </c>
      <c r="DG1568" s="160" t="s">
        <v>118</v>
      </c>
      <c r="DH1568" s="160" t="s">
        <v>125</v>
      </c>
      <c r="DI1568" s="160" t="s">
        <v>4042</v>
      </c>
      <c r="DJ1568" s="160" t="s">
        <v>4043</v>
      </c>
      <c r="DK1568" s="160" t="s">
        <v>3830</v>
      </c>
      <c r="DL1568" s="160" t="s">
        <v>3831</v>
      </c>
      <c r="DM1568" s="160" t="s">
        <v>821</v>
      </c>
      <c r="DN1568" s="161" t="s">
        <v>3832</v>
      </c>
      <c r="DP1568" s="130">
        <v>1</v>
      </c>
    </row>
    <row r="1569" spans="109:120" ht="25.5">
      <c r="DE1569" s="152"/>
      <c r="DF1569" s="160" t="s">
        <v>4044</v>
      </c>
      <c r="DG1569" s="160" t="s">
        <v>118</v>
      </c>
      <c r="DH1569" s="160" t="s">
        <v>125</v>
      </c>
      <c r="DI1569" s="160" t="s">
        <v>4045</v>
      </c>
      <c r="DJ1569" s="160" t="s">
        <v>4045</v>
      </c>
      <c r="DK1569" s="160" t="s">
        <v>3830</v>
      </c>
      <c r="DL1569" s="160" t="s">
        <v>3831</v>
      </c>
      <c r="DM1569" s="160" t="s">
        <v>821</v>
      </c>
      <c r="DN1569" s="161" t="s">
        <v>3832</v>
      </c>
      <c r="DP1569" s="130">
        <v>1</v>
      </c>
    </row>
    <row r="1570" spans="109:120" ht="25.5">
      <c r="DE1570" s="152"/>
      <c r="DF1570" s="160" t="s">
        <v>4046</v>
      </c>
      <c r="DG1570" s="160" t="s">
        <v>118</v>
      </c>
      <c r="DH1570" s="160" t="s">
        <v>125</v>
      </c>
      <c r="DI1570" s="160" t="s">
        <v>4047</v>
      </c>
      <c r="DJ1570" s="160" t="s">
        <v>4048</v>
      </c>
      <c r="DK1570" s="160" t="s">
        <v>3830</v>
      </c>
      <c r="DL1570" s="160" t="s">
        <v>3831</v>
      </c>
      <c r="DM1570" s="160" t="s">
        <v>821</v>
      </c>
      <c r="DN1570" s="161" t="s">
        <v>3832</v>
      </c>
      <c r="DP1570" s="130">
        <v>1</v>
      </c>
    </row>
    <row r="1571" spans="109:120" ht="25.5">
      <c r="DE1571" s="152"/>
      <c r="DF1571" s="160" t="s">
        <v>4049</v>
      </c>
      <c r="DG1571" s="160" t="s">
        <v>118</v>
      </c>
      <c r="DH1571" s="160" t="s">
        <v>125</v>
      </c>
      <c r="DI1571" s="160" t="s">
        <v>4050</v>
      </c>
      <c r="DJ1571" s="160" t="s">
        <v>4051</v>
      </c>
      <c r="DK1571" s="160" t="s">
        <v>3830</v>
      </c>
      <c r="DL1571" s="160" t="s">
        <v>3831</v>
      </c>
      <c r="DM1571" s="160" t="s">
        <v>821</v>
      </c>
      <c r="DN1571" s="161" t="s">
        <v>3832</v>
      </c>
      <c r="DP1571" s="130">
        <v>1</v>
      </c>
    </row>
    <row r="1572" spans="109:120" ht="25.5">
      <c r="DE1572" s="152"/>
      <c r="DF1572" s="160" t="s">
        <v>4052</v>
      </c>
      <c r="DG1572" s="160" t="s">
        <v>118</v>
      </c>
      <c r="DH1572" s="160" t="s">
        <v>125</v>
      </c>
      <c r="DI1572" s="160" t="s">
        <v>4053</v>
      </c>
      <c r="DJ1572" s="160" t="s">
        <v>4053</v>
      </c>
      <c r="DK1572" s="160" t="s">
        <v>3830</v>
      </c>
      <c r="DL1572" s="160" t="s">
        <v>3831</v>
      </c>
      <c r="DM1572" s="160" t="s">
        <v>821</v>
      </c>
      <c r="DN1572" s="161" t="s">
        <v>3832</v>
      </c>
      <c r="DP1572" s="130">
        <v>1</v>
      </c>
    </row>
    <row r="1573" spans="109:120" ht="15">
      <c r="DE1573" s="152"/>
      <c r="DF1573" s="160" t="s">
        <v>4054</v>
      </c>
      <c r="DG1573" s="160" t="s">
        <v>118</v>
      </c>
      <c r="DH1573" s="160" t="s">
        <v>125</v>
      </c>
      <c r="DI1573" s="160" t="s">
        <v>485</v>
      </c>
      <c r="DJ1573" s="160" t="s">
        <v>485</v>
      </c>
      <c r="DK1573" s="160" t="s">
        <v>588</v>
      </c>
      <c r="DL1573" s="160" t="s">
        <v>3844</v>
      </c>
      <c r="DM1573" s="160" t="s">
        <v>590</v>
      </c>
      <c r="DN1573" s="161" t="s">
        <v>591</v>
      </c>
      <c r="DP1573" s="130">
        <v>1</v>
      </c>
    </row>
    <row r="1574" spans="109:120" ht="15">
      <c r="DE1574" s="152"/>
      <c r="DF1574" s="160" t="s">
        <v>4055</v>
      </c>
      <c r="DG1574" s="160" t="s">
        <v>118</v>
      </c>
      <c r="DH1574" s="160" t="s">
        <v>125</v>
      </c>
      <c r="DI1574" s="160" t="s">
        <v>486</v>
      </c>
      <c r="DJ1574" s="160" t="s">
        <v>486</v>
      </c>
      <c r="DK1574" s="160" t="s">
        <v>588</v>
      </c>
      <c r="DL1574" s="160" t="s">
        <v>3844</v>
      </c>
      <c r="DM1574" s="160" t="s">
        <v>590</v>
      </c>
      <c r="DN1574" s="161" t="s">
        <v>591</v>
      </c>
      <c r="DP1574" s="130">
        <v>1</v>
      </c>
    </row>
    <row r="1575" spans="109:120" ht="25.5">
      <c r="DE1575" s="152"/>
      <c r="DF1575" s="160" t="s">
        <v>4056</v>
      </c>
      <c r="DG1575" s="160" t="s">
        <v>118</v>
      </c>
      <c r="DH1575" s="160" t="s">
        <v>125</v>
      </c>
      <c r="DI1575" s="160" t="s">
        <v>4057</v>
      </c>
      <c r="DJ1575" s="160" t="s">
        <v>4057</v>
      </c>
      <c r="DK1575" s="160" t="s">
        <v>3830</v>
      </c>
      <c r="DL1575" s="160" t="s">
        <v>3831</v>
      </c>
      <c r="DM1575" s="160" t="s">
        <v>821</v>
      </c>
      <c r="DN1575" s="161" t="s">
        <v>3832</v>
      </c>
      <c r="DP1575" s="130">
        <v>1</v>
      </c>
    </row>
    <row r="1576" spans="109:120" ht="15">
      <c r="DE1576" s="152"/>
      <c r="DF1576" s="160" t="s">
        <v>4058</v>
      </c>
      <c r="DG1576" s="160" t="s">
        <v>118</v>
      </c>
      <c r="DH1576" s="160" t="s">
        <v>125</v>
      </c>
      <c r="DI1576" s="160" t="s">
        <v>4059</v>
      </c>
      <c r="DJ1576" s="160" t="s">
        <v>4059</v>
      </c>
      <c r="DK1576" s="160" t="s">
        <v>588</v>
      </c>
      <c r="DL1576" s="160" t="s">
        <v>3844</v>
      </c>
      <c r="DM1576" s="160" t="s">
        <v>590</v>
      </c>
      <c r="DN1576" s="161" t="s">
        <v>591</v>
      </c>
      <c r="DP1576" s="130">
        <v>1</v>
      </c>
    </row>
    <row r="1577" spans="109:120" ht="15">
      <c r="DE1577" s="152"/>
      <c r="DF1577" s="160" t="s">
        <v>4060</v>
      </c>
      <c r="DG1577" s="160" t="s">
        <v>118</v>
      </c>
      <c r="DH1577" s="160" t="s">
        <v>125</v>
      </c>
      <c r="DI1577" s="160" t="s">
        <v>4061</v>
      </c>
      <c r="DJ1577" s="160" t="s">
        <v>4061</v>
      </c>
      <c r="DK1577" s="160" t="s">
        <v>588</v>
      </c>
      <c r="DL1577" s="160" t="s">
        <v>3844</v>
      </c>
      <c r="DM1577" s="160" t="s">
        <v>590</v>
      </c>
      <c r="DN1577" s="161" t="s">
        <v>591</v>
      </c>
      <c r="DP1577" s="130">
        <v>1</v>
      </c>
    </row>
    <row r="1578" spans="109:120" ht="25.5">
      <c r="DE1578" s="152"/>
      <c r="DF1578" s="160" t="s">
        <v>4062</v>
      </c>
      <c r="DG1578" s="160" t="s">
        <v>118</v>
      </c>
      <c r="DH1578" s="160" t="s">
        <v>125</v>
      </c>
      <c r="DI1578" s="160" t="s">
        <v>4063</v>
      </c>
      <c r="DJ1578" s="160" t="s">
        <v>4064</v>
      </c>
      <c r="DK1578" s="160" t="s">
        <v>3830</v>
      </c>
      <c r="DL1578" s="160" t="s">
        <v>3831</v>
      </c>
      <c r="DM1578" s="160" t="s">
        <v>821</v>
      </c>
      <c r="DN1578" s="161" t="s">
        <v>3832</v>
      </c>
      <c r="DP1578" s="130">
        <v>1</v>
      </c>
    </row>
    <row r="1579" spans="109:120" ht="25.5">
      <c r="DE1579" s="152"/>
      <c r="DF1579" s="160" t="s">
        <v>4065</v>
      </c>
      <c r="DG1579" s="160" t="s">
        <v>118</v>
      </c>
      <c r="DH1579" s="160" t="s">
        <v>125</v>
      </c>
      <c r="DI1579" s="160" t="s">
        <v>4066</v>
      </c>
      <c r="DJ1579" s="160" t="s">
        <v>4066</v>
      </c>
      <c r="DK1579" s="160" t="s">
        <v>3830</v>
      </c>
      <c r="DL1579" s="160" t="s">
        <v>3831</v>
      </c>
      <c r="DM1579" s="160" t="s">
        <v>821</v>
      </c>
      <c r="DN1579" s="161" t="s">
        <v>3832</v>
      </c>
      <c r="DP1579" s="130">
        <v>1</v>
      </c>
    </row>
    <row r="1580" spans="109:120" ht="15">
      <c r="DE1580" s="152"/>
      <c r="DF1580" s="160" t="s">
        <v>4067</v>
      </c>
      <c r="DG1580" s="160" t="s">
        <v>118</v>
      </c>
      <c r="DH1580" s="160" t="s">
        <v>125</v>
      </c>
      <c r="DI1580" s="160" t="s">
        <v>214</v>
      </c>
      <c r="DJ1580" s="160" t="s">
        <v>214</v>
      </c>
      <c r="DK1580" s="160" t="s">
        <v>588</v>
      </c>
      <c r="DL1580" s="160" t="s">
        <v>3844</v>
      </c>
      <c r="DM1580" s="160" t="s">
        <v>590</v>
      </c>
      <c r="DN1580" s="161" t="s">
        <v>591</v>
      </c>
      <c r="DP1580" s="130">
        <v>1</v>
      </c>
    </row>
    <row r="1581" spans="109:120" ht="25.5">
      <c r="DE1581" s="152"/>
      <c r="DF1581" s="160" t="s">
        <v>4068</v>
      </c>
      <c r="DG1581" s="160" t="s">
        <v>118</v>
      </c>
      <c r="DH1581" s="160" t="s">
        <v>125</v>
      </c>
      <c r="DI1581" s="160" t="s">
        <v>4069</v>
      </c>
      <c r="DJ1581" s="160" t="s">
        <v>4070</v>
      </c>
      <c r="DK1581" s="160" t="s">
        <v>3830</v>
      </c>
      <c r="DL1581" s="160" t="s">
        <v>3831</v>
      </c>
      <c r="DM1581" s="160" t="s">
        <v>821</v>
      </c>
      <c r="DN1581" s="161" t="s">
        <v>3832</v>
      </c>
      <c r="DP1581" s="130">
        <v>1</v>
      </c>
    </row>
    <row r="1582" spans="109:120" ht="25.5">
      <c r="DE1582" s="152"/>
      <c r="DF1582" s="160" t="s">
        <v>4071</v>
      </c>
      <c r="DG1582" s="160" t="s">
        <v>118</v>
      </c>
      <c r="DH1582" s="160" t="s">
        <v>125</v>
      </c>
      <c r="DI1582" s="160" t="s">
        <v>4072</v>
      </c>
      <c r="DJ1582" s="160" t="s">
        <v>4072</v>
      </c>
      <c r="DK1582" s="160" t="s">
        <v>3830</v>
      </c>
      <c r="DL1582" s="160" t="s">
        <v>3831</v>
      </c>
      <c r="DM1582" s="160" t="s">
        <v>821</v>
      </c>
      <c r="DN1582" s="161" t="s">
        <v>3832</v>
      </c>
      <c r="DP1582" s="130">
        <v>1</v>
      </c>
    </row>
    <row r="1583" spans="109:120" ht="15">
      <c r="DE1583" s="152"/>
      <c r="DF1583" s="160" t="s">
        <v>4073</v>
      </c>
      <c r="DG1583" s="160" t="s">
        <v>118</v>
      </c>
      <c r="DH1583" s="160" t="s">
        <v>125</v>
      </c>
      <c r="DI1583" s="160" t="s">
        <v>487</v>
      </c>
      <c r="DJ1583" s="160" t="s">
        <v>487</v>
      </c>
      <c r="DK1583" s="160" t="s">
        <v>588</v>
      </c>
      <c r="DL1583" s="160" t="s">
        <v>3844</v>
      </c>
      <c r="DM1583" s="160" t="s">
        <v>590</v>
      </c>
      <c r="DN1583" s="161" t="s">
        <v>591</v>
      </c>
      <c r="DP1583" s="130">
        <v>1</v>
      </c>
    </row>
    <row r="1584" spans="109:120" ht="25.5">
      <c r="DE1584" s="152"/>
      <c r="DF1584" s="160" t="s">
        <v>4074</v>
      </c>
      <c r="DG1584" s="160" t="s">
        <v>118</v>
      </c>
      <c r="DH1584" s="160" t="s">
        <v>125</v>
      </c>
      <c r="DI1584" s="160" t="s">
        <v>4075</v>
      </c>
      <c r="DJ1584" s="160" t="s">
        <v>4075</v>
      </c>
      <c r="DK1584" s="160" t="s">
        <v>3830</v>
      </c>
      <c r="DL1584" s="160" t="s">
        <v>3831</v>
      </c>
      <c r="DM1584" s="160" t="s">
        <v>821</v>
      </c>
      <c r="DN1584" s="161" t="s">
        <v>3832</v>
      </c>
      <c r="DP1584" s="130">
        <v>1</v>
      </c>
    </row>
    <row r="1585" spans="109:120" ht="25.5">
      <c r="DE1585" s="152"/>
      <c r="DF1585" s="160" t="s">
        <v>4076</v>
      </c>
      <c r="DG1585" s="160" t="s">
        <v>118</v>
      </c>
      <c r="DH1585" s="160" t="s">
        <v>125</v>
      </c>
      <c r="DI1585" s="160" t="s">
        <v>4077</v>
      </c>
      <c r="DJ1585" s="160" t="s">
        <v>4078</v>
      </c>
      <c r="DK1585" s="160" t="s">
        <v>3830</v>
      </c>
      <c r="DL1585" s="160" t="s">
        <v>3831</v>
      </c>
      <c r="DM1585" s="160" t="s">
        <v>821</v>
      </c>
      <c r="DN1585" s="161" t="s">
        <v>3832</v>
      </c>
      <c r="DP1585" s="130">
        <v>1</v>
      </c>
    </row>
    <row r="1586" spans="109:120" ht="25.5">
      <c r="DE1586" s="152"/>
      <c r="DF1586" s="160" t="s">
        <v>4079</v>
      </c>
      <c r="DG1586" s="160" t="s">
        <v>118</v>
      </c>
      <c r="DH1586" s="160" t="s">
        <v>125</v>
      </c>
      <c r="DI1586" s="160" t="s">
        <v>4080</v>
      </c>
      <c r="DJ1586" s="160" t="s">
        <v>4080</v>
      </c>
      <c r="DK1586" s="160" t="s">
        <v>3830</v>
      </c>
      <c r="DL1586" s="160" t="s">
        <v>3831</v>
      </c>
      <c r="DM1586" s="160" t="s">
        <v>821</v>
      </c>
      <c r="DN1586" s="161" t="s">
        <v>3832</v>
      </c>
      <c r="DP1586" s="130">
        <v>1</v>
      </c>
    </row>
    <row r="1587" spans="109:120" ht="25.5">
      <c r="DE1587" s="152"/>
      <c r="DF1587" s="160" t="s">
        <v>4081</v>
      </c>
      <c r="DG1587" s="160" t="s">
        <v>118</v>
      </c>
      <c r="DH1587" s="160" t="s">
        <v>125</v>
      </c>
      <c r="DI1587" s="160" t="s">
        <v>4082</v>
      </c>
      <c r="DJ1587" s="160" t="s">
        <v>4082</v>
      </c>
      <c r="DK1587" s="160" t="s">
        <v>3830</v>
      </c>
      <c r="DL1587" s="160" t="s">
        <v>3831</v>
      </c>
      <c r="DM1587" s="160" t="s">
        <v>821</v>
      </c>
      <c r="DN1587" s="161" t="s">
        <v>3832</v>
      </c>
      <c r="DP1587" s="130">
        <v>1</v>
      </c>
    </row>
    <row r="1588" spans="109:120" ht="25.5">
      <c r="DE1588" s="152"/>
      <c r="DF1588" s="160" t="s">
        <v>4083</v>
      </c>
      <c r="DG1588" s="160" t="s">
        <v>118</v>
      </c>
      <c r="DH1588" s="160" t="s">
        <v>125</v>
      </c>
      <c r="DI1588" s="160" t="s">
        <v>488</v>
      </c>
      <c r="DJ1588" s="160" t="s">
        <v>488</v>
      </c>
      <c r="DK1588" s="160" t="s">
        <v>3830</v>
      </c>
      <c r="DL1588" s="160" t="s">
        <v>3831</v>
      </c>
      <c r="DM1588" s="160" t="s">
        <v>821</v>
      </c>
      <c r="DN1588" s="161" t="s">
        <v>3832</v>
      </c>
      <c r="DP1588" s="130">
        <v>1</v>
      </c>
    </row>
    <row r="1589" spans="109:120" ht="25.5">
      <c r="DE1589" s="152"/>
      <c r="DF1589" s="160" t="s">
        <v>4084</v>
      </c>
      <c r="DG1589" s="160" t="s">
        <v>118</v>
      </c>
      <c r="DH1589" s="160" t="s">
        <v>125</v>
      </c>
      <c r="DI1589" s="160" t="s">
        <v>4085</v>
      </c>
      <c r="DJ1589" s="160" t="s">
        <v>4086</v>
      </c>
      <c r="DK1589" s="160" t="s">
        <v>3830</v>
      </c>
      <c r="DL1589" s="160" t="s">
        <v>3831</v>
      </c>
      <c r="DM1589" s="160" t="s">
        <v>821</v>
      </c>
      <c r="DN1589" s="161" t="s">
        <v>3832</v>
      </c>
      <c r="DP1589" s="130">
        <v>1</v>
      </c>
    </row>
    <row r="1590" spans="109:120" ht="15">
      <c r="DE1590" s="152"/>
      <c r="DF1590" s="160" t="s">
        <v>4087</v>
      </c>
      <c r="DG1590" s="160" t="s">
        <v>118</v>
      </c>
      <c r="DH1590" s="160" t="s">
        <v>125</v>
      </c>
      <c r="DI1590" s="160" t="s">
        <v>4088</v>
      </c>
      <c r="DJ1590" s="160" t="s">
        <v>4088</v>
      </c>
      <c r="DK1590" s="160" t="s">
        <v>588</v>
      </c>
      <c r="DL1590" s="160" t="s">
        <v>3844</v>
      </c>
      <c r="DM1590" s="160" t="s">
        <v>590</v>
      </c>
      <c r="DN1590" s="161" t="s">
        <v>591</v>
      </c>
      <c r="DP1590" s="130">
        <v>1</v>
      </c>
    </row>
    <row r="1591" spans="109:120" ht="25.5">
      <c r="DE1591" s="152"/>
      <c r="DF1591" s="160" t="s">
        <v>4089</v>
      </c>
      <c r="DG1591" s="160" t="s">
        <v>118</v>
      </c>
      <c r="DH1591" s="160" t="s">
        <v>125</v>
      </c>
      <c r="DI1591" s="160" t="s">
        <v>4090</v>
      </c>
      <c r="DJ1591" s="160" t="s">
        <v>4090</v>
      </c>
      <c r="DK1591" s="160" t="s">
        <v>3830</v>
      </c>
      <c r="DL1591" s="160" t="s">
        <v>3831</v>
      </c>
      <c r="DM1591" s="160" t="s">
        <v>821</v>
      </c>
      <c r="DN1591" s="161" t="s">
        <v>3832</v>
      </c>
      <c r="DP1591" s="130">
        <v>1</v>
      </c>
    </row>
    <row r="1592" spans="109:120" ht="15">
      <c r="DE1592" s="152"/>
      <c r="DF1592" s="160" t="s">
        <v>4091</v>
      </c>
      <c r="DG1592" s="160" t="s">
        <v>118</v>
      </c>
      <c r="DH1592" s="160" t="s">
        <v>125</v>
      </c>
      <c r="DI1592" s="160" t="s">
        <v>4092</v>
      </c>
      <c r="DJ1592" s="160" t="s">
        <v>4092</v>
      </c>
      <c r="DK1592" s="160" t="s">
        <v>588</v>
      </c>
      <c r="DL1592" s="160" t="s">
        <v>3844</v>
      </c>
      <c r="DM1592" s="160" t="s">
        <v>590</v>
      </c>
      <c r="DN1592" s="161" t="s">
        <v>591</v>
      </c>
      <c r="DP1592" s="130">
        <v>1</v>
      </c>
    </row>
    <row r="1593" spans="109:120" ht="25.5">
      <c r="DE1593" s="152"/>
      <c r="DF1593" s="160" t="s">
        <v>4093</v>
      </c>
      <c r="DG1593" s="160" t="s">
        <v>118</v>
      </c>
      <c r="DH1593" s="160" t="s">
        <v>125</v>
      </c>
      <c r="DI1593" s="160" t="s">
        <v>4094</v>
      </c>
      <c r="DJ1593" s="160" t="s">
        <v>4094</v>
      </c>
      <c r="DK1593" s="160" t="s">
        <v>3830</v>
      </c>
      <c r="DL1593" s="160" t="s">
        <v>3831</v>
      </c>
      <c r="DM1593" s="160" t="s">
        <v>821</v>
      </c>
      <c r="DN1593" s="161" t="s">
        <v>3832</v>
      </c>
      <c r="DP1593" s="130">
        <v>1</v>
      </c>
    </row>
    <row r="1594" spans="109:120" ht="25.5">
      <c r="DE1594" s="152"/>
      <c r="DF1594" s="160" t="s">
        <v>4095</v>
      </c>
      <c r="DG1594" s="160" t="s">
        <v>118</v>
      </c>
      <c r="DH1594" s="160" t="s">
        <v>125</v>
      </c>
      <c r="DI1594" s="160" t="s">
        <v>4096</v>
      </c>
      <c r="DJ1594" s="160" t="s">
        <v>4096</v>
      </c>
      <c r="DK1594" s="160" t="s">
        <v>3830</v>
      </c>
      <c r="DL1594" s="160" t="s">
        <v>3831</v>
      </c>
      <c r="DM1594" s="160" t="s">
        <v>821</v>
      </c>
      <c r="DN1594" s="161" t="s">
        <v>3832</v>
      </c>
      <c r="DP1594" s="130">
        <v>1</v>
      </c>
    </row>
    <row r="1595" spans="109:120" ht="25.5">
      <c r="DE1595" s="152"/>
      <c r="DF1595" s="160" t="s">
        <v>4097</v>
      </c>
      <c r="DG1595" s="160" t="s">
        <v>118</v>
      </c>
      <c r="DH1595" s="160" t="s">
        <v>125</v>
      </c>
      <c r="DI1595" s="160" t="s">
        <v>489</v>
      </c>
      <c r="DJ1595" s="160" t="s">
        <v>489</v>
      </c>
      <c r="DK1595" s="160" t="s">
        <v>3830</v>
      </c>
      <c r="DL1595" s="160" t="s">
        <v>3831</v>
      </c>
      <c r="DM1595" s="160" t="s">
        <v>821</v>
      </c>
      <c r="DN1595" s="161" t="s">
        <v>3832</v>
      </c>
      <c r="DP1595" s="130">
        <v>1</v>
      </c>
    </row>
    <row r="1596" spans="109:120" ht="15">
      <c r="DE1596" s="152"/>
      <c r="DF1596" s="160" t="s">
        <v>4098</v>
      </c>
      <c r="DG1596" s="160" t="s">
        <v>118</v>
      </c>
      <c r="DH1596" s="160" t="s">
        <v>125</v>
      </c>
      <c r="DI1596" s="160" t="s">
        <v>4099</v>
      </c>
      <c r="DJ1596" s="160" t="s">
        <v>4099</v>
      </c>
      <c r="DK1596" s="160" t="s">
        <v>588</v>
      </c>
      <c r="DL1596" s="160" t="s">
        <v>3844</v>
      </c>
      <c r="DM1596" s="160" t="s">
        <v>590</v>
      </c>
      <c r="DN1596" s="161" t="s">
        <v>591</v>
      </c>
      <c r="DP1596" s="130">
        <v>1</v>
      </c>
    </row>
    <row r="1597" spans="109:120" ht="15">
      <c r="DE1597" s="152"/>
      <c r="DF1597" s="160" t="s">
        <v>4100</v>
      </c>
      <c r="DG1597" s="160" t="s">
        <v>118</v>
      </c>
      <c r="DH1597" s="160" t="s">
        <v>125</v>
      </c>
      <c r="DI1597" s="160" t="s">
        <v>4101</v>
      </c>
      <c r="DJ1597" s="160" t="s">
        <v>4101</v>
      </c>
      <c r="DK1597" s="160" t="s">
        <v>588</v>
      </c>
      <c r="DL1597" s="160" t="s">
        <v>3844</v>
      </c>
      <c r="DM1597" s="160" t="s">
        <v>590</v>
      </c>
      <c r="DN1597" s="161" t="s">
        <v>591</v>
      </c>
      <c r="DP1597" s="130">
        <v>1</v>
      </c>
    </row>
    <row r="1598" spans="109:120" ht="15">
      <c r="DE1598" s="152"/>
      <c r="DF1598" s="160" t="s">
        <v>4102</v>
      </c>
      <c r="DG1598" s="160" t="s">
        <v>118</v>
      </c>
      <c r="DH1598" s="160" t="s">
        <v>125</v>
      </c>
      <c r="DI1598" s="160" t="s">
        <v>4103</v>
      </c>
      <c r="DJ1598" s="160" t="s">
        <v>4103</v>
      </c>
      <c r="DK1598" s="160" t="s">
        <v>588</v>
      </c>
      <c r="DL1598" s="160" t="s">
        <v>3844</v>
      </c>
      <c r="DM1598" s="160" t="s">
        <v>590</v>
      </c>
      <c r="DN1598" s="161" t="s">
        <v>591</v>
      </c>
      <c r="DP1598" s="130">
        <v>1</v>
      </c>
    </row>
    <row r="1599" spans="109:120" ht="15">
      <c r="DE1599" s="152"/>
      <c r="DF1599" s="160" t="s">
        <v>4104</v>
      </c>
      <c r="DG1599" s="160" t="s">
        <v>118</v>
      </c>
      <c r="DH1599" s="160" t="s">
        <v>125</v>
      </c>
      <c r="DI1599" s="160" t="s">
        <v>4105</v>
      </c>
      <c r="DJ1599" s="160" t="s">
        <v>4105</v>
      </c>
      <c r="DK1599" s="160" t="s">
        <v>588</v>
      </c>
      <c r="DL1599" s="160" t="s">
        <v>3844</v>
      </c>
      <c r="DM1599" s="160" t="s">
        <v>590</v>
      </c>
      <c r="DN1599" s="161" t="s">
        <v>591</v>
      </c>
      <c r="DP1599" s="130">
        <v>1</v>
      </c>
    </row>
    <row r="1600" spans="109:120" ht="25.5">
      <c r="DE1600" s="152"/>
      <c r="DF1600" s="160" t="s">
        <v>4106</v>
      </c>
      <c r="DG1600" s="160" t="s">
        <v>118</v>
      </c>
      <c r="DH1600" s="160" t="s">
        <v>125</v>
      </c>
      <c r="DI1600" s="160" t="s">
        <v>4107</v>
      </c>
      <c r="DJ1600" s="160" t="s">
        <v>4107</v>
      </c>
      <c r="DK1600" s="160" t="s">
        <v>3830</v>
      </c>
      <c r="DL1600" s="160" t="s">
        <v>3831</v>
      </c>
      <c r="DM1600" s="160" t="s">
        <v>821</v>
      </c>
      <c r="DN1600" s="161" t="s">
        <v>3832</v>
      </c>
      <c r="DP1600" s="130">
        <v>1</v>
      </c>
    </row>
    <row r="1601" spans="109:120" ht="15">
      <c r="DE1601" s="152"/>
      <c r="DF1601" s="160" t="s">
        <v>4108</v>
      </c>
      <c r="DG1601" s="160" t="s">
        <v>118</v>
      </c>
      <c r="DH1601" s="160" t="s">
        <v>125</v>
      </c>
      <c r="DI1601" s="160" t="s">
        <v>4109</v>
      </c>
      <c r="DJ1601" s="160" t="s">
        <v>4110</v>
      </c>
      <c r="DK1601" s="160" t="s">
        <v>588</v>
      </c>
      <c r="DL1601" s="160" t="s">
        <v>3844</v>
      </c>
      <c r="DM1601" s="160" t="s">
        <v>590</v>
      </c>
      <c r="DN1601" s="161" t="s">
        <v>591</v>
      </c>
      <c r="DP1601" s="130">
        <v>1</v>
      </c>
    </row>
    <row r="1602" spans="109:120" ht="25.5">
      <c r="DE1602" s="152"/>
      <c r="DF1602" s="160" t="s">
        <v>4111</v>
      </c>
      <c r="DG1602" s="160" t="s">
        <v>118</v>
      </c>
      <c r="DH1602" s="160" t="s">
        <v>125</v>
      </c>
      <c r="DI1602" s="160" t="s">
        <v>4112</v>
      </c>
      <c r="DJ1602" s="160" t="s">
        <v>4113</v>
      </c>
      <c r="DK1602" s="160" t="s">
        <v>3830</v>
      </c>
      <c r="DL1602" s="160" t="s">
        <v>3831</v>
      </c>
      <c r="DM1602" s="160" t="s">
        <v>821</v>
      </c>
      <c r="DN1602" s="161" t="s">
        <v>3832</v>
      </c>
      <c r="DP1602" s="130">
        <v>1</v>
      </c>
    </row>
    <row r="1603" spans="109:120" ht="15">
      <c r="DE1603" s="152"/>
      <c r="DF1603" s="160" t="s">
        <v>4114</v>
      </c>
      <c r="DG1603" s="160" t="s">
        <v>118</v>
      </c>
      <c r="DH1603" s="160" t="s">
        <v>125</v>
      </c>
      <c r="DI1603" s="160" t="s">
        <v>4115</v>
      </c>
      <c r="DJ1603" s="160" t="s">
        <v>4115</v>
      </c>
      <c r="DK1603" s="160" t="s">
        <v>588</v>
      </c>
      <c r="DL1603" s="160" t="s">
        <v>3844</v>
      </c>
      <c r="DM1603" s="160" t="s">
        <v>590</v>
      </c>
      <c r="DN1603" s="161" t="s">
        <v>591</v>
      </c>
      <c r="DP1603" s="130">
        <v>1</v>
      </c>
    </row>
    <row r="1604" spans="109:120" ht="25.5">
      <c r="DE1604" s="152"/>
      <c r="DF1604" s="160" t="s">
        <v>4116</v>
      </c>
      <c r="DG1604" s="160" t="s">
        <v>118</v>
      </c>
      <c r="DH1604" s="160" t="s">
        <v>125</v>
      </c>
      <c r="DI1604" s="160" t="s">
        <v>4117</v>
      </c>
      <c r="DJ1604" s="160" t="s">
        <v>4117</v>
      </c>
      <c r="DK1604" s="160" t="s">
        <v>3830</v>
      </c>
      <c r="DL1604" s="160" t="s">
        <v>3831</v>
      </c>
      <c r="DM1604" s="160" t="s">
        <v>821</v>
      </c>
      <c r="DN1604" s="161" t="s">
        <v>3832</v>
      </c>
      <c r="DP1604" s="130">
        <v>1</v>
      </c>
    </row>
    <row r="1605" spans="109:120" ht="25.5">
      <c r="DE1605" s="152"/>
      <c r="DF1605" s="160" t="s">
        <v>4118</v>
      </c>
      <c r="DG1605" s="160" t="s">
        <v>118</v>
      </c>
      <c r="DH1605" s="160" t="s">
        <v>125</v>
      </c>
      <c r="DI1605" s="160" t="s">
        <v>4119</v>
      </c>
      <c r="DJ1605" s="160" t="s">
        <v>4119</v>
      </c>
      <c r="DK1605" s="160" t="s">
        <v>3830</v>
      </c>
      <c r="DL1605" s="160" t="s">
        <v>3831</v>
      </c>
      <c r="DM1605" s="160" t="s">
        <v>821</v>
      </c>
      <c r="DN1605" s="161" t="s">
        <v>3832</v>
      </c>
      <c r="DP1605" s="130">
        <v>1</v>
      </c>
    </row>
    <row r="1606" spans="109:120" ht="25.5">
      <c r="DE1606" s="152"/>
      <c r="DF1606" s="160" t="s">
        <v>4120</v>
      </c>
      <c r="DG1606" s="160" t="s">
        <v>118</v>
      </c>
      <c r="DH1606" s="160" t="s">
        <v>125</v>
      </c>
      <c r="DI1606" s="160" t="s">
        <v>4121</v>
      </c>
      <c r="DJ1606" s="160" t="s">
        <v>4121</v>
      </c>
      <c r="DK1606" s="160" t="s">
        <v>3830</v>
      </c>
      <c r="DL1606" s="160" t="s">
        <v>3831</v>
      </c>
      <c r="DM1606" s="160" t="s">
        <v>821</v>
      </c>
      <c r="DN1606" s="161" t="s">
        <v>3832</v>
      </c>
      <c r="DP1606" s="130">
        <v>1</v>
      </c>
    </row>
    <row r="1607" spans="109:120" ht="15">
      <c r="DE1607" s="152"/>
      <c r="DF1607" s="160" t="s">
        <v>4122</v>
      </c>
      <c r="DG1607" s="160" t="s">
        <v>118</v>
      </c>
      <c r="DH1607" s="160" t="s">
        <v>125</v>
      </c>
      <c r="DI1607" s="160" t="s">
        <v>4123</v>
      </c>
      <c r="DJ1607" s="160" t="s">
        <v>4123</v>
      </c>
      <c r="DK1607" s="160" t="s">
        <v>666</v>
      </c>
      <c r="DL1607" s="160" t="s">
        <v>667</v>
      </c>
      <c r="DM1607" s="160" t="s">
        <v>590</v>
      </c>
      <c r="DN1607" s="161" t="s">
        <v>668</v>
      </c>
      <c r="DP1607" s="130">
        <v>1</v>
      </c>
    </row>
    <row r="1608" spans="109:120" ht="25.5">
      <c r="DE1608" s="152"/>
      <c r="DF1608" s="160" t="s">
        <v>4124</v>
      </c>
      <c r="DG1608" s="160" t="s">
        <v>118</v>
      </c>
      <c r="DH1608" s="160" t="s">
        <v>125</v>
      </c>
      <c r="DI1608" s="160" t="s">
        <v>4125</v>
      </c>
      <c r="DJ1608" s="160" t="s">
        <v>4125</v>
      </c>
      <c r="DK1608" s="160" t="s">
        <v>3830</v>
      </c>
      <c r="DL1608" s="160" t="s">
        <v>3831</v>
      </c>
      <c r="DM1608" s="160" t="s">
        <v>821</v>
      </c>
      <c r="DN1608" s="161" t="s">
        <v>3832</v>
      </c>
      <c r="DP1608" s="130">
        <v>1</v>
      </c>
    </row>
    <row r="1609" spans="109:120" ht="25.5">
      <c r="DE1609" s="152"/>
      <c r="DF1609" s="160" t="s">
        <v>4126</v>
      </c>
      <c r="DG1609" s="160" t="s">
        <v>118</v>
      </c>
      <c r="DH1609" s="160" t="s">
        <v>125</v>
      </c>
      <c r="DI1609" s="160" t="s">
        <v>4127</v>
      </c>
      <c r="DJ1609" s="160" t="s">
        <v>4127</v>
      </c>
      <c r="DK1609" s="160" t="s">
        <v>3830</v>
      </c>
      <c r="DL1609" s="160" t="s">
        <v>3831</v>
      </c>
      <c r="DM1609" s="160" t="s">
        <v>821</v>
      </c>
      <c r="DN1609" s="161" t="s">
        <v>3832</v>
      </c>
      <c r="DP1609" s="130">
        <v>1</v>
      </c>
    </row>
    <row r="1610" spans="109:120" ht="25.5">
      <c r="DE1610" s="152"/>
      <c r="DF1610" s="160" t="s">
        <v>4128</v>
      </c>
      <c r="DG1610" s="160" t="s">
        <v>118</v>
      </c>
      <c r="DH1610" s="160" t="s">
        <v>125</v>
      </c>
      <c r="DI1610" s="160" t="s">
        <v>4129</v>
      </c>
      <c r="DJ1610" s="160" t="s">
        <v>4129</v>
      </c>
      <c r="DK1610" s="160" t="s">
        <v>3830</v>
      </c>
      <c r="DL1610" s="160" t="s">
        <v>3831</v>
      </c>
      <c r="DM1610" s="160" t="s">
        <v>821</v>
      </c>
      <c r="DN1610" s="161" t="s">
        <v>3832</v>
      </c>
      <c r="DP1610" s="130">
        <v>1</v>
      </c>
    </row>
    <row r="1611" spans="109:120" ht="15">
      <c r="DE1611" s="152"/>
      <c r="DF1611" s="160" t="s">
        <v>4130</v>
      </c>
      <c r="DG1611" s="160" t="s">
        <v>118</v>
      </c>
      <c r="DH1611" s="160" t="s">
        <v>125</v>
      </c>
      <c r="DI1611" s="160" t="s">
        <v>4131</v>
      </c>
      <c r="DJ1611" s="160" t="s">
        <v>4132</v>
      </c>
      <c r="DK1611" s="160" t="s">
        <v>588</v>
      </c>
      <c r="DL1611" s="160" t="s">
        <v>3844</v>
      </c>
      <c r="DM1611" s="160" t="s">
        <v>590</v>
      </c>
      <c r="DN1611" s="161" t="s">
        <v>591</v>
      </c>
      <c r="DP1611" s="130">
        <v>1</v>
      </c>
    </row>
    <row r="1612" spans="109:120" ht="15">
      <c r="DE1612" s="152"/>
      <c r="DF1612" s="160" t="s">
        <v>4133</v>
      </c>
      <c r="DG1612" s="160" t="s">
        <v>118</v>
      </c>
      <c r="DH1612" s="160" t="s">
        <v>125</v>
      </c>
      <c r="DI1612" s="160" t="s">
        <v>4134</v>
      </c>
      <c r="DJ1612" s="160" t="s">
        <v>4134</v>
      </c>
      <c r="DK1612" s="160" t="s">
        <v>588</v>
      </c>
      <c r="DL1612" s="160" t="s">
        <v>3844</v>
      </c>
      <c r="DM1612" s="160" t="s">
        <v>590</v>
      </c>
      <c r="DN1612" s="161" t="s">
        <v>591</v>
      </c>
      <c r="DP1612" s="130">
        <v>1</v>
      </c>
    </row>
    <row r="1613" spans="109:120" ht="25.5">
      <c r="DE1613" s="152"/>
      <c r="DF1613" s="160" t="s">
        <v>4135</v>
      </c>
      <c r="DG1613" s="160" t="s">
        <v>118</v>
      </c>
      <c r="DH1613" s="160" t="s">
        <v>125</v>
      </c>
      <c r="DI1613" s="160" t="s">
        <v>4136</v>
      </c>
      <c r="DJ1613" s="160" t="s">
        <v>4136</v>
      </c>
      <c r="DK1613" s="160" t="s">
        <v>3830</v>
      </c>
      <c r="DL1613" s="160" t="s">
        <v>3831</v>
      </c>
      <c r="DM1613" s="160" t="s">
        <v>821</v>
      </c>
      <c r="DN1613" s="161" t="s">
        <v>3832</v>
      </c>
      <c r="DP1613" s="130">
        <v>1</v>
      </c>
    </row>
    <row r="1614" spans="109:120" ht="25.5">
      <c r="DE1614" s="152"/>
      <c r="DF1614" s="160" t="s">
        <v>4137</v>
      </c>
      <c r="DG1614" s="160" t="s">
        <v>118</v>
      </c>
      <c r="DH1614" s="160" t="s">
        <v>125</v>
      </c>
      <c r="DI1614" s="160" t="s">
        <v>4138</v>
      </c>
      <c r="DJ1614" s="160" t="s">
        <v>4138</v>
      </c>
      <c r="DK1614" s="160" t="s">
        <v>3830</v>
      </c>
      <c r="DL1614" s="160" t="s">
        <v>3831</v>
      </c>
      <c r="DM1614" s="160" t="s">
        <v>821</v>
      </c>
      <c r="DN1614" s="161" t="s">
        <v>3832</v>
      </c>
      <c r="DP1614" s="130">
        <v>1</v>
      </c>
    </row>
    <row r="1615" spans="109:120" ht="15">
      <c r="DE1615" s="152"/>
      <c r="DF1615" s="160" t="s">
        <v>4139</v>
      </c>
      <c r="DG1615" s="160" t="s">
        <v>118</v>
      </c>
      <c r="DH1615" s="160" t="s">
        <v>125</v>
      </c>
      <c r="DI1615" s="160" t="s">
        <v>215</v>
      </c>
      <c r="DJ1615" s="160" t="s">
        <v>215</v>
      </c>
      <c r="DK1615" s="160" t="s">
        <v>588</v>
      </c>
      <c r="DL1615" s="160" t="s">
        <v>3844</v>
      </c>
      <c r="DM1615" s="160" t="s">
        <v>590</v>
      </c>
      <c r="DN1615" s="161" t="s">
        <v>591</v>
      </c>
      <c r="DP1615" s="130">
        <v>1</v>
      </c>
    </row>
    <row r="1616" spans="109:120" ht="15">
      <c r="DE1616" s="152"/>
      <c r="DF1616" s="160" t="s">
        <v>4140</v>
      </c>
      <c r="DG1616" s="160" t="s">
        <v>118</v>
      </c>
      <c r="DH1616" s="160" t="s">
        <v>125</v>
      </c>
      <c r="DI1616" s="160" t="s">
        <v>490</v>
      </c>
      <c r="DJ1616" s="160" t="s">
        <v>490</v>
      </c>
      <c r="DK1616" s="160" t="s">
        <v>588</v>
      </c>
      <c r="DL1616" s="160" t="s">
        <v>3844</v>
      </c>
      <c r="DM1616" s="160" t="s">
        <v>590</v>
      </c>
      <c r="DN1616" s="161" t="s">
        <v>591</v>
      </c>
      <c r="DP1616" s="130">
        <v>1</v>
      </c>
    </row>
    <row r="1617" spans="109:120" ht="15">
      <c r="DE1617" s="152"/>
      <c r="DF1617" s="160" t="s">
        <v>4141</v>
      </c>
      <c r="DG1617" s="160" t="s">
        <v>118</v>
      </c>
      <c r="DH1617" s="160" t="s">
        <v>125</v>
      </c>
      <c r="DI1617" s="160" t="s">
        <v>216</v>
      </c>
      <c r="DJ1617" s="160" t="s">
        <v>216</v>
      </c>
      <c r="DK1617" s="160" t="s">
        <v>588</v>
      </c>
      <c r="DL1617" s="160" t="s">
        <v>3844</v>
      </c>
      <c r="DM1617" s="160" t="s">
        <v>590</v>
      </c>
      <c r="DN1617" s="161" t="s">
        <v>591</v>
      </c>
      <c r="DP1617" s="130">
        <v>1</v>
      </c>
    </row>
    <row r="1618" spans="109:120" ht="25.5">
      <c r="DE1618" s="152"/>
      <c r="DF1618" s="160" t="s">
        <v>4142</v>
      </c>
      <c r="DG1618" s="160" t="s">
        <v>118</v>
      </c>
      <c r="DH1618" s="160" t="s">
        <v>125</v>
      </c>
      <c r="DI1618" s="160" t="s">
        <v>4143</v>
      </c>
      <c r="DJ1618" s="160" t="s">
        <v>4144</v>
      </c>
      <c r="DK1618" s="160" t="s">
        <v>3830</v>
      </c>
      <c r="DL1618" s="160" t="s">
        <v>3831</v>
      </c>
      <c r="DM1618" s="160" t="s">
        <v>821</v>
      </c>
      <c r="DN1618" s="161" t="s">
        <v>3832</v>
      </c>
      <c r="DP1618" s="130">
        <v>1</v>
      </c>
    </row>
    <row r="1619" spans="109:120" ht="15">
      <c r="DE1619" s="152"/>
      <c r="DF1619" s="160" t="s">
        <v>4145</v>
      </c>
      <c r="DG1619" s="160" t="s">
        <v>118</v>
      </c>
      <c r="DH1619" s="160" t="s">
        <v>125</v>
      </c>
      <c r="DI1619" s="160" t="s">
        <v>4146</v>
      </c>
      <c r="DJ1619" s="160" t="s">
        <v>217</v>
      </c>
      <c r="DK1619" s="160" t="s">
        <v>588</v>
      </c>
      <c r="DL1619" s="160" t="s">
        <v>3844</v>
      </c>
      <c r="DM1619" s="160" t="s">
        <v>590</v>
      </c>
      <c r="DN1619" s="161" t="s">
        <v>591</v>
      </c>
      <c r="DP1619" s="130">
        <v>1</v>
      </c>
    </row>
    <row r="1620" spans="109:120" ht="25.5">
      <c r="DE1620" s="152"/>
      <c r="DF1620" s="160" t="s">
        <v>4147</v>
      </c>
      <c r="DG1620" s="160" t="s">
        <v>118</v>
      </c>
      <c r="DH1620" s="160" t="s">
        <v>125</v>
      </c>
      <c r="DI1620" s="160" t="s">
        <v>4148</v>
      </c>
      <c r="DJ1620" s="160" t="s">
        <v>4148</v>
      </c>
      <c r="DK1620" s="160" t="s">
        <v>3830</v>
      </c>
      <c r="DL1620" s="160" t="s">
        <v>3831</v>
      </c>
      <c r="DM1620" s="160" t="s">
        <v>821</v>
      </c>
      <c r="DN1620" s="161" t="s">
        <v>3832</v>
      </c>
      <c r="DP1620" s="130">
        <v>1</v>
      </c>
    </row>
    <row r="1621" spans="109:120" ht="15">
      <c r="DE1621" s="152"/>
      <c r="DF1621" s="160" t="s">
        <v>4149</v>
      </c>
      <c r="DG1621" s="160" t="s">
        <v>118</v>
      </c>
      <c r="DH1621" s="160" t="s">
        <v>125</v>
      </c>
      <c r="DI1621" s="160" t="s">
        <v>218</v>
      </c>
      <c r="DJ1621" s="160" t="s">
        <v>218</v>
      </c>
      <c r="DK1621" s="160" t="s">
        <v>588</v>
      </c>
      <c r="DL1621" s="160" t="s">
        <v>3844</v>
      </c>
      <c r="DM1621" s="160" t="s">
        <v>590</v>
      </c>
      <c r="DN1621" s="161" t="s">
        <v>591</v>
      </c>
      <c r="DP1621" s="130">
        <v>1</v>
      </c>
    </row>
    <row r="1622" spans="109:120" ht="15">
      <c r="DE1622" s="152"/>
      <c r="DF1622" s="160" t="s">
        <v>4150</v>
      </c>
      <c r="DG1622" s="160" t="s">
        <v>118</v>
      </c>
      <c r="DH1622" s="160" t="s">
        <v>125</v>
      </c>
      <c r="DI1622" s="160" t="s">
        <v>4151</v>
      </c>
      <c r="DJ1622" s="160" t="s">
        <v>491</v>
      </c>
      <c r="DK1622" s="160" t="s">
        <v>588</v>
      </c>
      <c r="DL1622" s="160" t="s">
        <v>3844</v>
      </c>
      <c r="DM1622" s="160" t="s">
        <v>590</v>
      </c>
      <c r="DN1622" s="161" t="s">
        <v>591</v>
      </c>
      <c r="DP1622" s="130">
        <v>1</v>
      </c>
    </row>
    <row r="1623" spans="109:120" ht="25.5">
      <c r="DE1623" s="152"/>
      <c r="DF1623" s="160" t="s">
        <v>4152</v>
      </c>
      <c r="DG1623" s="160" t="s">
        <v>118</v>
      </c>
      <c r="DH1623" s="160" t="s">
        <v>125</v>
      </c>
      <c r="DI1623" s="160" t="s">
        <v>4153</v>
      </c>
      <c r="DJ1623" s="160" t="s">
        <v>492</v>
      </c>
      <c r="DK1623" s="160" t="s">
        <v>3830</v>
      </c>
      <c r="DL1623" s="160" t="s">
        <v>3831</v>
      </c>
      <c r="DM1623" s="160" t="s">
        <v>821</v>
      </c>
      <c r="DN1623" s="161" t="s">
        <v>3832</v>
      </c>
      <c r="DP1623" s="130">
        <v>1</v>
      </c>
    </row>
    <row r="1624" spans="109:120" ht="25.5">
      <c r="DE1624" s="152"/>
      <c r="DF1624" s="160" t="s">
        <v>4154</v>
      </c>
      <c r="DG1624" s="160" t="s">
        <v>118</v>
      </c>
      <c r="DH1624" s="160" t="s">
        <v>125</v>
      </c>
      <c r="DI1624" s="160" t="s">
        <v>4155</v>
      </c>
      <c r="DJ1624" s="160" t="s">
        <v>4155</v>
      </c>
      <c r="DK1624" s="160" t="s">
        <v>3830</v>
      </c>
      <c r="DL1624" s="160" t="s">
        <v>3831</v>
      </c>
      <c r="DM1624" s="160" t="s">
        <v>821</v>
      </c>
      <c r="DN1624" s="161" t="s">
        <v>3832</v>
      </c>
      <c r="DP1624" s="130">
        <v>1</v>
      </c>
    </row>
    <row r="1625" spans="109:120" ht="15">
      <c r="DE1625" s="152"/>
      <c r="DF1625" s="160" t="s">
        <v>4156</v>
      </c>
      <c r="DG1625" s="160" t="s">
        <v>118</v>
      </c>
      <c r="DH1625" s="160" t="s">
        <v>125</v>
      </c>
      <c r="DI1625" s="160" t="s">
        <v>4157</v>
      </c>
      <c r="DJ1625" s="160" t="s">
        <v>4157</v>
      </c>
      <c r="DK1625" s="160" t="s">
        <v>588</v>
      </c>
      <c r="DL1625" s="160" t="s">
        <v>3844</v>
      </c>
      <c r="DM1625" s="160" t="s">
        <v>590</v>
      </c>
      <c r="DN1625" s="161" t="s">
        <v>591</v>
      </c>
      <c r="DP1625" s="130">
        <v>1</v>
      </c>
    </row>
    <row r="1626" spans="109:120" ht="25.5">
      <c r="DE1626" s="152"/>
      <c r="DF1626" s="160" t="s">
        <v>4158</v>
      </c>
      <c r="DG1626" s="160" t="s">
        <v>118</v>
      </c>
      <c r="DH1626" s="160" t="s">
        <v>125</v>
      </c>
      <c r="DI1626" s="160" t="s">
        <v>4159</v>
      </c>
      <c r="DJ1626" s="160" t="s">
        <v>4159</v>
      </c>
      <c r="DK1626" s="160" t="s">
        <v>3830</v>
      </c>
      <c r="DL1626" s="160" t="s">
        <v>3831</v>
      </c>
      <c r="DM1626" s="160" t="s">
        <v>821</v>
      </c>
      <c r="DN1626" s="161" t="s">
        <v>3832</v>
      </c>
      <c r="DP1626" s="130">
        <v>1</v>
      </c>
    </row>
    <row r="1627" spans="109:120" ht="15">
      <c r="DE1627" s="152"/>
      <c r="DF1627" s="160" t="s">
        <v>4160</v>
      </c>
      <c r="DG1627" s="160" t="s">
        <v>118</v>
      </c>
      <c r="DH1627" s="160" t="s">
        <v>125</v>
      </c>
      <c r="DI1627" s="160" t="s">
        <v>4161</v>
      </c>
      <c r="DJ1627" s="160" t="s">
        <v>4162</v>
      </c>
      <c r="DK1627" s="160" t="s">
        <v>588</v>
      </c>
      <c r="DL1627" s="160" t="s">
        <v>3844</v>
      </c>
      <c r="DM1627" s="160" t="s">
        <v>590</v>
      </c>
      <c r="DN1627" s="161" t="s">
        <v>591</v>
      </c>
      <c r="DP1627" s="130">
        <v>1</v>
      </c>
    </row>
    <row r="1628" spans="109:120" ht="15">
      <c r="DE1628" s="152"/>
      <c r="DF1628" s="160" t="s">
        <v>4163</v>
      </c>
      <c r="DG1628" s="160" t="s">
        <v>118</v>
      </c>
      <c r="DH1628" s="160" t="s">
        <v>125</v>
      </c>
      <c r="DI1628" s="160" t="s">
        <v>4164</v>
      </c>
      <c r="DJ1628" s="160" t="s">
        <v>4164</v>
      </c>
      <c r="DK1628" s="160" t="s">
        <v>588</v>
      </c>
      <c r="DL1628" s="160" t="s">
        <v>3844</v>
      </c>
      <c r="DM1628" s="160" t="s">
        <v>590</v>
      </c>
      <c r="DN1628" s="161" t="s">
        <v>591</v>
      </c>
      <c r="DP1628" s="130">
        <v>1</v>
      </c>
    </row>
    <row r="1629" spans="109:120" ht="15">
      <c r="DE1629" s="152"/>
      <c r="DF1629" s="160" t="s">
        <v>4165</v>
      </c>
      <c r="DG1629" s="160" t="s">
        <v>118</v>
      </c>
      <c r="DH1629" s="160" t="s">
        <v>125</v>
      </c>
      <c r="DI1629" s="160" t="s">
        <v>4166</v>
      </c>
      <c r="DJ1629" s="160" t="s">
        <v>219</v>
      </c>
      <c r="DK1629" s="160" t="s">
        <v>588</v>
      </c>
      <c r="DL1629" s="160" t="s">
        <v>3844</v>
      </c>
      <c r="DM1629" s="160" t="s">
        <v>590</v>
      </c>
      <c r="DN1629" s="161" t="s">
        <v>591</v>
      </c>
      <c r="DP1629" s="130">
        <v>1</v>
      </c>
    </row>
    <row r="1630" spans="109:120" ht="15">
      <c r="DE1630" s="152"/>
      <c r="DF1630" s="160" t="s">
        <v>4167</v>
      </c>
      <c r="DG1630" s="160" t="s">
        <v>118</v>
      </c>
      <c r="DH1630" s="160" t="s">
        <v>125</v>
      </c>
      <c r="DI1630" s="160" t="s">
        <v>4168</v>
      </c>
      <c r="DJ1630" s="160" t="s">
        <v>220</v>
      </c>
      <c r="DK1630" s="160" t="s">
        <v>588</v>
      </c>
      <c r="DL1630" s="160" t="s">
        <v>3844</v>
      </c>
      <c r="DM1630" s="160" t="s">
        <v>590</v>
      </c>
      <c r="DN1630" s="161" t="s">
        <v>591</v>
      </c>
      <c r="DP1630" s="130">
        <v>1</v>
      </c>
    </row>
    <row r="1631" spans="109:120" ht="15">
      <c r="DE1631" s="152"/>
      <c r="DF1631" s="160" t="s">
        <v>4169</v>
      </c>
      <c r="DG1631" s="160" t="s">
        <v>118</v>
      </c>
      <c r="DH1631" s="160" t="s">
        <v>125</v>
      </c>
      <c r="DI1631" s="160" t="s">
        <v>221</v>
      </c>
      <c r="DJ1631" s="160" t="s">
        <v>221</v>
      </c>
      <c r="DK1631" s="160" t="s">
        <v>588</v>
      </c>
      <c r="DL1631" s="160" t="s">
        <v>3844</v>
      </c>
      <c r="DM1631" s="160" t="s">
        <v>590</v>
      </c>
      <c r="DN1631" s="161" t="s">
        <v>591</v>
      </c>
      <c r="DP1631" s="130">
        <v>1</v>
      </c>
    </row>
    <row r="1632" spans="109:120" ht="15">
      <c r="DE1632" s="152"/>
      <c r="DF1632" s="160" t="s">
        <v>4170</v>
      </c>
      <c r="DG1632" s="160" t="s">
        <v>118</v>
      </c>
      <c r="DH1632" s="160" t="s">
        <v>125</v>
      </c>
      <c r="DI1632" s="160" t="s">
        <v>222</v>
      </c>
      <c r="DJ1632" s="160" t="s">
        <v>222</v>
      </c>
      <c r="DK1632" s="160" t="s">
        <v>588</v>
      </c>
      <c r="DL1632" s="160" t="s">
        <v>3844</v>
      </c>
      <c r="DM1632" s="160" t="s">
        <v>590</v>
      </c>
      <c r="DN1632" s="161" t="s">
        <v>591</v>
      </c>
      <c r="DP1632" s="130">
        <v>1</v>
      </c>
    </row>
    <row r="1633" spans="109:120" ht="15">
      <c r="DE1633" s="152"/>
      <c r="DF1633" s="160" t="s">
        <v>4171</v>
      </c>
      <c r="DG1633" s="160" t="s">
        <v>118</v>
      </c>
      <c r="DH1633" s="160" t="s">
        <v>125</v>
      </c>
      <c r="DI1633" s="160" t="s">
        <v>4172</v>
      </c>
      <c r="DJ1633" s="160" t="s">
        <v>4173</v>
      </c>
      <c r="DK1633" s="160" t="s">
        <v>588</v>
      </c>
      <c r="DL1633" s="160" t="s">
        <v>3844</v>
      </c>
      <c r="DM1633" s="160" t="s">
        <v>590</v>
      </c>
      <c r="DN1633" s="161" t="s">
        <v>591</v>
      </c>
      <c r="DP1633" s="130">
        <v>1</v>
      </c>
    </row>
    <row r="1634" spans="109:120" ht="25.5">
      <c r="DE1634" s="152"/>
      <c r="DF1634" s="160" t="s">
        <v>4174</v>
      </c>
      <c r="DG1634" s="160" t="s">
        <v>118</v>
      </c>
      <c r="DH1634" s="160" t="s">
        <v>125</v>
      </c>
      <c r="DI1634" s="160" t="s">
        <v>4175</v>
      </c>
      <c r="DJ1634" s="160" t="s">
        <v>223</v>
      </c>
      <c r="DK1634" s="160" t="s">
        <v>3830</v>
      </c>
      <c r="DL1634" s="160" t="s">
        <v>3831</v>
      </c>
      <c r="DM1634" s="160" t="s">
        <v>821</v>
      </c>
      <c r="DN1634" s="161" t="s">
        <v>3832</v>
      </c>
      <c r="DP1634" s="130">
        <v>1</v>
      </c>
    </row>
    <row r="1635" spans="109:120" ht="25.5">
      <c r="DE1635" s="152"/>
      <c r="DF1635" s="160" t="s">
        <v>4176</v>
      </c>
      <c r="DG1635" s="160" t="s">
        <v>118</v>
      </c>
      <c r="DH1635" s="160" t="s">
        <v>125</v>
      </c>
      <c r="DI1635" s="160" t="s">
        <v>4177</v>
      </c>
      <c r="DJ1635" s="160" t="s">
        <v>4178</v>
      </c>
      <c r="DK1635" s="160" t="s">
        <v>3830</v>
      </c>
      <c r="DL1635" s="160" t="s">
        <v>3831</v>
      </c>
      <c r="DM1635" s="160" t="s">
        <v>821</v>
      </c>
      <c r="DN1635" s="161" t="s">
        <v>3832</v>
      </c>
      <c r="DP1635" s="130">
        <v>1</v>
      </c>
    </row>
    <row r="1636" spans="109:120" ht="25.5">
      <c r="DE1636" s="152"/>
      <c r="DF1636" s="160" t="s">
        <v>4179</v>
      </c>
      <c r="DG1636" s="160" t="s">
        <v>118</v>
      </c>
      <c r="DH1636" s="160" t="s">
        <v>125</v>
      </c>
      <c r="DI1636" s="160" t="s">
        <v>4180</v>
      </c>
      <c r="DJ1636" s="160" t="s">
        <v>4181</v>
      </c>
      <c r="DK1636" s="160" t="s">
        <v>3830</v>
      </c>
      <c r="DL1636" s="160" t="s">
        <v>3831</v>
      </c>
      <c r="DM1636" s="160" t="s">
        <v>821</v>
      </c>
      <c r="DN1636" s="161" t="s">
        <v>3832</v>
      </c>
      <c r="DP1636" s="130">
        <v>1</v>
      </c>
    </row>
    <row r="1637" spans="109:120" ht="25.5">
      <c r="DE1637" s="152"/>
      <c r="DF1637" s="160" t="s">
        <v>4182</v>
      </c>
      <c r="DG1637" s="160" t="s">
        <v>118</v>
      </c>
      <c r="DH1637" s="160" t="s">
        <v>125</v>
      </c>
      <c r="DI1637" s="160" t="s">
        <v>4183</v>
      </c>
      <c r="DJ1637" s="160" t="s">
        <v>4184</v>
      </c>
      <c r="DK1637" s="160" t="s">
        <v>3830</v>
      </c>
      <c r="DL1637" s="160" t="s">
        <v>3831</v>
      </c>
      <c r="DM1637" s="160" t="s">
        <v>821</v>
      </c>
      <c r="DN1637" s="161" t="s">
        <v>3832</v>
      </c>
      <c r="DP1637" s="130">
        <v>1</v>
      </c>
    </row>
    <row r="1638" spans="109:120" ht="25.5">
      <c r="DE1638" s="152"/>
      <c r="DF1638" s="160" t="s">
        <v>4185</v>
      </c>
      <c r="DG1638" s="160" t="s">
        <v>118</v>
      </c>
      <c r="DH1638" s="160" t="s">
        <v>125</v>
      </c>
      <c r="DI1638" s="160" t="s">
        <v>493</v>
      </c>
      <c r="DJ1638" s="160" t="s">
        <v>493</v>
      </c>
      <c r="DK1638" s="160" t="s">
        <v>3830</v>
      </c>
      <c r="DL1638" s="160" t="s">
        <v>3831</v>
      </c>
      <c r="DM1638" s="160" t="s">
        <v>821</v>
      </c>
      <c r="DN1638" s="161" t="s">
        <v>3832</v>
      </c>
      <c r="DP1638" s="130">
        <v>1</v>
      </c>
    </row>
    <row r="1639" spans="109:120" ht="25.5">
      <c r="DE1639" s="152"/>
      <c r="DF1639" s="160" t="s">
        <v>4186</v>
      </c>
      <c r="DG1639" s="160" t="s">
        <v>118</v>
      </c>
      <c r="DH1639" s="160" t="s">
        <v>125</v>
      </c>
      <c r="DI1639" s="160" t="s">
        <v>4187</v>
      </c>
      <c r="DJ1639" s="160" t="s">
        <v>4188</v>
      </c>
      <c r="DK1639" s="160" t="s">
        <v>3830</v>
      </c>
      <c r="DL1639" s="160" t="s">
        <v>3831</v>
      </c>
      <c r="DM1639" s="160" t="s">
        <v>821</v>
      </c>
      <c r="DN1639" s="161" t="s">
        <v>3832</v>
      </c>
      <c r="DP1639" s="130">
        <v>1</v>
      </c>
    </row>
    <row r="1640" spans="109:120" ht="25.5">
      <c r="DE1640" s="152"/>
      <c r="DF1640" s="160" t="s">
        <v>4189</v>
      </c>
      <c r="DG1640" s="160" t="s">
        <v>118</v>
      </c>
      <c r="DH1640" s="160" t="s">
        <v>125</v>
      </c>
      <c r="DI1640" s="160" t="s">
        <v>4190</v>
      </c>
      <c r="DJ1640" s="160" t="s">
        <v>4190</v>
      </c>
      <c r="DK1640" s="160" t="s">
        <v>3830</v>
      </c>
      <c r="DL1640" s="160" t="s">
        <v>3831</v>
      </c>
      <c r="DM1640" s="160" t="s">
        <v>821</v>
      </c>
      <c r="DN1640" s="161" t="s">
        <v>3832</v>
      </c>
      <c r="DP1640" s="130">
        <v>1</v>
      </c>
    </row>
    <row r="1641" spans="109:120" ht="25.5">
      <c r="DE1641" s="152"/>
      <c r="DF1641" s="160" t="s">
        <v>4191</v>
      </c>
      <c r="DG1641" s="160" t="s">
        <v>118</v>
      </c>
      <c r="DH1641" s="160" t="s">
        <v>125</v>
      </c>
      <c r="DI1641" s="160" t="s">
        <v>4192</v>
      </c>
      <c r="DJ1641" s="160" t="s">
        <v>4192</v>
      </c>
      <c r="DK1641" s="160" t="s">
        <v>3830</v>
      </c>
      <c r="DL1641" s="160" t="s">
        <v>3831</v>
      </c>
      <c r="DM1641" s="160" t="s">
        <v>821</v>
      </c>
      <c r="DN1641" s="161" t="s">
        <v>3832</v>
      </c>
      <c r="DP1641" s="130">
        <v>1</v>
      </c>
    </row>
    <row r="1642" spans="109:120" ht="25.5">
      <c r="DE1642" s="152"/>
      <c r="DF1642" s="160" t="s">
        <v>4193</v>
      </c>
      <c r="DG1642" s="160" t="s">
        <v>118</v>
      </c>
      <c r="DH1642" s="160" t="s">
        <v>125</v>
      </c>
      <c r="DI1642" s="160" t="s">
        <v>4194</v>
      </c>
      <c r="DJ1642" s="160" t="s">
        <v>4194</v>
      </c>
      <c r="DK1642" s="160" t="s">
        <v>3830</v>
      </c>
      <c r="DL1642" s="160" t="s">
        <v>3831</v>
      </c>
      <c r="DM1642" s="160" t="s">
        <v>821</v>
      </c>
      <c r="DN1642" s="161" t="s">
        <v>3832</v>
      </c>
      <c r="DP1642" s="130">
        <v>1</v>
      </c>
    </row>
    <row r="1643" spans="109:120" ht="25.5">
      <c r="DE1643" s="152"/>
      <c r="DF1643" s="160" t="s">
        <v>4195</v>
      </c>
      <c r="DG1643" s="160" t="s">
        <v>118</v>
      </c>
      <c r="DH1643" s="160" t="s">
        <v>125</v>
      </c>
      <c r="DI1643" s="160" t="s">
        <v>4196</v>
      </c>
      <c r="DJ1643" s="160" t="s">
        <v>4196</v>
      </c>
      <c r="DK1643" s="160" t="s">
        <v>3830</v>
      </c>
      <c r="DL1643" s="160" t="s">
        <v>3831</v>
      </c>
      <c r="DM1643" s="160" t="s">
        <v>821</v>
      </c>
      <c r="DN1643" s="161" t="s">
        <v>3832</v>
      </c>
      <c r="DP1643" s="130">
        <v>1</v>
      </c>
    </row>
    <row r="1644" spans="109:120" ht="15">
      <c r="DE1644" s="152"/>
      <c r="DF1644" s="160" t="s">
        <v>4197</v>
      </c>
      <c r="DG1644" s="160" t="s">
        <v>118</v>
      </c>
      <c r="DH1644" s="160" t="s">
        <v>125</v>
      </c>
      <c r="DI1644" s="160" t="s">
        <v>4198</v>
      </c>
      <c r="DJ1644" s="160" t="s">
        <v>4198</v>
      </c>
      <c r="DK1644" s="160" t="s">
        <v>588</v>
      </c>
      <c r="DL1644" s="160" t="s">
        <v>3844</v>
      </c>
      <c r="DM1644" s="160" t="s">
        <v>590</v>
      </c>
      <c r="DN1644" s="161" t="s">
        <v>591</v>
      </c>
      <c r="DP1644" s="130">
        <v>1</v>
      </c>
    </row>
    <row r="1645" spans="109:120" ht="25.5">
      <c r="DE1645" s="152"/>
      <c r="DF1645" s="160" t="s">
        <v>4199</v>
      </c>
      <c r="DG1645" s="160" t="s">
        <v>118</v>
      </c>
      <c r="DH1645" s="160" t="s">
        <v>125</v>
      </c>
      <c r="DI1645" s="160" t="s">
        <v>4200</v>
      </c>
      <c r="DJ1645" s="160" t="s">
        <v>4200</v>
      </c>
      <c r="DK1645" s="160" t="s">
        <v>3830</v>
      </c>
      <c r="DL1645" s="160" t="s">
        <v>3831</v>
      </c>
      <c r="DM1645" s="160" t="s">
        <v>821</v>
      </c>
      <c r="DN1645" s="161" t="s">
        <v>3832</v>
      </c>
      <c r="DP1645" s="130">
        <v>1</v>
      </c>
    </row>
    <row r="1646" spans="109:120" ht="25.5">
      <c r="DE1646" s="152"/>
      <c r="DF1646" s="160" t="s">
        <v>4201</v>
      </c>
      <c r="DG1646" s="160" t="s">
        <v>118</v>
      </c>
      <c r="DH1646" s="160" t="s">
        <v>125</v>
      </c>
      <c r="DI1646" s="160" t="s">
        <v>4202</v>
      </c>
      <c r="DJ1646" s="160" t="s">
        <v>4203</v>
      </c>
      <c r="DK1646" s="160" t="s">
        <v>3830</v>
      </c>
      <c r="DL1646" s="160" t="s">
        <v>3831</v>
      </c>
      <c r="DM1646" s="160" t="s">
        <v>821</v>
      </c>
      <c r="DN1646" s="161" t="s">
        <v>3832</v>
      </c>
      <c r="DP1646" s="130">
        <v>1</v>
      </c>
    </row>
    <row r="1647" spans="109:120" ht="25.5">
      <c r="DE1647" s="152"/>
      <c r="DF1647" s="160" t="s">
        <v>4204</v>
      </c>
      <c r="DG1647" s="160" t="s">
        <v>118</v>
      </c>
      <c r="DH1647" s="160" t="s">
        <v>125</v>
      </c>
      <c r="DI1647" s="160" t="s">
        <v>4205</v>
      </c>
      <c r="DJ1647" s="160" t="s">
        <v>4205</v>
      </c>
      <c r="DK1647" s="160" t="s">
        <v>3830</v>
      </c>
      <c r="DL1647" s="160" t="s">
        <v>3831</v>
      </c>
      <c r="DM1647" s="160" t="s">
        <v>821</v>
      </c>
      <c r="DN1647" s="161" t="s">
        <v>3832</v>
      </c>
      <c r="DP1647" s="130">
        <v>1</v>
      </c>
    </row>
    <row r="1648" spans="109:120" ht="25.5">
      <c r="DE1648" s="152"/>
      <c r="DF1648" s="160" t="s">
        <v>4206</v>
      </c>
      <c r="DG1648" s="160" t="s">
        <v>118</v>
      </c>
      <c r="DH1648" s="160" t="s">
        <v>125</v>
      </c>
      <c r="DI1648" s="160" t="s">
        <v>4207</v>
      </c>
      <c r="DJ1648" s="160" t="s">
        <v>4207</v>
      </c>
      <c r="DK1648" s="160" t="s">
        <v>3830</v>
      </c>
      <c r="DL1648" s="160" t="s">
        <v>3831</v>
      </c>
      <c r="DM1648" s="160" t="s">
        <v>821</v>
      </c>
      <c r="DN1648" s="161" t="s">
        <v>3832</v>
      </c>
      <c r="DP1648" s="130">
        <v>1</v>
      </c>
    </row>
    <row r="1649" spans="109:120" ht="15">
      <c r="DE1649" s="152"/>
      <c r="DF1649" s="160" t="s">
        <v>4208</v>
      </c>
      <c r="DG1649" s="160" t="s">
        <v>118</v>
      </c>
      <c r="DH1649" s="160" t="s">
        <v>125</v>
      </c>
      <c r="DI1649" s="160" t="s">
        <v>4209</v>
      </c>
      <c r="DJ1649" s="160" t="s">
        <v>4209</v>
      </c>
      <c r="DK1649" s="160" t="s">
        <v>588</v>
      </c>
      <c r="DL1649" s="160" t="s">
        <v>3844</v>
      </c>
      <c r="DM1649" s="160" t="s">
        <v>590</v>
      </c>
      <c r="DN1649" s="161" t="s">
        <v>591</v>
      </c>
      <c r="DP1649" s="130">
        <v>1</v>
      </c>
    </row>
    <row r="1650" spans="109:120" ht="15">
      <c r="DE1650" s="152"/>
      <c r="DF1650" s="160" t="s">
        <v>4210</v>
      </c>
      <c r="DG1650" s="160" t="s">
        <v>118</v>
      </c>
      <c r="DH1650" s="160" t="s">
        <v>125</v>
      </c>
      <c r="DI1650" s="160" t="s">
        <v>494</v>
      </c>
      <c r="DJ1650" s="160" t="s">
        <v>494</v>
      </c>
      <c r="DK1650" s="160" t="s">
        <v>588</v>
      </c>
      <c r="DL1650" s="160" t="s">
        <v>3844</v>
      </c>
      <c r="DM1650" s="160" t="s">
        <v>590</v>
      </c>
      <c r="DN1650" s="161" t="s">
        <v>591</v>
      </c>
      <c r="DP1650" s="130">
        <v>1</v>
      </c>
    </row>
    <row r="1651" spans="109:120" ht="25.5">
      <c r="DE1651" s="152"/>
      <c r="DF1651" s="160" t="s">
        <v>4211</v>
      </c>
      <c r="DG1651" s="160" t="s">
        <v>118</v>
      </c>
      <c r="DH1651" s="160" t="s">
        <v>125</v>
      </c>
      <c r="DI1651" s="160" t="s">
        <v>4212</v>
      </c>
      <c r="DJ1651" s="160" t="s">
        <v>4213</v>
      </c>
      <c r="DK1651" s="160" t="s">
        <v>3830</v>
      </c>
      <c r="DL1651" s="160" t="s">
        <v>3831</v>
      </c>
      <c r="DM1651" s="160" t="s">
        <v>821</v>
      </c>
      <c r="DN1651" s="161" t="s">
        <v>3832</v>
      </c>
      <c r="DP1651" s="130">
        <v>1</v>
      </c>
    </row>
    <row r="1652" spans="109:120" ht="15">
      <c r="DE1652" s="152"/>
      <c r="DF1652" s="160" t="s">
        <v>4214</v>
      </c>
      <c r="DG1652" s="160" t="s">
        <v>118</v>
      </c>
      <c r="DH1652" s="160" t="s">
        <v>125</v>
      </c>
      <c r="DI1652" s="160" t="s">
        <v>4215</v>
      </c>
      <c r="DJ1652" s="160" t="s">
        <v>4215</v>
      </c>
      <c r="DK1652" s="160" t="s">
        <v>666</v>
      </c>
      <c r="DL1652" s="160" t="s">
        <v>667</v>
      </c>
      <c r="DM1652" s="160" t="s">
        <v>590</v>
      </c>
      <c r="DN1652" s="161" t="s">
        <v>668</v>
      </c>
      <c r="DP1652" s="130">
        <v>1</v>
      </c>
    </row>
    <row r="1653" spans="109:120" ht="15">
      <c r="DE1653" s="152"/>
      <c r="DF1653" s="160" t="s">
        <v>4216</v>
      </c>
      <c r="DG1653" s="160" t="s">
        <v>118</v>
      </c>
      <c r="DH1653" s="160" t="s">
        <v>125</v>
      </c>
      <c r="DI1653" s="160" t="s">
        <v>4217</v>
      </c>
      <c r="DJ1653" s="160" t="s">
        <v>4217</v>
      </c>
      <c r="DK1653" s="160" t="s">
        <v>588</v>
      </c>
      <c r="DL1653" s="160" t="s">
        <v>3844</v>
      </c>
      <c r="DM1653" s="160" t="s">
        <v>590</v>
      </c>
      <c r="DN1653" s="161" t="s">
        <v>591</v>
      </c>
      <c r="DP1653" s="130">
        <v>1</v>
      </c>
    </row>
    <row r="1654" spans="109:120" ht="15">
      <c r="DE1654" s="152"/>
      <c r="DF1654" s="160" t="s">
        <v>4218</v>
      </c>
      <c r="DG1654" s="160" t="s">
        <v>118</v>
      </c>
      <c r="DH1654" s="160" t="s">
        <v>125</v>
      </c>
      <c r="DI1654" s="160" t="s">
        <v>4219</v>
      </c>
      <c r="DJ1654" s="160" t="s">
        <v>4219</v>
      </c>
      <c r="DK1654" s="160" t="s">
        <v>588</v>
      </c>
      <c r="DL1654" s="160" t="s">
        <v>3844</v>
      </c>
      <c r="DM1654" s="160" t="s">
        <v>590</v>
      </c>
      <c r="DN1654" s="161" t="s">
        <v>591</v>
      </c>
      <c r="DP1654" s="130">
        <v>1</v>
      </c>
    </row>
    <row r="1655" spans="109:120" ht="25.5">
      <c r="DE1655" s="152"/>
      <c r="DF1655" s="160" t="s">
        <v>4220</v>
      </c>
      <c r="DG1655" s="160" t="s">
        <v>118</v>
      </c>
      <c r="DH1655" s="160" t="s">
        <v>125</v>
      </c>
      <c r="DI1655" s="160" t="s">
        <v>4221</v>
      </c>
      <c r="DJ1655" s="160" t="s">
        <v>4222</v>
      </c>
      <c r="DK1655" s="160" t="s">
        <v>3830</v>
      </c>
      <c r="DL1655" s="160" t="s">
        <v>3831</v>
      </c>
      <c r="DM1655" s="160" t="s">
        <v>821</v>
      </c>
      <c r="DN1655" s="161" t="s">
        <v>3832</v>
      </c>
      <c r="DP1655" s="130">
        <v>1</v>
      </c>
    </row>
    <row r="1656" spans="109:120" ht="25.5">
      <c r="DE1656" s="152"/>
      <c r="DF1656" s="160" t="s">
        <v>4223</v>
      </c>
      <c r="DG1656" s="160" t="s">
        <v>118</v>
      </c>
      <c r="DH1656" s="160" t="s">
        <v>125</v>
      </c>
      <c r="DI1656" s="160" t="s">
        <v>4224</v>
      </c>
      <c r="DJ1656" s="160" t="s">
        <v>4224</v>
      </c>
      <c r="DK1656" s="160" t="s">
        <v>3830</v>
      </c>
      <c r="DL1656" s="160" t="s">
        <v>3831</v>
      </c>
      <c r="DM1656" s="160" t="s">
        <v>821</v>
      </c>
      <c r="DN1656" s="161" t="s">
        <v>3832</v>
      </c>
      <c r="DP1656" s="130">
        <v>1</v>
      </c>
    </row>
    <row r="1657" spans="109:120" ht="25.5">
      <c r="DE1657" s="152"/>
      <c r="DF1657" s="160" t="s">
        <v>4225</v>
      </c>
      <c r="DG1657" s="160" t="s">
        <v>118</v>
      </c>
      <c r="DH1657" s="160" t="s">
        <v>125</v>
      </c>
      <c r="DI1657" s="160" t="s">
        <v>4226</v>
      </c>
      <c r="DJ1657" s="160" t="s">
        <v>4226</v>
      </c>
      <c r="DK1657" s="160" t="s">
        <v>3830</v>
      </c>
      <c r="DL1657" s="160" t="s">
        <v>3831</v>
      </c>
      <c r="DM1657" s="160" t="s">
        <v>821</v>
      </c>
      <c r="DN1657" s="161" t="s">
        <v>3832</v>
      </c>
      <c r="DP1657" s="130">
        <v>1</v>
      </c>
    </row>
    <row r="1658" spans="109:120" ht="15">
      <c r="DE1658" s="152"/>
      <c r="DF1658" s="160" t="s">
        <v>4227</v>
      </c>
      <c r="DG1658" s="160" t="s">
        <v>118</v>
      </c>
      <c r="DH1658" s="160" t="s">
        <v>125</v>
      </c>
      <c r="DI1658" s="160" t="s">
        <v>495</v>
      </c>
      <c r="DJ1658" s="160" t="s">
        <v>495</v>
      </c>
      <c r="DK1658" s="160" t="s">
        <v>588</v>
      </c>
      <c r="DL1658" s="160" t="s">
        <v>3844</v>
      </c>
      <c r="DM1658" s="160" t="s">
        <v>590</v>
      </c>
      <c r="DN1658" s="161" t="s">
        <v>591</v>
      </c>
      <c r="DP1658" s="130">
        <v>1</v>
      </c>
    </row>
    <row r="1659" spans="109:120" ht="25.5">
      <c r="DE1659" s="152"/>
      <c r="DF1659" s="160" t="s">
        <v>4228</v>
      </c>
      <c r="DG1659" s="160" t="s">
        <v>118</v>
      </c>
      <c r="DH1659" s="160" t="s">
        <v>125</v>
      </c>
      <c r="DI1659" s="160" t="s">
        <v>4229</v>
      </c>
      <c r="DJ1659" s="160" t="s">
        <v>4229</v>
      </c>
      <c r="DK1659" s="160" t="s">
        <v>3830</v>
      </c>
      <c r="DL1659" s="160" t="s">
        <v>3831</v>
      </c>
      <c r="DM1659" s="160" t="s">
        <v>821</v>
      </c>
      <c r="DN1659" s="161" t="s">
        <v>3832</v>
      </c>
      <c r="DP1659" s="130">
        <v>1</v>
      </c>
    </row>
    <row r="1660" spans="109:120" ht="15">
      <c r="DE1660" s="152"/>
      <c r="DF1660" s="160" t="s">
        <v>4230</v>
      </c>
      <c r="DG1660" s="160" t="s">
        <v>118</v>
      </c>
      <c r="DH1660" s="160" t="s">
        <v>125</v>
      </c>
      <c r="DI1660" s="160" t="s">
        <v>4231</v>
      </c>
      <c r="DJ1660" s="160" t="s">
        <v>4231</v>
      </c>
      <c r="DK1660" s="160" t="s">
        <v>588</v>
      </c>
      <c r="DL1660" s="160" t="s">
        <v>3844</v>
      </c>
      <c r="DM1660" s="160" t="s">
        <v>590</v>
      </c>
      <c r="DN1660" s="161" t="s">
        <v>591</v>
      </c>
      <c r="DP1660" s="130">
        <v>1</v>
      </c>
    </row>
    <row r="1661" spans="109:120" ht="25.5">
      <c r="DE1661" s="152"/>
      <c r="DF1661" s="160" t="s">
        <v>4232</v>
      </c>
      <c r="DG1661" s="160" t="s">
        <v>118</v>
      </c>
      <c r="DH1661" s="160" t="s">
        <v>125</v>
      </c>
      <c r="DI1661" s="160" t="s">
        <v>4233</v>
      </c>
      <c r="DJ1661" s="160" t="s">
        <v>4233</v>
      </c>
      <c r="DK1661" s="160" t="s">
        <v>3830</v>
      </c>
      <c r="DL1661" s="160" t="s">
        <v>3831</v>
      </c>
      <c r="DM1661" s="160" t="s">
        <v>821</v>
      </c>
      <c r="DN1661" s="161" t="s">
        <v>3832</v>
      </c>
      <c r="DP1661" s="130">
        <v>1</v>
      </c>
    </row>
    <row r="1662" spans="109:120" ht="25.5">
      <c r="DE1662" s="152"/>
      <c r="DF1662" s="160" t="s">
        <v>4234</v>
      </c>
      <c r="DG1662" s="160" t="s">
        <v>118</v>
      </c>
      <c r="DH1662" s="160" t="s">
        <v>125</v>
      </c>
      <c r="DI1662" s="160" t="s">
        <v>4235</v>
      </c>
      <c r="DJ1662" s="160" t="s">
        <v>4236</v>
      </c>
      <c r="DK1662" s="160" t="s">
        <v>3830</v>
      </c>
      <c r="DL1662" s="160" t="s">
        <v>3831</v>
      </c>
      <c r="DM1662" s="160" t="s">
        <v>821</v>
      </c>
      <c r="DN1662" s="161" t="s">
        <v>3832</v>
      </c>
      <c r="DP1662" s="130">
        <v>1</v>
      </c>
    </row>
    <row r="1663" spans="109:120" ht="25.5">
      <c r="DE1663" s="152"/>
      <c r="DF1663" s="160" t="s">
        <v>4237</v>
      </c>
      <c r="DG1663" s="160" t="s">
        <v>118</v>
      </c>
      <c r="DH1663" s="160" t="s">
        <v>125</v>
      </c>
      <c r="DI1663" s="160" t="s">
        <v>4238</v>
      </c>
      <c r="DJ1663" s="160" t="s">
        <v>4239</v>
      </c>
      <c r="DK1663" s="160" t="s">
        <v>3830</v>
      </c>
      <c r="DL1663" s="160" t="s">
        <v>3831</v>
      </c>
      <c r="DM1663" s="160" t="s">
        <v>821</v>
      </c>
      <c r="DN1663" s="161" t="s">
        <v>3832</v>
      </c>
      <c r="DP1663" s="130">
        <v>1</v>
      </c>
    </row>
    <row r="1664" spans="109:120" ht="25.5">
      <c r="DE1664" s="152"/>
      <c r="DF1664" s="160" t="s">
        <v>4240</v>
      </c>
      <c r="DG1664" s="160" t="s">
        <v>118</v>
      </c>
      <c r="DH1664" s="160" t="s">
        <v>125</v>
      </c>
      <c r="DI1664" s="160" t="s">
        <v>4241</v>
      </c>
      <c r="DJ1664" s="160" t="s">
        <v>4241</v>
      </c>
      <c r="DK1664" s="160" t="s">
        <v>3830</v>
      </c>
      <c r="DL1664" s="160" t="s">
        <v>3831</v>
      </c>
      <c r="DM1664" s="160" t="s">
        <v>821</v>
      </c>
      <c r="DN1664" s="161" t="s">
        <v>3832</v>
      </c>
      <c r="DP1664" s="130">
        <v>1</v>
      </c>
    </row>
    <row r="1665" spans="109:120" ht="15">
      <c r="DE1665" s="152"/>
      <c r="DF1665" s="160" t="s">
        <v>4242</v>
      </c>
      <c r="DG1665" s="160" t="s">
        <v>118</v>
      </c>
      <c r="DH1665" s="160" t="s">
        <v>125</v>
      </c>
      <c r="DI1665" s="160" t="s">
        <v>496</v>
      </c>
      <c r="DJ1665" s="160" t="s">
        <v>496</v>
      </c>
      <c r="DK1665" s="160" t="s">
        <v>588</v>
      </c>
      <c r="DL1665" s="160" t="s">
        <v>3844</v>
      </c>
      <c r="DM1665" s="160" t="s">
        <v>590</v>
      </c>
      <c r="DN1665" s="161" t="s">
        <v>591</v>
      </c>
      <c r="DP1665" s="130">
        <v>1</v>
      </c>
    </row>
    <row r="1666" spans="109:120" ht="25.5">
      <c r="DE1666" s="152"/>
      <c r="DF1666" s="160" t="s">
        <v>4243</v>
      </c>
      <c r="DG1666" s="160" t="s">
        <v>118</v>
      </c>
      <c r="DH1666" s="160" t="s">
        <v>125</v>
      </c>
      <c r="DI1666" s="160" t="s">
        <v>4244</v>
      </c>
      <c r="DJ1666" s="160" t="s">
        <v>4245</v>
      </c>
      <c r="DK1666" s="160" t="s">
        <v>3830</v>
      </c>
      <c r="DL1666" s="160" t="s">
        <v>3831</v>
      </c>
      <c r="DM1666" s="160" t="s">
        <v>821</v>
      </c>
      <c r="DN1666" s="161" t="s">
        <v>3832</v>
      </c>
      <c r="DP1666" s="130">
        <v>1</v>
      </c>
    </row>
    <row r="1667" spans="109:120" ht="15">
      <c r="DE1667" s="152"/>
      <c r="DF1667" s="160" t="s">
        <v>4246</v>
      </c>
      <c r="DG1667" s="160" t="s">
        <v>118</v>
      </c>
      <c r="DH1667" s="160" t="s">
        <v>125</v>
      </c>
      <c r="DI1667" s="160" t="s">
        <v>4247</v>
      </c>
      <c r="DJ1667" s="160" t="s">
        <v>4247</v>
      </c>
      <c r="DK1667" s="160" t="s">
        <v>588</v>
      </c>
      <c r="DL1667" s="160" t="s">
        <v>3844</v>
      </c>
      <c r="DM1667" s="160" t="s">
        <v>590</v>
      </c>
      <c r="DN1667" s="161" t="s">
        <v>591</v>
      </c>
      <c r="DP1667" s="130">
        <v>1</v>
      </c>
    </row>
    <row r="1668" spans="109:120" ht="25.5">
      <c r="DE1668" s="152"/>
      <c r="DF1668" s="160" t="s">
        <v>4248</v>
      </c>
      <c r="DG1668" s="160" t="s">
        <v>118</v>
      </c>
      <c r="DH1668" s="160" t="s">
        <v>125</v>
      </c>
      <c r="DI1668" s="160" t="s">
        <v>4249</v>
      </c>
      <c r="DJ1668" s="160" t="s">
        <v>4249</v>
      </c>
      <c r="DK1668" s="160" t="s">
        <v>3830</v>
      </c>
      <c r="DL1668" s="160" t="s">
        <v>3831</v>
      </c>
      <c r="DM1668" s="160" t="s">
        <v>821</v>
      </c>
      <c r="DN1668" s="161" t="s">
        <v>3832</v>
      </c>
      <c r="DP1668" s="130">
        <v>1</v>
      </c>
    </row>
    <row r="1669" spans="109:120" ht="25.5">
      <c r="DE1669" s="152"/>
      <c r="DF1669" s="160" t="s">
        <v>4250</v>
      </c>
      <c r="DG1669" s="160" t="s">
        <v>118</v>
      </c>
      <c r="DH1669" s="160" t="s">
        <v>125</v>
      </c>
      <c r="DI1669" s="160" t="s">
        <v>4251</v>
      </c>
      <c r="DJ1669" s="160" t="s">
        <v>4252</v>
      </c>
      <c r="DK1669" s="160" t="s">
        <v>3830</v>
      </c>
      <c r="DL1669" s="160" t="s">
        <v>3831</v>
      </c>
      <c r="DM1669" s="160" t="s">
        <v>821</v>
      </c>
      <c r="DN1669" s="161" t="s">
        <v>3832</v>
      </c>
      <c r="DP1669" s="130">
        <v>1</v>
      </c>
    </row>
    <row r="1670" spans="109:120" ht="25.5">
      <c r="DE1670" s="152"/>
      <c r="DF1670" s="160" t="s">
        <v>4253</v>
      </c>
      <c r="DG1670" s="160" t="s">
        <v>118</v>
      </c>
      <c r="DH1670" s="160" t="s">
        <v>125</v>
      </c>
      <c r="DI1670" s="160" t="s">
        <v>4254</v>
      </c>
      <c r="DJ1670" s="160" t="s">
        <v>4255</v>
      </c>
      <c r="DK1670" s="160" t="s">
        <v>3830</v>
      </c>
      <c r="DL1670" s="160" t="s">
        <v>3831</v>
      </c>
      <c r="DM1670" s="160" t="s">
        <v>821</v>
      </c>
      <c r="DN1670" s="161" t="s">
        <v>3832</v>
      </c>
      <c r="DP1670" s="130">
        <v>1</v>
      </c>
    </row>
    <row r="1671" spans="109:120" ht="25.5">
      <c r="DE1671" s="152"/>
      <c r="DF1671" s="160" t="s">
        <v>4256</v>
      </c>
      <c r="DG1671" s="160" t="s">
        <v>118</v>
      </c>
      <c r="DH1671" s="160" t="s">
        <v>125</v>
      </c>
      <c r="DI1671" s="160" t="s">
        <v>4257</v>
      </c>
      <c r="DJ1671" s="160" t="s">
        <v>4258</v>
      </c>
      <c r="DK1671" s="160" t="s">
        <v>3830</v>
      </c>
      <c r="DL1671" s="160" t="s">
        <v>3831</v>
      </c>
      <c r="DM1671" s="160" t="s">
        <v>821</v>
      </c>
      <c r="DN1671" s="161" t="s">
        <v>3832</v>
      </c>
      <c r="DP1671" s="130">
        <v>1</v>
      </c>
    </row>
    <row r="1672" spans="109:120" ht="15">
      <c r="DE1672" s="152"/>
      <c r="DF1672" s="160" t="s">
        <v>4259</v>
      </c>
      <c r="DG1672" s="160" t="s">
        <v>118</v>
      </c>
      <c r="DH1672" s="160" t="s">
        <v>125</v>
      </c>
      <c r="DI1672" s="160" t="s">
        <v>4260</v>
      </c>
      <c r="DJ1672" s="160" t="s">
        <v>4260</v>
      </c>
      <c r="DK1672" s="160" t="s">
        <v>588</v>
      </c>
      <c r="DL1672" s="160" t="s">
        <v>3844</v>
      </c>
      <c r="DM1672" s="160" t="s">
        <v>590</v>
      </c>
      <c r="DN1672" s="161" t="s">
        <v>591</v>
      </c>
      <c r="DP1672" s="130">
        <v>1</v>
      </c>
    </row>
    <row r="1673" spans="109:120" ht="25.5">
      <c r="DE1673" s="152"/>
      <c r="DF1673" s="160" t="s">
        <v>4261</v>
      </c>
      <c r="DG1673" s="160" t="s">
        <v>118</v>
      </c>
      <c r="DH1673" s="160" t="s">
        <v>125</v>
      </c>
      <c r="DI1673" s="160" t="s">
        <v>4262</v>
      </c>
      <c r="DJ1673" s="160" t="s">
        <v>4262</v>
      </c>
      <c r="DK1673" s="160" t="s">
        <v>3830</v>
      </c>
      <c r="DL1673" s="160" t="s">
        <v>3831</v>
      </c>
      <c r="DM1673" s="160" t="s">
        <v>821</v>
      </c>
      <c r="DN1673" s="161" t="s">
        <v>3832</v>
      </c>
      <c r="DP1673" s="130">
        <v>1</v>
      </c>
    </row>
    <row r="1674" spans="109:120" ht="25.5">
      <c r="DE1674" s="152"/>
      <c r="DF1674" s="160" t="s">
        <v>4263</v>
      </c>
      <c r="DG1674" s="160" t="s">
        <v>118</v>
      </c>
      <c r="DH1674" s="160" t="s">
        <v>125</v>
      </c>
      <c r="DI1674" s="160" t="s">
        <v>4264</v>
      </c>
      <c r="DJ1674" s="160" t="s">
        <v>4265</v>
      </c>
      <c r="DK1674" s="160" t="s">
        <v>3830</v>
      </c>
      <c r="DL1674" s="160" t="s">
        <v>3831</v>
      </c>
      <c r="DM1674" s="160" t="s">
        <v>821</v>
      </c>
      <c r="DN1674" s="161" t="s">
        <v>3832</v>
      </c>
      <c r="DP1674" s="130">
        <v>1</v>
      </c>
    </row>
    <row r="1675" spans="109:120" ht="25.5">
      <c r="DE1675" s="152"/>
      <c r="DF1675" s="160" t="s">
        <v>4266</v>
      </c>
      <c r="DG1675" s="160" t="s">
        <v>118</v>
      </c>
      <c r="DH1675" s="160" t="s">
        <v>125</v>
      </c>
      <c r="DI1675" s="160" t="s">
        <v>4267</v>
      </c>
      <c r="DJ1675" s="160" t="s">
        <v>4267</v>
      </c>
      <c r="DK1675" s="160" t="s">
        <v>3830</v>
      </c>
      <c r="DL1675" s="160" t="s">
        <v>3831</v>
      </c>
      <c r="DM1675" s="160" t="s">
        <v>821</v>
      </c>
      <c r="DN1675" s="161" t="s">
        <v>3832</v>
      </c>
      <c r="DP1675" s="130">
        <v>1</v>
      </c>
    </row>
    <row r="1676" spans="109:120" ht="25.5">
      <c r="DE1676" s="152"/>
      <c r="DF1676" s="160" t="s">
        <v>4268</v>
      </c>
      <c r="DG1676" s="160" t="s">
        <v>118</v>
      </c>
      <c r="DH1676" s="160" t="s">
        <v>125</v>
      </c>
      <c r="DI1676" s="160" t="s">
        <v>4269</v>
      </c>
      <c r="DJ1676" s="160" t="s">
        <v>4270</v>
      </c>
      <c r="DK1676" s="160" t="s">
        <v>3830</v>
      </c>
      <c r="DL1676" s="160" t="s">
        <v>3831</v>
      </c>
      <c r="DM1676" s="160" t="s">
        <v>821</v>
      </c>
      <c r="DN1676" s="161" t="s">
        <v>3832</v>
      </c>
      <c r="DP1676" s="130">
        <v>1</v>
      </c>
    </row>
    <row r="1677" spans="109:120" ht="15">
      <c r="DE1677" s="152"/>
      <c r="DF1677" s="160" t="s">
        <v>4271</v>
      </c>
      <c r="DG1677" s="160" t="s">
        <v>118</v>
      </c>
      <c r="DH1677" s="160" t="s">
        <v>125</v>
      </c>
      <c r="DI1677" s="160" t="s">
        <v>224</v>
      </c>
      <c r="DJ1677" s="160" t="s">
        <v>224</v>
      </c>
      <c r="DK1677" s="160" t="s">
        <v>588</v>
      </c>
      <c r="DL1677" s="160" t="s">
        <v>3844</v>
      </c>
      <c r="DM1677" s="160" t="s">
        <v>590</v>
      </c>
      <c r="DN1677" s="161" t="s">
        <v>591</v>
      </c>
      <c r="DP1677" s="130">
        <v>1</v>
      </c>
    </row>
    <row r="1678" spans="109:120" ht="15">
      <c r="DE1678" s="152"/>
      <c r="DF1678" s="160" t="s">
        <v>4272</v>
      </c>
      <c r="DG1678" s="160" t="s">
        <v>118</v>
      </c>
      <c r="DH1678" s="160" t="s">
        <v>125</v>
      </c>
      <c r="DI1678" s="160" t="s">
        <v>497</v>
      </c>
      <c r="DJ1678" s="160" t="s">
        <v>497</v>
      </c>
      <c r="DK1678" s="160" t="s">
        <v>588</v>
      </c>
      <c r="DL1678" s="160" t="s">
        <v>3844</v>
      </c>
      <c r="DM1678" s="160" t="s">
        <v>590</v>
      </c>
      <c r="DN1678" s="161" t="s">
        <v>591</v>
      </c>
      <c r="DP1678" s="130">
        <v>1</v>
      </c>
    </row>
    <row r="1679" spans="109:120" ht="15">
      <c r="DE1679" s="152"/>
      <c r="DF1679" s="160" t="s">
        <v>4273</v>
      </c>
      <c r="DG1679" s="160" t="s">
        <v>118</v>
      </c>
      <c r="DH1679" s="160" t="s">
        <v>125</v>
      </c>
      <c r="DI1679" s="160" t="s">
        <v>4274</v>
      </c>
      <c r="DJ1679" s="160" t="s">
        <v>4274</v>
      </c>
      <c r="DK1679" s="160" t="s">
        <v>588</v>
      </c>
      <c r="DL1679" s="160" t="s">
        <v>3844</v>
      </c>
      <c r="DM1679" s="160" t="s">
        <v>590</v>
      </c>
      <c r="DN1679" s="161" t="s">
        <v>591</v>
      </c>
      <c r="DP1679" s="130">
        <v>1</v>
      </c>
    </row>
    <row r="1680" spans="109:120" ht="25.5">
      <c r="DE1680" s="152"/>
      <c r="DF1680" s="160" t="s">
        <v>4275</v>
      </c>
      <c r="DG1680" s="160" t="s">
        <v>118</v>
      </c>
      <c r="DH1680" s="160" t="s">
        <v>125</v>
      </c>
      <c r="DI1680" s="160" t="s">
        <v>4276</v>
      </c>
      <c r="DJ1680" s="160" t="s">
        <v>4276</v>
      </c>
      <c r="DK1680" s="160" t="s">
        <v>3830</v>
      </c>
      <c r="DL1680" s="160" t="s">
        <v>3831</v>
      </c>
      <c r="DM1680" s="160" t="s">
        <v>821</v>
      </c>
      <c r="DN1680" s="161" t="s">
        <v>3832</v>
      </c>
      <c r="DP1680" s="130">
        <v>1</v>
      </c>
    </row>
    <row r="1681" spans="109:120" ht="25.5">
      <c r="DE1681" s="152"/>
      <c r="DF1681" s="160" t="s">
        <v>4277</v>
      </c>
      <c r="DG1681" s="160" t="s">
        <v>118</v>
      </c>
      <c r="DH1681" s="160" t="s">
        <v>125</v>
      </c>
      <c r="DI1681" s="160" t="s">
        <v>4278</v>
      </c>
      <c r="DJ1681" s="160" t="s">
        <v>4278</v>
      </c>
      <c r="DK1681" s="160" t="s">
        <v>3830</v>
      </c>
      <c r="DL1681" s="160" t="s">
        <v>3831</v>
      </c>
      <c r="DM1681" s="160" t="s">
        <v>821</v>
      </c>
      <c r="DN1681" s="161" t="s">
        <v>3832</v>
      </c>
      <c r="DP1681" s="130">
        <v>1</v>
      </c>
    </row>
    <row r="1682" spans="109:120" ht="15">
      <c r="DE1682" s="152"/>
      <c r="DF1682" s="160" t="s">
        <v>4279</v>
      </c>
      <c r="DG1682" s="160" t="s">
        <v>118</v>
      </c>
      <c r="DH1682" s="160" t="s">
        <v>125</v>
      </c>
      <c r="DI1682" s="160" t="s">
        <v>4280</v>
      </c>
      <c r="DJ1682" s="160" t="s">
        <v>4281</v>
      </c>
      <c r="DK1682" s="160" t="s">
        <v>588</v>
      </c>
      <c r="DL1682" s="160" t="s">
        <v>3844</v>
      </c>
      <c r="DM1682" s="160" t="s">
        <v>590</v>
      </c>
      <c r="DN1682" s="161" t="s">
        <v>591</v>
      </c>
      <c r="DP1682" s="130">
        <v>1</v>
      </c>
    </row>
    <row r="1683" spans="109:120" ht="25.5">
      <c r="DE1683" s="152"/>
      <c r="DF1683" s="160" t="s">
        <v>4282</v>
      </c>
      <c r="DG1683" s="160" t="s">
        <v>118</v>
      </c>
      <c r="DH1683" s="160" t="s">
        <v>125</v>
      </c>
      <c r="DI1683" s="160" t="s">
        <v>4283</v>
      </c>
      <c r="DJ1683" s="160" t="s">
        <v>4284</v>
      </c>
      <c r="DK1683" s="160" t="s">
        <v>3830</v>
      </c>
      <c r="DL1683" s="160" t="s">
        <v>3831</v>
      </c>
      <c r="DM1683" s="160" t="s">
        <v>821</v>
      </c>
      <c r="DN1683" s="161" t="s">
        <v>3832</v>
      </c>
      <c r="DP1683" s="130">
        <v>1</v>
      </c>
    </row>
    <row r="1684" spans="109:120" ht="25.5">
      <c r="DE1684" s="152"/>
      <c r="DF1684" s="160" t="s">
        <v>4285</v>
      </c>
      <c r="DG1684" s="160" t="s">
        <v>118</v>
      </c>
      <c r="DH1684" s="160" t="s">
        <v>125</v>
      </c>
      <c r="DI1684" s="160" t="s">
        <v>4286</v>
      </c>
      <c r="DJ1684" s="160" t="s">
        <v>4287</v>
      </c>
      <c r="DK1684" s="160" t="s">
        <v>3830</v>
      </c>
      <c r="DL1684" s="160" t="s">
        <v>3831</v>
      </c>
      <c r="DM1684" s="160" t="s">
        <v>821</v>
      </c>
      <c r="DN1684" s="161" t="s">
        <v>3832</v>
      </c>
      <c r="DP1684" s="130">
        <v>1</v>
      </c>
    </row>
    <row r="1685" spans="109:120" ht="15">
      <c r="DE1685" s="152"/>
      <c r="DF1685" s="160" t="s">
        <v>4288</v>
      </c>
      <c r="DG1685" s="160" t="s">
        <v>118</v>
      </c>
      <c r="DH1685" s="160" t="s">
        <v>125</v>
      </c>
      <c r="DI1685" s="160" t="s">
        <v>225</v>
      </c>
      <c r="DJ1685" s="160" t="s">
        <v>225</v>
      </c>
      <c r="DK1685" s="160" t="s">
        <v>588</v>
      </c>
      <c r="DL1685" s="160" t="s">
        <v>3844</v>
      </c>
      <c r="DM1685" s="160" t="s">
        <v>590</v>
      </c>
      <c r="DN1685" s="161" t="s">
        <v>591</v>
      </c>
      <c r="DP1685" s="130">
        <v>1</v>
      </c>
    </row>
    <row r="1686" spans="109:120" ht="25.5">
      <c r="DE1686" s="152"/>
      <c r="DF1686" s="160" t="s">
        <v>4289</v>
      </c>
      <c r="DG1686" s="160" t="s">
        <v>118</v>
      </c>
      <c r="DH1686" s="160" t="s">
        <v>125</v>
      </c>
      <c r="DI1686" s="160" t="s">
        <v>4290</v>
      </c>
      <c r="DJ1686" s="160" t="s">
        <v>498</v>
      </c>
      <c r="DK1686" s="160" t="s">
        <v>3830</v>
      </c>
      <c r="DL1686" s="160" t="s">
        <v>3831</v>
      </c>
      <c r="DM1686" s="160" t="s">
        <v>821</v>
      </c>
      <c r="DN1686" s="161" t="s">
        <v>3832</v>
      </c>
      <c r="DP1686" s="130">
        <v>1</v>
      </c>
    </row>
    <row r="1687" spans="109:120" ht="15">
      <c r="DE1687" s="152"/>
      <c r="DF1687" s="160" t="s">
        <v>4291</v>
      </c>
      <c r="DG1687" s="160" t="s">
        <v>118</v>
      </c>
      <c r="DH1687" s="160" t="s">
        <v>125</v>
      </c>
      <c r="DI1687" s="160" t="s">
        <v>4292</v>
      </c>
      <c r="DJ1687" s="160" t="s">
        <v>226</v>
      </c>
      <c r="DK1687" s="160" t="s">
        <v>588</v>
      </c>
      <c r="DL1687" s="160" t="s">
        <v>3844</v>
      </c>
      <c r="DM1687" s="160" t="s">
        <v>590</v>
      </c>
      <c r="DN1687" s="161" t="s">
        <v>591</v>
      </c>
      <c r="DP1687" s="130">
        <v>1</v>
      </c>
    </row>
    <row r="1688" spans="109:120" ht="25.5">
      <c r="DE1688" s="152"/>
      <c r="DF1688" s="160" t="s">
        <v>4293</v>
      </c>
      <c r="DG1688" s="160" t="s">
        <v>118</v>
      </c>
      <c r="DH1688" s="160" t="s">
        <v>125</v>
      </c>
      <c r="DI1688" s="160" t="s">
        <v>4294</v>
      </c>
      <c r="DJ1688" s="160" t="s">
        <v>4295</v>
      </c>
      <c r="DK1688" s="160" t="s">
        <v>3830</v>
      </c>
      <c r="DL1688" s="160" t="s">
        <v>3831</v>
      </c>
      <c r="DM1688" s="160" t="s">
        <v>821</v>
      </c>
      <c r="DN1688" s="161" t="s">
        <v>3832</v>
      </c>
      <c r="DP1688" s="130">
        <v>1</v>
      </c>
    </row>
    <row r="1689" spans="109:120" ht="25.5">
      <c r="DE1689" s="152"/>
      <c r="DF1689" s="160" t="s">
        <v>4296</v>
      </c>
      <c r="DG1689" s="160" t="s">
        <v>118</v>
      </c>
      <c r="DH1689" s="160" t="s">
        <v>125</v>
      </c>
      <c r="DI1689" s="160" t="s">
        <v>4297</v>
      </c>
      <c r="DJ1689" s="160" t="s">
        <v>4298</v>
      </c>
      <c r="DK1689" s="160" t="s">
        <v>3830</v>
      </c>
      <c r="DL1689" s="160" t="s">
        <v>3831</v>
      </c>
      <c r="DM1689" s="160" t="s">
        <v>821</v>
      </c>
      <c r="DN1689" s="161" t="s">
        <v>3832</v>
      </c>
      <c r="DP1689" s="130">
        <v>1</v>
      </c>
    </row>
    <row r="1690" spans="109:120" ht="15">
      <c r="DE1690" s="152"/>
      <c r="DF1690" s="160" t="s">
        <v>4299</v>
      </c>
      <c r="DG1690" s="160" t="s">
        <v>118</v>
      </c>
      <c r="DH1690" s="160" t="s">
        <v>125</v>
      </c>
      <c r="DI1690" s="160" t="s">
        <v>4300</v>
      </c>
      <c r="DJ1690" s="160" t="s">
        <v>227</v>
      </c>
      <c r="DK1690" s="160" t="s">
        <v>588</v>
      </c>
      <c r="DL1690" s="160" t="s">
        <v>3844</v>
      </c>
      <c r="DM1690" s="160" t="s">
        <v>590</v>
      </c>
      <c r="DN1690" s="161" t="s">
        <v>591</v>
      </c>
      <c r="DP1690" s="130">
        <v>1</v>
      </c>
    </row>
    <row r="1691" spans="109:120" ht="15">
      <c r="DE1691" s="152"/>
      <c r="DF1691" s="160" t="s">
        <v>4301</v>
      </c>
      <c r="DG1691" s="160" t="s">
        <v>118</v>
      </c>
      <c r="DH1691" s="160" t="s">
        <v>125</v>
      </c>
      <c r="DI1691" s="160" t="s">
        <v>4302</v>
      </c>
      <c r="DJ1691" s="160" t="s">
        <v>4302</v>
      </c>
      <c r="DK1691" s="160" t="s">
        <v>588</v>
      </c>
      <c r="DL1691" s="160" t="s">
        <v>3844</v>
      </c>
      <c r="DM1691" s="160" t="s">
        <v>590</v>
      </c>
      <c r="DN1691" s="161" t="s">
        <v>591</v>
      </c>
      <c r="DP1691" s="130">
        <v>1</v>
      </c>
    </row>
    <row r="1692" spans="109:120" ht="25.5">
      <c r="DE1692" s="152"/>
      <c r="DF1692" s="160" t="s">
        <v>4303</v>
      </c>
      <c r="DG1692" s="160" t="s">
        <v>118</v>
      </c>
      <c r="DH1692" s="160" t="s">
        <v>125</v>
      </c>
      <c r="DI1692" s="160" t="s">
        <v>4304</v>
      </c>
      <c r="DJ1692" s="160" t="s">
        <v>4304</v>
      </c>
      <c r="DK1692" s="160" t="s">
        <v>3830</v>
      </c>
      <c r="DL1692" s="160" t="s">
        <v>3831</v>
      </c>
      <c r="DM1692" s="160" t="s">
        <v>821</v>
      </c>
      <c r="DN1692" s="161" t="s">
        <v>3832</v>
      </c>
      <c r="DP1692" s="130">
        <v>1</v>
      </c>
    </row>
    <row r="1693" spans="109:120" ht="25.5">
      <c r="DE1693" s="152"/>
      <c r="DF1693" s="160" t="s">
        <v>4305</v>
      </c>
      <c r="DG1693" s="160" t="s">
        <v>118</v>
      </c>
      <c r="DH1693" s="160" t="s">
        <v>125</v>
      </c>
      <c r="DI1693" s="160" t="s">
        <v>4306</v>
      </c>
      <c r="DJ1693" s="160" t="s">
        <v>4306</v>
      </c>
      <c r="DK1693" s="160" t="s">
        <v>3830</v>
      </c>
      <c r="DL1693" s="160" t="s">
        <v>3831</v>
      </c>
      <c r="DM1693" s="160" t="s">
        <v>821</v>
      </c>
      <c r="DN1693" s="161" t="s">
        <v>3832</v>
      </c>
      <c r="DP1693" s="130">
        <v>1</v>
      </c>
    </row>
    <row r="1694" spans="109:120" ht="25.5">
      <c r="DE1694" s="152"/>
      <c r="DF1694" s="160" t="s">
        <v>4307</v>
      </c>
      <c r="DG1694" s="160" t="s">
        <v>118</v>
      </c>
      <c r="DH1694" s="160" t="s">
        <v>125</v>
      </c>
      <c r="DI1694" s="160" t="s">
        <v>4308</v>
      </c>
      <c r="DJ1694" s="160" t="s">
        <v>4308</v>
      </c>
      <c r="DK1694" s="160" t="s">
        <v>3830</v>
      </c>
      <c r="DL1694" s="160" t="s">
        <v>3831</v>
      </c>
      <c r="DM1694" s="160" t="s">
        <v>821</v>
      </c>
      <c r="DN1694" s="161" t="s">
        <v>3832</v>
      </c>
      <c r="DP1694" s="130">
        <v>1</v>
      </c>
    </row>
    <row r="1695" spans="109:120" ht="15">
      <c r="DE1695" s="152"/>
      <c r="DF1695" s="160" t="s">
        <v>4309</v>
      </c>
      <c r="DG1695" s="160" t="s">
        <v>118</v>
      </c>
      <c r="DH1695" s="160" t="s">
        <v>125</v>
      </c>
      <c r="DI1695" s="160" t="s">
        <v>4310</v>
      </c>
      <c r="DJ1695" s="160" t="s">
        <v>4310</v>
      </c>
      <c r="DK1695" s="160" t="s">
        <v>588</v>
      </c>
      <c r="DL1695" s="160" t="s">
        <v>3844</v>
      </c>
      <c r="DM1695" s="160" t="s">
        <v>590</v>
      </c>
      <c r="DN1695" s="161" t="s">
        <v>591</v>
      </c>
      <c r="DP1695" s="130">
        <v>1</v>
      </c>
    </row>
    <row r="1696" spans="109:120" ht="15">
      <c r="DE1696" s="152"/>
      <c r="DF1696" s="160" t="s">
        <v>4311</v>
      </c>
      <c r="DG1696" s="160" t="s">
        <v>118</v>
      </c>
      <c r="DH1696" s="160" t="s">
        <v>125</v>
      </c>
      <c r="DI1696" s="160" t="s">
        <v>4312</v>
      </c>
      <c r="DJ1696" s="160" t="s">
        <v>4312</v>
      </c>
      <c r="DK1696" s="160" t="s">
        <v>588</v>
      </c>
      <c r="DL1696" s="160" t="s">
        <v>3844</v>
      </c>
      <c r="DM1696" s="160" t="s">
        <v>590</v>
      </c>
      <c r="DN1696" s="161" t="s">
        <v>591</v>
      </c>
      <c r="DP1696" s="130">
        <v>1</v>
      </c>
    </row>
    <row r="1697" spans="109:120" ht="25.5">
      <c r="DE1697" s="152"/>
      <c r="DF1697" s="160" t="s">
        <v>4313</v>
      </c>
      <c r="DG1697" s="160" t="s">
        <v>118</v>
      </c>
      <c r="DH1697" s="160" t="s">
        <v>125</v>
      </c>
      <c r="DI1697" s="160" t="s">
        <v>4314</v>
      </c>
      <c r="DJ1697" s="160" t="s">
        <v>4314</v>
      </c>
      <c r="DK1697" s="160" t="s">
        <v>3830</v>
      </c>
      <c r="DL1697" s="160" t="s">
        <v>3831</v>
      </c>
      <c r="DM1697" s="160" t="s">
        <v>821</v>
      </c>
      <c r="DN1697" s="161" t="s">
        <v>3832</v>
      </c>
      <c r="DP1697" s="130">
        <v>1</v>
      </c>
    </row>
    <row r="1698" spans="109:120" ht="15">
      <c r="DE1698" s="152"/>
      <c r="DF1698" s="160" t="s">
        <v>4315</v>
      </c>
      <c r="DG1698" s="160" t="s">
        <v>118</v>
      </c>
      <c r="DH1698" s="160" t="s">
        <v>125</v>
      </c>
      <c r="DI1698" s="160" t="s">
        <v>499</v>
      </c>
      <c r="DJ1698" s="160" t="s">
        <v>499</v>
      </c>
      <c r="DK1698" s="160" t="s">
        <v>588</v>
      </c>
      <c r="DL1698" s="160" t="s">
        <v>3844</v>
      </c>
      <c r="DM1698" s="160" t="s">
        <v>590</v>
      </c>
      <c r="DN1698" s="161" t="s">
        <v>591</v>
      </c>
      <c r="DP1698" s="130">
        <v>1</v>
      </c>
    </row>
    <row r="1699" spans="109:120" ht="25.5">
      <c r="DE1699" s="152"/>
      <c r="DF1699" s="160" t="s">
        <v>4316</v>
      </c>
      <c r="DG1699" s="160" t="s">
        <v>118</v>
      </c>
      <c r="DH1699" s="160" t="s">
        <v>125</v>
      </c>
      <c r="DI1699" s="160" t="s">
        <v>4317</v>
      </c>
      <c r="DJ1699" s="160" t="s">
        <v>4317</v>
      </c>
      <c r="DK1699" s="160" t="s">
        <v>3830</v>
      </c>
      <c r="DL1699" s="160" t="s">
        <v>3831</v>
      </c>
      <c r="DM1699" s="160" t="s">
        <v>821</v>
      </c>
      <c r="DN1699" s="161" t="s">
        <v>3832</v>
      </c>
      <c r="DP1699" s="130">
        <v>1</v>
      </c>
    </row>
    <row r="1700" spans="109:120" ht="25.5">
      <c r="DE1700" s="152"/>
      <c r="DF1700" s="160" t="s">
        <v>4318</v>
      </c>
      <c r="DG1700" s="160" t="s">
        <v>118</v>
      </c>
      <c r="DH1700" s="160" t="s">
        <v>125</v>
      </c>
      <c r="DI1700" s="160" t="s">
        <v>4319</v>
      </c>
      <c r="DJ1700" s="160" t="s">
        <v>4319</v>
      </c>
      <c r="DK1700" s="160" t="s">
        <v>3830</v>
      </c>
      <c r="DL1700" s="160" t="s">
        <v>3831</v>
      </c>
      <c r="DM1700" s="160" t="s">
        <v>821</v>
      </c>
      <c r="DN1700" s="161" t="s">
        <v>3832</v>
      </c>
      <c r="DP1700" s="130">
        <v>1</v>
      </c>
    </row>
    <row r="1701" spans="109:120" ht="15">
      <c r="DE1701" s="152"/>
      <c r="DF1701" s="160" t="s">
        <v>4320</v>
      </c>
      <c r="DG1701" s="160" t="s">
        <v>118</v>
      </c>
      <c r="DH1701" s="160" t="s">
        <v>125</v>
      </c>
      <c r="DI1701" s="160" t="s">
        <v>4321</v>
      </c>
      <c r="DJ1701" s="160" t="s">
        <v>4321</v>
      </c>
      <c r="DK1701" s="160" t="s">
        <v>588</v>
      </c>
      <c r="DL1701" s="160" t="s">
        <v>3844</v>
      </c>
      <c r="DM1701" s="160" t="s">
        <v>590</v>
      </c>
      <c r="DN1701" s="161" t="s">
        <v>591</v>
      </c>
      <c r="DP1701" s="130">
        <v>1</v>
      </c>
    </row>
    <row r="1702" spans="109:120" ht="25.5">
      <c r="DE1702" s="152"/>
      <c r="DF1702" s="160" t="s">
        <v>4322</v>
      </c>
      <c r="DG1702" s="160" t="s">
        <v>118</v>
      </c>
      <c r="DH1702" s="160" t="s">
        <v>125</v>
      </c>
      <c r="DI1702" s="160" t="s">
        <v>4323</v>
      </c>
      <c r="DJ1702" s="160" t="s">
        <v>4324</v>
      </c>
      <c r="DK1702" s="160" t="s">
        <v>3830</v>
      </c>
      <c r="DL1702" s="160" t="s">
        <v>3831</v>
      </c>
      <c r="DM1702" s="160" t="s">
        <v>821</v>
      </c>
      <c r="DN1702" s="161" t="s">
        <v>3832</v>
      </c>
      <c r="DP1702" s="130">
        <v>1</v>
      </c>
    </row>
    <row r="1703" spans="109:120" ht="25.5">
      <c r="DE1703" s="152"/>
      <c r="DF1703" s="160" t="s">
        <v>4325</v>
      </c>
      <c r="DG1703" s="160" t="s">
        <v>118</v>
      </c>
      <c r="DH1703" s="160" t="s">
        <v>125</v>
      </c>
      <c r="DI1703" s="160" t="s">
        <v>4326</v>
      </c>
      <c r="DJ1703" s="160" t="s">
        <v>4327</v>
      </c>
      <c r="DK1703" s="160" t="s">
        <v>3830</v>
      </c>
      <c r="DL1703" s="160" t="s">
        <v>3831</v>
      </c>
      <c r="DM1703" s="160" t="s">
        <v>821</v>
      </c>
      <c r="DN1703" s="161" t="s">
        <v>3832</v>
      </c>
      <c r="DP1703" s="130">
        <v>1</v>
      </c>
    </row>
    <row r="1704" spans="109:120" ht="25.5">
      <c r="DE1704" s="152"/>
      <c r="DF1704" s="160" t="s">
        <v>4328</v>
      </c>
      <c r="DG1704" s="160" t="s">
        <v>118</v>
      </c>
      <c r="DH1704" s="160" t="s">
        <v>125</v>
      </c>
      <c r="DI1704" s="160" t="s">
        <v>4329</v>
      </c>
      <c r="DJ1704" s="160" t="s">
        <v>4330</v>
      </c>
      <c r="DK1704" s="160" t="s">
        <v>3830</v>
      </c>
      <c r="DL1704" s="160" t="s">
        <v>3831</v>
      </c>
      <c r="DM1704" s="160" t="s">
        <v>821</v>
      </c>
      <c r="DN1704" s="161" t="s">
        <v>3832</v>
      </c>
      <c r="DP1704" s="130">
        <v>1</v>
      </c>
    </row>
    <row r="1705" spans="109:120" ht="15">
      <c r="DE1705" s="152"/>
      <c r="DF1705" s="160" t="s">
        <v>4331</v>
      </c>
      <c r="DG1705" s="160" t="s">
        <v>118</v>
      </c>
      <c r="DH1705" s="160" t="s">
        <v>125</v>
      </c>
      <c r="DI1705" s="160" t="s">
        <v>4332</v>
      </c>
      <c r="DJ1705" s="160" t="s">
        <v>4332</v>
      </c>
      <c r="DK1705" s="160" t="s">
        <v>588</v>
      </c>
      <c r="DL1705" s="160" t="s">
        <v>3844</v>
      </c>
      <c r="DM1705" s="160" t="s">
        <v>590</v>
      </c>
      <c r="DN1705" s="161" t="s">
        <v>591</v>
      </c>
      <c r="DP1705" s="130">
        <v>1</v>
      </c>
    </row>
    <row r="1706" spans="109:120" ht="25.5">
      <c r="DE1706" s="152"/>
      <c r="DF1706" s="160" t="s">
        <v>4333</v>
      </c>
      <c r="DG1706" s="160" t="s">
        <v>118</v>
      </c>
      <c r="DH1706" s="160" t="s">
        <v>125</v>
      </c>
      <c r="DI1706" s="160" t="s">
        <v>4334</v>
      </c>
      <c r="DJ1706" s="160" t="s">
        <v>4335</v>
      </c>
      <c r="DK1706" s="160" t="s">
        <v>3830</v>
      </c>
      <c r="DL1706" s="160" t="s">
        <v>3831</v>
      </c>
      <c r="DM1706" s="160" t="s">
        <v>821</v>
      </c>
      <c r="DN1706" s="161" t="s">
        <v>3832</v>
      </c>
      <c r="DP1706" s="130">
        <v>1</v>
      </c>
    </row>
    <row r="1707" spans="109:120" ht="15">
      <c r="DE1707" s="152"/>
      <c r="DF1707" s="160" t="s">
        <v>4336</v>
      </c>
      <c r="DG1707" s="160" t="s">
        <v>118</v>
      </c>
      <c r="DH1707" s="160" t="s">
        <v>125</v>
      </c>
      <c r="DI1707" s="160" t="s">
        <v>4337</v>
      </c>
      <c r="DJ1707" s="160" t="s">
        <v>4337</v>
      </c>
      <c r="DK1707" s="160" t="s">
        <v>588</v>
      </c>
      <c r="DL1707" s="160" t="s">
        <v>3844</v>
      </c>
      <c r="DM1707" s="160" t="s">
        <v>590</v>
      </c>
      <c r="DN1707" s="161" t="s">
        <v>591</v>
      </c>
      <c r="DP1707" s="130">
        <v>1</v>
      </c>
    </row>
    <row r="1708" spans="109:120" ht="25.5">
      <c r="DE1708" s="152"/>
      <c r="DF1708" s="160" t="s">
        <v>4338</v>
      </c>
      <c r="DG1708" s="160" t="s">
        <v>118</v>
      </c>
      <c r="DH1708" s="160" t="s">
        <v>125</v>
      </c>
      <c r="DI1708" s="160" t="s">
        <v>4339</v>
      </c>
      <c r="DJ1708" s="160" t="s">
        <v>4340</v>
      </c>
      <c r="DK1708" s="160" t="s">
        <v>3830</v>
      </c>
      <c r="DL1708" s="160" t="s">
        <v>3831</v>
      </c>
      <c r="DM1708" s="160" t="s">
        <v>821</v>
      </c>
      <c r="DN1708" s="161" t="s">
        <v>3832</v>
      </c>
      <c r="DP1708" s="130">
        <v>1</v>
      </c>
    </row>
    <row r="1709" spans="109:120" ht="25.5">
      <c r="DE1709" s="152"/>
      <c r="DF1709" s="160" t="s">
        <v>4341</v>
      </c>
      <c r="DG1709" s="160" t="s">
        <v>118</v>
      </c>
      <c r="DH1709" s="160" t="s">
        <v>125</v>
      </c>
      <c r="DI1709" s="160" t="s">
        <v>4342</v>
      </c>
      <c r="DJ1709" s="160" t="s">
        <v>4342</v>
      </c>
      <c r="DK1709" s="160" t="s">
        <v>3830</v>
      </c>
      <c r="DL1709" s="160" t="s">
        <v>3831</v>
      </c>
      <c r="DM1709" s="160" t="s">
        <v>821</v>
      </c>
      <c r="DN1709" s="161" t="s">
        <v>3832</v>
      </c>
      <c r="DP1709" s="130">
        <v>1</v>
      </c>
    </row>
    <row r="1710" spans="109:120" ht="25.5">
      <c r="DE1710" s="152"/>
      <c r="DF1710" s="160" t="s">
        <v>4343</v>
      </c>
      <c r="DG1710" s="160" t="s">
        <v>118</v>
      </c>
      <c r="DH1710" s="160" t="s">
        <v>125</v>
      </c>
      <c r="DI1710" s="160" t="s">
        <v>4344</v>
      </c>
      <c r="DJ1710" s="160" t="s">
        <v>4344</v>
      </c>
      <c r="DK1710" s="160" t="s">
        <v>3830</v>
      </c>
      <c r="DL1710" s="160" t="s">
        <v>3831</v>
      </c>
      <c r="DM1710" s="160" t="s">
        <v>821</v>
      </c>
      <c r="DN1710" s="161" t="s">
        <v>3832</v>
      </c>
      <c r="DP1710" s="130">
        <v>1</v>
      </c>
    </row>
    <row r="1711" spans="109:120" ht="25.5">
      <c r="DE1711" s="152"/>
      <c r="DF1711" s="160" t="s">
        <v>4345</v>
      </c>
      <c r="DG1711" s="160" t="s">
        <v>118</v>
      </c>
      <c r="DH1711" s="160" t="s">
        <v>125</v>
      </c>
      <c r="DI1711" s="160" t="s">
        <v>4346</v>
      </c>
      <c r="DJ1711" s="160" t="s">
        <v>4347</v>
      </c>
      <c r="DK1711" s="160" t="s">
        <v>3830</v>
      </c>
      <c r="DL1711" s="160" t="s">
        <v>3831</v>
      </c>
      <c r="DM1711" s="160" t="s">
        <v>821</v>
      </c>
      <c r="DN1711" s="161" t="s">
        <v>3832</v>
      </c>
      <c r="DP1711" s="130">
        <v>1</v>
      </c>
    </row>
    <row r="1712" spans="109:120" ht="25.5">
      <c r="DE1712" s="152"/>
      <c r="DF1712" s="160" t="s">
        <v>4348</v>
      </c>
      <c r="DG1712" s="160" t="s">
        <v>118</v>
      </c>
      <c r="DH1712" s="160" t="s">
        <v>125</v>
      </c>
      <c r="DI1712" s="160" t="s">
        <v>4349</v>
      </c>
      <c r="DJ1712" s="160" t="s">
        <v>4349</v>
      </c>
      <c r="DK1712" s="160" t="s">
        <v>3830</v>
      </c>
      <c r="DL1712" s="160" t="s">
        <v>3831</v>
      </c>
      <c r="DM1712" s="160" t="s">
        <v>821</v>
      </c>
      <c r="DN1712" s="161" t="s">
        <v>3832</v>
      </c>
      <c r="DP1712" s="130">
        <v>1</v>
      </c>
    </row>
    <row r="1713" spans="109:120" ht="15">
      <c r="DE1713" s="152"/>
      <c r="DF1713" s="160" t="s">
        <v>4350</v>
      </c>
      <c r="DG1713" s="160" t="s">
        <v>118</v>
      </c>
      <c r="DH1713" s="160" t="s">
        <v>125</v>
      </c>
      <c r="DI1713" s="160" t="s">
        <v>4351</v>
      </c>
      <c r="DJ1713" s="160" t="s">
        <v>4351</v>
      </c>
      <c r="DK1713" s="160" t="s">
        <v>588</v>
      </c>
      <c r="DL1713" s="160" t="s">
        <v>3844</v>
      </c>
      <c r="DM1713" s="160" t="s">
        <v>590</v>
      </c>
      <c r="DN1713" s="161" t="s">
        <v>591</v>
      </c>
      <c r="DP1713" s="130">
        <v>1</v>
      </c>
    </row>
    <row r="1714" spans="109:120" ht="25.5">
      <c r="DE1714" s="152"/>
      <c r="DF1714" s="160" t="s">
        <v>4352</v>
      </c>
      <c r="DG1714" s="160" t="s">
        <v>118</v>
      </c>
      <c r="DH1714" s="160" t="s">
        <v>125</v>
      </c>
      <c r="DI1714" s="160" t="s">
        <v>4353</v>
      </c>
      <c r="DJ1714" s="160" t="s">
        <v>4354</v>
      </c>
      <c r="DK1714" s="160" t="s">
        <v>3830</v>
      </c>
      <c r="DL1714" s="160" t="s">
        <v>3831</v>
      </c>
      <c r="DM1714" s="160" t="s">
        <v>821</v>
      </c>
      <c r="DN1714" s="161" t="s">
        <v>3832</v>
      </c>
      <c r="DP1714" s="130">
        <v>1</v>
      </c>
    </row>
    <row r="1715" spans="109:120" ht="25.5">
      <c r="DE1715" s="152"/>
      <c r="DF1715" s="160" t="s">
        <v>4355</v>
      </c>
      <c r="DG1715" s="160" t="s">
        <v>118</v>
      </c>
      <c r="DH1715" s="160" t="s">
        <v>125</v>
      </c>
      <c r="DI1715" s="160" t="s">
        <v>4356</v>
      </c>
      <c r="DJ1715" s="160" t="s">
        <v>4357</v>
      </c>
      <c r="DK1715" s="160" t="s">
        <v>3830</v>
      </c>
      <c r="DL1715" s="160" t="s">
        <v>3831</v>
      </c>
      <c r="DM1715" s="160" t="s">
        <v>821</v>
      </c>
      <c r="DN1715" s="161" t="s">
        <v>3832</v>
      </c>
      <c r="DP1715" s="130">
        <v>1</v>
      </c>
    </row>
    <row r="1716" spans="109:120" ht="25.5">
      <c r="DE1716" s="152"/>
      <c r="DF1716" s="160" t="s">
        <v>4358</v>
      </c>
      <c r="DG1716" s="160" t="s">
        <v>118</v>
      </c>
      <c r="DH1716" s="160" t="s">
        <v>125</v>
      </c>
      <c r="DI1716" s="160" t="s">
        <v>4359</v>
      </c>
      <c r="DJ1716" s="160" t="s">
        <v>4359</v>
      </c>
      <c r="DK1716" s="160" t="s">
        <v>3830</v>
      </c>
      <c r="DL1716" s="160" t="s">
        <v>3831</v>
      </c>
      <c r="DM1716" s="160" t="s">
        <v>821</v>
      </c>
      <c r="DN1716" s="161" t="s">
        <v>3832</v>
      </c>
      <c r="DP1716" s="130">
        <v>1</v>
      </c>
    </row>
    <row r="1717" spans="109:120" ht="15">
      <c r="DE1717" s="152"/>
      <c r="DF1717" s="160" t="s">
        <v>4360</v>
      </c>
      <c r="DG1717" s="160" t="s">
        <v>118</v>
      </c>
      <c r="DH1717" s="160" t="s">
        <v>125</v>
      </c>
      <c r="DI1717" s="160" t="s">
        <v>500</v>
      </c>
      <c r="DJ1717" s="160" t="s">
        <v>500</v>
      </c>
      <c r="DK1717" s="160" t="s">
        <v>588</v>
      </c>
      <c r="DL1717" s="160" t="s">
        <v>3844</v>
      </c>
      <c r="DM1717" s="160" t="s">
        <v>590</v>
      </c>
      <c r="DN1717" s="161" t="s">
        <v>591</v>
      </c>
      <c r="DP1717" s="130">
        <v>1</v>
      </c>
    </row>
    <row r="1718" spans="109:120" ht="15">
      <c r="DE1718" s="152"/>
      <c r="DF1718" s="160" t="s">
        <v>4361</v>
      </c>
      <c r="DG1718" s="160" t="s">
        <v>118</v>
      </c>
      <c r="DH1718" s="160" t="s">
        <v>125</v>
      </c>
      <c r="DI1718" s="160" t="s">
        <v>4362</v>
      </c>
      <c r="DJ1718" s="160" t="s">
        <v>4363</v>
      </c>
      <c r="DK1718" s="160" t="s">
        <v>588</v>
      </c>
      <c r="DL1718" s="160" t="s">
        <v>3844</v>
      </c>
      <c r="DM1718" s="160" t="s">
        <v>590</v>
      </c>
      <c r="DN1718" s="161" t="s">
        <v>591</v>
      </c>
      <c r="DP1718" s="130">
        <v>1</v>
      </c>
    </row>
    <row r="1719" spans="109:120" ht="25.5">
      <c r="DE1719" s="152"/>
      <c r="DF1719" s="160" t="s">
        <v>4364</v>
      </c>
      <c r="DG1719" s="160" t="s">
        <v>118</v>
      </c>
      <c r="DH1719" s="160" t="s">
        <v>125</v>
      </c>
      <c r="DI1719" s="160" t="s">
        <v>4365</v>
      </c>
      <c r="DJ1719" s="160" t="s">
        <v>4365</v>
      </c>
      <c r="DK1719" s="160" t="s">
        <v>3830</v>
      </c>
      <c r="DL1719" s="160" t="s">
        <v>3831</v>
      </c>
      <c r="DM1719" s="160" t="s">
        <v>821</v>
      </c>
      <c r="DN1719" s="161" t="s">
        <v>3832</v>
      </c>
      <c r="DP1719" s="130">
        <v>1</v>
      </c>
    </row>
    <row r="1720" spans="109:120" ht="25.5">
      <c r="DE1720" s="152"/>
      <c r="DF1720" s="160" t="s">
        <v>4366</v>
      </c>
      <c r="DG1720" s="160" t="s">
        <v>118</v>
      </c>
      <c r="DH1720" s="160" t="s">
        <v>125</v>
      </c>
      <c r="DI1720" s="160" t="s">
        <v>4367</v>
      </c>
      <c r="DJ1720" s="160" t="s">
        <v>4367</v>
      </c>
      <c r="DK1720" s="160" t="s">
        <v>3830</v>
      </c>
      <c r="DL1720" s="160" t="s">
        <v>3831</v>
      </c>
      <c r="DM1720" s="160" t="s">
        <v>821</v>
      </c>
      <c r="DN1720" s="161" t="s">
        <v>3832</v>
      </c>
      <c r="DP1720" s="130">
        <v>1</v>
      </c>
    </row>
    <row r="1721" spans="109:120" ht="25.5">
      <c r="DE1721" s="152"/>
      <c r="DF1721" s="160" t="s">
        <v>4368</v>
      </c>
      <c r="DG1721" s="160" t="s">
        <v>118</v>
      </c>
      <c r="DH1721" s="160" t="s">
        <v>125</v>
      </c>
      <c r="DI1721" s="160" t="s">
        <v>4369</v>
      </c>
      <c r="DJ1721" s="160" t="s">
        <v>4369</v>
      </c>
      <c r="DK1721" s="160" t="s">
        <v>3830</v>
      </c>
      <c r="DL1721" s="160" t="s">
        <v>3831</v>
      </c>
      <c r="DM1721" s="160" t="s">
        <v>821</v>
      </c>
      <c r="DN1721" s="161" t="s">
        <v>3832</v>
      </c>
      <c r="DP1721" s="130">
        <v>1</v>
      </c>
    </row>
    <row r="1722" spans="109:120" ht="15">
      <c r="DE1722" s="152"/>
      <c r="DF1722" s="160" t="s">
        <v>4370</v>
      </c>
      <c r="DG1722" s="160" t="s">
        <v>118</v>
      </c>
      <c r="DH1722" s="160" t="s">
        <v>125</v>
      </c>
      <c r="DI1722" s="160" t="s">
        <v>4371</v>
      </c>
      <c r="DJ1722" s="160" t="s">
        <v>4371</v>
      </c>
      <c r="DK1722" s="160" t="s">
        <v>588</v>
      </c>
      <c r="DL1722" s="160" t="s">
        <v>3844</v>
      </c>
      <c r="DM1722" s="160" t="s">
        <v>590</v>
      </c>
      <c r="DN1722" s="161" t="s">
        <v>591</v>
      </c>
      <c r="DP1722" s="130">
        <v>1</v>
      </c>
    </row>
    <row r="1723" spans="109:120" ht="25.5">
      <c r="DE1723" s="152"/>
      <c r="DF1723" s="160" t="s">
        <v>4372</v>
      </c>
      <c r="DG1723" s="160" t="s">
        <v>118</v>
      </c>
      <c r="DH1723" s="160" t="s">
        <v>125</v>
      </c>
      <c r="DI1723" s="160" t="s">
        <v>4373</v>
      </c>
      <c r="DJ1723" s="160" t="s">
        <v>4373</v>
      </c>
      <c r="DK1723" s="160" t="s">
        <v>3830</v>
      </c>
      <c r="DL1723" s="160" t="s">
        <v>3831</v>
      </c>
      <c r="DM1723" s="160" t="s">
        <v>821</v>
      </c>
      <c r="DN1723" s="161" t="s">
        <v>3832</v>
      </c>
      <c r="DP1723" s="130">
        <v>1</v>
      </c>
    </row>
    <row r="1724" spans="109:120" ht="25.5">
      <c r="DE1724" s="152"/>
      <c r="DF1724" s="160" t="s">
        <v>4374</v>
      </c>
      <c r="DG1724" s="160" t="s">
        <v>118</v>
      </c>
      <c r="DH1724" s="160" t="s">
        <v>125</v>
      </c>
      <c r="DI1724" s="160" t="s">
        <v>4375</v>
      </c>
      <c r="DJ1724" s="160" t="s">
        <v>4375</v>
      </c>
      <c r="DK1724" s="160" t="s">
        <v>3830</v>
      </c>
      <c r="DL1724" s="160" t="s">
        <v>3831</v>
      </c>
      <c r="DM1724" s="160" t="s">
        <v>821</v>
      </c>
      <c r="DN1724" s="161" t="s">
        <v>3832</v>
      </c>
      <c r="DP1724" s="130">
        <v>1</v>
      </c>
    </row>
    <row r="1725" spans="109:120" ht="25.5">
      <c r="DE1725" s="152"/>
      <c r="DF1725" s="160" t="s">
        <v>4376</v>
      </c>
      <c r="DG1725" s="160" t="s">
        <v>118</v>
      </c>
      <c r="DH1725" s="160" t="s">
        <v>125</v>
      </c>
      <c r="DI1725" s="160" t="s">
        <v>4377</v>
      </c>
      <c r="DJ1725" s="160" t="s">
        <v>4377</v>
      </c>
      <c r="DK1725" s="160" t="s">
        <v>3830</v>
      </c>
      <c r="DL1725" s="160" t="s">
        <v>3831</v>
      </c>
      <c r="DM1725" s="160" t="s">
        <v>821</v>
      </c>
      <c r="DN1725" s="161" t="s">
        <v>3832</v>
      </c>
      <c r="DP1725" s="130">
        <v>1</v>
      </c>
    </row>
    <row r="1726" spans="109:120" ht="25.5">
      <c r="DE1726" s="152"/>
      <c r="DF1726" s="160" t="s">
        <v>4378</v>
      </c>
      <c r="DG1726" s="160" t="s">
        <v>118</v>
      </c>
      <c r="DH1726" s="160" t="s">
        <v>125</v>
      </c>
      <c r="DI1726" s="160" t="s">
        <v>4379</v>
      </c>
      <c r="DJ1726" s="160" t="s">
        <v>4379</v>
      </c>
      <c r="DK1726" s="160" t="s">
        <v>3830</v>
      </c>
      <c r="DL1726" s="160" t="s">
        <v>3831</v>
      </c>
      <c r="DM1726" s="160" t="s">
        <v>821</v>
      </c>
      <c r="DN1726" s="161" t="s">
        <v>3832</v>
      </c>
      <c r="DP1726" s="130">
        <v>1</v>
      </c>
    </row>
    <row r="1727" spans="109:120" ht="25.5">
      <c r="DE1727" s="152"/>
      <c r="DF1727" s="160" t="s">
        <v>4380</v>
      </c>
      <c r="DG1727" s="160" t="s">
        <v>118</v>
      </c>
      <c r="DH1727" s="160" t="s">
        <v>125</v>
      </c>
      <c r="DI1727" s="160" t="s">
        <v>4381</v>
      </c>
      <c r="DJ1727" s="160" t="s">
        <v>4381</v>
      </c>
      <c r="DK1727" s="160" t="s">
        <v>3830</v>
      </c>
      <c r="DL1727" s="160" t="s">
        <v>3831</v>
      </c>
      <c r="DM1727" s="160" t="s">
        <v>821</v>
      </c>
      <c r="DN1727" s="161" t="s">
        <v>3832</v>
      </c>
      <c r="DP1727" s="130">
        <v>1</v>
      </c>
    </row>
    <row r="1728" spans="109:120" ht="25.5">
      <c r="DE1728" s="152"/>
      <c r="DF1728" s="160" t="s">
        <v>4382</v>
      </c>
      <c r="DG1728" s="160" t="s">
        <v>118</v>
      </c>
      <c r="DH1728" s="160" t="s">
        <v>125</v>
      </c>
      <c r="DI1728" s="160" t="s">
        <v>4383</v>
      </c>
      <c r="DJ1728" s="160" t="s">
        <v>4384</v>
      </c>
      <c r="DK1728" s="160" t="s">
        <v>3830</v>
      </c>
      <c r="DL1728" s="160" t="s">
        <v>3831</v>
      </c>
      <c r="DM1728" s="160" t="s">
        <v>821</v>
      </c>
      <c r="DN1728" s="161" t="s">
        <v>3832</v>
      </c>
      <c r="DP1728" s="130">
        <v>1</v>
      </c>
    </row>
    <row r="1729" spans="109:120" ht="25.5">
      <c r="DE1729" s="152"/>
      <c r="DF1729" s="160" t="s">
        <v>4385</v>
      </c>
      <c r="DG1729" s="160" t="s">
        <v>118</v>
      </c>
      <c r="DH1729" s="160" t="s">
        <v>125</v>
      </c>
      <c r="DI1729" s="160" t="s">
        <v>4386</v>
      </c>
      <c r="DJ1729" s="160" t="s">
        <v>4386</v>
      </c>
      <c r="DK1729" s="160" t="s">
        <v>3830</v>
      </c>
      <c r="DL1729" s="160" t="s">
        <v>3831</v>
      </c>
      <c r="DM1729" s="160" t="s">
        <v>821</v>
      </c>
      <c r="DN1729" s="161" t="s">
        <v>3832</v>
      </c>
      <c r="DP1729" s="130">
        <v>1</v>
      </c>
    </row>
    <row r="1730" spans="109:120" ht="25.5">
      <c r="DE1730" s="152"/>
      <c r="DF1730" s="160" t="s">
        <v>4387</v>
      </c>
      <c r="DG1730" s="160" t="s">
        <v>118</v>
      </c>
      <c r="DH1730" s="160" t="s">
        <v>125</v>
      </c>
      <c r="DI1730" s="160" t="s">
        <v>4388</v>
      </c>
      <c r="DJ1730" s="160" t="s">
        <v>4388</v>
      </c>
      <c r="DK1730" s="160" t="s">
        <v>3830</v>
      </c>
      <c r="DL1730" s="160" t="s">
        <v>3831</v>
      </c>
      <c r="DM1730" s="160" t="s">
        <v>821</v>
      </c>
      <c r="DN1730" s="161" t="s">
        <v>3832</v>
      </c>
      <c r="DP1730" s="130">
        <v>1</v>
      </c>
    </row>
    <row r="1731" spans="109:120" ht="25.5">
      <c r="DE1731" s="152"/>
      <c r="DF1731" s="160" t="s">
        <v>4389</v>
      </c>
      <c r="DG1731" s="160" t="s">
        <v>118</v>
      </c>
      <c r="DH1731" s="160" t="s">
        <v>125</v>
      </c>
      <c r="DI1731" s="160" t="s">
        <v>4390</v>
      </c>
      <c r="DJ1731" s="160" t="s">
        <v>4390</v>
      </c>
      <c r="DK1731" s="160" t="s">
        <v>3830</v>
      </c>
      <c r="DL1731" s="160" t="s">
        <v>3831</v>
      </c>
      <c r="DM1731" s="160" t="s">
        <v>821</v>
      </c>
      <c r="DN1731" s="161" t="s">
        <v>3832</v>
      </c>
      <c r="DP1731" s="130">
        <v>1</v>
      </c>
    </row>
    <row r="1732" spans="109:120" ht="15">
      <c r="DE1732" s="152"/>
      <c r="DF1732" s="160" t="s">
        <v>4391</v>
      </c>
      <c r="DG1732" s="160" t="s">
        <v>118</v>
      </c>
      <c r="DH1732" s="160" t="s">
        <v>125</v>
      </c>
      <c r="DI1732" s="160" t="s">
        <v>4392</v>
      </c>
      <c r="DJ1732" s="160" t="s">
        <v>4392</v>
      </c>
      <c r="DK1732" s="160" t="s">
        <v>588</v>
      </c>
      <c r="DL1732" s="160" t="s">
        <v>3844</v>
      </c>
      <c r="DM1732" s="160" t="s">
        <v>590</v>
      </c>
      <c r="DN1732" s="161" t="s">
        <v>591</v>
      </c>
      <c r="DP1732" s="130">
        <v>1</v>
      </c>
    </row>
    <row r="1733" spans="109:120" ht="15">
      <c r="DE1733" s="152"/>
      <c r="DF1733" s="160" t="s">
        <v>4393</v>
      </c>
      <c r="DG1733" s="160" t="s">
        <v>118</v>
      </c>
      <c r="DH1733" s="160" t="s">
        <v>125</v>
      </c>
      <c r="DI1733" s="160" t="s">
        <v>4394</v>
      </c>
      <c r="DJ1733" s="160" t="s">
        <v>4394</v>
      </c>
      <c r="DK1733" s="160" t="s">
        <v>588</v>
      </c>
      <c r="DL1733" s="160" t="s">
        <v>3844</v>
      </c>
      <c r="DM1733" s="160" t="s">
        <v>590</v>
      </c>
      <c r="DN1733" s="161" t="s">
        <v>591</v>
      </c>
      <c r="DP1733" s="130">
        <v>1</v>
      </c>
    </row>
    <row r="1734" spans="109:120" ht="15">
      <c r="DE1734" s="152"/>
      <c r="DF1734" s="160" t="s">
        <v>4395</v>
      </c>
      <c r="DG1734" s="160" t="s">
        <v>118</v>
      </c>
      <c r="DH1734" s="160" t="s">
        <v>125</v>
      </c>
      <c r="DI1734" s="160" t="s">
        <v>4396</v>
      </c>
      <c r="DJ1734" s="160" t="s">
        <v>4396</v>
      </c>
      <c r="DK1734" s="160" t="s">
        <v>588</v>
      </c>
      <c r="DL1734" s="160" t="s">
        <v>3844</v>
      </c>
      <c r="DM1734" s="160" t="s">
        <v>590</v>
      </c>
      <c r="DN1734" s="161" t="s">
        <v>591</v>
      </c>
      <c r="DP1734" s="130">
        <v>1</v>
      </c>
    </row>
    <row r="1735" spans="109:120" ht="25.5">
      <c r="DE1735" s="152"/>
      <c r="DF1735" s="160" t="s">
        <v>4397</v>
      </c>
      <c r="DG1735" s="160" t="s">
        <v>118</v>
      </c>
      <c r="DH1735" s="160" t="s">
        <v>125</v>
      </c>
      <c r="DI1735" s="160" t="s">
        <v>4398</v>
      </c>
      <c r="DJ1735" s="160" t="s">
        <v>4398</v>
      </c>
      <c r="DK1735" s="160" t="s">
        <v>3830</v>
      </c>
      <c r="DL1735" s="160" t="s">
        <v>3831</v>
      </c>
      <c r="DM1735" s="160" t="s">
        <v>821</v>
      </c>
      <c r="DN1735" s="161" t="s">
        <v>3832</v>
      </c>
      <c r="DP1735" s="130">
        <v>1</v>
      </c>
    </row>
    <row r="1736" spans="109:120" ht="25.5">
      <c r="DE1736" s="152"/>
      <c r="DF1736" s="160" t="s">
        <v>4399</v>
      </c>
      <c r="DG1736" s="160" t="s">
        <v>118</v>
      </c>
      <c r="DH1736" s="160" t="s">
        <v>125</v>
      </c>
      <c r="DI1736" s="160" t="s">
        <v>4400</v>
      </c>
      <c r="DJ1736" s="160" t="s">
        <v>4401</v>
      </c>
      <c r="DK1736" s="160" t="s">
        <v>3830</v>
      </c>
      <c r="DL1736" s="160" t="s">
        <v>3831</v>
      </c>
      <c r="DM1736" s="160" t="s">
        <v>821</v>
      </c>
      <c r="DN1736" s="161" t="s">
        <v>3832</v>
      </c>
      <c r="DP1736" s="130">
        <v>1</v>
      </c>
    </row>
    <row r="1737" spans="109:120" ht="25.5">
      <c r="DE1737" s="152"/>
      <c r="DF1737" s="160" t="s">
        <v>4402</v>
      </c>
      <c r="DG1737" s="160" t="s">
        <v>118</v>
      </c>
      <c r="DH1737" s="160" t="s">
        <v>125</v>
      </c>
      <c r="DI1737" s="160" t="s">
        <v>4403</v>
      </c>
      <c r="DJ1737" s="160" t="s">
        <v>4404</v>
      </c>
      <c r="DK1737" s="160" t="s">
        <v>3830</v>
      </c>
      <c r="DL1737" s="160" t="s">
        <v>3831</v>
      </c>
      <c r="DM1737" s="160" t="s">
        <v>821</v>
      </c>
      <c r="DN1737" s="161" t="s">
        <v>3832</v>
      </c>
      <c r="DP1737" s="130">
        <v>1</v>
      </c>
    </row>
    <row r="1738" spans="109:120" ht="25.5">
      <c r="DE1738" s="152"/>
      <c r="DF1738" s="160" t="s">
        <v>4405</v>
      </c>
      <c r="DG1738" s="160" t="s">
        <v>118</v>
      </c>
      <c r="DH1738" s="160" t="s">
        <v>125</v>
      </c>
      <c r="DI1738" s="160" t="s">
        <v>4406</v>
      </c>
      <c r="DJ1738" s="160" t="s">
        <v>4407</v>
      </c>
      <c r="DK1738" s="160" t="s">
        <v>3830</v>
      </c>
      <c r="DL1738" s="160" t="s">
        <v>3831</v>
      </c>
      <c r="DM1738" s="160" t="s">
        <v>821</v>
      </c>
      <c r="DN1738" s="161" t="s">
        <v>3832</v>
      </c>
      <c r="DP1738" s="130">
        <v>1</v>
      </c>
    </row>
    <row r="1739" spans="109:120" ht="25.5">
      <c r="DE1739" s="152"/>
      <c r="DF1739" s="160" t="s">
        <v>4408</v>
      </c>
      <c r="DG1739" s="160" t="s">
        <v>118</v>
      </c>
      <c r="DH1739" s="160" t="s">
        <v>125</v>
      </c>
      <c r="DI1739" s="160" t="s">
        <v>4409</v>
      </c>
      <c r="DJ1739" s="160" t="s">
        <v>4409</v>
      </c>
      <c r="DK1739" s="160" t="s">
        <v>3830</v>
      </c>
      <c r="DL1739" s="160" t="s">
        <v>3831</v>
      </c>
      <c r="DM1739" s="160" t="s">
        <v>821</v>
      </c>
      <c r="DN1739" s="161" t="s">
        <v>3832</v>
      </c>
      <c r="DP1739" s="130">
        <v>1</v>
      </c>
    </row>
    <row r="1740" spans="109:120" ht="15">
      <c r="DE1740" s="152"/>
      <c r="DF1740" s="160" t="s">
        <v>4410</v>
      </c>
      <c r="DG1740" s="160" t="s">
        <v>118</v>
      </c>
      <c r="DH1740" s="160" t="s">
        <v>125</v>
      </c>
      <c r="DI1740" s="160" t="s">
        <v>501</v>
      </c>
      <c r="DJ1740" s="160" t="s">
        <v>501</v>
      </c>
      <c r="DK1740" s="160" t="s">
        <v>666</v>
      </c>
      <c r="DL1740" s="160" t="s">
        <v>667</v>
      </c>
      <c r="DM1740" s="160" t="s">
        <v>590</v>
      </c>
      <c r="DN1740" s="161" t="s">
        <v>668</v>
      </c>
      <c r="DP1740" s="130">
        <v>1</v>
      </c>
    </row>
    <row r="1741" spans="109:120" ht="25.5">
      <c r="DE1741" s="152"/>
      <c r="DF1741" s="160" t="s">
        <v>4411</v>
      </c>
      <c r="DG1741" s="160" t="s">
        <v>118</v>
      </c>
      <c r="DH1741" s="160" t="s">
        <v>125</v>
      </c>
      <c r="DI1741" s="160" t="s">
        <v>502</v>
      </c>
      <c r="DJ1741" s="160" t="s">
        <v>502</v>
      </c>
      <c r="DK1741" s="160" t="s">
        <v>3830</v>
      </c>
      <c r="DL1741" s="160" t="s">
        <v>3831</v>
      </c>
      <c r="DM1741" s="160" t="s">
        <v>821</v>
      </c>
      <c r="DN1741" s="161" t="s">
        <v>3832</v>
      </c>
      <c r="DP1741" s="130">
        <v>1</v>
      </c>
    </row>
    <row r="1742" spans="109:120" ht="25.5">
      <c r="DE1742" s="152"/>
      <c r="DF1742" s="160" t="s">
        <v>4412</v>
      </c>
      <c r="DG1742" s="160" t="s">
        <v>118</v>
      </c>
      <c r="DH1742" s="160" t="s">
        <v>125</v>
      </c>
      <c r="DI1742" s="160" t="s">
        <v>4413</v>
      </c>
      <c r="DJ1742" s="160" t="s">
        <v>4413</v>
      </c>
      <c r="DK1742" s="160" t="s">
        <v>3830</v>
      </c>
      <c r="DL1742" s="160" t="s">
        <v>3831</v>
      </c>
      <c r="DM1742" s="160" t="s">
        <v>821</v>
      </c>
      <c r="DN1742" s="161" t="s">
        <v>3832</v>
      </c>
      <c r="DP1742" s="130">
        <v>1</v>
      </c>
    </row>
    <row r="1743" spans="109:120" ht="15">
      <c r="DE1743" s="152"/>
      <c r="DF1743" s="160" t="s">
        <v>4414</v>
      </c>
      <c r="DG1743" s="160" t="s">
        <v>118</v>
      </c>
      <c r="DH1743" s="160" t="s">
        <v>125</v>
      </c>
      <c r="DI1743" s="160" t="s">
        <v>228</v>
      </c>
      <c r="DJ1743" s="160" t="s">
        <v>228</v>
      </c>
      <c r="DK1743" s="160" t="s">
        <v>588</v>
      </c>
      <c r="DL1743" s="160" t="s">
        <v>3844</v>
      </c>
      <c r="DM1743" s="160" t="s">
        <v>590</v>
      </c>
      <c r="DN1743" s="161" t="s">
        <v>591</v>
      </c>
      <c r="DP1743" s="130">
        <v>1</v>
      </c>
    </row>
    <row r="1744" spans="109:120" ht="25.5">
      <c r="DE1744" s="152"/>
      <c r="DF1744" s="160" t="s">
        <v>4415</v>
      </c>
      <c r="DG1744" s="160" t="s">
        <v>118</v>
      </c>
      <c r="DH1744" s="160" t="s">
        <v>125</v>
      </c>
      <c r="DI1744" s="160" t="s">
        <v>4416</v>
      </c>
      <c r="DJ1744" s="160" t="s">
        <v>4417</v>
      </c>
      <c r="DK1744" s="160" t="s">
        <v>3830</v>
      </c>
      <c r="DL1744" s="160" t="s">
        <v>3831</v>
      </c>
      <c r="DM1744" s="160" t="s">
        <v>821</v>
      </c>
      <c r="DN1744" s="161" t="s">
        <v>3832</v>
      </c>
      <c r="DP1744" s="130">
        <v>1</v>
      </c>
    </row>
    <row r="1745" spans="109:120" ht="25.5">
      <c r="DE1745" s="152"/>
      <c r="DF1745" s="160" t="s">
        <v>4418</v>
      </c>
      <c r="DG1745" s="160" t="s">
        <v>118</v>
      </c>
      <c r="DH1745" s="160" t="s">
        <v>125</v>
      </c>
      <c r="DI1745" s="160" t="s">
        <v>4419</v>
      </c>
      <c r="DJ1745" s="160" t="s">
        <v>4419</v>
      </c>
      <c r="DK1745" s="160" t="s">
        <v>3830</v>
      </c>
      <c r="DL1745" s="160" t="s">
        <v>3831</v>
      </c>
      <c r="DM1745" s="160" t="s">
        <v>821</v>
      </c>
      <c r="DN1745" s="161" t="s">
        <v>3832</v>
      </c>
      <c r="DP1745" s="130">
        <v>1</v>
      </c>
    </row>
    <row r="1746" spans="109:120" ht="15">
      <c r="DE1746" s="152"/>
      <c r="DF1746" s="160" t="s">
        <v>4420</v>
      </c>
      <c r="DG1746" s="160" t="s">
        <v>118</v>
      </c>
      <c r="DH1746" s="160" t="s">
        <v>125</v>
      </c>
      <c r="DI1746" s="160" t="s">
        <v>4421</v>
      </c>
      <c r="DJ1746" s="160" t="s">
        <v>4421</v>
      </c>
      <c r="DK1746" s="160" t="s">
        <v>588</v>
      </c>
      <c r="DL1746" s="160" t="s">
        <v>3844</v>
      </c>
      <c r="DM1746" s="160" t="s">
        <v>590</v>
      </c>
      <c r="DN1746" s="161" t="s">
        <v>591</v>
      </c>
      <c r="DP1746" s="130">
        <v>1</v>
      </c>
    </row>
    <row r="1747" spans="109:120" ht="15">
      <c r="DE1747" s="152"/>
      <c r="DF1747" s="160" t="s">
        <v>4422</v>
      </c>
      <c r="DG1747" s="160" t="s">
        <v>118</v>
      </c>
      <c r="DH1747" s="160" t="s">
        <v>125</v>
      </c>
      <c r="DI1747" s="160" t="s">
        <v>4423</v>
      </c>
      <c r="DJ1747" s="160" t="s">
        <v>4423</v>
      </c>
      <c r="DK1747" s="160" t="s">
        <v>666</v>
      </c>
      <c r="DL1747" s="160" t="s">
        <v>667</v>
      </c>
      <c r="DM1747" s="160" t="s">
        <v>590</v>
      </c>
      <c r="DN1747" s="161" t="s">
        <v>668</v>
      </c>
      <c r="DP1747" s="130">
        <v>1</v>
      </c>
    </row>
    <row r="1748" spans="109:120" ht="15">
      <c r="DE1748" s="152"/>
      <c r="DF1748" s="160" t="s">
        <v>4424</v>
      </c>
      <c r="DG1748" s="160" t="s">
        <v>118</v>
      </c>
      <c r="DH1748" s="160" t="s">
        <v>125</v>
      </c>
      <c r="DI1748" s="160" t="s">
        <v>4425</v>
      </c>
      <c r="DJ1748" s="160" t="s">
        <v>4425</v>
      </c>
      <c r="DK1748" s="160" t="s">
        <v>588</v>
      </c>
      <c r="DL1748" s="160" t="s">
        <v>3844</v>
      </c>
      <c r="DM1748" s="160" t="s">
        <v>590</v>
      </c>
      <c r="DN1748" s="161" t="s">
        <v>591</v>
      </c>
      <c r="DP1748" s="130">
        <v>1</v>
      </c>
    </row>
    <row r="1749" spans="109:120" ht="25.5">
      <c r="DE1749" s="152"/>
      <c r="DF1749" s="160" t="s">
        <v>4426</v>
      </c>
      <c r="DG1749" s="160" t="s">
        <v>118</v>
      </c>
      <c r="DH1749" s="160" t="s">
        <v>125</v>
      </c>
      <c r="DI1749" s="160" t="s">
        <v>4427</v>
      </c>
      <c r="DJ1749" s="160" t="s">
        <v>4427</v>
      </c>
      <c r="DK1749" s="160" t="s">
        <v>3830</v>
      </c>
      <c r="DL1749" s="160" t="s">
        <v>3831</v>
      </c>
      <c r="DM1749" s="160" t="s">
        <v>821</v>
      </c>
      <c r="DN1749" s="161" t="s">
        <v>3832</v>
      </c>
      <c r="DP1749" s="130">
        <v>1</v>
      </c>
    </row>
    <row r="1750" spans="109:120" ht="15">
      <c r="DE1750" s="152"/>
      <c r="DF1750" s="160" t="s">
        <v>4428</v>
      </c>
      <c r="DG1750" s="160" t="s">
        <v>118</v>
      </c>
      <c r="DH1750" s="160" t="s">
        <v>125</v>
      </c>
      <c r="DI1750" s="160" t="s">
        <v>4429</v>
      </c>
      <c r="DJ1750" s="160" t="s">
        <v>4429</v>
      </c>
      <c r="DK1750" s="160" t="s">
        <v>666</v>
      </c>
      <c r="DL1750" s="160" t="s">
        <v>667</v>
      </c>
      <c r="DM1750" s="160" t="s">
        <v>590</v>
      </c>
      <c r="DN1750" s="161" t="s">
        <v>668</v>
      </c>
      <c r="DP1750" s="130">
        <v>1</v>
      </c>
    </row>
    <row r="1751" spans="109:120" ht="15">
      <c r="DE1751" s="152"/>
      <c r="DF1751" s="160" t="s">
        <v>4430</v>
      </c>
      <c r="DG1751" s="160" t="s">
        <v>118</v>
      </c>
      <c r="DH1751" s="160" t="s">
        <v>126</v>
      </c>
      <c r="DI1751" s="160" t="s">
        <v>4431</v>
      </c>
      <c r="DJ1751" s="160" t="s">
        <v>4431</v>
      </c>
      <c r="DK1751" s="160" t="s">
        <v>666</v>
      </c>
      <c r="DL1751" s="160" t="s">
        <v>952</v>
      </c>
      <c r="DM1751" s="160" t="s">
        <v>590</v>
      </c>
      <c r="DN1751" s="161" t="s">
        <v>668</v>
      </c>
      <c r="DP1751" s="130">
        <v>1</v>
      </c>
    </row>
    <row r="1752" spans="109:120" ht="15">
      <c r="DE1752" s="152"/>
      <c r="DF1752" s="160" t="s">
        <v>4432</v>
      </c>
      <c r="DG1752" s="160" t="s">
        <v>118</v>
      </c>
      <c r="DH1752" s="160" t="s">
        <v>126</v>
      </c>
      <c r="DI1752" s="160" t="s">
        <v>4433</v>
      </c>
      <c r="DJ1752" s="160" t="s">
        <v>4433</v>
      </c>
      <c r="DK1752" s="160" t="s">
        <v>666</v>
      </c>
      <c r="DL1752" s="160" t="s">
        <v>952</v>
      </c>
      <c r="DM1752" s="160" t="s">
        <v>590</v>
      </c>
      <c r="DN1752" s="161" t="s">
        <v>668</v>
      </c>
      <c r="DP1752" s="130">
        <v>1</v>
      </c>
    </row>
    <row r="1753" spans="109:120" ht="25.5">
      <c r="DE1753" s="152"/>
      <c r="DF1753" s="160" t="s">
        <v>4434</v>
      </c>
      <c r="DG1753" s="160" t="s">
        <v>118</v>
      </c>
      <c r="DH1753" s="160" t="s">
        <v>126</v>
      </c>
      <c r="DI1753" s="160" t="s">
        <v>4435</v>
      </c>
      <c r="DJ1753" s="160" t="s">
        <v>4436</v>
      </c>
      <c r="DK1753" s="160" t="s">
        <v>3830</v>
      </c>
      <c r="DL1753" s="160" t="s">
        <v>4437</v>
      </c>
      <c r="DM1753" s="160" t="s">
        <v>821</v>
      </c>
      <c r="DN1753" s="161" t="s">
        <v>3832</v>
      </c>
      <c r="DP1753" s="130">
        <v>1</v>
      </c>
    </row>
    <row r="1754" spans="109:120" ht="15">
      <c r="DE1754" s="152"/>
      <c r="DF1754" s="160" t="s">
        <v>4438</v>
      </c>
      <c r="DG1754" s="160" t="s">
        <v>118</v>
      </c>
      <c r="DH1754" s="160" t="s">
        <v>126</v>
      </c>
      <c r="DI1754" s="160" t="s">
        <v>333</v>
      </c>
      <c r="DJ1754" s="160" t="s">
        <v>333</v>
      </c>
      <c r="DK1754" s="160" t="s">
        <v>588</v>
      </c>
      <c r="DL1754" s="160" t="s">
        <v>4439</v>
      </c>
      <c r="DM1754" s="160" t="s">
        <v>590</v>
      </c>
      <c r="DN1754" s="161" t="s">
        <v>591</v>
      </c>
      <c r="DP1754" s="130">
        <v>1</v>
      </c>
    </row>
    <row r="1755" spans="109:120" ht="15">
      <c r="DE1755" s="152"/>
      <c r="DF1755" s="160" t="s">
        <v>4440</v>
      </c>
      <c r="DG1755" s="160" t="s">
        <v>118</v>
      </c>
      <c r="DH1755" s="160" t="s">
        <v>126</v>
      </c>
      <c r="DI1755" s="160" t="s">
        <v>129</v>
      </c>
      <c r="DJ1755" s="160" t="s">
        <v>129</v>
      </c>
      <c r="DK1755" s="160" t="s">
        <v>588</v>
      </c>
      <c r="DL1755" s="160" t="s">
        <v>4439</v>
      </c>
      <c r="DM1755" s="160" t="s">
        <v>590</v>
      </c>
      <c r="DN1755" s="161" t="s">
        <v>591</v>
      </c>
      <c r="DP1755" s="130">
        <v>1</v>
      </c>
    </row>
    <row r="1756" spans="109:120" ht="15">
      <c r="DE1756" s="152"/>
      <c r="DF1756" s="160" t="s">
        <v>4441</v>
      </c>
      <c r="DG1756" s="160" t="s">
        <v>118</v>
      </c>
      <c r="DH1756" s="160" t="s">
        <v>126</v>
      </c>
      <c r="DI1756" s="160" t="s">
        <v>3699</v>
      </c>
      <c r="DJ1756" s="160" t="s">
        <v>130</v>
      </c>
      <c r="DK1756" s="160" t="s">
        <v>588</v>
      </c>
      <c r="DL1756" s="160" t="s">
        <v>4439</v>
      </c>
      <c r="DM1756" s="160" t="s">
        <v>590</v>
      </c>
      <c r="DN1756" s="161" t="s">
        <v>591</v>
      </c>
      <c r="DP1756" s="130">
        <v>1</v>
      </c>
    </row>
    <row r="1757" spans="109:120" ht="15">
      <c r="DE1757" s="152"/>
      <c r="DF1757" s="160" t="s">
        <v>4442</v>
      </c>
      <c r="DG1757" s="160" t="s">
        <v>118</v>
      </c>
      <c r="DH1757" s="160" t="s">
        <v>126</v>
      </c>
      <c r="DI1757" s="160" t="s">
        <v>334</v>
      </c>
      <c r="DJ1757" s="160" t="s">
        <v>334</v>
      </c>
      <c r="DK1757" s="160" t="s">
        <v>588</v>
      </c>
      <c r="DL1757" s="160" t="s">
        <v>4439</v>
      </c>
      <c r="DM1757" s="160" t="s">
        <v>590</v>
      </c>
      <c r="DN1757" s="161" t="s">
        <v>591</v>
      </c>
      <c r="DP1757" s="130">
        <v>1</v>
      </c>
    </row>
    <row r="1758" spans="109:120" ht="15">
      <c r="DE1758" s="152"/>
      <c r="DF1758" s="160" t="s">
        <v>4443</v>
      </c>
      <c r="DG1758" s="160" t="s">
        <v>118</v>
      </c>
      <c r="DH1758" s="160" t="s">
        <v>126</v>
      </c>
      <c r="DI1758" s="160" t="s">
        <v>335</v>
      </c>
      <c r="DJ1758" s="160" t="s">
        <v>335</v>
      </c>
      <c r="DK1758" s="160" t="s">
        <v>588</v>
      </c>
      <c r="DL1758" s="160" t="s">
        <v>4439</v>
      </c>
      <c r="DM1758" s="160" t="s">
        <v>590</v>
      </c>
      <c r="DN1758" s="161" t="s">
        <v>591</v>
      </c>
      <c r="DP1758" s="130">
        <v>1</v>
      </c>
    </row>
    <row r="1759" spans="109:120" ht="25.5">
      <c r="DE1759" s="152"/>
      <c r="DF1759" s="160" t="s">
        <v>4444</v>
      </c>
      <c r="DG1759" s="160" t="s">
        <v>118</v>
      </c>
      <c r="DH1759" s="160" t="s">
        <v>126</v>
      </c>
      <c r="DI1759" s="160" t="s">
        <v>336</v>
      </c>
      <c r="DJ1759" s="160" t="s">
        <v>336</v>
      </c>
      <c r="DK1759" s="160" t="s">
        <v>3830</v>
      </c>
      <c r="DL1759" s="160" t="s">
        <v>4437</v>
      </c>
      <c r="DM1759" s="160" t="s">
        <v>821</v>
      </c>
      <c r="DN1759" s="161" t="s">
        <v>3832</v>
      </c>
      <c r="DP1759" s="130">
        <v>1</v>
      </c>
    </row>
    <row r="1760" spans="109:120" ht="15">
      <c r="DE1760" s="152"/>
      <c r="DF1760" s="160" t="s">
        <v>4445</v>
      </c>
      <c r="DG1760" s="160" t="s">
        <v>118</v>
      </c>
      <c r="DH1760" s="160" t="s">
        <v>126</v>
      </c>
      <c r="DI1760" s="160" t="s">
        <v>4446</v>
      </c>
      <c r="DJ1760" s="160" t="s">
        <v>4447</v>
      </c>
      <c r="DK1760" s="160" t="s">
        <v>588</v>
      </c>
      <c r="DL1760" s="160" t="s">
        <v>4439</v>
      </c>
      <c r="DM1760" s="160" t="s">
        <v>590</v>
      </c>
      <c r="DN1760" s="161" t="s">
        <v>591</v>
      </c>
      <c r="DP1760" s="130">
        <v>1</v>
      </c>
    </row>
    <row r="1761" spans="109:120" ht="15">
      <c r="DE1761" s="152"/>
      <c r="DF1761" s="160" t="s">
        <v>4448</v>
      </c>
      <c r="DG1761" s="160" t="s">
        <v>118</v>
      </c>
      <c r="DH1761" s="160" t="s">
        <v>126</v>
      </c>
      <c r="DI1761" s="160" t="s">
        <v>337</v>
      </c>
      <c r="DJ1761" s="160" t="s">
        <v>337</v>
      </c>
      <c r="DK1761" s="160" t="s">
        <v>588</v>
      </c>
      <c r="DL1761" s="160" t="s">
        <v>4439</v>
      </c>
      <c r="DM1761" s="160" t="s">
        <v>590</v>
      </c>
      <c r="DN1761" s="161" t="s">
        <v>591</v>
      </c>
      <c r="DP1761" s="130">
        <v>1</v>
      </c>
    </row>
    <row r="1762" spans="109:120" ht="15">
      <c r="DE1762" s="152"/>
      <c r="DF1762" s="160" t="s">
        <v>4449</v>
      </c>
      <c r="DG1762" s="160" t="s">
        <v>118</v>
      </c>
      <c r="DH1762" s="160" t="s">
        <v>126</v>
      </c>
      <c r="DI1762" s="160" t="s">
        <v>4450</v>
      </c>
      <c r="DJ1762" s="160" t="s">
        <v>361</v>
      </c>
      <c r="DK1762" s="160" t="s">
        <v>588</v>
      </c>
      <c r="DL1762" s="160" t="s">
        <v>4439</v>
      </c>
      <c r="DM1762" s="160" t="s">
        <v>590</v>
      </c>
      <c r="DN1762" s="161" t="s">
        <v>591</v>
      </c>
      <c r="DP1762" s="130">
        <v>1</v>
      </c>
    </row>
    <row r="1763" spans="109:120" ht="15">
      <c r="DE1763" s="152"/>
      <c r="DF1763" s="160" t="s">
        <v>4451</v>
      </c>
      <c r="DG1763" s="160" t="s">
        <v>118</v>
      </c>
      <c r="DH1763" s="160" t="s">
        <v>126</v>
      </c>
      <c r="DI1763" s="160" t="s">
        <v>4452</v>
      </c>
      <c r="DJ1763" s="160" t="s">
        <v>4452</v>
      </c>
      <c r="DK1763" s="160" t="s">
        <v>666</v>
      </c>
      <c r="DL1763" s="160" t="s">
        <v>952</v>
      </c>
      <c r="DM1763" s="160" t="s">
        <v>590</v>
      </c>
      <c r="DN1763" s="161" t="s">
        <v>668</v>
      </c>
      <c r="DP1763" s="130">
        <v>1</v>
      </c>
    </row>
    <row r="1764" spans="109:120" ht="15">
      <c r="DE1764" s="152"/>
      <c r="DF1764" s="160" t="s">
        <v>4453</v>
      </c>
      <c r="DG1764" s="160" t="s">
        <v>118</v>
      </c>
      <c r="DH1764" s="160" t="s">
        <v>126</v>
      </c>
      <c r="DI1764" s="160" t="s">
        <v>4454</v>
      </c>
      <c r="DJ1764" s="160" t="s">
        <v>4454</v>
      </c>
      <c r="DK1764" s="160" t="s">
        <v>666</v>
      </c>
      <c r="DL1764" s="160" t="s">
        <v>952</v>
      </c>
      <c r="DM1764" s="160" t="s">
        <v>590</v>
      </c>
      <c r="DN1764" s="161" t="s">
        <v>668</v>
      </c>
      <c r="DP1764" s="130">
        <v>1</v>
      </c>
    </row>
    <row r="1765" spans="109:120" ht="25.5">
      <c r="DE1765" s="152"/>
      <c r="DF1765" s="160" t="s">
        <v>4455</v>
      </c>
      <c r="DG1765" s="160" t="s">
        <v>118</v>
      </c>
      <c r="DH1765" s="160" t="s">
        <v>126</v>
      </c>
      <c r="DI1765" s="160" t="s">
        <v>4456</v>
      </c>
      <c r="DJ1765" s="160" t="s">
        <v>4456</v>
      </c>
      <c r="DK1765" s="160" t="s">
        <v>3830</v>
      </c>
      <c r="DL1765" s="160" t="s">
        <v>4437</v>
      </c>
      <c r="DM1765" s="160" t="s">
        <v>821</v>
      </c>
      <c r="DN1765" s="161" t="s">
        <v>3832</v>
      </c>
      <c r="DP1765" s="130">
        <v>1</v>
      </c>
    </row>
    <row r="1766" spans="109:120" ht="15">
      <c r="DE1766" s="152"/>
      <c r="DF1766" s="160" t="s">
        <v>4457</v>
      </c>
      <c r="DG1766" s="160" t="s">
        <v>118</v>
      </c>
      <c r="DH1766" s="160" t="s">
        <v>126</v>
      </c>
      <c r="DI1766" s="160" t="s">
        <v>4458</v>
      </c>
      <c r="DJ1766" s="160" t="s">
        <v>4458</v>
      </c>
      <c r="DK1766" s="160" t="s">
        <v>666</v>
      </c>
      <c r="DL1766" s="160" t="s">
        <v>952</v>
      </c>
      <c r="DM1766" s="160" t="s">
        <v>590</v>
      </c>
      <c r="DN1766" s="161" t="s">
        <v>668</v>
      </c>
      <c r="DP1766" s="130">
        <v>1</v>
      </c>
    </row>
    <row r="1767" spans="109:120" ht="15">
      <c r="DE1767" s="152"/>
      <c r="DF1767" s="160" t="s">
        <v>4459</v>
      </c>
      <c r="DG1767" s="160" t="s">
        <v>118</v>
      </c>
      <c r="DH1767" s="160" t="s">
        <v>126</v>
      </c>
      <c r="DI1767" s="160" t="s">
        <v>4460</v>
      </c>
      <c r="DJ1767" s="160" t="s">
        <v>4460</v>
      </c>
      <c r="DK1767" s="160" t="s">
        <v>666</v>
      </c>
      <c r="DL1767" s="160" t="s">
        <v>952</v>
      </c>
      <c r="DM1767" s="160" t="s">
        <v>590</v>
      </c>
      <c r="DN1767" s="161" t="s">
        <v>668</v>
      </c>
      <c r="DP1767" s="130">
        <v>1</v>
      </c>
    </row>
    <row r="1768" spans="109:120" ht="15">
      <c r="DE1768" s="152"/>
      <c r="DF1768" s="160" t="s">
        <v>4461</v>
      </c>
      <c r="DG1768" s="160" t="s">
        <v>118</v>
      </c>
      <c r="DH1768" s="160" t="s">
        <v>126</v>
      </c>
      <c r="DI1768" s="160" t="s">
        <v>4462</v>
      </c>
      <c r="DJ1768" s="160" t="s">
        <v>4462</v>
      </c>
      <c r="DK1768" s="160" t="s">
        <v>666</v>
      </c>
      <c r="DL1768" s="160" t="s">
        <v>952</v>
      </c>
      <c r="DM1768" s="160" t="s">
        <v>590</v>
      </c>
      <c r="DN1768" s="161" t="s">
        <v>668</v>
      </c>
      <c r="DP1768" s="130">
        <v>1</v>
      </c>
    </row>
    <row r="1769" spans="109:120" ht="25.5">
      <c r="DE1769" s="152"/>
      <c r="DF1769" s="160" t="s">
        <v>4463</v>
      </c>
      <c r="DG1769" s="160" t="s">
        <v>118</v>
      </c>
      <c r="DH1769" s="160" t="s">
        <v>126</v>
      </c>
      <c r="DI1769" s="160" t="s">
        <v>4464</v>
      </c>
      <c r="DJ1769" s="160" t="s">
        <v>156</v>
      </c>
      <c r="DK1769" s="160" t="s">
        <v>3830</v>
      </c>
      <c r="DL1769" s="160" t="s">
        <v>4437</v>
      </c>
      <c r="DM1769" s="160" t="s">
        <v>821</v>
      </c>
      <c r="DN1769" s="161" t="s">
        <v>3832</v>
      </c>
      <c r="DP1769" s="130">
        <v>1</v>
      </c>
    </row>
    <row r="1770" spans="109:120" ht="25.5">
      <c r="DE1770" s="152"/>
      <c r="DF1770" s="160" t="s">
        <v>4465</v>
      </c>
      <c r="DG1770" s="160" t="s">
        <v>118</v>
      </c>
      <c r="DH1770" s="160" t="s">
        <v>126</v>
      </c>
      <c r="DI1770" s="160" t="s">
        <v>4466</v>
      </c>
      <c r="DJ1770" s="160" t="s">
        <v>357</v>
      </c>
      <c r="DK1770" s="160" t="s">
        <v>3830</v>
      </c>
      <c r="DL1770" s="160" t="s">
        <v>4437</v>
      </c>
      <c r="DM1770" s="160" t="s">
        <v>821</v>
      </c>
      <c r="DN1770" s="161" t="s">
        <v>3832</v>
      </c>
      <c r="DP1770" s="130">
        <v>1</v>
      </c>
    </row>
    <row r="1771" spans="109:120" ht="15">
      <c r="DE1771" s="152"/>
      <c r="DF1771" s="160" t="s">
        <v>4467</v>
      </c>
      <c r="DG1771" s="160" t="s">
        <v>118</v>
      </c>
      <c r="DH1771" s="160" t="s">
        <v>126</v>
      </c>
      <c r="DI1771" s="160" t="s">
        <v>4468</v>
      </c>
      <c r="DJ1771" s="160" t="s">
        <v>4469</v>
      </c>
      <c r="DK1771" s="160" t="s">
        <v>588</v>
      </c>
      <c r="DL1771" s="160" t="s">
        <v>4439</v>
      </c>
      <c r="DM1771" s="160" t="s">
        <v>590</v>
      </c>
      <c r="DN1771" s="161" t="s">
        <v>591</v>
      </c>
      <c r="DP1771" s="130">
        <v>1</v>
      </c>
    </row>
    <row r="1772" spans="109:120" ht="25.5">
      <c r="DE1772" s="152"/>
      <c r="DF1772" s="160" t="s">
        <v>4470</v>
      </c>
      <c r="DG1772" s="160" t="s">
        <v>118</v>
      </c>
      <c r="DH1772" s="160" t="s">
        <v>126</v>
      </c>
      <c r="DI1772" s="160" t="s">
        <v>4471</v>
      </c>
      <c r="DJ1772" s="160" t="s">
        <v>157</v>
      </c>
      <c r="DK1772" s="160" t="s">
        <v>3830</v>
      </c>
      <c r="DL1772" s="160" t="s">
        <v>4437</v>
      </c>
      <c r="DM1772" s="160" t="s">
        <v>821</v>
      </c>
      <c r="DN1772" s="161" t="s">
        <v>3832</v>
      </c>
      <c r="DP1772" s="130">
        <v>1</v>
      </c>
    </row>
    <row r="1773" spans="109:120" ht="15">
      <c r="DE1773" s="152"/>
      <c r="DF1773" s="160" t="s">
        <v>4472</v>
      </c>
      <c r="DG1773" s="160" t="s">
        <v>118</v>
      </c>
      <c r="DH1773" s="160" t="s">
        <v>126</v>
      </c>
      <c r="DI1773" s="160" t="s">
        <v>4473</v>
      </c>
      <c r="DJ1773" s="160" t="s">
        <v>371</v>
      </c>
      <c r="DK1773" s="160" t="s">
        <v>588</v>
      </c>
      <c r="DL1773" s="160" t="s">
        <v>4439</v>
      </c>
      <c r="DM1773" s="160" t="s">
        <v>590</v>
      </c>
      <c r="DN1773" s="161" t="s">
        <v>591</v>
      </c>
      <c r="DP1773" s="130">
        <v>1</v>
      </c>
    </row>
    <row r="1774" spans="109:120" ht="15">
      <c r="DE1774" s="152"/>
      <c r="DF1774" s="160" t="s">
        <v>4474</v>
      </c>
      <c r="DG1774" s="160" t="s">
        <v>118</v>
      </c>
      <c r="DH1774" s="160" t="s">
        <v>126</v>
      </c>
      <c r="DI1774" s="160" t="s">
        <v>4475</v>
      </c>
      <c r="DJ1774" s="160" t="s">
        <v>340</v>
      </c>
      <c r="DK1774" s="160" t="s">
        <v>588</v>
      </c>
      <c r="DL1774" s="160" t="s">
        <v>4439</v>
      </c>
      <c r="DM1774" s="160" t="s">
        <v>590</v>
      </c>
      <c r="DN1774" s="161" t="s">
        <v>591</v>
      </c>
      <c r="DP1774" s="130">
        <v>1</v>
      </c>
    </row>
    <row r="1775" spans="109:120" ht="15">
      <c r="DE1775" s="152"/>
      <c r="DF1775" s="160" t="s">
        <v>4476</v>
      </c>
      <c r="DG1775" s="160" t="s">
        <v>118</v>
      </c>
      <c r="DH1775" s="160" t="s">
        <v>126</v>
      </c>
      <c r="DI1775" s="160" t="s">
        <v>4477</v>
      </c>
      <c r="DJ1775" s="160" t="s">
        <v>370</v>
      </c>
      <c r="DK1775" s="160" t="s">
        <v>588</v>
      </c>
      <c r="DL1775" s="160" t="s">
        <v>4439</v>
      </c>
      <c r="DM1775" s="160" t="s">
        <v>590</v>
      </c>
      <c r="DN1775" s="161" t="s">
        <v>591</v>
      </c>
      <c r="DP1775" s="130">
        <v>1</v>
      </c>
    </row>
    <row r="1776" spans="109:120" ht="15">
      <c r="DE1776" s="152"/>
      <c r="DF1776" s="160" t="s">
        <v>4478</v>
      </c>
      <c r="DG1776" s="160" t="s">
        <v>118</v>
      </c>
      <c r="DH1776" s="160" t="s">
        <v>126</v>
      </c>
      <c r="DI1776" s="160" t="s">
        <v>4479</v>
      </c>
      <c r="DJ1776" s="160" t="s">
        <v>4480</v>
      </c>
      <c r="DK1776" s="160" t="s">
        <v>588</v>
      </c>
      <c r="DL1776" s="160" t="s">
        <v>4439</v>
      </c>
      <c r="DM1776" s="160" t="s">
        <v>590</v>
      </c>
      <c r="DN1776" s="161" t="s">
        <v>591</v>
      </c>
      <c r="DP1776" s="130">
        <v>1</v>
      </c>
    </row>
    <row r="1777" spans="109:120" ht="25.5">
      <c r="DE1777" s="152"/>
      <c r="DF1777" s="160" t="s">
        <v>4481</v>
      </c>
      <c r="DG1777" s="160" t="s">
        <v>118</v>
      </c>
      <c r="DH1777" s="160" t="s">
        <v>126</v>
      </c>
      <c r="DI1777" s="160" t="s">
        <v>4482</v>
      </c>
      <c r="DJ1777" s="160" t="s">
        <v>358</v>
      </c>
      <c r="DK1777" s="160" t="s">
        <v>3830</v>
      </c>
      <c r="DL1777" s="160" t="s">
        <v>4437</v>
      </c>
      <c r="DM1777" s="160" t="s">
        <v>821</v>
      </c>
      <c r="DN1777" s="161" t="s">
        <v>3832</v>
      </c>
      <c r="DP1777" s="130">
        <v>1</v>
      </c>
    </row>
    <row r="1778" spans="109:120" ht="15">
      <c r="DE1778" s="152"/>
      <c r="DF1778" s="160" t="s">
        <v>4483</v>
      </c>
      <c r="DG1778" s="160" t="s">
        <v>118</v>
      </c>
      <c r="DH1778" s="160" t="s">
        <v>126</v>
      </c>
      <c r="DI1778" s="160" t="s">
        <v>3736</v>
      </c>
      <c r="DJ1778" s="160" t="s">
        <v>313</v>
      </c>
      <c r="DK1778" s="160" t="s">
        <v>4484</v>
      </c>
      <c r="DL1778" s="160" t="s">
        <v>4485</v>
      </c>
      <c r="DM1778" s="160" t="s">
        <v>590</v>
      </c>
      <c r="DN1778" s="161" t="s">
        <v>591</v>
      </c>
      <c r="DP1778" s="130">
        <v>1</v>
      </c>
    </row>
    <row r="1779" spans="109:120" ht="25.5">
      <c r="DE1779" s="152"/>
      <c r="DF1779" s="160" t="s">
        <v>4486</v>
      </c>
      <c r="DG1779" s="160" t="s">
        <v>118</v>
      </c>
      <c r="DH1779" s="160" t="s">
        <v>126</v>
      </c>
      <c r="DI1779" s="160" t="s">
        <v>4487</v>
      </c>
      <c r="DJ1779" s="160" t="s">
        <v>356</v>
      </c>
      <c r="DK1779" s="160" t="s">
        <v>3830</v>
      </c>
      <c r="DL1779" s="160" t="s">
        <v>4437</v>
      </c>
      <c r="DM1779" s="160" t="s">
        <v>821</v>
      </c>
      <c r="DN1779" s="161" t="s">
        <v>3832</v>
      </c>
      <c r="DP1779" s="130">
        <v>1</v>
      </c>
    </row>
    <row r="1780" spans="109:120" ht="25.5">
      <c r="DE1780" s="152"/>
      <c r="DF1780" s="160" t="s">
        <v>4488</v>
      </c>
      <c r="DG1780" s="160" t="s">
        <v>118</v>
      </c>
      <c r="DH1780" s="160" t="s">
        <v>126</v>
      </c>
      <c r="DI1780" s="160" t="s">
        <v>4489</v>
      </c>
      <c r="DJ1780" s="160" t="s">
        <v>4489</v>
      </c>
      <c r="DK1780" s="160" t="s">
        <v>3830</v>
      </c>
      <c r="DL1780" s="160" t="s">
        <v>4437</v>
      </c>
      <c r="DM1780" s="160" t="s">
        <v>821</v>
      </c>
      <c r="DN1780" s="161" t="s">
        <v>3832</v>
      </c>
      <c r="DP1780" s="130">
        <v>1</v>
      </c>
    </row>
    <row r="1781" spans="109:120" ht="15">
      <c r="DE1781" s="152"/>
      <c r="DF1781" s="160" t="s">
        <v>4490</v>
      </c>
      <c r="DG1781" s="160" t="s">
        <v>118</v>
      </c>
      <c r="DH1781" s="160" t="s">
        <v>126</v>
      </c>
      <c r="DI1781" s="160" t="s">
        <v>4491</v>
      </c>
      <c r="DJ1781" s="160" t="s">
        <v>4492</v>
      </c>
      <c r="DK1781" s="160" t="s">
        <v>588</v>
      </c>
      <c r="DL1781" s="160" t="s">
        <v>4439</v>
      </c>
      <c r="DM1781" s="160" t="s">
        <v>590</v>
      </c>
      <c r="DN1781" s="161" t="s">
        <v>591</v>
      </c>
      <c r="DP1781" s="130">
        <v>1</v>
      </c>
    </row>
    <row r="1782" spans="109:120" ht="25.5">
      <c r="DE1782" s="152"/>
      <c r="DF1782" s="160" t="s">
        <v>4493</v>
      </c>
      <c r="DG1782" s="160" t="s">
        <v>118</v>
      </c>
      <c r="DH1782" s="160" t="s">
        <v>126</v>
      </c>
      <c r="DI1782" s="160" t="s">
        <v>546</v>
      </c>
      <c r="DJ1782" s="160" t="s">
        <v>546</v>
      </c>
      <c r="DK1782" s="160" t="s">
        <v>3830</v>
      </c>
      <c r="DL1782" s="160" t="s">
        <v>4437</v>
      </c>
      <c r="DM1782" s="160" t="s">
        <v>821</v>
      </c>
      <c r="DN1782" s="161" t="s">
        <v>3832</v>
      </c>
      <c r="DP1782" s="130">
        <v>1</v>
      </c>
    </row>
    <row r="1783" spans="109:120" ht="25.5">
      <c r="DE1783" s="152"/>
      <c r="DF1783" s="160" t="s">
        <v>4494</v>
      </c>
      <c r="DG1783" s="160" t="s">
        <v>118</v>
      </c>
      <c r="DH1783" s="160" t="s">
        <v>126</v>
      </c>
      <c r="DI1783" s="160" t="s">
        <v>4495</v>
      </c>
      <c r="DJ1783" s="160" t="s">
        <v>547</v>
      </c>
      <c r="DK1783" s="160" t="s">
        <v>3830</v>
      </c>
      <c r="DL1783" s="160" t="s">
        <v>4437</v>
      </c>
      <c r="DM1783" s="160" t="s">
        <v>821</v>
      </c>
      <c r="DN1783" s="161" t="s">
        <v>3832</v>
      </c>
      <c r="DP1783" s="130">
        <v>1</v>
      </c>
    </row>
    <row r="1784" spans="109:120" ht="15">
      <c r="DE1784" s="152"/>
      <c r="DF1784" s="160" t="s">
        <v>4496</v>
      </c>
      <c r="DG1784" s="160" t="s">
        <v>118</v>
      </c>
      <c r="DH1784" s="160" t="s">
        <v>126</v>
      </c>
      <c r="DI1784" s="160" t="s">
        <v>158</v>
      </c>
      <c r="DJ1784" s="160" t="s">
        <v>158</v>
      </c>
      <c r="DK1784" s="160" t="s">
        <v>588</v>
      </c>
      <c r="DL1784" s="160" t="s">
        <v>4439</v>
      </c>
      <c r="DM1784" s="160" t="s">
        <v>590</v>
      </c>
      <c r="DN1784" s="161" t="s">
        <v>591</v>
      </c>
      <c r="DP1784" s="130">
        <v>1</v>
      </c>
    </row>
    <row r="1785" spans="109:120" ht="15">
      <c r="DE1785" s="152"/>
      <c r="DF1785" s="160" t="s">
        <v>4497</v>
      </c>
      <c r="DG1785" s="160" t="s">
        <v>118</v>
      </c>
      <c r="DH1785" s="160" t="s">
        <v>126</v>
      </c>
      <c r="DI1785" s="160" t="s">
        <v>190</v>
      </c>
      <c r="DJ1785" s="160" t="s">
        <v>190</v>
      </c>
      <c r="DK1785" s="160" t="s">
        <v>588</v>
      </c>
      <c r="DL1785" s="160" t="s">
        <v>4439</v>
      </c>
      <c r="DM1785" s="160" t="s">
        <v>590</v>
      </c>
      <c r="DN1785" s="161" t="s">
        <v>591</v>
      </c>
      <c r="DP1785" s="130">
        <v>1</v>
      </c>
    </row>
    <row r="1786" spans="109:120" ht="15">
      <c r="DE1786" s="152"/>
      <c r="DF1786" s="160" t="s">
        <v>4498</v>
      </c>
      <c r="DG1786" s="160" t="s">
        <v>118</v>
      </c>
      <c r="DH1786" s="160" t="s">
        <v>126</v>
      </c>
      <c r="DI1786" s="160" t="s">
        <v>159</v>
      </c>
      <c r="DJ1786" s="160" t="s">
        <v>159</v>
      </c>
      <c r="DK1786" s="160" t="s">
        <v>588</v>
      </c>
      <c r="DL1786" s="160" t="s">
        <v>4439</v>
      </c>
      <c r="DM1786" s="160" t="s">
        <v>590</v>
      </c>
      <c r="DN1786" s="161" t="s">
        <v>591</v>
      </c>
      <c r="DP1786" s="130">
        <v>1</v>
      </c>
    </row>
    <row r="1787" spans="109:120" ht="15">
      <c r="DE1787" s="152"/>
      <c r="DF1787" s="160" t="s">
        <v>4499</v>
      </c>
      <c r="DG1787" s="160" t="s">
        <v>118</v>
      </c>
      <c r="DH1787" s="160" t="s">
        <v>126</v>
      </c>
      <c r="DI1787" s="160" t="s">
        <v>548</v>
      </c>
      <c r="DJ1787" s="160" t="s">
        <v>548</v>
      </c>
      <c r="DK1787" s="160" t="s">
        <v>588</v>
      </c>
      <c r="DL1787" s="160" t="s">
        <v>4439</v>
      </c>
      <c r="DM1787" s="160" t="s">
        <v>590</v>
      </c>
      <c r="DN1787" s="161" t="s">
        <v>591</v>
      </c>
      <c r="DP1787" s="130">
        <v>1</v>
      </c>
    </row>
    <row r="1788" spans="109:120" ht="15">
      <c r="DE1788" s="152"/>
      <c r="DF1788" s="160" t="s">
        <v>4500</v>
      </c>
      <c r="DG1788" s="160" t="s">
        <v>118</v>
      </c>
      <c r="DH1788" s="160" t="s">
        <v>126</v>
      </c>
      <c r="DI1788" s="160" t="s">
        <v>359</v>
      </c>
      <c r="DJ1788" s="160" t="s">
        <v>359</v>
      </c>
      <c r="DK1788" s="160" t="s">
        <v>588</v>
      </c>
      <c r="DL1788" s="160" t="s">
        <v>4439</v>
      </c>
      <c r="DM1788" s="160" t="s">
        <v>590</v>
      </c>
      <c r="DN1788" s="161" t="s">
        <v>591</v>
      </c>
      <c r="DP1788" s="130">
        <v>1</v>
      </c>
    </row>
    <row r="1789" spans="109:120" ht="15">
      <c r="DE1789" s="152"/>
      <c r="DF1789" s="160" t="s">
        <v>4501</v>
      </c>
      <c r="DG1789" s="160" t="s">
        <v>118</v>
      </c>
      <c r="DH1789" s="160" t="s">
        <v>126</v>
      </c>
      <c r="DI1789" s="160" t="s">
        <v>160</v>
      </c>
      <c r="DJ1789" s="160" t="s">
        <v>160</v>
      </c>
      <c r="DK1789" s="160" t="s">
        <v>588</v>
      </c>
      <c r="DL1789" s="160" t="s">
        <v>4439</v>
      </c>
      <c r="DM1789" s="160" t="s">
        <v>590</v>
      </c>
      <c r="DN1789" s="161" t="s">
        <v>591</v>
      </c>
      <c r="DP1789" s="130">
        <v>1</v>
      </c>
    </row>
    <row r="1790" spans="109:120" ht="15">
      <c r="DE1790" s="152"/>
      <c r="DF1790" s="160" t="s">
        <v>4502</v>
      </c>
      <c r="DG1790" s="160" t="s">
        <v>118</v>
      </c>
      <c r="DH1790" s="160" t="s">
        <v>126</v>
      </c>
      <c r="DI1790" s="160" t="s">
        <v>549</v>
      </c>
      <c r="DJ1790" s="160" t="s">
        <v>549</v>
      </c>
      <c r="DK1790" s="160" t="s">
        <v>588</v>
      </c>
      <c r="DL1790" s="160" t="s">
        <v>4439</v>
      </c>
      <c r="DM1790" s="160" t="s">
        <v>590</v>
      </c>
      <c r="DN1790" s="161" t="s">
        <v>591</v>
      </c>
      <c r="DP1790" s="130">
        <v>1</v>
      </c>
    </row>
    <row r="1791" spans="109:120" ht="15">
      <c r="DE1791" s="152"/>
      <c r="DF1791" s="160" t="s">
        <v>4503</v>
      </c>
      <c r="DG1791" s="160" t="s">
        <v>118</v>
      </c>
      <c r="DH1791" s="160" t="s">
        <v>126</v>
      </c>
      <c r="DI1791" s="160" t="s">
        <v>360</v>
      </c>
      <c r="DJ1791" s="160" t="s">
        <v>360</v>
      </c>
      <c r="DK1791" s="160" t="s">
        <v>588</v>
      </c>
      <c r="DL1791" s="160" t="s">
        <v>4439</v>
      </c>
      <c r="DM1791" s="160" t="s">
        <v>590</v>
      </c>
      <c r="DN1791" s="161" t="s">
        <v>591</v>
      </c>
      <c r="DP1791" s="130">
        <v>1</v>
      </c>
    </row>
    <row r="1792" spans="109:120" ht="15">
      <c r="DE1792" s="152"/>
      <c r="DF1792" s="160" t="s">
        <v>4504</v>
      </c>
      <c r="DG1792" s="160" t="s">
        <v>118</v>
      </c>
      <c r="DH1792" s="160" t="s">
        <v>126</v>
      </c>
      <c r="DI1792" s="160" t="s">
        <v>317</v>
      </c>
      <c r="DJ1792" s="160" t="s">
        <v>317</v>
      </c>
      <c r="DK1792" s="160" t="s">
        <v>588</v>
      </c>
      <c r="DL1792" s="160" t="s">
        <v>4439</v>
      </c>
      <c r="DM1792" s="160" t="s">
        <v>590</v>
      </c>
      <c r="DN1792" s="161" t="s">
        <v>591</v>
      </c>
      <c r="DP1792" s="130">
        <v>1</v>
      </c>
    </row>
    <row r="1793" spans="109:120" ht="15">
      <c r="DE1793" s="152"/>
      <c r="DF1793" s="160" t="s">
        <v>4505</v>
      </c>
      <c r="DG1793" s="160" t="s">
        <v>118</v>
      </c>
      <c r="DH1793" s="160" t="s">
        <v>126</v>
      </c>
      <c r="DI1793" s="160" t="s">
        <v>4506</v>
      </c>
      <c r="DJ1793" s="160" t="s">
        <v>4507</v>
      </c>
      <c r="DK1793" s="160" t="s">
        <v>588</v>
      </c>
      <c r="DL1793" s="160" t="s">
        <v>4439</v>
      </c>
      <c r="DM1793" s="160" t="s">
        <v>590</v>
      </c>
      <c r="DN1793" s="161" t="s">
        <v>591</v>
      </c>
      <c r="DP1793" s="130">
        <v>1</v>
      </c>
    </row>
    <row r="1794" spans="109:120" ht="25.5">
      <c r="DE1794" s="152"/>
      <c r="DF1794" s="160" t="s">
        <v>4508</v>
      </c>
      <c r="DG1794" s="160" t="s">
        <v>118</v>
      </c>
      <c r="DH1794" s="160" t="s">
        <v>126</v>
      </c>
      <c r="DI1794" s="160" t="s">
        <v>4509</v>
      </c>
      <c r="DJ1794" s="160" t="s">
        <v>4510</v>
      </c>
      <c r="DK1794" s="160" t="s">
        <v>3830</v>
      </c>
      <c r="DL1794" s="160" t="s">
        <v>4437</v>
      </c>
      <c r="DM1794" s="160" t="s">
        <v>821</v>
      </c>
      <c r="DN1794" s="161" t="s">
        <v>3832</v>
      </c>
      <c r="DP1794" s="130">
        <v>1</v>
      </c>
    </row>
    <row r="1795" spans="109:120" ht="15">
      <c r="DE1795" s="152"/>
      <c r="DF1795" s="160" t="s">
        <v>4511</v>
      </c>
      <c r="DG1795" s="160" t="s">
        <v>118</v>
      </c>
      <c r="DH1795" s="160" t="s">
        <v>126</v>
      </c>
      <c r="DI1795" s="160" t="s">
        <v>4512</v>
      </c>
      <c r="DJ1795" s="160" t="s">
        <v>4512</v>
      </c>
      <c r="DK1795" s="160" t="s">
        <v>666</v>
      </c>
      <c r="DL1795" s="160" t="s">
        <v>952</v>
      </c>
      <c r="DM1795" s="160" t="s">
        <v>590</v>
      </c>
      <c r="DN1795" s="161" t="s">
        <v>668</v>
      </c>
      <c r="DP1795" s="130">
        <v>1</v>
      </c>
    </row>
    <row r="1796" spans="109:120" ht="25.5">
      <c r="DE1796" s="152"/>
      <c r="DF1796" s="160" t="s">
        <v>4513</v>
      </c>
      <c r="DG1796" s="160" t="s">
        <v>118</v>
      </c>
      <c r="DH1796" s="160" t="s">
        <v>126</v>
      </c>
      <c r="DI1796" s="160" t="s">
        <v>4514</v>
      </c>
      <c r="DJ1796" s="160" t="s">
        <v>4514</v>
      </c>
      <c r="DK1796" s="160" t="s">
        <v>3830</v>
      </c>
      <c r="DL1796" s="160" t="s">
        <v>4437</v>
      </c>
      <c r="DM1796" s="160" t="s">
        <v>821</v>
      </c>
      <c r="DN1796" s="161" t="s">
        <v>3832</v>
      </c>
      <c r="DP1796" s="130">
        <v>1</v>
      </c>
    </row>
    <row r="1797" spans="109:120" ht="25.5">
      <c r="DE1797" s="152"/>
      <c r="DF1797" s="160" t="s">
        <v>4515</v>
      </c>
      <c r="DG1797" s="160" t="s">
        <v>118</v>
      </c>
      <c r="DH1797" s="160" t="s">
        <v>126</v>
      </c>
      <c r="DI1797" s="160" t="s">
        <v>4516</v>
      </c>
      <c r="DJ1797" s="160" t="s">
        <v>4517</v>
      </c>
      <c r="DK1797" s="160" t="s">
        <v>3830</v>
      </c>
      <c r="DL1797" s="160" t="s">
        <v>4437</v>
      </c>
      <c r="DM1797" s="160" t="s">
        <v>821</v>
      </c>
      <c r="DN1797" s="161" t="s">
        <v>3832</v>
      </c>
      <c r="DP1797" s="130">
        <v>1</v>
      </c>
    </row>
    <row r="1798" spans="109:120" ht="15">
      <c r="DE1798" s="152"/>
      <c r="DF1798" s="160" t="s">
        <v>4518</v>
      </c>
      <c r="DG1798" s="160" t="s">
        <v>118</v>
      </c>
      <c r="DH1798" s="160" t="s">
        <v>126</v>
      </c>
      <c r="DI1798" s="160" t="s">
        <v>424</v>
      </c>
      <c r="DJ1798" s="160" t="s">
        <v>424</v>
      </c>
      <c r="DK1798" s="160" t="s">
        <v>666</v>
      </c>
      <c r="DL1798" s="160" t="s">
        <v>952</v>
      </c>
      <c r="DM1798" s="160" t="s">
        <v>590</v>
      </c>
      <c r="DN1798" s="161" t="s">
        <v>668</v>
      </c>
      <c r="DP1798" s="130">
        <v>1</v>
      </c>
    </row>
    <row r="1799" spans="109:120" ht="15">
      <c r="DE1799" s="152"/>
      <c r="DF1799" s="160" t="s">
        <v>4519</v>
      </c>
      <c r="DG1799" s="160" t="s">
        <v>118</v>
      </c>
      <c r="DH1799" s="160" t="s">
        <v>126</v>
      </c>
      <c r="DI1799" s="160" t="s">
        <v>4520</v>
      </c>
      <c r="DJ1799" s="160" t="s">
        <v>4520</v>
      </c>
      <c r="DK1799" s="160" t="s">
        <v>666</v>
      </c>
      <c r="DL1799" s="160" t="s">
        <v>952</v>
      </c>
      <c r="DM1799" s="160" t="s">
        <v>590</v>
      </c>
      <c r="DN1799" s="161" t="s">
        <v>668</v>
      </c>
      <c r="DP1799" s="130">
        <v>1</v>
      </c>
    </row>
    <row r="1800" spans="109:120" ht="15">
      <c r="DE1800" s="152"/>
      <c r="DF1800" s="160" t="s">
        <v>4521</v>
      </c>
      <c r="DG1800" s="160" t="s">
        <v>118</v>
      </c>
      <c r="DH1800" s="160" t="s">
        <v>126</v>
      </c>
      <c r="DI1800" s="160" t="s">
        <v>3778</v>
      </c>
      <c r="DJ1800" s="160" t="s">
        <v>3778</v>
      </c>
      <c r="DK1800" s="160" t="s">
        <v>666</v>
      </c>
      <c r="DL1800" s="160" t="s">
        <v>952</v>
      </c>
      <c r="DM1800" s="160" t="s">
        <v>590</v>
      </c>
      <c r="DN1800" s="161" t="s">
        <v>668</v>
      </c>
      <c r="DP1800" s="130">
        <v>1</v>
      </c>
    </row>
    <row r="1801" spans="109:120" ht="25.5">
      <c r="DE1801" s="152"/>
      <c r="DF1801" s="160" t="s">
        <v>4522</v>
      </c>
      <c r="DG1801" s="160" t="s">
        <v>118</v>
      </c>
      <c r="DH1801" s="160" t="s">
        <v>1182</v>
      </c>
      <c r="DI1801" s="160" t="s">
        <v>4523</v>
      </c>
      <c r="DJ1801" s="160" t="s">
        <v>4523</v>
      </c>
      <c r="DK1801" s="160" t="s">
        <v>3830</v>
      </c>
      <c r="DL1801" s="160" t="s">
        <v>4524</v>
      </c>
      <c r="DM1801" s="160" t="s">
        <v>821</v>
      </c>
      <c r="DN1801" s="161" t="s">
        <v>3832</v>
      </c>
      <c r="DP1801" s="130">
        <v>1</v>
      </c>
    </row>
    <row r="1802" spans="109:120" ht="25.5">
      <c r="DE1802" s="152"/>
      <c r="DF1802" s="160" t="s">
        <v>4525</v>
      </c>
      <c r="DG1802" s="160" t="s">
        <v>118</v>
      </c>
      <c r="DH1802" s="160" t="s">
        <v>1182</v>
      </c>
      <c r="DI1802" s="160" t="s">
        <v>4526</v>
      </c>
      <c r="DJ1802" s="160" t="s">
        <v>4526</v>
      </c>
      <c r="DK1802" s="160" t="s">
        <v>3830</v>
      </c>
      <c r="DL1802" s="160" t="s">
        <v>4524</v>
      </c>
      <c r="DM1802" s="160" t="s">
        <v>821</v>
      </c>
      <c r="DN1802" s="161" t="s">
        <v>3832</v>
      </c>
      <c r="DP1802" s="130">
        <v>1</v>
      </c>
    </row>
    <row r="1803" spans="109:120" ht="25.5">
      <c r="DE1803" s="152"/>
      <c r="DF1803" s="160" t="s">
        <v>4527</v>
      </c>
      <c r="DG1803" s="160" t="s">
        <v>118</v>
      </c>
      <c r="DH1803" s="160" t="s">
        <v>1182</v>
      </c>
      <c r="DI1803" s="160" t="s">
        <v>3848</v>
      </c>
      <c r="DJ1803" s="160" t="s">
        <v>3848</v>
      </c>
      <c r="DK1803" s="160" t="s">
        <v>3830</v>
      </c>
      <c r="DL1803" s="160" t="s">
        <v>4524</v>
      </c>
      <c r="DM1803" s="160" t="s">
        <v>821</v>
      </c>
      <c r="DN1803" s="161" t="s">
        <v>3832</v>
      </c>
      <c r="DP1803" s="130">
        <v>1</v>
      </c>
    </row>
    <row r="1804" spans="109:120" ht="15">
      <c r="DE1804" s="152"/>
      <c r="DF1804" s="160" t="s">
        <v>4528</v>
      </c>
      <c r="DG1804" s="160" t="s">
        <v>118</v>
      </c>
      <c r="DH1804" s="160" t="s">
        <v>1182</v>
      </c>
      <c r="DI1804" s="160" t="s">
        <v>4529</v>
      </c>
      <c r="DJ1804" s="160" t="s">
        <v>4529</v>
      </c>
      <c r="DK1804" s="160" t="s">
        <v>588</v>
      </c>
      <c r="DL1804" s="160" t="s">
        <v>1741</v>
      </c>
      <c r="DM1804" s="160" t="s">
        <v>590</v>
      </c>
      <c r="DN1804" s="161" t="s">
        <v>591</v>
      </c>
      <c r="DP1804" s="130">
        <v>1</v>
      </c>
    </row>
    <row r="1805" spans="109:120" ht="15">
      <c r="DE1805" s="152"/>
      <c r="DF1805" s="160" t="s">
        <v>4530</v>
      </c>
      <c r="DG1805" s="160" t="s">
        <v>118</v>
      </c>
      <c r="DH1805" s="160" t="s">
        <v>1182</v>
      </c>
      <c r="DI1805" s="160" t="s">
        <v>4531</v>
      </c>
      <c r="DJ1805" s="160" t="s">
        <v>4532</v>
      </c>
      <c r="DK1805" s="160" t="s">
        <v>588</v>
      </c>
      <c r="DL1805" s="160" t="s">
        <v>1741</v>
      </c>
      <c r="DM1805" s="160" t="s">
        <v>590</v>
      </c>
      <c r="DN1805" s="161" t="s">
        <v>591</v>
      </c>
      <c r="DP1805" s="130">
        <v>1</v>
      </c>
    </row>
    <row r="1806" spans="109:120" ht="15">
      <c r="DE1806" s="152"/>
      <c r="DF1806" s="160" t="s">
        <v>4533</v>
      </c>
      <c r="DG1806" s="160" t="s">
        <v>118</v>
      </c>
      <c r="DH1806" s="160" t="s">
        <v>1182</v>
      </c>
      <c r="DI1806" s="160" t="s">
        <v>1183</v>
      </c>
      <c r="DJ1806" s="160" t="s">
        <v>1183</v>
      </c>
      <c r="DK1806" s="160" t="s">
        <v>588</v>
      </c>
      <c r="DL1806" s="160" t="s">
        <v>1741</v>
      </c>
      <c r="DM1806" s="160" t="s">
        <v>590</v>
      </c>
      <c r="DN1806" s="161" t="s">
        <v>591</v>
      </c>
      <c r="DP1806" s="130">
        <v>1</v>
      </c>
    </row>
    <row r="1807" spans="109:120" ht="15">
      <c r="DE1807" s="152"/>
      <c r="DF1807" s="160" t="s">
        <v>4534</v>
      </c>
      <c r="DG1807" s="160" t="s">
        <v>118</v>
      </c>
      <c r="DH1807" s="160" t="s">
        <v>1182</v>
      </c>
      <c r="DI1807" s="160" t="s">
        <v>458</v>
      </c>
      <c r="DJ1807" s="160" t="s">
        <v>458</v>
      </c>
      <c r="DK1807" s="160" t="s">
        <v>588</v>
      </c>
      <c r="DL1807" s="160" t="s">
        <v>1741</v>
      </c>
      <c r="DM1807" s="160" t="s">
        <v>590</v>
      </c>
      <c r="DN1807" s="161" t="s">
        <v>591</v>
      </c>
      <c r="DP1807" s="130">
        <v>1</v>
      </c>
    </row>
    <row r="1808" spans="109:120" ht="15">
      <c r="DE1808" s="152"/>
      <c r="DF1808" s="160" t="s">
        <v>4535</v>
      </c>
      <c r="DG1808" s="160" t="s">
        <v>118</v>
      </c>
      <c r="DH1808" s="160" t="s">
        <v>1182</v>
      </c>
      <c r="DI1808" s="160" t="s">
        <v>1191</v>
      </c>
      <c r="DJ1808" s="160" t="s">
        <v>1191</v>
      </c>
      <c r="DK1808" s="160" t="s">
        <v>666</v>
      </c>
      <c r="DL1808" s="160" t="s">
        <v>1192</v>
      </c>
      <c r="DM1808" s="160" t="s">
        <v>590</v>
      </c>
      <c r="DN1808" s="161" t="s">
        <v>668</v>
      </c>
      <c r="DP1808" s="130">
        <v>1</v>
      </c>
    </row>
    <row r="1809" spans="109:120" ht="15">
      <c r="DE1809" s="152"/>
      <c r="DF1809" s="160" t="s">
        <v>4536</v>
      </c>
      <c r="DG1809" s="160" t="s">
        <v>118</v>
      </c>
      <c r="DH1809" s="160" t="s">
        <v>1182</v>
      </c>
      <c r="DI1809" s="160" t="s">
        <v>1196</v>
      </c>
      <c r="DJ1809" s="160" t="s">
        <v>1196</v>
      </c>
      <c r="DK1809" s="160" t="s">
        <v>666</v>
      </c>
      <c r="DL1809" s="160" t="s">
        <v>1192</v>
      </c>
      <c r="DM1809" s="160" t="s">
        <v>590</v>
      </c>
      <c r="DN1809" s="161" t="s">
        <v>668</v>
      </c>
      <c r="DP1809" s="130">
        <v>1</v>
      </c>
    </row>
    <row r="1810" spans="109:120" ht="25.5">
      <c r="DE1810" s="152"/>
      <c r="DF1810" s="160" t="s">
        <v>4537</v>
      </c>
      <c r="DG1810" s="160" t="s">
        <v>118</v>
      </c>
      <c r="DH1810" s="160" t="s">
        <v>1182</v>
      </c>
      <c r="DI1810" s="160" t="s">
        <v>1632</v>
      </c>
      <c r="DJ1810" s="160" t="s">
        <v>1632</v>
      </c>
      <c r="DK1810" s="160" t="s">
        <v>3830</v>
      </c>
      <c r="DL1810" s="160" t="s">
        <v>4524</v>
      </c>
      <c r="DM1810" s="160" t="s">
        <v>821</v>
      </c>
      <c r="DN1810" s="161" t="s">
        <v>3832</v>
      </c>
      <c r="DP1810" s="130">
        <v>1</v>
      </c>
    </row>
    <row r="1811" spans="109:120" ht="15">
      <c r="DE1811" s="152"/>
      <c r="DF1811" s="160" t="s">
        <v>4538</v>
      </c>
      <c r="DG1811" s="160" t="s">
        <v>118</v>
      </c>
      <c r="DH1811" s="160" t="s">
        <v>1182</v>
      </c>
      <c r="DI1811" s="160" t="s">
        <v>1199</v>
      </c>
      <c r="DJ1811" s="160" t="s">
        <v>1199</v>
      </c>
      <c r="DK1811" s="160" t="s">
        <v>588</v>
      </c>
      <c r="DL1811" s="160" t="s">
        <v>1741</v>
      </c>
      <c r="DM1811" s="160" t="s">
        <v>590</v>
      </c>
      <c r="DN1811" s="161" t="s">
        <v>591</v>
      </c>
      <c r="DP1811" s="130">
        <v>1</v>
      </c>
    </row>
    <row r="1812" spans="109:120" ht="25.5">
      <c r="DE1812" s="152"/>
      <c r="DF1812" s="160" t="s">
        <v>4539</v>
      </c>
      <c r="DG1812" s="160" t="s">
        <v>118</v>
      </c>
      <c r="DH1812" s="160" t="s">
        <v>1182</v>
      </c>
      <c r="DI1812" s="160" t="s">
        <v>4540</v>
      </c>
      <c r="DJ1812" s="160" t="s">
        <v>4540</v>
      </c>
      <c r="DK1812" s="160" t="s">
        <v>3830</v>
      </c>
      <c r="DL1812" s="160" t="s">
        <v>4524</v>
      </c>
      <c r="DM1812" s="160" t="s">
        <v>821</v>
      </c>
      <c r="DN1812" s="161" t="s">
        <v>3832</v>
      </c>
      <c r="DP1812" s="130">
        <v>1</v>
      </c>
    </row>
    <row r="1813" spans="109:120" ht="25.5">
      <c r="DE1813" s="152"/>
      <c r="DF1813" s="160" t="s">
        <v>4541</v>
      </c>
      <c r="DG1813" s="160" t="s">
        <v>118</v>
      </c>
      <c r="DH1813" s="160" t="s">
        <v>1182</v>
      </c>
      <c r="DI1813" s="160" t="s">
        <v>4542</v>
      </c>
      <c r="DJ1813" s="160" t="s">
        <v>4542</v>
      </c>
      <c r="DK1813" s="160" t="s">
        <v>3830</v>
      </c>
      <c r="DL1813" s="160" t="s">
        <v>4524</v>
      </c>
      <c r="DM1813" s="160" t="s">
        <v>821</v>
      </c>
      <c r="DN1813" s="161" t="s">
        <v>3832</v>
      </c>
      <c r="DP1813" s="130">
        <v>1</v>
      </c>
    </row>
    <row r="1814" spans="109:120" ht="25.5">
      <c r="DE1814" s="152"/>
      <c r="DF1814" s="160" t="s">
        <v>4543</v>
      </c>
      <c r="DG1814" s="160" t="s">
        <v>118</v>
      </c>
      <c r="DH1814" s="160" t="s">
        <v>1182</v>
      </c>
      <c r="DI1814" s="160" t="s">
        <v>4544</v>
      </c>
      <c r="DJ1814" s="160" t="s">
        <v>4544</v>
      </c>
      <c r="DK1814" s="160" t="s">
        <v>3830</v>
      </c>
      <c r="DL1814" s="160" t="s">
        <v>4524</v>
      </c>
      <c r="DM1814" s="160" t="s">
        <v>821</v>
      </c>
      <c r="DN1814" s="161" t="s">
        <v>3832</v>
      </c>
      <c r="DP1814" s="130">
        <v>1</v>
      </c>
    </row>
    <row r="1815" spans="109:120" ht="15">
      <c r="DE1815" s="152"/>
      <c r="DF1815" s="160" t="s">
        <v>4545</v>
      </c>
      <c r="DG1815" s="160" t="s">
        <v>118</v>
      </c>
      <c r="DH1815" s="160" t="s">
        <v>1182</v>
      </c>
      <c r="DI1815" s="160" t="s">
        <v>4546</v>
      </c>
      <c r="DJ1815" s="160" t="s">
        <v>4547</v>
      </c>
      <c r="DK1815" s="160" t="s">
        <v>588</v>
      </c>
      <c r="DL1815" s="160" t="s">
        <v>1741</v>
      </c>
      <c r="DM1815" s="160" t="s">
        <v>590</v>
      </c>
      <c r="DN1815" s="161" t="s">
        <v>591</v>
      </c>
      <c r="DP1815" s="130">
        <v>1</v>
      </c>
    </row>
    <row r="1816" spans="109:120" ht="15">
      <c r="DE1816" s="152"/>
      <c r="DF1816" s="160" t="s">
        <v>4548</v>
      </c>
      <c r="DG1816" s="160" t="s">
        <v>118</v>
      </c>
      <c r="DH1816" s="160" t="s">
        <v>1182</v>
      </c>
      <c r="DI1816" s="160" t="s">
        <v>1201</v>
      </c>
      <c r="DJ1816" s="160" t="s">
        <v>1201</v>
      </c>
      <c r="DK1816" s="160" t="s">
        <v>588</v>
      </c>
      <c r="DL1816" s="160" t="s">
        <v>1741</v>
      </c>
      <c r="DM1816" s="160" t="s">
        <v>590</v>
      </c>
      <c r="DN1816" s="161" t="s">
        <v>591</v>
      </c>
      <c r="DP1816" s="130">
        <v>1</v>
      </c>
    </row>
    <row r="1817" spans="109:120" ht="25.5">
      <c r="DE1817" s="152"/>
      <c r="DF1817" s="160" t="s">
        <v>4549</v>
      </c>
      <c r="DG1817" s="160" t="s">
        <v>118</v>
      </c>
      <c r="DH1817" s="160" t="s">
        <v>1182</v>
      </c>
      <c r="DI1817" s="160" t="s">
        <v>1634</v>
      </c>
      <c r="DJ1817" s="160" t="s">
        <v>1635</v>
      </c>
      <c r="DK1817" s="160" t="s">
        <v>3830</v>
      </c>
      <c r="DL1817" s="160" t="s">
        <v>4524</v>
      </c>
      <c r="DM1817" s="160" t="s">
        <v>821</v>
      </c>
      <c r="DN1817" s="161" t="s">
        <v>3832</v>
      </c>
      <c r="DP1817" s="130">
        <v>1</v>
      </c>
    </row>
    <row r="1818" spans="109:120" ht="25.5">
      <c r="DE1818" s="152"/>
      <c r="DF1818" s="160" t="s">
        <v>4550</v>
      </c>
      <c r="DG1818" s="160" t="s">
        <v>118</v>
      </c>
      <c r="DH1818" s="160" t="s">
        <v>1182</v>
      </c>
      <c r="DI1818" s="160" t="s">
        <v>1637</v>
      </c>
      <c r="DJ1818" s="160" t="s">
        <v>1638</v>
      </c>
      <c r="DK1818" s="160" t="s">
        <v>3830</v>
      </c>
      <c r="DL1818" s="160" t="s">
        <v>4524</v>
      </c>
      <c r="DM1818" s="160" t="s">
        <v>821</v>
      </c>
      <c r="DN1818" s="161" t="s">
        <v>3832</v>
      </c>
      <c r="DP1818" s="130">
        <v>1</v>
      </c>
    </row>
    <row r="1819" spans="109:120" ht="25.5">
      <c r="DE1819" s="152"/>
      <c r="DF1819" s="160" t="s">
        <v>4551</v>
      </c>
      <c r="DG1819" s="160" t="s">
        <v>118</v>
      </c>
      <c r="DH1819" s="160" t="s">
        <v>1182</v>
      </c>
      <c r="DI1819" s="160" t="s">
        <v>1640</v>
      </c>
      <c r="DJ1819" s="160" t="s">
        <v>1641</v>
      </c>
      <c r="DK1819" s="160" t="s">
        <v>3830</v>
      </c>
      <c r="DL1819" s="160" t="s">
        <v>4524</v>
      </c>
      <c r="DM1819" s="160" t="s">
        <v>821</v>
      </c>
      <c r="DN1819" s="161" t="s">
        <v>3832</v>
      </c>
      <c r="DP1819" s="130">
        <v>1</v>
      </c>
    </row>
    <row r="1820" spans="109:120" ht="25.5">
      <c r="DE1820" s="152"/>
      <c r="DF1820" s="160" t="s">
        <v>4552</v>
      </c>
      <c r="DG1820" s="160" t="s">
        <v>118</v>
      </c>
      <c r="DH1820" s="160" t="s">
        <v>1182</v>
      </c>
      <c r="DI1820" s="160" t="s">
        <v>4010</v>
      </c>
      <c r="DJ1820" s="160" t="s">
        <v>4011</v>
      </c>
      <c r="DK1820" s="160" t="s">
        <v>3830</v>
      </c>
      <c r="DL1820" s="160" t="s">
        <v>4524</v>
      </c>
      <c r="DM1820" s="160" t="s">
        <v>821</v>
      </c>
      <c r="DN1820" s="161" t="s">
        <v>3832</v>
      </c>
      <c r="DP1820" s="130">
        <v>1</v>
      </c>
    </row>
    <row r="1821" spans="109:120" ht="15">
      <c r="DE1821" s="152"/>
      <c r="DF1821" s="160" t="s">
        <v>4553</v>
      </c>
      <c r="DG1821" s="160" t="s">
        <v>118</v>
      </c>
      <c r="DH1821" s="160" t="s">
        <v>1182</v>
      </c>
      <c r="DI1821" s="160" t="s">
        <v>4554</v>
      </c>
      <c r="DJ1821" s="160" t="s">
        <v>4555</v>
      </c>
      <c r="DK1821" s="160" t="s">
        <v>588</v>
      </c>
      <c r="DL1821" s="160" t="s">
        <v>1741</v>
      </c>
      <c r="DM1821" s="160" t="s">
        <v>590</v>
      </c>
      <c r="DN1821" s="161" t="s">
        <v>591</v>
      </c>
      <c r="DP1821" s="130">
        <v>1</v>
      </c>
    </row>
    <row r="1822" spans="109:120" ht="25.5">
      <c r="DE1822" s="152"/>
      <c r="DF1822" s="160" t="s">
        <v>4556</v>
      </c>
      <c r="DG1822" s="160" t="s">
        <v>118</v>
      </c>
      <c r="DH1822" s="160" t="s">
        <v>1182</v>
      </c>
      <c r="DI1822" s="160" t="s">
        <v>4557</v>
      </c>
      <c r="DJ1822" s="160" t="s">
        <v>4558</v>
      </c>
      <c r="DK1822" s="160" t="s">
        <v>3830</v>
      </c>
      <c r="DL1822" s="160" t="s">
        <v>4524</v>
      </c>
      <c r="DM1822" s="160" t="s">
        <v>821</v>
      </c>
      <c r="DN1822" s="161" t="s">
        <v>3832</v>
      </c>
      <c r="DP1822" s="130">
        <v>1</v>
      </c>
    </row>
    <row r="1823" spans="109:120" ht="25.5">
      <c r="DE1823" s="152"/>
      <c r="DF1823" s="160" t="s">
        <v>4559</v>
      </c>
      <c r="DG1823" s="160" t="s">
        <v>118</v>
      </c>
      <c r="DH1823" s="160" t="s">
        <v>1182</v>
      </c>
      <c r="DI1823" s="160" t="s">
        <v>4560</v>
      </c>
      <c r="DJ1823" s="160" t="s">
        <v>4561</v>
      </c>
      <c r="DK1823" s="160" t="s">
        <v>3830</v>
      </c>
      <c r="DL1823" s="160" t="s">
        <v>4524</v>
      </c>
      <c r="DM1823" s="160" t="s">
        <v>821</v>
      </c>
      <c r="DN1823" s="161" t="s">
        <v>3832</v>
      </c>
      <c r="DP1823" s="130">
        <v>1</v>
      </c>
    </row>
    <row r="1824" spans="109:120" ht="25.5">
      <c r="DE1824" s="152"/>
      <c r="DF1824" s="160" t="s">
        <v>4562</v>
      </c>
      <c r="DG1824" s="160" t="s">
        <v>118</v>
      </c>
      <c r="DH1824" s="160" t="s">
        <v>1182</v>
      </c>
      <c r="DI1824" s="160" t="s">
        <v>1646</v>
      </c>
      <c r="DJ1824" s="160" t="s">
        <v>1647</v>
      </c>
      <c r="DK1824" s="160" t="s">
        <v>3830</v>
      </c>
      <c r="DL1824" s="160" t="s">
        <v>4524</v>
      </c>
      <c r="DM1824" s="160" t="s">
        <v>821</v>
      </c>
      <c r="DN1824" s="161" t="s">
        <v>3832</v>
      </c>
      <c r="DP1824" s="130">
        <v>1</v>
      </c>
    </row>
    <row r="1825" spans="109:120" ht="25.5">
      <c r="DE1825" s="152"/>
      <c r="DF1825" s="160" t="s">
        <v>4563</v>
      </c>
      <c r="DG1825" s="160" t="s">
        <v>118</v>
      </c>
      <c r="DH1825" s="160" t="s">
        <v>1182</v>
      </c>
      <c r="DI1825" s="160" t="s">
        <v>459</v>
      </c>
      <c r="DJ1825" s="160" t="s">
        <v>459</v>
      </c>
      <c r="DK1825" s="160" t="s">
        <v>3830</v>
      </c>
      <c r="DL1825" s="160" t="s">
        <v>4524</v>
      </c>
      <c r="DM1825" s="160" t="s">
        <v>821</v>
      </c>
      <c r="DN1825" s="161" t="s">
        <v>3832</v>
      </c>
      <c r="DP1825" s="130">
        <v>1</v>
      </c>
    </row>
    <row r="1826" spans="109:120" ht="25.5">
      <c r="DE1826" s="152"/>
      <c r="DF1826" s="160" t="s">
        <v>4564</v>
      </c>
      <c r="DG1826" s="160" t="s">
        <v>118</v>
      </c>
      <c r="DH1826" s="160" t="s">
        <v>1182</v>
      </c>
      <c r="DI1826" s="160" t="s">
        <v>4565</v>
      </c>
      <c r="DJ1826" s="160" t="s">
        <v>4566</v>
      </c>
      <c r="DK1826" s="160" t="s">
        <v>3830</v>
      </c>
      <c r="DL1826" s="160" t="s">
        <v>4524</v>
      </c>
      <c r="DM1826" s="160" t="s">
        <v>821</v>
      </c>
      <c r="DN1826" s="161" t="s">
        <v>3832</v>
      </c>
      <c r="DP1826" s="130">
        <v>1</v>
      </c>
    </row>
    <row r="1827" spans="109:120" ht="25.5">
      <c r="DE1827" s="152"/>
      <c r="DF1827" s="160" t="s">
        <v>4567</v>
      </c>
      <c r="DG1827" s="160" t="s">
        <v>118</v>
      </c>
      <c r="DH1827" s="160" t="s">
        <v>1182</v>
      </c>
      <c r="DI1827" s="160" t="s">
        <v>4568</v>
      </c>
      <c r="DJ1827" s="160" t="s">
        <v>4568</v>
      </c>
      <c r="DK1827" s="160" t="s">
        <v>3830</v>
      </c>
      <c r="DL1827" s="160" t="s">
        <v>4524</v>
      </c>
      <c r="DM1827" s="160" t="s">
        <v>821</v>
      </c>
      <c r="DN1827" s="161" t="s">
        <v>3832</v>
      </c>
      <c r="DP1827" s="130">
        <v>1</v>
      </c>
    </row>
    <row r="1828" spans="109:120" ht="15">
      <c r="DE1828" s="152"/>
      <c r="DF1828" s="160" t="s">
        <v>4569</v>
      </c>
      <c r="DG1828" s="160" t="s">
        <v>118</v>
      </c>
      <c r="DH1828" s="160" t="s">
        <v>1182</v>
      </c>
      <c r="DI1828" s="160" t="s">
        <v>4570</v>
      </c>
      <c r="DJ1828" s="160" t="s">
        <v>4570</v>
      </c>
      <c r="DK1828" s="160" t="s">
        <v>588</v>
      </c>
      <c r="DL1828" s="160" t="s">
        <v>1741</v>
      </c>
      <c r="DM1828" s="160" t="s">
        <v>590</v>
      </c>
      <c r="DN1828" s="161" t="s">
        <v>591</v>
      </c>
      <c r="DP1828" s="130">
        <v>1</v>
      </c>
    </row>
    <row r="1829" spans="109:120" ht="25.5">
      <c r="DE1829" s="152"/>
      <c r="DF1829" s="160" t="s">
        <v>4571</v>
      </c>
      <c r="DG1829" s="160" t="s">
        <v>118</v>
      </c>
      <c r="DH1829" s="160" t="s">
        <v>1182</v>
      </c>
      <c r="DI1829" s="160" t="s">
        <v>4572</v>
      </c>
      <c r="DJ1829" s="160" t="s">
        <v>4573</v>
      </c>
      <c r="DK1829" s="160" t="s">
        <v>3830</v>
      </c>
      <c r="DL1829" s="160" t="s">
        <v>4524</v>
      </c>
      <c r="DM1829" s="160" t="s">
        <v>821</v>
      </c>
      <c r="DN1829" s="161" t="s">
        <v>3832</v>
      </c>
      <c r="DP1829" s="130">
        <v>1</v>
      </c>
    </row>
    <row r="1830" spans="109:120" ht="25.5">
      <c r="DE1830" s="152"/>
      <c r="DF1830" s="160" t="s">
        <v>4574</v>
      </c>
      <c r="DG1830" s="160" t="s">
        <v>118</v>
      </c>
      <c r="DH1830" s="160" t="s">
        <v>1182</v>
      </c>
      <c r="DI1830" s="160" t="s">
        <v>4575</v>
      </c>
      <c r="DJ1830" s="160" t="s">
        <v>4575</v>
      </c>
      <c r="DK1830" s="160" t="s">
        <v>3830</v>
      </c>
      <c r="DL1830" s="160" t="s">
        <v>4524</v>
      </c>
      <c r="DM1830" s="160" t="s">
        <v>821</v>
      </c>
      <c r="DN1830" s="161" t="s">
        <v>3832</v>
      </c>
      <c r="DP1830" s="130">
        <v>1</v>
      </c>
    </row>
    <row r="1831" spans="109:120" ht="25.5">
      <c r="DE1831" s="152"/>
      <c r="DF1831" s="160" t="s">
        <v>4576</v>
      </c>
      <c r="DG1831" s="160" t="s">
        <v>118</v>
      </c>
      <c r="DH1831" s="160" t="s">
        <v>1182</v>
      </c>
      <c r="DI1831" s="160" t="s">
        <v>1666</v>
      </c>
      <c r="DJ1831" s="160" t="s">
        <v>1666</v>
      </c>
      <c r="DK1831" s="160" t="s">
        <v>3830</v>
      </c>
      <c r="DL1831" s="160" t="s">
        <v>4524</v>
      </c>
      <c r="DM1831" s="160" t="s">
        <v>821</v>
      </c>
      <c r="DN1831" s="161" t="s">
        <v>3832</v>
      </c>
      <c r="DP1831" s="130">
        <v>1</v>
      </c>
    </row>
    <row r="1832" spans="109:120" ht="25.5">
      <c r="DE1832" s="152"/>
      <c r="DF1832" s="160" t="s">
        <v>4577</v>
      </c>
      <c r="DG1832" s="160" t="s">
        <v>118</v>
      </c>
      <c r="DH1832" s="160" t="s">
        <v>1182</v>
      </c>
      <c r="DI1832" s="160" t="s">
        <v>4578</v>
      </c>
      <c r="DJ1832" s="160" t="s">
        <v>4579</v>
      </c>
      <c r="DK1832" s="160" t="s">
        <v>3830</v>
      </c>
      <c r="DL1832" s="160" t="s">
        <v>4524</v>
      </c>
      <c r="DM1832" s="160" t="s">
        <v>821</v>
      </c>
      <c r="DN1832" s="161" t="s">
        <v>3832</v>
      </c>
      <c r="DP1832" s="130">
        <v>1</v>
      </c>
    </row>
    <row r="1833" spans="109:120" ht="25.5">
      <c r="DE1833" s="152"/>
      <c r="DF1833" s="160" t="s">
        <v>4580</v>
      </c>
      <c r="DG1833" s="160" t="s">
        <v>118</v>
      </c>
      <c r="DH1833" s="160" t="s">
        <v>1182</v>
      </c>
      <c r="DI1833" s="160" t="s">
        <v>4581</v>
      </c>
      <c r="DJ1833" s="160" t="s">
        <v>4581</v>
      </c>
      <c r="DK1833" s="160" t="s">
        <v>3830</v>
      </c>
      <c r="DL1833" s="160" t="s">
        <v>4524</v>
      </c>
      <c r="DM1833" s="160" t="s">
        <v>821</v>
      </c>
      <c r="DN1833" s="161" t="s">
        <v>3832</v>
      </c>
      <c r="DP1833" s="130">
        <v>1</v>
      </c>
    </row>
    <row r="1834" spans="109:120" ht="25.5">
      <c r="DE1834" s="152"/>
      <c r="DF1834" s="160" t="s">
        <v>4582</v>
      </c>
      <c r="DG1834" s="160" t="s">
        <v>118</v>
      </c>
      <c r="DH1834" s="160" t="s">
        <v>1182</v>
      </c>
      <c r="DI1834" s="160" t="s">
        <v>4583</v>
      </c>
      <c r="DJ1834" s="160" t="s">
        <v>4583</v>
      </c>
      <c r="DK1834" s="160" t="s">
        <v>3830</v>
      </c>
      <c r="DL1834" s="160" t="s">
        <v>4524</v>
      </c>
      <c r="DM1834" s="160" t="s">
        <v>821</v>
      </c>
      <c r="DN1834" s="161" t="s">
        <v>3832</v>
      </c>
      <c r="DP1834" s="130">
        <v>1</v>
      </c>
    </row>
    <row r="1835" spans="109:120" ht="25.5">
      <c r="DE1835" s="152"/>
      <c r="DF1835" s="160" t="s">
        <v>4584</v>
      </c>
      <c r="DG1835" s="160" t="s">
        <v>118</v>
      </c>
      <c r="DH1835" s="160" t="s">
        <v>1182</v>
      </c>
      <c r="DI1835" s="160" t="s">
        <v>4092</v>
      </c>
      <c r="DJ1835" s="160" t="s">
        <v>4092</v>
      </c>
      <c r="DK1835" s="160" t="s">
        <v>3830</v>
      </c>
      <c r="DL1835" s="160" t="s">
        <v>4524</v>
      </c>
      <c r="DM1835" s="160" t="s">
        <v>821</v>
      </c>
      <c r="DN1835" s="161" t="s">
        <v>3832</v>
      </c>
      <c r="DP1835" s="130">
        <v>1</v>
      </c>
    </row>
    <row r="1836" spans="109:120" ht="15">
      <c r="DE1836" s="152"/>
      <c r="DF1836" s="160" t="s">
        <v>4585</v>
      </c>
      <c r="DG1836" s="160" t="s">
        <v>118</v>
      </c>
      <c r="DH1836" s="160" t="s">
        <v>1182</v>
      </c>
      <c r="DI1836" s="160" t="s">
        <v>1759</v>
      </c>
      <c r="DJ1836" s="160" t="s">
        <v>1759</v>
      </c>
      <c r="DK1836" s="160" t="s">
        <v>588</v>
      </c>
      <c r="DL1836" s="160" t="s">
        <v>1741</v>
      </c>
      <c r="DM1836" s="160" t="s">
        <v>590</v>
      </c>
      <c r="DN1836" s="161" t="s">
        <v>591</v>
      </c>
      <c r="DP1836" s="130">
        <v>1</v>
      </c>
    </row>
    <row r="1837" spans="109:120" ht="25.5">
      <c r="DE1837" s="152"/>
      <c r="DF1837" s="160" t="s">
        <v>4586</v>
      </c>
      <c r="DG1837" s="160" t="s">
        <v>118</v>
      </c>
      <c r="DH1837" s="160" t="s">
        <v>1182</v>
      </c>
      <c r="DI1837" s="160" t="s">
        <v>4587</v>
      </c>
      <c r="DJ1837" s="160" t="s">
        <v>4587</v>
      </c>
      <c r="DK1837" s="160" t="s">
        <v>3830</v>
      </c>
      <c r="DL1837" s="160" t="s">
        <v>4524</v>
      </c>
      <c r="DM1837" s="160" t="s">
        <v>821</v>
      </c>
      <c r="DN1837" s="161" t="s">
        <v>3832</v>
      </c>
      <c r="DP1837" s="130">
        <v>1</v>
      </c>
    </row>
    <row r="1838" spans="109:120" ht="25.5">
      <c r="DE1838" s="152"/>
      <c r="DF1838" s="160" t="s">
        <v>4588</v>
      </c>
      <c r="DG1838" s="160" t="s">
        <v>118</v>
      </c>
      <c r="DH1838" s="160" t="s">
        <v>1182</v>
      </c>
      <c r="DI1838" s="160" t="s">
        <v>4589</v>
      </c>
      <c r="DJ1838" s="160" t="s">
        <v>4589</v>
      </c>
      <c r="DK1838" s="160" t="s">
        <v>3830</v>
      </c>
      <c r="DL1838" s="160" t="s">
        <v>4524</v>
      </c>
      <c r="DM1838" s="160" t="s">
        <v>821</v>
      </c>
      <c r="DN1838" s="161" t="s">
        <v>3832</v>
      </c>
      <c r="DP1838" s="130">
        <v>1</v>
      </c>
    </row>
    <row r="1839" spans="109:120" ht="15">
      <c r="DE1839" s="152"/>
      <c r="DF1839" s="160" t="s">
        <v>4590</v>
      </c>
      <c r="DG1839" s="160" t="s">
        <v>118</v>
      </c>
      <c r="DH1839" s="160" t="s">
        <v>1182</v>
      </c>
      <c r="DI1839" s="160" t="s">
        <v>4591</v>
      </c>
      <c r="DJ1839" s="160" t="s">
        <v>4591</v>
      </c>
      <c r="DK1839" s="160" t="s">
        <v>588</v>
      </c>
      <c r="DL1839" s="160" t="s">
        <v>1741</v>
      </c>
      <c r="DM1839" s="160" t="s">
        <v>590</v>
      </c>
      <c r="DN1839" s="161" t="s">
        <v>591</v>
      </c>
      <c r="DP1839" s="130">
        <v>1</v>
      </c>
    </row>
    <row r="1840" spans="109:120" ht="25.5">
      <c r="DE1840" s="152"/>
      <c r="DF1840" s="160" t="s">
        <v>4592</v>
      </c>
      <c r="DG1840" s="160" t="s">
        <v>118</v>
      </c>
      <c r="DH1840" s="160" t="s">
        <v>1182</v>
      </c>
      <c r="DI1840" s="160" t="s">
        <v>4593</v>
      </c>
      <c r="DJ1840" s="160" t="s">
        <v>4593</v>
      </c>
      <c r="DK1840" s="160" t="s">
        <v>3830</v>
      </c>
      <c r="DL1840" s="160" t="s">
        <v>4524</v>
      </c>
      <c r="DM1840" s="160" t="s">
        <v>821</v>
      </c>
      <c r="DN1840" s="161" t="s">
        <v>3832</v>
      </c>
      <c r="DP1840" s="130">
        <v>1</v>
      </c>
    </row>
    <row r="1841" spans="109:120" ht="25.5">
      <c r="DE1841" s="152"/>
      <c r="DF1841" s="160" t="s">
        <v>4594</v>
      </c>
      <c r="DG1841" s="160" t="s">
        <v>118</v>
      </c>
      <c r="DH1841" s="160" t="s">
        <v>1182</v>
      </c>
      <c r="DI1841" s="160" t="s">
        <v>4595</v>
      </c>
      <c r="DJ1841" s="160" t="s">
        <v>4595</v>
      </c>
      <c r="DK1841" s="160" t="s">
        <v>3830</v>
      </c>
      <c r="DL1841" s="160" t="s">
        <v>4524</v>
      </c>
      <c r="DM1841" s="160" t="s">
        <v>821</v>
      </c>
      <c r="DN1841" s="161" t="s">
        <v>3832</v>
      </c>
      <c r="DP1841" s="130">
        <v>1</v>
      </c>
    </row>
    <row r="1842" spans="109:120" ht="15">
      <c r="DE1842" s="152"/>
      <c r="DF1842" s="160" t="s">
        <v>4596</v>
      </c>
      <c r="DG1842" s="160" t="s">
        <v>118</v>
      </c>
      <c r="DH1842" s="160" t="s">
        <v>1182</v>
      </c>
      <c r="DI1842" s="160" t="s">
        <v>4597</v>
      </c>
      <c r="DJ1842" s="160" t="s">
        <v>4597</v>
      </c>
      <c r="DK1842" s="160" t="s">
        <v>588</v>
      </c>
      <c r="DL1842" s="160" t="s">
        <v>1741</v>
      </c>
      <c r="DM1842" s="160" t="s">
        <v>590</v>
      </c>
      <c r="DN1842" s="161" t="s">
        <v>591</v>
      </c>
      <c r="DP1842" s="130">
        <v>1</v>
      </c>
    </row>
    <row r="1843" spans="109:120" ht="25.5">
      <c r="DE1843" s="152"/>
      <c r="DF1843" s="160" t="s">
        <v>4598</v>
      </c>
      <c r="DG1843" s="160" t="s">
        <v>118</v>
      </c>
      <c r="DH1843" s="160" t="s">
        <v>1182</v>
      </c>
      <c r="DI1843" s="160" t="s">
        <v>4599</v>
      </c>
      <c r="DJ1843" s="160" t="s">
        <v>4600</v>
      </c>
      <c r="DK1843" s="160" t="s">
        <v>3830</v>
      </c>
      <c r="DL1843" s="160" t="s">
        <v>4524</v>
      </c>
      <c r="DM1843" s="160" t="s">
        <v>821</v>
      </c>
      <c r="DN1843" s="161" t="s">
        <v>3832</v>
      </c>
      <c r="DP1843" s="130">
        <v>1</v>
      </c>
    </row>
    <row r="1844" spans="109:120" ht="15">
      <c r="DE1844" s="152"/>
      <c r="DF1844" s="160" t="s">
        <v>4601</v>
      </c>
      <c r="DG1844" s="160" t="s">
        <v>118</v>
      </c>
      <c r="DH1844" s="160" t="s">
        <v>1182</v>
      </c>
      <c r="DI1844" s="160" t="s">
        <v>3816</v>
      </c>
      <c r="DJ1844" s="160" t="s">
        <v>3816</v>
      </c>
      <c r="DK1844" s="160" t="s">
        <v>588</v>
      </c>
      <c r="DL1844" s="160" t="s">
        <v>1741</v>
      </c>
      <c r="DM1844" s="160" t="s">
        <v>590</v>
      </c>
      <c r="DN1844" s="161" t="s">
        <v>591</v>
      </c>
      <c r="DP1844" s="130">
        <v>1</v>
      </c>
    </row>
    <row r="1845" spans="109:120" ht="15">
      <c r="DE1845" s="152"/>
      <c r="DF1845" s="160" t="s">
        <v>4602</v>
      </c>
      <c r="DG1845" s="160" t="s">
        <v>118</v>
      </c>
      <c r="DH1845" s="160" t="s">
        <v>1182</v>
      </c>
      <c r="DI1845" s="160" t="s">
        <v>1761</v>
      </c>
      <c r="DJ1845" s="160" t="s">
        <v>1761</v>
      </c>
      <c r="DK1845" s="160" t="s">
        <v>588</v>
      </c>
      <c r="DL1845" s="160" t="s">
        <v>1741</v>
      </c>
      <c r="DM1845" s="160" t="s">
        <v>590</v>
      </c>
      <c r="DN1845" s="161" t="s">
        <v>591</v>
      </c>
      <c r="DP1845" s="130">
        <v>1</v>
      </c>
    </row>
    <row r="1846" spans="109:120" ht="25.5">
      <c r="DE1846" s="152"/>
      <c r="DF1846" s="160" t="s">
        <v>4603</v>
      </c>
      <c r="DG1846" s="160" t="s">
        <v>118</v>
      </c>
      <c r="DH1846" s="160" t="s">
        <v>1182</v>
      </c>
      <c r="DI1846" s="160" t="s">
        <v>4604</v>
      </c>
      <c r="DJ1846" s="160" t="s">
        <v>4604</v>
      </c>
      <c r="DK1846" s="160" t="s">
        <v>3830</v>
      </c>
      <c r="DL1846" s="160" t="s">
        <v>4524</v>
      </c>
      <c r="DM1846" s="160" t="s">
        <v>821</v>
      </c>
      <c r="DN1846" s="161" t="s">
        <v>3832</v>
      </c>
      <c r="DP1846" s="130">
        <v>1</v>
      </c>
    </row>
    <row r="1847" spans="109:120" ht="25.5">
      <c r="DE1847" s="152"/>
      <c r="DF1847" s="160" t="s">
        <v>4605</v>
      </c>
      <c r="DG1847" s="160" t="s">
        <v>118</v>
      </c>
      <c r="DH1847" s="160" t="s">
        <v>1182</v>
      </c>
      <c r="DI1847" s="160" t="s">
        <v>4606</v>
      </c>
      <c r="DJ1847" s="160" t="s">
        <v>4606</v>
      </c>
      <c r="DK1847" s="160" t="s">
        <v>3830</v>
      </c>
      <c r="DL1847" s="160" t="s">
        <v>4524</v>
      </c>
      <c r="DM1847" s="160" t="s">
        <v>821</v>
      </c>
      <c r="DN1847" s="161" t="s">
        <v>3832</v>
      </c>
      <c r="DP1847" s="130">
        <v>1</v>
      </c>
    </row>
    <row r="1848" spans="109:120" ht="15">
      <c r="DE1848" s="152"/>
      <c r="DF1848" s="160" t="s">
        <v>4607</v>
      </c>
      <c r="DG1848" s="160" t="s">
        <v>118</v>
      </c>
      <c r="DH1848" s="160" t="s">
        <v>1182</v>
      </c>
      <c r="DI1848" s="160" t="s">
        <v>4608</v>
      </c>
      <c r="DJ1848" s="160" t="s">
        <v>4608</v>
      </c>
      <c r="DK1848" s="160" t="s">
        <v>588</v>
      </c>
      <c r="DL1848" s="160" t="s">
        <v>1741</v>
      </c>
      <c r="DM1848" s="160" t="s">
        <v>590</v>
      </c>
      <c r="DN1848" s="161" t="s">
        <v>591</v>
      </c>
      <c r="DP1848" s="130">
        <v>1</v>
      </c>
    </row>
    <row r="1849" spans="109:120" ht="15">
      <c r="DE1849" s="152"/>
      <c r="DF1849" s="160" t="s">
        <v>4609</v>
      </c>
      <c r="DG1849" s="160" t="s">
        <v>118</v>
      </c>
      <c r="DH1849" s="160" t="s">
        <v>1182</v>
      </c>
      <c r="DI1849" s="160" t="s">
        <v>4610</v>
      </c>
      <c r="DJ1849" s="160" t="s">
        <v>4610</v>
      </c>
      <c r="DK1849" s="160" t="s">
        <v>588</v>
      </c>
      <c r="DL1849" s="160" t="s">
        <v>1741</v>
      </c>
      <c r="DM1849" s="160" t="s">
        <v>590</v>
      </c>
      <c r="DN1849" s="161" t="s">
        <v>591</v>
      </c>
      <c r="DP1849" s="130">
        <v>1</v>
      </c>
    </row>
    <row r="1850" spans="109:120" ht="25.5">
      <c r="DE1850" s="152"/>
      <c r="DF1850" s="160" t="s">
        <v>4611</v>
      </c>
      <c r="DG1850" s="160" t="s">
        <v>118</v>
      </c>
      <c r="DH1850" s="160" t="s">
        <v>1182</v>
      </c>
      <c r="DI1850" s="160" t="s">
        <v>4612</v>
      </c>
      <c r="DJ1850" s="160" t="s">
        <v>4613</v>
      </c>
      <c r="DK1850" s="160" t="s">
        <v>3830</v>
      </c>
      <c r="DL1850" s="160" t="s">
        <v>4524</v>
      </c>
      <c r="DM1850" s="160" t="s">
        <v>821</v>
      </c>
      <c r="DN1850" s="161" t="s">
        <v>3832</v>
      </c>
      <c r="DP1850" s="130">
        <v>1</v>
      </c>
    </row>
    <row r="1851" spans="109:120" ht="15">
      <c r="DE1851" s="152"/>
      <c r="DF1851" s="160" t="s">
        <v>4614</v>
      </c>
      <c r="DG1851" s="160" t="s">
        <v>118</v>
      </c>
      <c r="DH1851" s="160" t="s">
        <v>1182</v>
      </c>
      <c r="DI1851" s="160" t="s">
        <v>4615</v>
      </c>
      <c r="DJ1851" s="160" t="s">
        <v>4615</v>
      </c>
      <c r="DK1851" s="160" t="s">
        <v>666</v>
      </c>
      <c r="DL1851" s="160" t="s">
        <v>1192</v>
      </c>
      <c r="DM1851" s="160" t="s">
        <v>590</v>
      </c>
      <c r="DN1851" s="161" t="s">
        <v>668</v>
      </c>
      <c r="DP1851" s="130">
        <v>1</v>
      </c>
    </row>
    <row r="1852" spans="109:120" ht="15">
      <c r="DE1852" s="152"/>
      <c r="DF1852" s="160" t="s">
        <v>4616</v>
      </c>
      <c r="DG1852" s="160" t="s">
        <v>118</v>
      </c>
      <c r="DH1852" s="160" t="s">
        <v>1182</v>
      </c>
      <c r="DI1852" s="160" t="s">
        <v>4617</v>
      </c>
      <c r="DJ1852" s="160" t="s">
        <v>4618</v>
      </c>
      <c r="DK1852" s="160" t="s">
        <v>588</v>
      </c>
      <c r="DL1852" s="160" t="s">
        <v>1741</v>
      </c>
      <c r="DM1852" s="160" t="s">
        <v>590</v>
      </c>
      <c r="DN1852" s="161" t="s">
        <v>591</v>
      </c>
      <c r="DP1852" s="130">
        <v>1</v>
      </c>
    </row>
    <row r="1853" spans="109:120" ht="25.5">
      <c r="DE1853" s="152"/>
      <c r="DF1853" s="160" t="s">
        <v>4619</v>
      </c>
      <c r="DG1853" s="160" t="s">
        <v>118</v>
      </c>
      <c r="DH1853" s="160" t="s">
        <v>1182</v>
      </c>
      <c r="DI1853" s="160" t="s">
        <v>4620</v>
      </c>
      <c r="DJ1853" s="160" t="s">
        <v>4620</v>
      </c>
      <c r="DK1853" s="160" t="s">
        <v>3830</v>
      </c>
      <c r="DL1853" s="160" t="s">
        <v>4524</v>
      </c>
      <c r="DM1853" s="160" t="s">
        <v>821</v>
      </c>
      <c r="DN1853" s="161" t="s">
        <v>3832</v>
      </c>
      <c r="DP1853" s="130">
        <v>1</v>
      </c>
    </row>
    <row r="1854" spans="109:120" ht="25.5">
      <c r="DE1854" s="152"/>
      <c r="DF1854" s="160" t="s">
        <v>4621</v>
      </c>
      <c r="DG1854" s="160" t="s">
        <v>118</v>
      </c>
      <c r="DH1854" s="160" t="s">
        <v>1182</v>
      </c>
      <c r="DI1854" s="160" t="s">
        <v>4622</v>
      </c>
      <c r="DJ1854" s="160" t="s">
        <v>4622</v>
      </c>
      <c r="DK1854" s="160" t="s">
        <v>3830</v>
      </c>
      <c r="DL1854" s="160" t="s">
        <v>4524</v>
      </c>
      <c r="DM1854" s="160" t="s">
        <v>821</v>
      </c>
      <c r="DN1854" s="161" t="s">
        <v>3832</v>
      </c>
      <c r="DP1854" s="130">
        <v>1</v>
      </c>
    </row>
    <row r="1855" spans="109:120" ht="15">
      <c r="DE1855" s="152"/>
      <c r="DF1855" s="160" t="s">
        <v>4623</v>
      </c>
      <c r="DG1855" s="160" t="s">
        <v>118</v>
      </c>
      <c r="DH1855" s="160" t="s">
        <v>1182</v>
      </c>
      <c r="DI1855" s="160" t="s">
        <v>4624</v>
      </c>
      <c r="DJ1855" s="160" t="s">
        <v>4625</v>
      </c>
      <c r="DK1855" s="160" t="s">
        <v>588</v>
      </c>
      <c r="DL1855" s="160" t="s">
        <v>1741</v>
      </c>
      <c r="DM1855" s="160" t="s">
        <v>590</v>
      </c>
      <c r="DN1855" s="161" t="s">
        <v>591</v>
      </c>
      <c r="DP1855" s="130">
        <v>1</v>
      </c>
    </row>
    <row r="1856" spans="109:120" ht="15">
      <c r="DE1856" s="152"/>
      <c r="DF1856" s="160" t="s">
        <v>4626</v>
      </c>
      <c r="DG1856" s="160" t="s">
        <v>118</v>
      </c>
      <c r="DH1856" s="160" t="s">
        <v>1182</v>
      </c>
      <c r="DI1856" s="160" t="s">
        <v>4627</v>
      </c>
      <c r="DJ1856" s="160" t="s">
        <v>4628</v>
      </c>
      <c r="DK1856" s="160" t="s">
        <v>588</v>
      </c>
      <c r="DL1856" s="160" t="s">
        <v>1741</v>
      </c>
      <c r="DM1856" s="160" t="s">
        <v>590</v>
      </c>
      <c r="DN1856" s="161" t="s">
        <v>591</v>
      </c>
      <c r="DP1856" s="130">
        <v>1</v>
      </c>
    </row>
    <row r="1857" spans="109:120" ht="25.5">
      <c r="DE1857" s="152"/>
      <c r="DF1857" s="160" t="s">
        <v>4629</v>
      </c>
      <c r="DG1857" s="160" t="s">
        <v>118</v>
      </c>
      <c r="DH1857" s="160" t="s">
        <v>1182</v>
      </c>
      <c r="DI1857" s="160" t="s">
        <v>4630</v>
      </c>
      <c r="DJ1857" s="160" t="s">
        <v>4631</v>
      </c>
      <c r="DK1857" s="160" t="s">
        <v>3830</v>
      </c>
      <c r="DL1857" s="160" t="s">
        <v>4524</v>
      </c>
      <c r="DM1857" s="160" t="s">
        <v>821</v>
      </c>
      <c r="DN1857" s="161" t="s">
        <v>3832</v>
      </c>
      <c r="DP1857" s="130">
        <v>1</v>
      </c>
    </row>
    <row r="1858" spans="109:120" ht="15">
      <c r="DE1858" s="152"/>
      <c r="DF1858" s="160" t="s">
        <v>4632</v>
      </c>
      <c r="DG1858" s="160" t="s">
        <v>118</v>
      </c>
      <c r="DH1858" s="160" t="s">
        <v>1182</v>
      </c>
      <c r="DI1858" s="160" t="s">
        <v>1220</v>
      </c>
      <c r="DJ1858" s="160" t="s">
        <v>1220</v>
      </c>
      <c r="DK1858" s="160" t="s">
        <v>588</v>
      </c>
      <c r="DL1858" s="160" t="s">
        <v>1741</v>
      </c>
      <c r="DM1858" s="160" t="s">
        <v>590</v>
      </c>
      <c r="DN1858" s="161" t="s">
        <v>591</v>
      </c>
      <c r="DP1858" s="130">
        <v>1</v>
      </c>
    </row>
    <row r="1859" spans="109:120" ht="25.5">
      <c r="DE1859" s="152"/>
      <c r="DF1859" s="160" t="s">
        <v>4633</v>
      </c>
      <c r="DG1859" s="160" t="s">
        <v>118</v>
      </c>
      <c r="DH1859" s="160" t="s">
        <v>1182</v>
      </c>
      <c r="DI1859" s="160" t="s">
        <v>989</v>
      </c>
      <c r="DJ1859" s="160" t="s">
        <v>989</v>
      </c>
      <c r="DK1859" s="160" t="s">
        <v>3830</v>
      </c>
      <c r="DL1859" s="160" t="s">
        <v>4524</v>
      </c>
      <c r="DM1859" s="160" t="s">
        <v>821</v>
      </c>
      <c r="DN1859" s="161" t="s">
        <v>3832</v>
      </c>
      <c r="DP1859" s="130">
        <v>1</v>
      </c>
    </row>
    <row r="1860" spans="109:120" ht="25.5">
      <c r="DE1860" s="152"/>
      <c r="DF1860" s="160" t="s">
        <v>4634</v>
      </c>
      <c r="DG1860" s="160" t="s">
        <v>118</v>
      </c>
      <c r="DH1860" s="160" t="s">
        <v>1182</v>
      </c>
      <c r="DI1860" s="160" t="s">
        <v>4635</v>
      </c>
      <c r="DJ1860" s="160" t="s">
        <v>4635</v>
      </c>
      <c r="DK1860" s="160" t="s">
        <v>3830</v>
      </c>
      <c r="DL1860" s="160" t="s">
        <v>4524</v>
      </c>
      <c r="DM1860" s="160" t="s">
        <v>821</v>
      </c>
      <c r="DN1860" s="161" t="s">
        <v>3832</v>
      </c>
      <c r="DP1860" s="130">
        <v>1</v>
      </c>
    </row>
    <row r="1861" spans="109:120" ht="25.5">
      <c r="DE1861" s="152"/>
      <c r="DF1861" s="160" t="s">
        <v>4636</v>
      </c>
      <c r="DG1861" s="160" t="s">
        <v>118</v>
      </c>
      <c r="DH1861" s="160" t="s">
        <v>1182</v>
      </c>
      <c r="DI1861" s="160" t="s">
        <v>4637</v>
      </c>
      <c r="DJ1861" s="160" t="s">
        <v>4638</v>
      </c>
      <c r="DK1861" s="160" t="s">
        <v>3830</v>
      </c>
      <c r="DL1861" s="160" t="s">
        <v>4524</v>
      </c>
      <c r="DM1861" s="160" t="s">
        <v>821</v>
      </c>
      <c r="DN1861" s="161" t="s">
        <v>3832</v>
      </c>
      <c r="DP1861" s="130">
        <v>1</v>
      </c>
    </row>
    <row r="1862" spans="109:120" ht="25.5">
      <c r="DE1862" s="152"/>
      <c r="DF1862" s="160" t="s">
        <v>4639</v>
      </c>
      <c r="DG1862" s="160" t="s">
        <v>118</v>
      </c>
      <c r="DH1862" s="160" t="s">
        <v>1182</v>
      </c>
      <c r="DI1862" s="160" t="s">
        <v>4640</v>
      </c>
      <c r="DJ1862" s="160" t="s">
        <v>4640</v>
      </c>
      <c r="DK1862" s="160" t="s">
        <v>3830</v>
      </c>
      <c r="DL1862" s="160" t="s">
        <v>4524</v>
      </c>
      <c r="DM1862" s="160" t="s">
        <v>821</v>
      </c>
      <c r="DN1862" s="161" t="s">
        <v>3832</v>
      </c>
      <c r="DP1862" s="130">
        <v>1</v>
      </c>
    </row>
    <row r="1863" spans="109:120" ht="15">
      <c r="DE1863" s="152"/>
      <c r="DF1863" s="160" t="s">
        <v>4641</v>
      </c>
      <c r="DG1863" s="160" t="s">
        <v>118</v>
      </c>
      <c r="DH1863" s="160" t="s">
        <v>1182</v>
      </c>
      <c r="DI1863" s="160" t="s">
        <v>1223</v>
      </c>
      <c r="DJ1863" s="160" t="s">
        <v>1224</v>
      </c>
      <c r="DK1863" s="160" t="s">
        <v>666</v>
      </c>
      <c r="DL1863" s="160" t="s">
        <v>1192</v>
      </c>
      <c r="DM1863" s="160" t="s">
        <v>590</v>
      </c>
      <c r="DN1863" s="161" t="s">
        <v>668</v>
      </c>
      <c r="DP1863" s="130">
        <v>1</v>
      </c>
    </row>
    <row r="1864" spans="109:120" ht="15">
      <c r="DE1864" s="152"/>
      <c r="DF1864" s="160" t="s">
        <v>4642</v>
      </c>
      <c r="DG1864" s="160" t="s">
        <v>118</v>
      </c>
      <c r="DH1864" s="160" t="s">
        <v>1182</v>
      </c>
      <c r="DI1864" s="160" t="s">
        <v>4643</v>
      </c>
      <c r="DJ1864" s="160" t="s">
        <v>4643</v>
      </c>
      <c r="DK1864" s="160" t="s">
        <v>588</v>
      </c>
      <c r="DL1864" s="160" t="s">
        <v>1741</v>
      </c>
      <c r="DM1864" s="160" t="s">
        <v>590</v>
      </c>
      <c r="DN1864" s="161" t="s">
        <v>591</v>
      </c>
      <c r="DP1864" s="130">
        <v>1</v>
      </c>
    </row>
    <row r="1865" spans="109:120" ht="25.5">
      <c r="DE1865" s="152"/>
      <c r="DF1865" s="160" t="s">
        <v>4644</v>
      </c>
      <c r="DG1865" s="160" t="s">
        <v>118</v>
      </c>
      <c r="DH1865" s="160" t="s">
        <v>1182</v>
      </c>
      <c r="DI1865" s="160" t="s">
        <v>4645</v>
      </c>
      <c r="DJ1865" s="160" t="s">
        <v>4645</v>
      </c>
      <c r="DK1865" s="160" t="s">
        <v>3830</v>
      </c>
      <c r="DL1865" s="160" t="s">
        <v>4524</v>
      </c>
      <c r="DM1865" s="160" t="s">
        <v>821</v>
      </c>
      <c r="DN1865" s="161" t="s">
        <v>3832</v>
      </c>
      <c r="DP1865" s="130">
        <v>1</v>
      </c>
    </row>
    <row r="1866" spans="109:120" ht="15">
      <c r="DE1866" s="152"/>
      <c r="DF1866" s="160" t="s">
        <v>4646</v>
      </c>
      <c r="DG1866" s="160" t="s">
        <v>118</v>
      </c>
      <c r="DH1866" s="160" t="s">
        <v>1182</v>
      </c>
      <c r="DI1866" s="160" t="s">
        <v>4647</v>
      </c>
      <c r="DJ1866" s="160" t="s">
        <v>4647</v>
      </c>
      <c r="DK1866" s="160" t="s">
        <v>666</v>
      </c>
      <c r="DL1866" s="160" t="s">
        <v>1192</v>
      </c>
      <c r="DM1866" s="160" t="s">
        <v>590</v>
      </c>
      <c r="DN1866" s="161" t="s">
        <v>668</v>
      </c>
      <c r="DP1866" s="130">
        <v>1</v>
      </c>
    </row>
    <row r="1867" spans="109:120" ht="25.5">
      <c r="DE1867" s="152"/>
      <c r="DF1867" s="160" t="s">
        <v>4648</v>
      </c>
      <c r="DG1867" s="160" t="s">
        <v>118</v>
      </c>
      <c r="DH1867" s="160" t="s">
        <v>1182</v>
      </c>
      <c r="DI1867" s="160" t="s">
        <v>4649</v>
      </c>
      <c r="DJ1867" s="160" t="s">
        <v>4650</v>
      </c>
      <c r="DK1867" s="160" t="s">
        <v>3830</v>
      </c>
      <c r="DL1867" s="160" t="s">
        <v>4524</v>
      </c>
      <c r="DM1867" s="160" t="s">
        <v>821</v>
      </c>
      <c r="DN1867" s="161" t="s">
        <v>3832</v>
      </c>
      <c r="DP1867" s="130">
        <v>1</v>
      </c>
    </row>
    <row r="1868" spans="109:120" ht="15">
      <c r="DE1868" s="152"/>
      <c r="DF1868" s="160" t="s">
        <v>4651</v>
      </c>
      <c r="DG1868" s="160" t="s">
        <v>118</v>
      </c>
      <c r="DH1868" s="160" t="s">
        <v>1182</v>
      </c>
      <c r="DI1868" s="160" t="s">
        <v>1240</v>
      </c>
      <c r="DJ1868" s="160" t="s">
        <v>1240</v>
      </c>
      <c r="DK1868" s="160" t="s">
        <v>588</v>
      </c>
      <c r="DL1868" s="160" t="s">
        <v>1741</v>
      </c>
      <c r="DM1868" s="160" t="s">
        <v>590</v>
      </c>
      <c r="DN1868" s="161" t="s">
        <v>591</v>
      </c>
      <c r="DP1868" s="130">
        <v>1</v>
      </c>
    </row>
    <row r="1869" spans="109:120" ht="25.5">
      <c r="DE1869" s="152"/>
      <c r="DF1869" s="160" t="s">
        <v>4652</v>
      </c>
      <c r="DG1869" s="160" t="s">
        <v>118</v>
      </c>
      <c r="DH1869" s="160" t="s">
        <v>1182</v>
      </c>
      <c r="DI1869" s="160" t="s">
        <v>4653</v>
      </c>
      <c r="DJ1869" s="160" t="s">
        <v>4653</v>
      </c>
      <c r="DK1869" s="160" t="s">
        <v>3830</v>
      </c>
      <c r="DL1869" s="160" t="s">
        <v>4524</v>
      </c>
      <c r="DM1869" s="160" t="s">
        <v>821</v>
      </c>
      <c r="DN1869" s="161" t="s">
        <v>3832</v>
      </c>
      <c r="DP1869" s="130">
        <v>1</v>
      </c>
    </row>
    <row r="1870" spans="109:120" ht="25.5">
      <c r="DE1870" s="152"/>
      <c r="DF1870" s="160" t="s">
        <v>4654</v>
      </c>
      <c r="DG1870" s="160" t="s">
        <v>118</v>
      </c>
      <c r="DH1870" s="160" t="s">
        <v>1182</v>
      </c>
      <c r="DI1870" s="160" t="s">
        <v>4655</v>
      </c>
      <c r="DJ1870" s="160" t="s">
        <v>4655</v>
      </c>
      <c r="DK1870" s="160" t="s">
        <v>3830</v>
      </c>
      <c r="DL1870" s="160" t="s">
        <v>4524</v>
      </c>
      <c r="DM1870" s="160" t="s">
        <v>821</v>
      </c>
      <c r="DN1870" s="161" t="s">
        <v>3832</v>
      </c>
      <c r="DP1870" s="130">
        <v>1</v>
      </c>
    </row>
    <row r="1871" spans="109:120" ht="25.5">
      <c r="DE1871" s="152"/>
      <c r="DF1871" s="160" t="s">
        <v>4656</v>
      </c>
      <c r="DG1871" s="160" t="s">
        <v>118</v>
      </c>
      <c r="DH1871" s="160" t="s">
        <v>1182</v>
      </c>
      <c r="DI1871" s="160" t="s">
        <v>4657</v>
      </c>
      <c r="DJ1871" s="160" t="s">
        <v>4657</v>
      </c>
      <c r="DK1871" s="160" t="s">
        <v>3830</v>
      </c>
      <c r="DL1871" s="160" t="s">
        <v>4524</v>
      </c>
      <c r="DM1871" s="160" t="s">
        <v>821</v>
      </c>
      <c r="DN1871" s="161" t="s">
        <v>3832</v>
      </c>
      <c r="DP1871" s="130">
        <v>1</v>
      </c>
    </row>
    <row r="1872" spans="109:120" ht="15">
      <c r="DE1872" s="152"/>
      <c r="DF1872" s="160" t="s">
        <v>4658</v>
      </c>
      <c r="DG1872" s="160" t="s">
        <v>118</v>
      </c>
      <c r="DH1872" s="160" t="s">
        <v>1182</v>
      </c>
      <c r="DI1872" s="160" t="s">
        <v>1783</v>
      </c>
      <c r="DJ1872" s="160" t="s">
        <v>1783</v>
      </c>
      <c r="DK1872" s="160" t="s">
        <v>588</v>
      </c>
      <c r="DL1872" s="160" t="s">
        <v>1741</v>
      </c>
      <c r="DM1872" s="160" t="s">
        <v>590</v>
      </c>
      <c r="DN1872" s="161" t="s">
        <v>591</v>
      </c>
      <c r="DP1872" s="130">
        <v>1</v>
      </c>
    </row>
    <row r="1873" spans="109:120" ht="25.5">
      <c r="DE1873" s="152"/>
      <c r="DF1873" s="160" t="s">
        <v>4659</v>
      </c>
      <c r="DG1873" s="160" t="s">
        <v>118</v>
      </c>
      <c r="DH1873" s="160" t="s">
        <v>1182</v>
      </c>
      <c r="DI1873" s="160" t="s">
        <v>4660</v>
      </c>
      <c r="DJ1873" s="160" t="s">
        <v>4660</v>
      </c>
      <c r="DK1873" s="160" t="s">
        <v>3830</v>
      </c>
      <c r="DL1873" s="160" t="s">
        <v>4524</v>
      </c>
      <c r="DM1873" s="160" t="s">
        <v>821</v>
      </c>
      <c r="DN1873" s="161" t="s">
        <v>3832</v>
      </c>
      <c r="DP1873" s="130">
        <v>1</v>
      </c>
    </row>
    <row r="1874" spans="109:120" ht="25.5">
      <c r="DE1874" s="152"/>
      <c r="DF1874" s="160" t="s">
        <v>4661</v>
      </c>
      <c r="DG1874" s="160" t="s">
        <v>118</v>
      </c>
      <c r="DH1874" s="160" t="s">
        <v>1182</v>
      </c>
      <c r="DI1874" s="160" t="s">
        <v>4662</v>
      </c>
      <c r="DJ1874" s="160" t="s">
        <v>4662</v>
      </c>
      <c r="DK1874" s="160" t="s">
        <v>3830</v>
      </c>
      <c r="DL1874" s="160" t="s">
        <v>4524</v>
      </c>
      <c r="DM1874" s="160" t="s">
        <v>821</v>
      </c>
      <c r="DN1874" s="161" t="s">
        <v>3832</v>
      </c>
      <c r="DP1874" s="130">
        <v>1</v>
      </c>
    </row>
    <row r="1875" spans="109:120" ht="25.5">
      <c r="DE1875" s="152"/>
      <c r="DF1875" s="160" t="s">
        <v>4663</v>
      </c>
      <c r="DG1875" s="160" t="s">
        <v>118</v>
      </c>
      <c r="DH1875" s="160" t="s">
        <v>1182</v>
      </c>
      <c r="DI1875" s="160" t="s">
        <v>3490</v>
      </c>
      <c r="DJ1875" s="160" t="s">
        <v>3490</v>
      </c>
      <c r="DK1875" s="160" t="s">
        <v>3830</v>
      </c>
      <c r="DL1875" s="160" t="s">
        <v>4524</v>
      </c>
      <c r="DM1875" s="160" t="s">
        <v>821</v>
      </c>
      <c r="DN1875" s="161" t="s">
        <v>3832</v>
      </c>
      <c r="DP1875" s="130">
        <v>1</v>
      </c>
    </row>
    <row r="1876" spans="109:120" ht="25.5">
      <c r="DE1876" s="152"/>
      <c r="DF1876" s="160" t="s">
        <v>4664</v>
      </c>
      <c r="DG1876" s="160" t="s">
        <v>118</v>
      </c>
      <c r="DH1876" s="160" t="s">
        <v>1182</v>
      </c>
      <c r="DI1876" s="160" t="s">
        <v>1738</v>
      </c>
      <c r="DJ1876" s="160" t="s">
        <v>1738</v>
      </c>
      <c r="DK1876" s="160" t="s">
        <v>3830</v>
      </c>
      <c r="DL1876" s="160" t="s">
        <v>4524</v>
      </c>
      <c r="DM1876" s="160" t="s">
        <v>821</v>
      </c>
      <c r="DN1876" s="161" t="s">
        <v>3832</v>
      </c>
      <c r="DP1876" s="130">
        <v>1</v>
      </c>
    </row>
    <row r="1877" spans="109:120" ht="25.5">
      <c r="DE1877" s="152"/>
      <c r="DF1877" s="160" t="s">
        <v>4665</v>
      </c>
      <c r="DG1877" s="160" t="s">
        <v>118</v>
      </c>
      <c r="DH1877" s="160" t="s">
        <v>1182</v>
      </c>
      <c r="DI1877" s="160" t="s">
        <v>4666</v>
      </c>
      <c r="DJ1877" s="160" t="s">
        <v>4666</v>
      </c>
      <c r="DK1877" s="160" t="s">
        <v>3830</v>
      </c>
      <c r="DL1877" s="160" t="s">
        <v>4524</v>
      </c>
      <c r="DM1877" s="160" t="s">
        <v>821</v>
      </c>
      <c r="DN1877" s="161" t="s">
        <v>3832</v>
      </c>
      <c r="DP1877" s="130">
        <v>1</v>
      </c>
    </row>
    <row r="1878" spans="109:120" ht="15">
      <c r="DE1878" s="152"/>
      <c r="DF1878" s="160" t="s">
        <v>4667</v>
      </c>
      <c r="DG1878" s="160" t="s">
        <v>118</v>
      </c>
      <c r="DH1878" s="160" t="s">
        <v>1182</v>
      </c>
      <c r="DI1878" s="160" t="s">
        <v>4668</v>
      </c>
      <c r="DJ1878" s="160" t="s">
        <v>4669</v>
      </c>
      <c r="DK1878" s="160" t="s">
        <v>588</v>
      </c>
      <c r="DL1878" s="160" t="s">
        <v>1741</v>
      </c>
      <c r="DM1878" s="160" t="s">
        <v>590</v>
      </c>
      <c r="DN1878" s="161" t="s">
        <v>591</v>
      </c>
      <c r="DP1878" s="130">
        <v>1</v>
      </c>
    </row>
    <row r="1879" spans="109:120" ht="15">
      <c r="DE1879" s="152"/>
      <c r="DF1879" s="160" t="s">
        <v>4670</v>
      </c>
      <c r="DG1879" s="160" t="s">
        <v>118</v>
      </c>
      <c r="DH1879" s="160" t="s">
        <v>1182</v>
      </c>
      <c r="DI1879" s="160" t="s">
        <v>1076</v>
      </c>
      <c r="DJ1879" s="160" t="s">
        <v>1076</v>
      </c>
      <c r="DK1879" s="160" t="s">
        <v>588</v>
      </c>
      <c r="DL1879" s="160" t="s">
        <v>1741</v>
      </c>
      <c r="DM1879" s="160" t="s">
        <v>590</v>
      </c>
      <c r="DN1879" s="161" t="s">
        <v>591</v>
      </c>
      <c r="DP1879" s="130">
        <v>1</v>
      </c>
    </row>
    <row r="1880" spans="109:120" ht="15">
      <c r="DE1880" s="152"/>
      <c r="DF1880" s="160" t="s">
        <v>4671</v>
      </c>
      <c r="DG1880" s="160" t="s">
        <v>118</v>
      </c>
      <c r="DH1880" s="160" t="s">
        <v>1182</v>
      </c>
      <c r="DI1880" s="160" t="s">
        <v>4672</v>
      </c>
      <c r="DJ1880" s="160" t="s">
        <v>4672</v>
      </c>
      <c r="DK1880" s="160" t="s">
        <v>588</v>
      </c>
      <c r="DL1880" s="160" t="s">
        <v>1741</v>
      </c>
      <c r="DM1880" s="160" t="s">
        <v>590</v>
      </c>
      <c r="DN1880" s="161" t="s">
        <v>591</v>
      </c>
      <c r="DP1880" s="130">
        <v>1</v>
      </c>
    </row>
    <row r="1881" spans="109:120" ht="15">
      <c r="DE1881" s="152"/>
      <c r="DF1881" s="160" t="s">
        <v>4673</v>
      </c>
      <c r="DG1881" s="160" t="s">
        <v>118</v>
      </c>
      <c r="DH1881" s="160" t="s">
        <v>1791</v>
      </c>
      <c r="DI1881" s="160" t="s">
        <v>1792</v>
      </c>
      <c r="DJ1881" s="160" t="s">
        <v>1792</v>
      </c>
      <c r="DK1881" s="160" t="s">
        <v>666</v>
      </c>
      <c r="DL1881" s="160" t="s">
        <v>1793</v>
      </c>
      <c r="DM1881" s="160" t="s">
        <v>590</v>
      </c>
      <c r="DN1881" s="161" t="s">
        <v>668</v>
      </c>
      <c r="DP1881" s="130">
        <v>1</v>
      </c>
    </row>
    <row r="1882" spans="109:120" ht="15">
      <c r="DE1882" s="152"/>
      <c r="DF1882" s="160" t="s">
        <v>4674</v>
      </c>
      <c r="DG1882" s="160" t="s">
        <v>118</v>
      </c>
      <c r="DH1882" s="160" t="s">
        <v>1791</v>
      </c>
      <c r="DI1882" s="160" t="s">
        <v>1795</v>
      </c>
      <c r="DJ1882" s="160" t="s">
        <v>1796</v>
      </c>
      <c r="DK1882" s="160" t="s">
        <v>666</v>
      </c>
      <c r="DL1882" s="160" t="s">
        <v>1793</v>
      </c>
      <c r="DM1882" s="160" t="s">
        <v>590</v>
      </c>
      <c r="DN1882" s="161" t="s">
        <v>668</v>
      </c>
      <c r="DP1882" s="130">
        <v>1</v>
      </c>
    </row>
    <row r="1883" spans="109:120" ht="15">
      <c r="DE1883" s="152"/>
      <c r="DF1883" s="160" t="s">
        <v>4675</v>
      </c>
      <c r="DG1883" s="160" t="s">
        <v>118</v>
      </c>
      <c r="DH1883" s="160" t="s">
        <v>1791</v>
      </c>
      <c r="DI1883" s="160" t="s">
        <v>1798</v>
      </c>
      <c r="DJ1883" s="160" t="s">
        <v>1799</v>
      </c>
      <c r="DK1883" s="160" t="s">
        <v>666</v>
      </c>
      <c r="DL1883" s="160" t="s">
        <v>1793</v>
      </c>
      <c r="DM1883" s="160" t="s">
        <v>590</v>
      </c>
      <c r="DN1883" s="161" t="s">
        <v>668</v>
      </c>
      <c r="DP1883" s="130">
        <v>1</v>
      </c>
    </row>
    <row r="1884" spans="109:120" ht="15">
      <c r="DE1884" s="152"/>
      <c r="DF1884" s="160" t="s">
        <v>4676</v>
      </c>
      <c r="DG1884" s="160" t="s">
        <v>118</v>
      </c>
      <c r="DH1884" s="160" t="s">
        <v>1791</v>
      </c>
      <c r="DI1884" s="160" t="s">
        <v>1801</v>
      </c>
      <c r="DJ1884" s="160" t="s">
        <v>1802</v>
      </c>
      <c r="DK1884" s="160" t="s">
        <v>666</v>
      </c>
      <c r="DL1884" s="160" t="s">
        <v>1793</v>
      </c>
      <c r="DM1884" s="160" t="s">
        <v>590</v>
      </c>
      <c r="DN1884" s="161" t="s">
        <v>668</v>
      </c>
      <c r="DP1884" s="130">
        <v>1</v>
      </c>
    </row>
    <row r="1885" spans="109:120" ht="15">
      <c r="DE1885" s="152"/>
      <c r="DF1885" s="160" t="s">
        <v>4677</v>
      </c>
      <c r="DG1885" s="160" t="s">
        <v>118</v>
      </c>
      <c r="DH1885" s="160" t="s">
        <v>1791</v>
      </c>
      <c r="DI1885" s="160" t="s">
        <v>1131</v>
      </c>
      <c r="DJ1885" s="160" t="s">
        <v>550</v>
      </c>
      <c r="DK1885" s="160" t="s">
        <v>666</v>
      </c>
      <c r="DL1885" s="160" t="s">
        <v>1793</v>
      </c>
      <c r="DM1885" s="160" t="s">
        <v>590</v>
      </c>
      <c r="DN1885" s="161" t="s">
        <v>668</v>
      </c>
      <c r="DP1885" s="130">
        <v>1</v>
      </c>
    </row>
    <row r="1886" spans="109:120" ht="15">
      <c r="DE1886" s="152"/>
      <c r="DF1886" s="160" t="s">
        <v>4678</v>
      </c>
      <c r="DG1886" s="160" t="s">
        <v>118</v>
      </c>
      <c r="DH1886" s="160" t="s">
        <v>1791</v>
      </c>
      <c r="DI1886" s="160" t="s">
        <v>1134</v>
      </c>
      <c r="DJ1886" s="160" t="s">
        <v>551</v>
      </c>
      <c r="DK1886" s="160" t="s">
        <v>666</v>
      </c>
      <c r="DL1886" s="160" t="s">
        <v>1793</v>
      </c>
      <c r="DM1886" s="160" t="s">
        <v>590</v>
      </c>
      <c r="DN1886" s="161" t="s">
        <v>668</v>
      </c>
      <c r="DP1886" s="130">
        <v>1</v>
      </c>
    </row>
    <row r="1887" spans="109:120" ht="15">
      <c r="DE1887" s="152"/>
      <c r="DF1887" s="160" t="s">
        <v>4679</v>
      </c>
      <c r="DG1887" s="160" t="s">
        <v>118</v>
      </c>
      <c r="DH1887" s="160" t="s">
        <v>1791</v>
      </c>
      <c r="DI1887" s="160" t="s">
        <v>1145</v>
      </c>
      <c r="DJ1887" s="160" t="s">
        <v>552</v>
      </c>
      <c r="DK1887" s="160" t="s">
        <v>666</v>
      </c>
      <c r="DL1887" s="160" t="s">
        <v>1793</v>
      </c>
      <c r="DM1887" s="160" t="s">
        <v>590</v>
      </c>
      <c r="DN1887" s="161" t="s">
        <v>668</v>
      </c>
      <c r="DP1887" s="130">
        <v>1</v>
      </c>
    </row>
    <row r="1888" spans="109:120" ht="15">
      <c r="DE1888" s="152"/>
      <c r="DF1888" s="160" t="s">
        <v>4680</v>
      </c>
      <c r="DG1888" s="160" t="s">
        <v>118</v>
      </c>
      <c r="DH1888" s="160" t="s">
        <v>1791</v>
      </c>
      <c r="DI1888" s="160" t="s">
        <v>1807</v>
      </c>
      <c r="DJ1888" s="160" t="s">
        <v>1807</v>
      </c>
      <c r="DK1888" s="160" t="s">
        <v>666</v>
      </c>
      <c r="DL1888" s="160" t="s">
        <v>1793</v>
      </c>
      <c r="DM1888" s="160" t="s">
        <v>590</v>
      </c>
      <c r="DN1888" s="161" t="s">
        <v>668</v>
      </c>
      <c r="DP1888" s="130">
        <v>1</v>
      </c>
    </row>
    <row r="1889" spans="109:120" ht="15">
      <c r="DE1889" s="152"/>
      <c r="DF1889" s="160" t="s">
        <v>4681</v>
      </c>
      <c r="DG1889" s="160" t="s">
        <v>118</v>
      </c>
      <c r="DH1889" s="160" t="s">
        <v>1791</v>
      </c>
      <c r="DI1889" s="160" t="s">
        <v>1809</v>
      </c>
      <c r="DJ1889" s="160" t="s">
        <v>1809</v>
      </c>
      <c r="DK1889" s="160" t="s">
        <v>666</v>
      </c>
      <c r="DL1889" s="160" t="s">
        <v>1793</v>
      </c>
      <c r="DM1889" s="160" t="s">
        <v>590</v>
      </c>
      <c r="DN1889" s="161" t="s">
        <v>668</v>
      </c>
      <c r="DP1889" s="130">
        <v>1</v>
      </c>
    </row>
    <row r="1890" spans="109:120" ht="15">
      <c r="DE1890" s="152"/>
      <c r="DF1890" s="160" t="s">
        <v>4682</v>
      </c>
      <c r="DG1890" s="160" t="s">
        <v>647</v>
      </c>
      <c r="DH1890" s="160" t="s">
        <v>125</v>
      </c>
      <c r="DI1890" s="160" t="s">
        <v>4683</v>
      </c>
      <c r="DJ1890" s="160" t="s">
        <v>4683</v>
      </c>
      <c r="DK1890" s="160" t="s">
        <v>666</v>
      </c>
      <c r="DL1890" s="160" t="s">
        <v>667</v>
      </c>
      <c r="DM1890" s="160" t="s">
        <v>590</v>
      </c>
      <c r="DN1890" s="161" t="s">
        <v>668</v>
      </c>
      <c r="DP1890" s="130">
        <v>1</v>
      </c>
    </row>
    <row r="1891" spans="109:120" ht="15">
      <c r="DE1891" s="152"/>
      <c r="DF1891" s="160" t="s">
        <v>4684</v>
      </c>
      <c r="DG1891" s="160" t="s">
        <v>647</v>
      </c>
      <c r="DH1891" s="160" t="s">
        <v>125</v>
      </c>
      <c r="DI1891" s="160" t="s">
        <v>4685</v>
      </c>
      <c r="DJ1891" s="160" t="s">
        <v>4685</v>
      </c>
      <c r="DK1891" s="160" t="s">
        <v>666</v>
      </c>
      <c r="DL1891" s="160" t="s">
        <v>667</v>
      </c>
      <c r="DM1891" s="160" t="s">
        <v>590</v>
      </c>
      <c r="DN1891" s="161" t="s">
        <v>668</v>
      </c>
      <c r="DP1891" s="130">
        <v>1</v>
      </c>
    </row>
    <row r="1892" spans="109:120" ht="15">
      <c r="DE1892" s="152"/>
      <c r="DF1892" s="160" t="s">
        <v>4686</v>
      </c>
      <c r="DG1892" s="160" t="s">
        <v>647</v>
      </c>
      <c r="DH1892" s="160" t="s">
        <v>125</v>
      </c>
      <c r="DI1892" s="160" t="s">
        <v>152</v>
      </c>
      <c r="DJ1892" s="160" t="s">
        <v>152</v>
      </c>
      <c r="DK1892" s="160" t="s">
        <v>588</v>
      </c>
      <c r="DL1892" s="160" t="s">
        <v>4687</v>
      </c>
      <c r="DM1892" s="160" t="s">
        <v>590</v>
      </c>
      <c r="DN1892" s="161" t="s">
        <v>591</v>
      </c>
      <c r="DP1892" s="130">
        <v>1</v>
      </c>
    </row>
    <row r="1893" spans="109:120" ht="15">
      <c r="DE1893" s="152"/>
      <c r="DF1893" s="160" t="s">
        <v>4688</v>
      </c>
      <c r="DG1893" s="160" t="s">
        <v>647</v>
      </c>
      <c r="DH1893" s="160" t="s">
        <v>125</v>
      </c>
      <c r="DI1893" s="160" t="s">
        <v>153</v>
      </c>
      <c r="DJ1893" s="160" t="s">
        <v>153</v>
      </c>
      <c r="DK1893" s="160" t="s">
        <v>588</v>
      </c>
      <c r="DL1893" s="160" t="s">
        <v>4687</v>
      </c>
      <c r="DM1893" s="160" t="s">
        <v>590</v>
      </c>
      <c r="DN1893" s="161" t="s">
        <v>591</v>
      </c>
      <c r="DP1893" s="130">
        <v>1</v>
      </c>
    </row>
    <row r="1894" spans="109:120" ht="15">
      <c r="DE1894" s="152"/>
      <c r="DF1894" s="160" t="s">
        <v>4689</v>
      </c>
      <c r="DG1894" s="160" t="s">
        <v>647</v>
      </c>
      <c r="DH1894" s="160" t="s">
        <v>125</v>
      </c>
      <c r="DI1894" s="160" t="s">
        <v>4690</v>
      </c>
      <c r="DJ1894" s="160" t="s">
        <v>4690</v>
      </c>
      <c r="DK1894" s="160" t="s">
        <v>588</v>
      </c>
      <c r="DL1894" s="160" t="s">
        <v>4687</v>
      </c>
      <c r="DM1894" s="160" t="s">
        <v>590</v>
      </c>
      <c r="DN1894" s="161" t="s">
        <v>591</v>
      </c>
      <c r="DP1894" s="130">
        <v>1</v>
      </c>
    </row>
    <row r="1895" spans="109:120" ht="15">
      <c r="DE1895" s="152"/>
      <c r="DF1895" s="160" t="s">
        <v>4691</v>
      </c>
      <c r="DG1895" s="160" t="s">
        <v>647</v>
      </c>
      <c r="DH1895" s="160" t="s">
        <v>125</v>
      </c>
      <c r="DI1895" s="160" t="s">
        <v>4692</v>
      </c>
      <c r="DJ1895" s="160" t="s">
        <v>4692</v>
      </c>
      <c r="DK1895" s="160" t="s">
        <v>588</v>
      </c>
      <c r="DL1895" s="160" t="s">
        <v>4687</v>
      </c>
      <c r="DM1895" s="160" t="s">
        <v>590</v>
      </c>
      <c r="DN1895" s="161" t="s">
        <v>591</v>
      </c>
      <c r="DP1895" s="130">
        <v>1</v>
      </c>
    </row>
    <row r="1896" spans="109:120" ht="15">
      <c r="DE1896" s="152"/>
      <c r="DF1896" s="160" t="s">
        <v>4693</v>
      </c>
      <c r="DG1896" s="160" t="s">
        <v>647</v>
      </c>
      <c r="DH1896" s="160" t="s">
        <v>125</v>
      </c>
      <c r="DI1896" s="160" t="s">
        <v>4694</v>
      </c>
      <c r="DJ1896" s="160" t="s">
        <v>4694</v>
      </c>
      <c r="DK1896" s="160" t="s">
        <v>666</v>
      </c>
      <c r="DL1896" s="160" t="s">
        <v>667</v>
      </c>
      <c r="DM1896" s="160" t="s">
        <v>590</v>
      </c>
      <c r="DN1896" s="161" t="s">
        <v>668</v>
      </c>
      <c r="DP1896" s="130">
        <v>1</v>
      </c>
    </row>
    <row r="1897" spans="109:120" ht="15">
      <c r="DE1897" s="152"/>
      <c r="DF1897" s="160" t="s">
        <v>4695</v>
      </c>
      <c r="DG1897" s="160" t="s">
        <v>647</v>
      </c>
      <c r="DH1897" s="160" t="s">
        <v>125</v>
      </c>
      <c r="DI1897" s="160" t="s">
        <v>4696</v>
      </c>
      <c r="DJ1897" s="160" t="s">
        <v>4696</v>
      </c>
      <c r="DK1897" s="160" t="s">
        <v>666</v>
      </c>
      <c r="DL1897" s="160" t="s">
        <v>667</v>
      </c>
      <c r="DM1897" s="160" t="s">
        <v>590</v>
      </c>
      <c r="DN1897" s="161" t="s">
        <v>668</v>
      </c>
      <c r="DP1897" s="130">
        <v>1</v>
      </c>
    </row>
    <row r="1898" spans="109:120" ht="15">
      <c r="DE1898" s="152"/>
      <c r="DF1898" s="160" t="s">
        <v>4697</v>
      </c>
      <c r="DG1898" s="160" t="s">
        <v>647</v>
      </c>
      <c r="DH1898" s="160" t="s">
        <v>125</v>
      </c>
      <c r="DI1898" s="160" t="s">
        <v>154</v>
      </c>
      <c r="DJ1898" s="160" t="s">
        <v>154</v>
      </c>
      <c r="DK1898" s="160" t="s">
        <v>588</v>
      </c>
      <c r="DL1898" s="160" t="s">
        <v>4687</v>
      </c>
      <c r="DM1898" s="160" t="s">
        <v>590</v>
      </c>
      <c r="DN1898" s="161" t="s">
        <v>591</v>
      </c>
      <c r="DP1898" s="130">
        <v>1</v>
      </c>
    </row>
    <row r="1899" spans="109:120" ht="15">
      <c r="DE1899" s="152"/>
      <c r="DF1899" s="160" t="s">
        <v>4698</v>
      </c>
      <c r="DG1899" s="160" t="s">
        <v>647</v>
      </c>
      <c r="DH1899" s="160" t="s">
        <v>125</v>
      </c>
      <c r="DI1899" s="160" t="s">
        <v>155</v>
      </c>
      <c r="DJ1899" s="160" t="s">
        <v>155</v>
      </c>
      <c r="DK1899" s="160" t="s">
        <v>588</v>
      </c>
      <c r="DL1899" s="160" t="s">
        <v>4687</v>
      </c>
      <c r="DM1899" s="160" t="s">
        <v>590</v>
      </c>
      <c r="DN1899" s="161" t="s">
        <v>591</v>
      </c>
      <c r="DP1899" s="130">
        <v>1</v>
      </c>
    </row>
    <row r="1900" spans="109:120" ht="15">
      <c r="DE1900" s="152"/>
      <c r="DF1900" s="160" t="s">
        <v>4699</v>
      </c>
      <c r="DG1900" s="160" t="s">
        <v>647</v>
      </c>
      <c r="DH1900" s="160" t="s">
        <v>125</v>
      </c>
      <c r="DI1900" s="160" t="s">
        <v>4700</v>
      </c>
      <c r="DJ1900" s="160" t="s">
        <v>4700</v>
      </c>
      <c r="DK1900" s="160" t="s">
        <v>666</v>
      </c>
      <c r="DL1900" s="160" t="s">
        <v>667</v>
      </c>
      <c r="DM1900" s="160" t="s">
        <v>590</v>
      </c>
      <c r="DN1900" s="161" t="s">
        <v>668</v>
      </c>
      <c r="DP1900" s="130">
        <v>1</v>
      </c>
    </row>
    <row r="1901" spans="109:120" ht="15">
      <c r="DE1901" s="152"/>
      <c r="DF1901" s="160" t="s">
        <v>4701</v>
      </c>
      <c r="DG1901" s="160" t="s">
        <v>647</v>
      </c>
      <c r="DH1901" s="160" t="s">
        <v>125</v>
      </c>
      <c r="DI1901" s="160" t="s">
        <v>4702</v>
      </c>
      <c r="DJ1901" s="160" t="s">
        <v>4702</v>
      </c>
      <c r="DK1901" s="160" t="s">
        <v>666</v>
      </c>
      <c r="DL1901" s="160" t="s">
        <v>667</v>
      </c>
      <c r="DM1901" s="160" t="s">
        <v>590</v>
      </c>
      <c r="DN1901" s="161" t="s">
        <v>668</v>
      </c>
      <c r="DP1901" s="130">
        <v>1</v>
      </c>
    </row>
    <row r="1902" spans="109:120" ht="15">
      <c r="DE1902" s="152"/>
      <c r="DF1902" s="160" t="s">
        <v>4703</v>
      </c>
      <c r="DG1902" s="160" t="s">
        <v>647</v>
      </c>
      <c r="DH1902" s="160" t="s">
        <v>125</v>
      </c>
      <c r="DI1902" s="160" t="s">
        <v>4704</v>
      </c>
      <c r="DJ1902" s="160" t="s">
        <v>4704</v>
      </c>
      <c r="DK1902" s="160" t="s">
        <v>588</v>
      </c>
      <c r="DL1902" s="160" t="s">
        <v>4687</v>
      </c>
      <c r="DM1902" s="160" t="s">
        <v>590</v>
      </c>
      <c r="DN1902" s="161" t="s">
        <v>591</v>
      </c>
      <c r="DP1902" s="130">
        <v>1</v>
      </c>
    </row>
    <row r="1903" spans="109:120" ht="15">
      <c r="DE1903" s="152"/>
      <c r="DF1903" s="160" t="s">
        <v>4705</v>
      </c>
      <c r="DG1903" s="160" t="s">
        <v>647</v>
      </c>
      <c r="DH1903" s="160" t="s">
        <v>125</v>
      </c>
      <c r="DI1903" s="160" t="s">
        <v>4706</v>
      </c>
      <c r="DJ1903" s="160" t="s">
        <v>4706</v>
      </c>
      <c r="DK1903" s="160" t="s">
        <v>588</v>
      </c>
      <c r="DL1903" s="160" t="s">
        <v>4687</v>
      </c>
      <c r="DM1903" s="160" t="s">
        <v>590</v>
      </c>
      <c r="DN1903" s="161" t="s">
        <v>591</v>
      </c>
      <c r="DP1903" s="130">
        <v>1</v>
      </c>
    </row>
    <row r="1904" spans="109:120" ht="15">
      <c r="DE1904" s="152"/>
      <c r="DF1904" s="160" t="s">
        <v>4707</v>
      </c>
      <c r="DG1904" s="160" t="s">
        <v>647</v>
      </c>
      <c r="DH1904" s="160" t="s">
        <v>125</v>
      </c>
      <c r="DI1904" s="160" t="s">
        <v>348</v>
      </c>
      <c r="DJ1904" s="160" t="s">
        <v>348</v>
      </c>
      <c r="DK1904" s="160" t="s">
        <v>588</v>
      </c>
      <c r="DL1904" s="160" t="s">
        <v>4687</v>
      </c>
      <c r="DM1904" s="160" t="s">
        <v>590</v>
      </c>
      <c r="DN1904" s="161" t="s">
        <v>591</v>
      </c>
      <c r="DP1904" s="130">
        <v>1</v>
      </c>
    </row>
    <row r="1905" spans="109:120" ht="15">
      <c r="DE1905" s="152"/>
      <c r="DF1905" s="160" t="s">
        <v>4708</v>
      </c>
      <c r="DG1905" s="160" t="s">
        <v>647</v>
      </c>
      <c r="DH1905" s="160" t="s">
        <v>125</v>
      </c>
      <c r="DI1905" s="160" t="s">
        <v>352</v>
      </c>
      <c r="DJ1905" s="160" t="s">
        <v>352</v>
      </c>
      <c r="DK1905" s="160" t="s">
        <v>588</v>
      </c>
      <c r="DL1905" s="160" t="s">
        <v>4687</v>
      </c>
      <c r="DM1905" s="160" t="s">
        <v>590</v>
      </c>
      <c r="DN1905" s="161" t="s">
        <v>591</v>
      </c>
      <c r="DP1905" s="130">
        <v>1</v>
      </c>
    </row>
    <row r="1906" spans="109:120" ht="15">
      <c r="DE1906" s="152"/>
      <c r="DF1906" s="160" t="s">
        <v>4709</v>
      </c>
      <c r="DG1906" s="160" t="s">
        <v>647</v>
      </c>
      <c r="DH1906" s="160" t="s">
        <v>125</v>
      </c>
      <c r="DI1906" s="160" t="s">
        <v>444</v>
      </c>
      <c r="DJ1906" s="160" t="s">
        <v>444</v>
      </c>
      <c r="DK1906" s="160" t="s">
        <v>588</v>
      </c>
      <c r="DL1906" s="160" t="s">
        <v>4687</v>
      </c>
      <c r="DM1906" s="160" t="s">
        <v>590</v>
      </c>
      <c r="DN1906" s="161" t="s">
        <v>591</v>
      </c>
      <c r="DP1906" s="130">
        <v>1</v>
      </c>
    </row>
    <row r="1907" spans="109:120" ht="15">
      <c r="DE1907" s="152"/>
      <c r="DF1907" s="160" t="s">
        <v>4710</v>
      </c>
      <c r="DG1907" s="160" t="s">
        <v>647</v>
      </c>
      <c r="DH1907" s="160" t="s">
        <v>125</v>
      </c>
      <c r="DI1907" s="160" t="s">
        <v>445</v>
      </c>
      <c r="DJ1907" s="160" t="s">
        <v>445</v>
      </c>
      <c r="DK1907" s="160" t="s">
        <v>588</v>
      </c>
      <c r="DL1907" s="160" t="s">
        <v>4687</v>
      </c>
      <c r="DM1907" s="160" t="s">
        <v>590</v>
      </c>
      <c r="DN1907" s="161" t="s">
        <v>591</v>
      </c>
      <c r="DP1907" s="130">
        <v>1</v>
      </c>
    </row>
    <row r="1908" spans="109:120" ht="15">
      <c r="DE1908" s="152"/>
      <c r="DF1908" s="160" t="s">
        <v>4711</v>
      </c>
      <c r="DG1908" s="160" t="s">
        <v>647</v>
      </c>
      <c r="DH1908" s="160" t="s">
        <v>125</v>
      </c>
      <c r="DI1908" s="160" t="s">
        <v>4712</v>
      </c>
      <c r="DJ1908" s="160" t="s">
        <v>4712</v>
      </c>
      <c r="DK1908" s="160" t="s">
        <v>666</v>
      </c>
      <c r="DL1908" s="160" t="s">
        <v>667</v>
      </c>
      <c r="DM1908" s="160" t="s">
        <v>590</v>
      </c>
      <c r="DN1908" s="161" t="s">
        <v>668</v>
      </c>
      <c r="DP1908" s="130">
        <v>1</v>
      </c>
    </row>
    <row r="1909" spans="109:120" ht="15">
      <c r="DE1909" s="152"/>
      <c r="DF1909" s="160" t="s">
        <v>4713</v>
      </c>
      <c r="DG1909" s="160" t="s">
        <v>647</v>
      </c>
      <c r="DH1909" s="160" t="s">
        <v>125</v>
      </c>
      <c r="DI1909" s="160" t="s">
        <v>4714</v>
      </c>
      <c r="DJ1909" s="160" t="s">
        <v>4714</v>
      </c>
      <c r="DK1909" s="160" t="s">
        <v>666</v>
      </c>
      <c r="DL1909" s="160" t="s">
        <v>667</v>
      </c>
      <c r="DM1909" s="160" t="s">
        <v>590</v>
      </c>
      <c r="DN1909" s="161" t="s">
        <v>668</v>
      </c>
      <c r="DP1909" s="130">
        <v>1</v>
      </c>
    </row>
    <row r="1910" spans="109:120" ht="15">
      <c r="DE1910" s="152"/>
      <c r="DF1910" s="160" t="s">
        <v>4715</v>
      </c>
      <c r="DG1910" s="160" t="s">
        <v>647</v>
      </c>
      <c r="DH1910" s="160" t="s">
        <v>125</v>
      </c>
      <c r="DI1910" s="160" t="s">
        <v>4716</v>
      </c>
      <c r="DJ1910" s="160" t="s">
        <v>4716</v>
      </c>
      <c r="DK1910" s="160" t="s">
        <v>588</v>
      </c>
      <c r="DL1910" s="160" t="s">
        <v>4687</v>
      </c>
      <c r="DM1910" s="160" t="s">
        <v>590</v>
      </c>
      <c r="DN1910" s="161" t="s">
        <v>591</v>
      </c>
      <c r="DP1910" s="130">
        <v>1</v>
      </c>
    </row>
    <row r="1911" spans="109:120" ht="15">
      <c r="DE1911" s="152"/>
      <c r="DF1911" s="160" t="s">
        <v>4717</v>
      </c>
      <c r="DG1911" s="160" t="s">
        <v>647</v>
      </c>
      <c r="DH1911" s="160" t="s">
        <v>125</v>
      </c>
      <c r="DI1911" s="160" t="s">
        <v>4718</v>
      </c>
      <c r="DJ1911" s="160" t="s">
        <v>4718</v>
      </c>
      <c r="DK1911" s="160" t="s">
        <v>588</v>
      </c>
      <c r="DL1911" s="160" t="s">
        <v>4687</v>
      </c>
      <c r="DM1911" s="160" t="s">
        <v>590</v>
      </c>
      <c r="DN1911" s="161" t="s">
        <v>591</v>
      </c>
      <c r="DP1911" s="130">
        <v>1</v>
      </c>
    </row>
    <row r="1912" spans="109:120" ht="15">
      <c r="DE1912" s="152"/>
      <c r="DF1912" s="160" t="s">
        <v>4719</v>
      </c>
      <c r="DG1912" s="160" t="s">
        <v>647</v>
      </c>
      <c r="DH1912" s="160" t="s">
        <v>125</v>
      </c>
      <c r="DI1912" s="160" t="s">
        <v>158</v>
      </c>
      <c r="DJ1912" s="160" t="s">
        <v>158</v>
      </c>
      <c r="DK1912" s="160" t="s">
        <v>588</v>
      </c>
      <c r="DL1912" s="160" t="s">
        <v>4687</v>
      </c>
      <c r="DM1912" s="160" t="s">
        <v>590</v>
      </c>
      <c r="DN1912" s="161" t="s">
        <v>591</v>
      </c>
      <c r="DP1912" s="130">
        <v>1</v>
      </c>
    </row>
    <row r="1913" spans="109:120" ht="15">
      <c r="DE1913" s="152"/>
      <c r="DF1913" s="160" t="s">
        <v>4720</v>
      </c>
      <c r="DG1913" s="160" t="s">
        <v>647</v>
      </c>
      <c r="DH1913" s="160" t="s">
        <v>125</v>
      </c>
      <c r="DI1913" s="160" t="s">
        <v>159</v>
      </c>
      <c r="DJ1913" s="160" t="s">
        <v>159</v>
      </c>
      <c r="DK1913" s="160" t="s">
        <v>588</v>
      </c>
      <c r="DL1913" s="160" t="s">
        <v>4687</v>
      </c>
      <c r="DM1913" s="160" t="s">
        <v>590</v>
      </c>
      <c r="DN1913" s="161" t="s">
        <v>591</v>
      </c>
      <c r="DP1913" s="130">
        <v>1</v>
      </c>
    </row>
    <row r="1914" spans="109:120" ht="15">
      <c r="DE1914" s="152"/>
      <c r="DF1914" s="160" t="s">
        <v>4721</v>
      </c>
      <c r="DG1914" s="160" t="s">
        <v>647</v>
      </c>
      <c r="DH1914" s="160" t="s">
        <v>125</v>
      </c>
      <c r="DI1914" s="160" t="s">
        <v>161</v>
      </c>
      <c r="DJ1914" s="160" t="s">
        <v>161</v>
      </c>
      <c r="DK1914" s="160" t="s">
        <v>588</v>
      </c>
      <c r="DL1914" s="160" t="s">
        <v>4687</v>
      </c>
      <c r="DM1914" s="160" t="s">
        <v>590</v>
      </c>
      <c r="DN1914" s="161" t="s">
        <v>591</v>
      </c>
      <c r="DP1914" s="130">
        <v>1</v>
      </c>
    </row>
    <row r="1915" spans="109:120" ht="15">
      <c r="DE1915" s="152"/>
      <c r="DF1915" s="160" t="s">
        <v>4722</v>
      </c>
      <c r="DG1915" s="160" t="s">
        <v>647</v>
      </c>
      <c r="DH1915" s="160" t="s">
        <v>125</v>
      </c>
      <c r="DI1915" s="160" t="s">
        <v>4723</v>
      </c>
      <c r="DJ1915" s="160" t="s">
        <v>4723</v>
      </c>
      <c r="DK1915" s="160" t="s">
        <v>666</v>
      </c>
      <c r="DL1915" s="160" t="s">
        <v>667</v>
      </c>
      <c r="DM1915" s="160" t="s">
        <v>590</v>
      </c>
      <c r="DN1915" s="161" t="s">
        <v>668</v>
      </c>
      <c r="DP1915" s="130">
        <v>1</v>
      </c>
    </row>
    <row r="1916" spans="109:120" ht="15">
      <c r="DE1916" s="152"/>
      <c r="DF1916" s="160" t="s">
        <v>4724</v>
      </c>
      <c r="DG1916" s="160" t="s">
        <v>647</v>
      </c>
      <c r="DH1916" s="160" t="s">
        <v>125</v>
      </c>
      <c r="DI1916" s="160" t="s">
        <v>4725</v>
      </c>
      <c r="DJ1916" s="160" t="s">
        <v>4725</v>
      </c>
      <c r="DK1916" s="160" t="s">
        <v>666</v>
      </c>
      <c r="DL1916" s="160" t="s">
        <v>667</v>
      </c>
      <c r="DM1916" s="160" t="s">
        <v>590</v>
      </c>
      <c r="DN1916" s="161" t="s">
        <v>668</v>
      </c>
      <c r="DP1916" s="130">
        <v>1</v>
      </c>
    </row>
    <row r="1917" spans="109:120" ht="15">
      <c r="DE1917" s="152"/>
      <c r="DF1917" s="160" t="s">
        <v>4726</v>
      </c>
      <c r="DG1917" s="160" t="s">
        <v>647</v>
      </c>
      <c r="DH1917" s="160" t="s">
        <v>125</v>
      </c>
      <c r="DI1917" s="160" t="s">
        <v>4727</v>
      </c>
      <c r="DJ1917" s="160" t="s">
        <v>4727</v>
      </c>
      <c r="DK1917" s="160" t="s">
        <v>588</v>
      </c>
      <c r="DL1917" s="160" t="s">
        <v>4687</v>
      </c>
      <c r="DM1917" s="160" t="s">
        <v>590</v>
      </c>
      <c r="DN1917" s="161" t="s">
        <v>591</v>
      </c>
      <c r="DP1917" s="130">
        <v>1</v>
      </c>
    </row>
    <row r="1918" spans="109:120" ht="15">
      <c r="DE1918" s="152"/>
      <c r="DF1918" s="160" t="s">
        <v>4728</v>
      </c>
      <c r="DG1918" s="160" t="s">
        <v>647</v>
      </c>
      <c r="DH1918" s="160" t="s">
        <v>125</v>
      </c>
      <c r="DI1918" s="160" t="s">
        <v>446</v>
      </c>
      <c r="DJ1918" s="160" t="s">
        <v>446</v>
      </c>
      <c r="DK1918" s="160" t="s">
        <v>588</v>
      </c>
      <c r="DL1918" s="160" t="s">
        <v>4687</v>
      </c>
      <c r="DM1918" s="160" t="s">
        <v>590</v>
      </c>
      <c r="DN1918" s="161" t="s">
        <v>591</v>
      </c>
      <c r="DP1918" s="130">
        <v>1</v>
      </c>
    </row>
    <row r="1919" spans="109:120" ht="15">
      <c r="DE1919" s="152"/>
      <c r="DF1919" s="160" t="s">
        <v>4729</v>
      </c>
      <c r="DG1919" s="160" t="s">
        <v>647</v>
      </c>
      <c r="DH1919" s="160" t="s">
        <v>125</v>
      </c>
      <c r="DI1919" s="160" t="s">
        <v>162</v>
      </c>
      <c r="DJ1919" s="160" t="s">
        <v>162</v>
      </c>
      <c r="DK1919" s="160" t="s">
        <v>588</v>
      </c>
      <c r="DL1919" s="160" t="s">
        <v>4687</v>
      </c>
      <c r="DM1919" s="160" t="s">
        <v>590</v>
      </c>
      <c r="DN1919" s="161" t="s">
        <v>591</v>
      </c>
      <c r="DP1919" s="130">
        <v>1</v>
      </c>
    </row>
    <row r="1920" spans="109:120" ht="15">
      <c r="DE1920" s="152"/>
      <c r="DF1920" s="160" t="s">
        <v>4730</v>
      </c>
      <c r="DG1920" s="160" t="s">
        <v>647</v>
      </c>
      <c r="DH1920" s="160" t="s">
        <v>125</v>
      </c>
      <c r="DI1920" s="160" t="s">
        <v>163</v>
      </c>
      <c r="DJ1920" s="160" t="s">
        <v>163</v>
      </c>
      <c r="DK1920" s="160" t="s">
        <v>588</v>
      </c>
      <c r="DL1920" s="160" t="s">
        <v>4687</v>
      </c>
      <c r="DM1920" s="160" t="s">
        <v>590</v>
      </c>
      <c r="DN1920" s="161" t="s">
        <v>591</v>
      </c>
      <c r="DP1920" s="130">
        <v>1</v>
      </c>
    </row>
    <row r="1921" spans="109:120" ht="15">
      <c r="DE1921" s="152"/>
      <c r="DF1921" s="160" t="s">
        <v>4731</v>
      </c>
      <c r="DG1921" s="160" t="s">
        <v>647</v>
      </c>
      <c r="DH1921" s="160" t="s">
        <v>125</v>
      </c>
      <c r="DI1921" s="160" t="s">
        <v>164</v>
      </c>
      <c r="DJ1921" s="160" t="s">
        <v>164</v>
      </c>
      <c r="DK1921" s="160" t="s">
        <v>588</v>
      </c>
      <c r="DL1921" s="160" t="s">
        <v>4687</v>
      </c>
      <c r="DM1921" s="160" t="s">
        <v>590</v>
      </c>
      <c r="DN1921" s="161" t="s">
        <v>591</v>
      </c>
      <c r="DP1921" s="130">
        <v>1</v>
      </c>
    </row>
    <row r="1922" spans="109:120" ht="15">
      <c r="DE1922" s="152"/>
      <c r="DF1922" s="160" t="s">
        <v>4732</v>
      </c>
      <c r="DG1922" s="160" t="s">
        <v>647</v>
      </c>
      <c r="DH1922" s="160" t="s">
        <v>125</v>
      </c>
      <c r="DI1922" s="160" t="s">
        <v>165</v>
      </c>
      <c r="DJ1922" s="160" t="s">
        <v>165</v>
      </c>
      <c r="DK1922" s="160" t="s">
        <v>588</v>
      </c>
      <c r="DL1922" s="160" t="s">
        <v>4687</v>
      </c>
      <c r="DM1922" s="160" t="s">
        <v>590</v>
      </c>
      <c r="DN1922" s="161" t="s">
        <v>591</v>
      </c>
      <c r="DP1922" s="130">
        <v>1</v>
      </c>
    </row>
    <row r="1923" spans="109:120" ht="15">
      <c r="DE1923" s="152"/>
      <c r="DF1923" s="160" t="s">
        <v>4733</v>
      </c>
      <c r="DG1923" s="160" t="s">
        <v>647</v>
      </c>
      <c r="DH1923" s="160" t="s">
        <v>125</v>
      </c>
      <c r="DI1923" s="160" t="s">
        <v>166</v>
      </c>
      <c r="DJ1923" s="160" t="s">
        <v>166</v>
      </c>
      <c r="DK1923" s="160" t="s">
        <v>588</v>
      </c>
      <c r="DL1923" s="160" t="s">
        <v>4687</v>
      </c>
      <c r="DM1923" s="160" t="s">
        <v>590</v>
      </c>
      <c r="DN1923" s="161" t="s">
        <v>591</v>
      </c>
      <c r="DP1923" s="130">
        <v>1</v>
      </c>
    </row>
    <row r="1924" spans="109:120" ht="15">
      <c r="DE1924" s="152"/>
      <c r="DF1924" s="160" t="s">
        <v>4734</v>
      </c>
      <c r="DG1924" s="160" t="s">
        <v>647</v>
      </c>
      <c r="DH1924" s="160" t="s">
        <v>125</v>
      </c>
      <c r="DI1924" s="160" t="s">
        <v>4735</v>
      </c>
      <c r="DJ1924" s="160" t="s">
        <v>167</v>
      </c>
      <c r="DK1924" s="160" t="s">
        <v>588</v>
      </c>
      <c r="DL1924" s="160" t="s">
        <v>4687</v>
      </c>
      <c r="DM1924" s="160" t="s">
        <v>590</v>
      </c>
      <c r="DN1924" s="161" t="s">
        <v>591</v>
      </c>
      <c r="DP1924" s="130">
        <v>1</v>
      </c>
    </row>
    <row r="1925" spans="109:120" ht="15">
      <c r="DE1925" s="152"/>
      <c r="DF1925" s="160" t="s">
        <v>4736</v>
      </c>
      <c r="DG1925" s="160" t="s">
        <v>647</v>
      </c>
      <c r="DH1925" s="160" t="s">
        <v>125</v>
      </c>
      <c r="DI1925" s="160" t="s">
        <v>4737</v>
      </c>
      <c r="DJ1925" s="160" t="s">
        <v>168</v>
      </c>
      <c r="DK1925" s="160" t="s">
        <v>588</v>
      </c>
      <c r="DL1925" s="160" t="s">
        <v>4687</v>
      </c>
      <c r="DM1925" s="160" t="s">
        <v>590</v>
      </c>
      <c r="DN1925" s="161" t="s">
        <v>591</v>
      </c>
      <c r="DP1925" s="130">
        <v>1</v>
      </c>
    </row>
    <row r="1926" spans="109:120" ht="15">
      <c r="DE1926" s="152"/>
      <c r="DF1926" s="160" t="s">
        <v>4738</v>
      </c>
      <c r="DG1926" s="160" t="s">
        <v>647</v>
      </c>
      <c r="DH1926" s="160" t="s">
        <v>125</v>
      </c>
      <c r="DI1926" s="160" t="s">
        <v>169</v>
      </c>
      <c r="DJ1926" s="160" t="s">
        <v>169</v>
      </c>
      <c r="DK1926" s="160" t="s">
        <v>588</v>
      </c>
      <c r="DL1926" s="160" t="s">
        <v>4687</v>
      </c>
      <c r="DM1926" s="160" t="s">
        <v>590</v>
      </c>
      <c r="DN1926" s="161" t="s">
        <v>591</v>
      </c>
      <c r="DP1926" s="130">
        <v>1</v>
      </c>
    </row>
    <row r="1927" spans="109:120" ht="15">
      <c r="DE1927" s="152"/>
      <c r="DF1927" s="160" t="s">
        <v>4739</v>
      </c>
      <c r="DG1927" s="160" t="s">
        <v>647</v>
      </c>
      <c r="DH1927" s="160" t="s">
        <v>125</v>
      </c>
      <c r="DI1927" s="160" t="s">
        <v>4740</v>
      </c>
      <c r="DJ1927" s="160" t="s">
        <v>4740</v>
      </c>
      <c r="DK1927" s="160" t="s">
        <v>588</v>
      </c>
      <c r="DL1927" s="160" t="s">
        <v>4687</v>
      </c>
      <c r="DM1927" s="160" t="s">
        <v>590</v>
      </c>
      <c r="DN1927" s="161" t="s">
        <v>591</v>
      </c>
      <c r="DP1927" s="130">
        <v>1</v>
      </c>
    </row>
    <row r="1928" spans="109:120" ht="15">
      <c r="DE1928" s="152"/>
      <c r="DF1928" s="160" t="s">
        <v>4741</v>
      </c>
      <c r="DG1928" s="160" t="s">
        <v>647</v>
      </c>
      <c r="DH1928" s="160" t="s">
        <v>125</v>
      </c>
      <c r="DI1928" s="160" t="s">
        <v>4742</v>
      </c>
      <c r="DJ1928" s="160" t="s">
        <v>4742</v>
      </c>
      <c r="DK1928" s="160" t="s">
        <v>588</v>
      </c>
      <c r="DL1928" s="160" t="s">
        <v>4687</v>
      </c>
      <c r="DM1928" s="160" t="s">
        <v>590</v>
      </c>
      <c r="DN1928" s="161" t="s">
        <v>591</v>
      </c>
      <c r="DP1928" s="130">
        <v>1</v>
      </c>
    </row>
    <row r="1929" spans="109:120" ht="15">
      <c r="DE1929" s="152"/>
      <c r="DF1929" s="160" t="s">
        <v>4743</v>
      </c>
      <c r="DG1929" s="160" t="s">
        <v>647</v>
      </c>
      <c r="DH1929" s="160" t="s">
        <v>125</v>
      </c>
      <c r="DI1929" s="160" t="s">
        <v>4744</v>
      </c>
      <c r="DJ1929" s="160" t="s">
        <v>4744</v>
      </c>
      <c r="DK1929" s="160" t="s">
        <v>588</v>
      </c>
      <c r="DL1929" s="160" t="s">
        <v>4687</v>
      </c>
      <c r="DM1929" s="160" t="s">
        <v>590</v>
      </c>
      <c r="DN1929" s="161" t="s">
        <v>591</v>
      </c>
      <c r="DP1929" s="130">
        <v>1</v>
      </c>
    </row>
    <row r="1930" spans="109:120" ht="15">
      <c r="DE1930" s="152"/>
      <c r="DF1930" s="160" t="s">
        <v>4745</v>
      </c>
      <c r="DG1930" s="160" t="s">
        <v>647</v>
      </c>
      <c r="DH1930" s="160" t="s">
        <v>125</v>
      </c>
      <c r="DI1930" s="160" t="s">
        <v>4746</v>
      </c>
      <c r="DJ1930" s="160" t="s">
        <v>447</v>
      </c>
      <c r="DK1930" s="160" t="s">
        <v>588</v>
      </c>
      <c r="DL1930" s="160" t="s">
        <v>4687</v>
      </c>
      <c r="DM1930" s="160" t="s">
        <v>590</v>
      </c>
      <c r="DN1930" s="161" t="s">
        <v>591</v>
      </c>
      <c r="DP1930" s="130">
        <v>1</v>
      </c>
    </row>
    <row r="1931" spans="109:120" ht="15">
      <c r="DE1931" s="152"/>
      <c r="DF1931" s="160" t="s">
        <v>4747</v>
      </c>
      <c r="DG1931" s="160" t="s">
        <v>647</v>
      </c>
      <c r="DH1931" s="160" t="s">
        <v>125</v>
      </c>
      <c r="DI1931" s="160" t="s">
        <v>4748</v>
      </c>
      <c r="DJ1931" s="160" t="s">
        <v>170</v>
      </c>
      <c r="DK1931" s="160" t="s">
        <v>588</v>
      </c>
      <c r="DL1931" s="160" t="s">
        <v>4687</v>
      </c>
      <c r="DM1931" s="160" t="s">
        <v>590</v>
      </c>
      <c r="DN1931" s="161" t="s">
        <v>591</v>
      </c>
      <c r="DP1931" s="130">
        <v>1</v>
      </c>
    </row>
    <row r="1932" spans="109:120" ht="15">
      <c r="DE1932" s="152"/>
      <c r="DF1932" s="160" t="s">
        <v>4749</v>
      </c>
      <c r="DG1932" s="160" t="s">
        <v>647</v>
      </c>
      <c r="DH1932" s="160" t="s">
        <v>125</v>
      </c>
      <c r="DI1932" s="160" t="s">
        <v>4750</v>
      </c>
      <c r="DJ1932" s="160" t="s">
        <v>171</v>
      </c>
      <c r="DK1932" s="160" t="s">
        <v>588</v>
      </c>
      <c r="DL1932" s="160" t="s">
        <v>4687</v>
      </c>
      <c r="DM1932" s="160" t="s">
        <v>590</v>
      </c>
      <c r="DN1932" s="161" t="s">
        <v>591</v>
      </c>
      <c r="DP1932" s="130">
        <v>1</v>
      </c>
    </row>
    <row r="1933" spans="109:120" ht="15">
      <c r="DE1933" s="152"/>
      <c r="DF1933" s="160" t="s">
        <v>4751</v>
      </c>
      <c r="DG1933" s="160" t="s">
        <v>647</v>
      </c>
      <c r="DH1933" s="160" t="s">
        <v>125</v>
      </c>
      <c r="DI1933" s="160" t="s">
        <v>172</v>
      </c>
      <c r="DJ1933" s="160" t="s">
        <v>172</v>
      </c>
      <c r="DK1933" s="160" t="s">
        <v>666</v>
      </c>
      <c r="DL1933" s="160" t="s">
        <v>667</v>
      </c>
      <c r="DM1933" s="160" t="s">
        <v>590</v>
      </c>
      <c r="DN1933" s="161" t="s">
        <v>668</v>
      </c>
      <c r="DP1933" s="130">
        <v>1</v>
      </c>
    </row>
    <row r="1934" spans="109:120" ht="15">
      <c r="DE1934" s="152"/>
      <c r="DF1934" s="160" t="s">
        <v>4752</v>
      </c>
      <c r="DG1934" s="160" t="s">
        <v>647</v>
      </c>
      <c r="DH1934" s="160" t="s">
        <v>125</v>
      </c>
      <c r="DI1934" s="160" t="s">
        <v>173</v>
      </c>
      <c r="DJ1934" s="160" t="s">
        <v>173</v>
      </c>
      <c r="DK1934" s="160" t="s">
        <v>588</v>
      </c>
      <c r="DL1934" s="160" t="s">
        <v>4687</v>
      </c>
      <c r="DM1934" s="160" t="s">
        <v>590</v>
      </c>
      <c r="DN1934" s="161" t="s">
        <v>591</v>
      </c>
      <c r="DP1934" s="130">
        <v>1</v>
      </c>
    </row>
    <row r="1935" spans="109:120" ht="15">
      <c r="DE1935" s="152"/>
      <c r="DF1935" s="160" t="s">
        <v>4753</v>
      </c>
      <c r="DG1935" s="160" t="s">
        <v>647</v>
      </c>
      <c r="DH1935" s="160" t="s">
        <v>125</v>
      </c>
      <c r="DI1935" s="160" t="s">
        <v>174</v>
      </c>
      <c r="DJ1935" s="160" t="s">
        <v>174</v>
      </c>
      <c r="DK1935" s="160" t="s">
        <v>588</v>
      </c>
      <c r="DL1935" s="160" t="s">
        <v>4687</v>
      </c>
      <c r="DM1935" s="160" t="s">
        <v>590</v>
      </c>
      <c r="DN1935" s="161" t="s">
        <v>591</v>
      </c>
      <c r="DP1935" s="130">
        <v>1</v>
      </c>
    </row>
    <row r="1936" spans="109:120" ht="15">
      <c r="DE1936" s="152"/>
      <c r="DF1936" s="160" t="s">
        <v>4754</v>
      </c>
      <c r="DG1936" s="160" t="s">
        <v>647</v>
      </c>
      <c r="DH1936" s="160" t="s">
        <v>125</v>
      </c>
      <c r="DI1936" s="160" t="s">
        <v>4755</v>
      </c>
      <c r="DJ1936" s="160" t="s">
        <v>4755</v>
      </c>
      <c r="DK1936" s="160" t="s">
        <v>666</v>
      </c>
      <c r="DL1936" s="160" t="s">
        <v>667</v>
      </c>
      <c r="DM1936" s="160" t="s">
        <v>590</v>
      </c>
      <c r="DN1936" s="161" t="s">
        <v>668</v>
      </c>
      <c r="DP1936" s="130">
        <v>1</v>
      </c>
    </row>
    <row r="1937" spans="109:120" ht="15">
      <c r="DE1937" s="152"/>
      <c r="DF1937" s="160" t="s">
        <v>4756</v>
      </c>
      <c r="DG1937" s="160" t="s">
        <v>647</v>
      </c>
      <c r="DH1937" s="160" t="s">
        <v>125</v>
      </c>
      <c r="DI1937" s="160" t="s">
        <v>4757</v>
      </c>
      <c r="DJ1937" s="160" t="s">
        <v>4757</v>
      </c>
      <c r="DK1937" s="160" t="s">
        <v>666</v>
      </c>
      <c r="DL1937" s="160" t="s">
        <v>667</v>
      </c>
      <c r="DM1937" s="160" t="s">
        <v>590</v>
      </c>
      <c r="DN1937" s="161" t="s">
        <v>668</v>
      </c>
      <c r="DP1937" s="130">
        <v>1</v>
      </c>
    </row>
    <row r="1938" spans="109:120" ht="15">
      <c r="DE1938" s="152"/>
      <c r="DF1938" s="160" t="s">
        <v>4758</v>
      </c>
      <c r="DG1938" s="160" t="s">
        <v>647</v>
      </c>
      <c r="DH1938" s="160" t="s">
        <v>125</v>
      </c>
      <c r="DI1938" s="160" t="s">
        <v>175</v>
      </c>
      <c r="DJ1938" s="160" t="s">
        <v>175</v>
      </c>
      <c r="DK1938" s="160" t="s">
        <v>588</v>
      </c>
      <c r="DL1938" s="160" t="s">
        <v>4687</v>
      </c>
      <c r="DM1938" s="160" t="s">
        <v>590</v>
      </c>
      <c r="DN1938" s="161" t="s">
        <v>591</v>
      </c>
      <c r="DP1938" s="130">
        <v>1</v>
      </c>
    </row>
    <row r="1939" spans="109:120" ht="15">
      <c r="DE1939" s="152"/>
      <c r="DF1939" s="160" t="s">
        <v>4759</v>
      </c>
      <c r="DG1939" s="160" t="s">
        <v>647</v>
      </c>
      <c r="DH1939" s="160" t="s">
        <v>125</v>
      </c>
      <c r="DI1939" s="160" t="s">
        <v>176</v>
      </c>
      <c r="DJ1939" s="160" t="s">
        <v>176</v>
      </c>
      <c r="DK1939" s="160" t="s">
        <v>588</v>
      </c>
      <c r="DL1939" s="160" t="s">
        <v>4687</v>
      </c>
      <c r="DM1939" s="160" t="s">
        <v>590</v>
      </c>
      <c r="DN1939" s="161" t="s">
        <v>591</v>
      </c>
      <c r="DP1939" s="130">
        <v>1</v>
      </c>
    </row>
    <row r="1940" spans="109:120" ht="15">
      <c r="DE1940" s="152"/>
      <c r="DF1940" s="160" t="s">
        <v>4760</v>
      </c>
      <c r="DG1940" s="160" t="s">
        <v>647</v>
      </c>
      <c r="DH1940" s="160" t="s">
        <v>125</v>
      </c>
      <c r="DI1940" s="160" t="s">
        <v>448</v>
      </c>
      <c r="DJ1940" s="160" t="s">
        <v>448</v>
      </c>
      <c r="DK1940" s="160" t="s">
        <v>588</v>
      </c>
      <c r="DL1940" s="160" t="s">
        <v>4687</v>
      </c>
      <c r="DM1940" s="160" t="s">
        <v>590</v>
      </c>
      <c r="DN1940" s="161" t="s">
        <v>591</v>
      </c>
      <c r="DP1940" s="130">
        <v>1</v>
      </c>
    </row>
    <row r="1941" spans="109:120" ht="15">
      <c r="DE1941" s="152"/>
      <c r="DF1941" s="160" t="s">
        <v>4761</v>
      </c>
      <c r="DG1941" s="160" t="s">
        <v>647</v>
      </c>
      <c r="DH1941" s="160" t="s">
        <v>125</v>
      </c>
      <c r="DI1941" s="160" t="s">
        <v>449</v>
      </c>
      <c r="DJ1941" s="160" t="s">
        <v>449</v>
      </c>
      <c r="DK1941" s="160" t="s">
        <v>588</v>
      </c>
      <c r="DL1941" s="160" t="s">
        <v>4687</v>
      </c>
      <c r="DM1941" s="160" t="s">
        <v>590</v>
      </c>
      <c r="DN1941" s="161" t="s">
        <v>591</v>
      </c>
      <c r="DP1941" s="130">
        <v>1</v>
      </c>
    </row>
    <row r="1942" spans="109:120" ht="15">
      <c r="DE1942" s="152"/>
      <c r="DF1942" s="160" t="s">
        <v>4762</v>
      </c>
      <c r="DG1942" s="160" t="s">
        <v>647</v>
      </c>
      <c r="DH1942" s="160" t="s">
        <v>125</v>
      </c>
      <c r="DI1942" s="160" t="s">
        <v>4763</v>
      </c>
      <c r="DJ1942" s="160" t="s">
        <v>450</v>
      </c>
      <c r="DK1942" s="160" t="s">
        <v>588</v>
      </c>
      <c r="DL1942" s="160" t="s">
        <v>4687</v>
      </c>
      <c r="DM1942" s="160" t="s">
        <v>590</v>
      </c>
      <c r="DN1942" s="161" t="s">
        <v>591</v>
      </c>
      <c r="DP1942" s="130">
        <v>1</v>
      </c>
    </row>
    <row r="1943" spans="109:120" ht="15">
      <c r="DE1943" s="152"/>
      <c r="DF1943" s="160" t="s">
        <v>4764</v>
      </c>
      <c r="DG1943" s="160" t="s">
        <v>647</v>
      </c>
      <c r="DH1943" s="160" t="s">
        <v>125</v>
      </c>
      <c r="DI1943" s="160" t="s">
        <v>4765</v>
      </c>
      <c r="DJ1943" s="160" t="s">
        <v>451</v>
      </c>
      <c r="DK1943" s="160" t="s">
        <v>588</v>
      </c>
      <c r="DL1943" s="160" t="s">
        <v>4687</v>
      </c>
      <c r="DM1943" s="160" t="s">
        <v>590</v>
      </c>
      <c r="DN1943" s="161" t="s">
        <v>591</v>
      </c>
      <c r="DP1943" s="130">
        <v>1</v>
      </c>
    </row>
    <row r="1944" spans="109:120" ht="15">
      <c r="DE1944" s="152"/>
      <c r="DF1944" s="160" t="s">
        <v>4766</v>
      </c>
      <c r="DG1944" s="160" t="s">
        <v>647</v>
      </c>
      <c r="DH1944" s="160" t="s">
        <v>125</v>
      </c>
      <c r="DI1944" s="160" t="s">
        <v>4767</v>
      </c>
      <c r="DJ1944" s="160" t="s">
        <v>452</v>
      </c>
      <c r="DK1944" s="160" t="s">
        <v>588</v>
      </c>
      <c r="DL1944" s="160" t="s">
        <v>4687</v>
      </c>
      <c r="DM1944" s="160" t="s">
        <v>590</v>
      </c>
      <c r="DN1944" s="161" t="s">
        <v>591</v>
      </c>
      <c r="DP1944" s="130">
        <v>1</v>
      </c>
    </row>
    <row r="1945" spans="109:120" ht="15">
      <c r="DE1945" s="152"/>
      <c r="DF1945" s="160" t="s">
        <v>4768</v>
      </c>
      <c r="DG1945" s="160" t="s">
        <v>647</v>
      </c>
      <c r="DH1945" s="160" t="s">
        <v>125</v>
      </c>
      <c r="DI1945" s="160" t="s">
        <v>4769</v>
      </c>
      <c r="DJ1945" s="160" t="s">
        <v>453</v>
      </c>
      <c r="DK1945" s="160" t="s">
        <v>588</v>
      </c>
      <c r="DL1945" s="160" t="s">
        <v>4687</v>
      </c>
      <c r="DM1945" s="160" t="s">
        <v>590</v>
      </c>
      <c r="DN1945" s="161" t="s">
        <v>591</v>
      </c>
      <c r="DP1945" s="130">
        <v>1</v>
      </c>
    </row>
    <row r="1946" spans="109:120" ht="15">
      <c r="DE1946" s="152"/>
      <c r="DF1946" s="160" t="s">
        <v>4770</v>
      </c>
      <c r="DG1946" s="160" t="s">
        <v>647</v>
      </c>
      <c r="DH1946" s="160" t="s">
        <v>125</v>
      </c>
      <c r="DI1946" s="160" t="s">
        <v>4771</v>
      </c>
      <c r="DJ1946" s="160" t="s">
        <v>4771</v>
      </c>
      <c r="DK1946" s="160" t="s">
        <v>666</v>
      </c>
      <c r="DL1946" s="160" t="s">
        <v>667</v>
      </c>
      <c r="DM1946" s="160" t="s">
        <v>590</v>
      </c>
      <c r="DN1946" s="161" t="s">
        <v>668</v>
      </c>
      <c r="DP1946" s="130">
        <v>1</v>
      </c>
    </row>
    <row r="1947" spans="109:120" ht="15">
      <c r="DE1947" s="152"/>
      <c r="DF1947" s="160" t="s">
        <v>4772</v>
      </c>
      <c r="DG1947" s="160" t="s">
        <v>647</v>
      </c>
      <c r="DH1947" s="160" t="s">
        <v>125</v>
      </c>
      <c r="DI1947" s="160" t="s">
        <v>4773</v>
      </c>
      <c r="DJ1947" s="160" t="s">
        <v>4773</v>
      </c>
      <c r="DK1947" s="160" t="s">
        <v>666</v>
      </c>
      <c r="DL1947" s="160" t="s">
        <v>667</v>
      </c>
      <c r="DM1947" s="160" t="s">
        <v>590</v>
      </c>
      <c r="DN1947" s="161" t="s">
        <v>668</v>
      </c>
      <c r="DP1947" s="130">
        <v>1</v>
      </c>
    </row>
    <row r="1948" spans="109:120" ht="15">
      <c r="DE1948" s="152"/>
      <c r="DF1948" s="160" t="s">
        <v>4774</v>
      </c>
      <c r="DG1948" s="160" t="s">
        <v>647</v>
      </c>
      <c r="DH1948" s="160" t="s">
        <v>126</v>
      </c>
      <c r="DI1948" s="160" t="s">
        <v>539</v>
      </c>
      <c r="DJ1948" s="160" t="s">
        <v>539</v>
      </c>
      <c r="DK1948" s="160" t="s">
        <v>588</v>
      </c>
      <c r="DL1948" s="160" t="s">
        <v>4439</v>
      </c>
      <c r="DM1948" s="160" t="s">
        <v>590</v>
      </c>
      <c r="DN1948" s="161" t="s">
        <v>591</v>
      </c>
      <c r="DP1948" s="130">
        <v>1</v>
      </c>
    </row>
    <row r="1949" spans="109:120" ht="15">
      <c r="DE1949" s="152"/>
      <c r="DF1949" s="160" t="s">
        <v>4775</v>
      </c>
      <c r="DG1949" s="160" t="s">
        <v>647</v>
      </c>
      <c r="DH1949" s="160" t="s">
        <v>126</v>
      </c>
      <c r="DI1949" s="160" t="s">
        <v>540</v>
      </c>
      <c r="DJ1949" s="160" t="s">
        <v>540</v>
      </c>
      <c r="DK1949" s="160" t="s">
        <v>588</v>
      </c>
      <c r="DL1949" s="160" t="s">
        <v>4439</v>
      </c>
      <c r="DM1949" s="160" t="s">
        <v>590</v>
      </c>
      <c r="DN1949" s="161" t="s">
        <v>591</v>
      </c>
      <c r="DP1949" s="130">
        <v>1</v>
      </c>
    </row>
    <row r="1950" spans="109:120" ht="15">
      <c r="DE1950" s="152"/>
      <c r="DF1950" s="160" t="s">
        <v>4776</v>
      </c>
      <c r="DG1950" s="160" t="s">
        <v>647</v>
      </c>
      <c r="DH1950" s="160" t="s">
        <v>126</v>
      </c>
      <c r="DI1950" s="160" t="s">
        <v>4777</v>
      </c>
      <c r="DJ1950" s="160" t="s">
        <v>338</v>
      </c>
      <c r="DK1950" s="160" t="s">
        <v>588</v>
      </c>
      <c r="DL1950" s="160" t="s">
        <v>4439</v>
      </c>
      <c r="DM1950" s="160" t="s">
        <v>590</v>
      </c>
      <c r="DN1950" s="161" t="s">
        <v>591</v>
      </c>
      <c r="DP1950" s="130">
        <v>1</v>
      </c>
    </row>
    <row r="1951" spans="109:120" ht="15">
      <c r="DE1951" s="152"/>
      <c r="DF1951" s="160" t="s">
        <v>4778</v>
      </c>
      <c r="DG1951" s="160" t="s">
        <v>647</v>
      </c>
      <c r="DH1951" s="160" t="s">
        <v>126</v>
      </c>
      <c r="DI1951" s="160" t="s">
        <v>4779</v>
      </c>
      <c r="DJ1951" s="160" t="s">
        <v>339</v>
      </c>
      <c r="DK1951" s="160" t="s">
        <v>588</v>
      </c>
      <c r="DL1951" s="160" t="s">
        <v>4439</v>
      </c>
      <c r="DM1951" s="160" t="s">
        <v>590</v>
      </c>
      <c r="DN1951" s="161" t="s">
        <v>591</v>
      </c>
      <c r="DP1951" s="130">
        <v>1</v>
      </c>
    </row>
    <row r="1952" spans="109:120" ht="15">
      <c r="DE1952" s="152"/>
      <c r="DF1952" s="160" t="s">
        <v>4780</v>
      </c>
      <c r="DG1952" s="160" t="s">
        <v>647</v>
      </c>
      <c r="DH1952" s="160" t="s">
        <v>126</v>
      </c>
      <c r="DI1952" s="160" t="s">
        <v>4475</v>
      </c>
      <c r="DJ1952" s="160" t="s">
        <v>340</v>
      </c>
      <c r="DK1952" s="160" t="s">
        <v>588</v>
      </c>
      <c r="DL1952" s="160" t="s">
        <v>4439</v>
      </c>
      <c r="DM1952" s="160" t="s">
        <v>590</v>
      </c>
      <c r="DN1952" s="161" t="s">
        <v>591</v>
      </c>
      <c r="DP1952" s="130">
        <v>1</v>
      </c>
    </row>
    <row r="1953" spans="109:120" ht="15">
      <c r="DE1953" s="152"/>
      <c r="DF1953" s="160" t="s">
        <v>4781</v>
      </c>
      <c r="DG1953" s="160" t="s">
        <v>647</v>
      </c>
      <c r="DH1953" s="160" t="s">
        <v>126</v>
      </c>
      <c r="DI1953" s="160" t="s">
        <v>541</v>
      </c>
      <c r="DJ1953" s="160" t="s">
        <v>541</v>
      </c>
      <c r="DK1953" s="160" t="s">
        <v>588</v>
      </c>
      <c r="DL1953" s="160" t="s">
        <v>4439</v>
      </c>
      <c r="DM1953" s="160" t="s">
        <v>590</v>
      </c>
      <c r="DN1953" s="161" t="s">
        <v>591</v>
      </c>
      <c r="DP1953" s="130">
        <v>1</v>
      </c>
    </row>
    <row r="1954" spans="109:120" ht="15">
      <c r="DE1954" s="152"/>
      <c r="DF1954" s="160" t="s">
        <v>4782</v>
      </c>
      <c r="DG1954" s="160" t="s">
        <v>647</v>
      </c>
      <c r="DH1954" s="160" t="s">
        <v>126</v>
      </c>
      <c r="DI1954" s="160" t="s">
        <v>4783</v>
      </c>
      <c r="DJ1954" s="160" t="s">
        <v>4783</v>
      </c>
      <c r="DK1954" s="160" t="s">
        <v>588</v>
      </c>
      <c r="DL1954" s="160" t="s">
        <v>4439</v>
      </c>
      <c r="DM1954" s="160" t="s">
        <v>590</v>
      </c>
      <c r="DN1954" s="161" t="s">
        <v>591</v>
      </c>
      <c r="DP1954" s="130">
        <v>1</v>
      </c>
    </row>
    <row r="1955" spans="109:120" ht="15">
      <c r="DE1955" s="152"/>
      <c r="DF1955" s="160" t="s">
        <v>4784</v>
      </c>
      <c r="DG1955" s="160" t="s">
        <v>647</v>
      </c>
      <c r="DH1955" s="160" t="s">
        <v>126</v>
      </c>
      <c r="DI1955" s="160" t="s">
        <v>341</v>
      </c>
      <c r="DJ1955" s="160" t="s">
        <v>341</v>
      </c>
      <c r="DK1955" s="160" t="s">
        <v>588</v>
      </c>
      <c r="DL1955" s="160" t="s">
        <v>4439</v>
      </c>
      <c r="DM1955" s="160" t="s">
        <v>590</v>
      </c>
      <c r="DN1955" s="161" t="s">
        <v>591</v>
      </c>
      <c r="DP1955" s="130">
        <v>1</v>
      </c>
    </row>
    <row r="1956" spans="109:120" ht="15">
      <c r="DE1956" s="152"/>
      <c r="DF1956" s="160" t="s">
        <v>4785</v>
      </c>
      <c r="DG1956" s="160" t="s">
        <v>647</v>
      </c>
      <c r="DH1956" s="160" t="s">
        <v>126</v>
      </c>
      <c r="DI1956" s="160" t="s">
        <v>359</v>
      </c>
      <c r="DJ1956" s="160" t="s">
        <v>359</v>
      </c>
      <c r="DK1956" s="160" t="s">
        <v>588</v>
      </c>
      <c r="DL1956" s="160" t="s">
        <v>4439</v>
      </c>
      <c r="DM1956" s="160" t="s">
        <v>590</v>
      </c>
      <c r="DN1956" s="161" t="s">
        <v>591</v>
      </c>
      <c r="DP1956" s="130">
        <v>1</v>
      </c>
    </row>
    <row r="1957" spans="109:120" ht="15">
      <c r="DE1957" s="152"/>
      <c r="DF1957" s="160" t="s">
        <v>4786</v>
      </c>
      <c r="DG1957" s="160" t="s">
        <v>647</v>
      </c>
      <c r="DH1957" s="160" t="s">
        <v>126</v>
      </c>
      <c r="DI1957" s="160" t="s">
        <v>342</v>
      </c>
      <c r="DJ1957" s="160" t="s">
        <v>342</v>
      </c>
      <c r="DK1957" s="160" t="s">
        <v>588</v>
      </c>
      <c r="DL1957" s="160" t="s">
        <v>4439</v>
      </c>
      <c r="DM1957" s="160" t="s">
        <v>590</v>
      </c>
      <c r="DN1957" s="161" t="s">
        <v>591</v>
      </c>
      <c r="DP1957" s="130">
        <v>1</v>
      </c>
    </row>
    <row r="1958" spans="109:120" ht="15">
      <c r="DE1958" s="152"/>
      <c r="DF1958" s="160" t="s">
        <v>4787</v>
      </c>
      <c r="DG1958" s="160" t="s">
        <v>647</v>
      </c>
      <c r="DH1958" s="160" t="s">
        <v>126</v>
      </c>
      <c r="DI1958" s="160" t="s">
        <v>343</v>
      </c>
      <c r="DJ1958" s="160" t="s">
        <v>343</v>
      </c>
      <c r="DK1958" s="160" t="s">
        <v>588</v>
      </c>
      <c r="DL1958" s="160" t="s">
        <v>4439</v>
      </c>
      <c r="DM1958" s="160" t="s">
        <v>590</v>
      </c>
      <c r="DN1958" s="161" t="s">
        <v>591</v>
      </c>
      <c r="DP1958" s="130">
        <v>1</v>
      </c>
    </row>
    <row r="1959" spans="109:120" ht="15">
      <c r="DE1959" s="152"/>
      <c r="DF1959" s="160" t="s">
        <v>4788</v>
      </c>
      <c r="DG1959" s="160" t="s">
        <v>647</v>
      </c>
      <c r="DH1959" s="160" t="s">
        <v>126</v>
      </c>
      <c r="DI1959" s="160" t="s">
        <v>344</v>
      </c>
      <c r="DJ1959" s="160" t="s">
        <v>344</v>
      </c>
      <c r="DK1959" s="160" t="s">
        <v>588</v>
      </c>
      <c r="DL1959" s="160" t="s">
        <v>4439</v>
      </c>
      <c r="DM1959" s="160" t="s">
        <v>590</v>
      </c>
      <c r="DN1959" s="161" t="s">
        <v>591</v>
      </c>
      <c r="DP1959" s="130">
        <v>1</v>
      </c>
    </row>
    <row r="1960" spans="109:120" ht="15">
      <c r="DE1960" s="152"/>
      <c r="DF1960" s="160" t="s">
        <v>4789</v>
      </c>
      <c r="DG1960" s="160" t="s">
        <v>647</v>
      </c>
      <c r="DH1960" s="160" t="s">
        <v>126</v>
      </c>
      <c r="DI1960" s="160" t="s">
        <v>4790</v>
      </c>
      <c r="DJ1960" s="160" t="s">
        <v>369</v>
      </c>
      <c r="DK1960" s="160" t="s">
        <v>588</v>
      </c>
      <c r="DL1960" s="160" t="s">
        <v>4439</v>
      </c>
      <c r="DM1960" s="160" t="s">
        <v>590</v>
      </c>
      <c r="DN1960" s="161" t="s">
        <v>591</v>
      </c>
      <c r="DP1960" s="130">
        <v>1</v>
      </c>
    </row>
    <row r="1961" spans="109:120" ht="15">
      <c r="DE1961" s="152"/>
      <c r="DF1961" s="160" t="s">
        <v>4791</v>
      </c>
      <c r="DG1961" s="160" t="s">
        <v>647</v>
      </c>
      <c r="DH1961" s="160" t="s">
        <v>126</v>
      </c>
      <c r="DI1961" s="160" t="s">
        <v>345</v>
      </c>
      <c r="DJ1961" s="160" t="s">
        <v>345</v>
      </c>
      <c r="DK1961" s="160" t="s">
        <v>588</v>
      </c>
      <c r="DL1961" s="160" t="s">
        <v>4439</v>
      </c>
      <c r="DM1961" s="160" t="s">
        <v>590</v>
      </c>
      <c r="DN1961" s="161" t="s">
        <v>591</v>
      </c>
      <c r="DP1961" s="130">
        <v>1</v>
      </c>
    </row>
    <row r="1962" spans="109:120" ht="15">
      <c r="DE1962" s="152"/>
      <c r="DF1962" s="160" t="s">
        <v>4792</v>
      </c>
      <c r="DG1962" s="160" t="s">
        <v>647</v>
      </c>
      <c r="DH1962" s="160" t="s">
        <v>126</v>
      </c>
      <c r="DI1962" s="160" t="s">
        <v>4793</v>
      </c>
      <c r="DJ1962" s="160" t="s">
        <v>4793</v>
      </c>
      <c r="DK1962" s="160" t="s">
        <v>588</v>
      </c>
      <c r="DL1962" s="160" t="s">
        <v>4439</v>
      </c>
      <c r="DM1962" s="160" t="s">
        <v>590</v>
      </c>
      <c r="DN1962" s="161" t="s">
        <v>591</v>
      </c>
      <c r="DP1962" s="130">
        <v>1</v>
      </c>
    </row>
    <row r="1963" spans="109:120" ht="15">
      <c r="DE1963" s="152"/>
      <c r="DF1963" s="160" t="s">
        <v>4794</v>
      </c>
      <c r="DG1963" s="160" t="s">
        <v>647</v>
      </c>
      <c r="DH1963" s="160" t="s">
        <v>126</v>
      </c>
      <c r="DI1963" s="160" t="s">
        <v>4795</v>
      </c>
      <c r="DJ1963" s="160" t="s">
        <v>4795</v>
      </c>
      <c r="DK1963" s="160" t="s">
        <v>588</v>
      </c>
      <c r="DL1963" s="160" t="s">
        <v>4439</v>
      </c>
      <c r="DM1963" s="160" t="s">
        <v>590</v>
      </c>
      <c r="DN1963" s="161" t="s">
        <v>591</v>
      </c>
      <c r="DP1963" s="130">
        <v>1</v>
      </c>
    </row>
    <row r="1964" spans="109:120" ht="15">
      <c r="DE1964" s="152"/>
      <c r="DF1964" s="160" t="s">
        <v>4796</v>
      </c>
      <c r="DG1964" s="160" t="s">
        <v>647</v>
      </c>
      <c r="DH1964" s="160" t="s">
        <v>126</v>
      </c>
      <c r="DI1964" s="160" t="s">
        <v>346</v>
      </c>
      <c r="DJ1964" s="160" t="s">
        <v>346</v>
      </c>
      <c r="DK1964" s="160" t="s">
        <v>588</v>
      </c>
      <c r="DL1964" s="160" t="s">
        <v>4439</v>
      </c>
      <c r="DM1964" s="160" t="s">
        <v>590</v>
      </c>
      <c r="DN1964" s="161" t="s">
        <v>591</v>
      </c>
      <c r="DP1964" s="130">
        <v>1</v>
      </c>
    </row>
    <row r="1965" spans="109:120" ht="15">
      <c r="DE1965" s="152"/>
      <c r="DF1965" s="160" t="s">
        <v>4797</v>
      </c>
      <c r="DG1965" s="160" t="s">
        <v>647</v>
      </c>
      <c r="DH1965" s="160" t="s">
        <v>126</v>
      </c>
      <c r="DI1965" s="160" t="s">
        <v>254</v>
      </c>
      <c r="DJ1965" s="160" t="s">
        <v>254</v>
      </c>
      <c r="DK1965" s="160" t="s">
        <v>588</v>
      </c>
      <c r="DL1965" s="160" t="s">
        <v>4439</v>
      </c>
      <c r="DM1965" s="160" t="s">
        <v>590</v>
      </c>
      <c r="DN1965" s="161" t="s">
        <v>591</v>
      </c>
      <c r="DP1965" s="130">
        <v>1</v>
      </c>
    </row>
    <row r="1966" spans="109:120" ht="15">
      <c r="DE1966" s="152"/>
      <c r="DF1966" s="160" t="s">
        <v>4798</v>
      </c>
      <c r="DG1966" s="160" t="s">
        <v>647</v>
      </c>
      <c r="DH1966" s="160" t="s">
        <v>126</v>
      </c>
      <c r="DI1966" s="160" t="s">
        <v>255</v>
      </c>
      <c r="DJ1966" s="160" t="s">
        <v>255</v>
      </c>
      <c r="DK1966" s="160" t="s">
        <v>588</v>
      </c>
      <c r="DL1966" s="160" t="s">
        <v>4439</v>
      </c>
      <c r="DM1966" s="160" t="s">
        <v>590</v>
      </c>
      <c r="DN1966" s="161" t="s">
        <v>591</v>
      </c>
      <c r="DP1966" s="130">
        <v>1</v>
      </c>
    </row>
    <row r="1967" spans="109:120" ht="15">
      <c r="DE1967" s="152"/>
      <c r="DF1967" s="160" t="s">
        <v>4799</v>
      </c>
      <c r="DG1967" s="160" t="s">
        <v>647</v>
      </c>
      <c r="DH1967" s="160" t="s">
        <v>126</v>
      </c>
      <c r="DI1967" s="160" t="s">
        <v>368</v>
      </c>
      <c r="DJ1967" s="160" t="s">
        <v>368</v>
      </c>
      <c r="DK1967" s="160" t="s">
        <v>588</v>
      </c>
      <c r="DL1967" s="160" t="s">
        <v>4439</v>
      </c>
      <c r="DM1967" s="160" t="s">
        <v>590</v>
      </c>
      <c r="DN1967" s="161" t="s">
        <v>591</v>
      </c>
      <c r="DP1967" s="130">
        <v>1</v>
      </c>
    </row>
    <row r="1968" spans="109:120" ht="15">
      <c r="DE1968" s="152"/>
      <c r="DF1968" s="160" t="s">
        <v>4800</v>
      </c>
      <c r="DG1968" s="160" t="s">
        <v>647</v>
      </c>
      <c r="DH1968" s="160" t="s">
        <v>126</v>
      </c>
      <c r="DI1968" s="160" t="s">
        <v>4801</v>
      </c>
      <c r="DJ1968" s="160" t="s">
        <v>4801</v>
      </c>
      <c r="DK1968" s="160" t="s">
        <v>588</v>
      </c>
      <c r="DL1968" s="160" t="s">
        <v>4439</v>
      </c>
      <c r="DM1968" s="160" t="s">
        <v>590</v>
      </c>
      <c r="DN1968" s="161" t="s">
        <v>591</v>
      </c>
      <c r="DP1968" s="130">
        <v>1</v>
      </c>
    </row>
    <row r="1969" spans="109:120" ht="15">
      <c r="DE1969" s="152"/>
      <c r="DF1969" s="160" t="s">
        <v>4802</v>
      </c>
      <c r="DG1969" s="160" t="s">
        <v>647</v>
      </c>
      <c r="DH1969" s="160" t="s">
        <v>126</v>
      </c>
      <c r="DI1969" s="160" t="s">
        <v>347</v>
      </c>
      <c r="DJ1969" s="160" t="s">
        <v>347</v>
      </c>
      <c r="DK1969" s="160" t="s">
        <v>588</v>
      </c>
      <c r="DL1969" s="160" t="s">
        <v>4439</v>
      </c>
      <c r="DM1969" s="160" t="s">
        <v>590</v>
      </c>
      <c r="DN1969" s="161" t="s">
        <v>591</v>
      </c>
      <c r="DP1969" s="130">
        <v>1</v>
      </c>
    </row>
    <row r="1970" spans="109:120" ht="15">
      <c r="DE1970" s="152"/>
      <c r="DF1970" s="160" t="s">
        <v>4803</v>
      </c>
      <c r="DG1970" s="160" t="s">
        <v>647</v>
      </c>
      <c r="DH1970" s="160" t="s">
        <v>126</v>
      </c>
      <c r="DI1970" s="160" t="s">
        <v>4804</v>
      </c>
      <c r="DJ1970" s="160" t="s">
        <v>4804</v>
      </c>
      <c r="DK1970" s="160" t="s">
        <v>588</v>
      </c>
      <c r="DL1970" s="160" t="s">
        <v>4439</v>
      </c>
      <c r="DM1970" s="160" t="s">
        <v>590</v>
      </c>
      <c r="DN1970" s="161" t="s">
        <v>591</v>
      </c>
      <c r="DP1970" s="130">
        <v>1</v>
      </c>
    </row>
    <row r="1971" spans="109:120" ht="15">
      <c r="DE1971" s="152"/>
      <c r="DF1971" s="160" t="s">
        <v>4805</v>
      </c>
      <c r="DG1971" s="160" t="s">
        <v>647</v>
      </c>
      <c r="DH1971" s="160" t="s">
        <v>1182</v>
      </c>
      <c r="DI1971" s="160" t="s">
        <v>4806</v>
      </c>
      <c r="DJ1971" s="160" t="s">
        <v>4806</v>
      </c>
      <c r="DK1971" s="160" t="s">
        <v>588</v>
      </c>
      <c r="DL1971" s="160" t="s">
        <v>3673</v>
      </c>
      <c r="DM1971" s="160" t="s">
        <v>590</v>
      </c>
      <c r="DN1971" s="161" t="s">
        <v>591</v>
      </c>
      <c r="DP1971" s="130">
        <v>1</v>
      </c>
    </row>
    <row r="1972" spans="109:120" ht="15">
      <c r="DE1972" s="152"/>
      <c r="DF1972" s="160" t="s">
        <v>4807</v>
      </c>
      <c r="DG1972" s="160" t="s">
        <v>647</v>
      </c>
      <c r="DH1972" s="160" t="s">
        <v>1182</v>
      </c>
      <c r="DI1972" s="160" t="s">
        <v>4808</v>
      </c>
      <c r="DJ1972" s="160" t="s">
        <v>4809</v>
      </c>
      <c r="DK1972" s="160" t="s">
        <v>588</v>
      </c>
      <c r="DL1972" s="160" t="s">
        <v>3673</v>
      </c>
      <c r="DM1972" s="160" t="s">
        <v>590</v>
      </c>
      <c r="DN1972" s="161" t="s">
        <v>591</v>
      </c>
      <c r="DP1972" s="130">
        <v>1</v>
      </c>
    </row>
    <row r="1973" spans="109:120" ht="15">
      <c r="DE1973" s="152"/>
      <c r="DF1973" s="160" t="s">
        <v>4810</v>
      </c>
      <c r="DG1973" s="160" t="s">
        <v>647</v>
      </c>
      <c r="DH1973" s="160" t="s">
        <v>1182</v>
      </c>
      <c r="DI1973" s="160" t="s">
        <v>4811</v>
      </c>
      <c r="DJ1973" s="160" t="s">
        <v>4811</v>
      </c>
      <c r="DK1973" s="160" t="s">
        <v>588</v>
      </c>
      <c r="DL1973" s="160" t="s">
        <v>3673</v>
      </c>
      <c r="DM1973" s="160" t="s">
        <v>590</v>
      </c>
      <c r="DN1973" s="161" t="s">
        <v>591</v>
      </c>
      <c r="DP1973" s="130">
        <v>1</v>
      </c>
    </row>
    <row r="1974" spans="109:120" ht="15">
      <c r="DE1974" s="152"/>
      <c r="DF1974" s="160" t="s">
        <v>4812</v>
      </c>
      <c r="DG1974" s="160" t="s">
        <v>647</v>
      </c>
      <c r="DH1974" s="160" t="s">
        <v>1182</v>
      </c>
      <c r="DI1974" s="160" t="s">
        <v>776</v>
      </c>
      <c r="DJ1974" s="160" t="s">
        <v>776</v>
      </c>
      <c r="DK1974" s="160" t="s">
        <v>588</v>
      </c>
      <c r="DL1974" s="160" t="s">
        <v>3673</v>
      </c>
      <c r="DM1974" s="160" t="s">
        <v>590</v>
      </c>
      <c r="DN1974" s="161" t="s">
        <v>591</v>
      </c>
      <c r="DP1974" s="130">
        <v>1</v>
      </c>
    </row>
    <row r="1975" spans="109:120" ht="15">
      <c r="DE1975" s="152"/>
      <c r="DF1975" s="160" t="s">
        <v>4813</v>
      </c>
      <c r="DG1975" s="160" t="s">
        <v>647</v>
      </c>
      <c r="DH1975" s="160" t="s">
        <v>1182</v>
      </c>
      <c r="DI1975" s="160" t="s">
        <v>778</v>
      </c>
      <c r="DJ1975" s="160" t="s">
        <v>778</v>
      </c>
      <c r="DK1975" s="160" t="s">
        <v>588</v>
      </c>
      <c r="DL1975" s="160" t="s">
        <v>3673</v>
      </c>
      <c r="DM1975" s="160" t="s">
        <v>590</v>
      </c>
      <c r="DN1975" s="161" t="s">
        <v>591</v>
      </c>
      <c r="DP1975" s="130">
        <v>1</v>
      </c>
    </row>
    <row r="1976" spans="109:120" ht="15">
      <c r="DE1976" s="152"/>
      <c r="DF1976" s="160" t="s">
        <v>4814</v>
      </c>
      <c r="DG1976" s="160" t="s">
        <v>647</v>
      </c>
      <c r="DH1976" s="160" t="s">
        <v>1182</v>
      </c>
      <c r="DI1976" s="160" t="s">
        <v>4815</v>
      </c>
      <c r="DJ1976" s="160" t="s">
        <v>4815</v>
      </c>
      <c r="DK1976" s="160" t="s">
        <v>666</v>
      </c>
      <c r="DL1976" s="160" t="s">
        <v>1192</v>
      </c>
      <c r="DM1976" s="160" t="s">
        <v>590</v>
      </c>
      <c r="DN1976" s="161" t="s">
        <v>668</v>
      </c>
      <c r="DP1976" s="130">
        <v>1</v>
      </c>
    </row>
    <row r="1977" spans="109:120" ht="15">
      <c r="DE1977" s="152"/>
      <c r="DF1977" s="160" t="s">
        <v>4816</v>
      </c>
      <c r="DG1977" s="160" t="s">
        <v>647</v>
      </c>
      <c r="DH1977" s="160" t="s">
        <v>1182</v>
      </c>
      <c r="DI1977" s="160" t="s">
        <v>4817</v>
      </c>
      <c r="DJ1977" s="160" t="s">
        <v>4818</v>
      </c>
      <c r="DK1977" s="160" t="s">
        <v>588</v>
      </c>
      <c r="DL1977" s="160" t="s">
        <v>3673</v>
      </c>
      <c r="DM1977" s="160" t="s">
        <v>590</v>
      </c>
      <c r="DN1977" s="161" t="s">
        <v>591</v>
      </c>
      <c r="DP1977" s="130">
        <v>1</v>
      </c>
    </row>
    <row r="1978" spans="109:120" ht="15">
      <c r="DE1978" s="152"/>
      <c r="DF1978" s="160" t="s">
        <v>4819</v>
      </c>
      <c r="DG1978" s="160" t="s">
        <v>647</v>
      </c>
      <c r="DH1978" s="160" t="s">
        <v>1182</v>
      </c>
      <c r="DI1978" s="160" t="s">
        <v>4820</v>
      </c>
      <c r="DJ1978" s="160" t="s">
        <v>4820</v>
      </c>
      <c r="DK1978" s="160" t="s">
        <v>588</v>
      </c>
      <c r="DL1978" s="160" t="s">
        <v>3673</v>
      </c>
      <c r="DM1978" s="160" t="s">
        <v>590</v>
      </c>
      <c r="DN1978" s="161" t="s">
        <v>591</v>
      </c>
      <c r="DP1978" s="130">
        <v>1</v>
      </c>
    </row>
    <row r="1979" spans="109:120" ht="15">
      <c r="DE1979" s="152"/>
      <c r="DF1979" s="160" t="s">
        <v>4821</v>
      </c>
      <c r="DG1979" s="160" t="s">
        <v>647</v>
      </c>
      <c r="DH1979" s="160" t="s">
        <v>1182</v>
      </c>
      <c r="DI1979" s="160" t="s">
        <v>4822</v>
      </c>
      <c r="DJ1979" s="160" t="s">
        <v>4822</v>
      </c>
      <c r="DK1979" s="160" t="s">
        <v>588</v>
      </c>
      <c r="DL1979" s="160" t="s">
        <v>3673</v>
      </c>
      <c r="DM1979" s="160" t="s">
        <v>590</v>
      </c>
      <c r="DN1979" s="161" t="s">
        <v>591</v>
      </c>
      <c r="DP1979" s="130">
        <v>1</v>
      </c>
    </row>
    <row r="1980" spans="109:120" ht="15">
      <c r="DE1980" s="152"/>
      <c r="DF1980" s="160" t="s">
        <v>4823</v>
      </c>
      <c r="DG1980" s="160" t="s">
        <v>647</v>
      </c>
      <c r="DH1980" s="160" t="s">
        <v>1182</v>
      </c>
      <c r="DI1980" s="160" t="s">
        <v>4824</v>
      </c>
      <c r="DJ1980" s="160" t="s">
        <v>4824</v>
      </c>
      <c r="DK1980" s="160" t="s">
        <v>588</v>
      </c>
      <c r="DL1980" s="160" t="s">
        <v>3673</v>
      </c>
      <c r="DM1980" s="160" t="s">
        <v>590</v>
      </c>
      <c r="DN1980" s="161" t="s">
        <v>591</v>
      </c>
      <c r="DP1980" s="130">
        <v>1</v>
      </c>
    </row>
    <row r="1981" spans="109:120" ht="15">
      <c r="DE1981" s="152"/>
      <c r="DF1981" s="160" t="s">
        <v>4825</v>
      </c>
      <c r="DG1981" s="160" t="s">
        <v>647</v>
      </c>
      <c r="DH1981" s="160" t="s">
        <v>1182</v>
      </c>
      <c r="DI1981" s="160" t="s">
        <v>4826</v>
      </c>
      <c r="DJ1981" s="160" t="s">
        <v>4826</v>
      </c>
      <c r="DK1981" s="160" t="s">
        <v>588</v>
      </c>
      <c r="DL1981" s="160" t="s">
        <v>3673</v>
      </c>
      <c r="DM1981" s="160" t="s">
        <v>590</v>
      </c>
      <c r="DN1981" s="161" t="s">
        <v>591</v>
      </c>
      <c r="DP1981" s="130">
        <v>1</v>
      </c>
    </row>
    <row r="1982" spans="109:120" ht="15">
      <c r="DE1982" s="152"/>
      <c r="DF1982" s="160" t="s">
        <v>4827</v>
      </c>
      <c r="DG1982" s="160" t="s">
        <v>647</v>
      </c>
      <c r="DH1982" s="160" t="s">
        <v>1182</v>
      </c>
      <c r="DI1982" s="160" t="s">
        <v>4828</v>
      </c>
      <c r="DJ1982" s="160" t="s">
        <v>4828</v>
      </c>
      <c r="DK1982" s="160" t="s">
        <v>666</v>
      </c>
      <c r="DL1982" s="160" t="s">
        <v>1192</v>
      </c>
      <c r="DM1982" s="160" t="s">
        <v>590</v>
      </c>
      <c r="DN1982" s="161" t="s">
        <v>668</v>
      </c>
      <c r="DP1982" s="130">
        <v>1</v>
      </c>
    </row>
    <row r="1983" spans="109:120" ht="15">
      <c r="DE1983" s="152"/>
      <c r="DF1983" s="160" t="s">
        <v>4829</v>
      </c>
      <c r="DG1983" s="160" t="s">
        <v>647</v>
      </c>
      <c r="DH1983" s="160" t="s">
        <v>1182</v>
      </c>
      <c r="DI1983" s="160" t="s">
        <v>4830</v>
      </c>
      <c r="DJ1983" s="160" t="s">
        <v>4831</v>
      </c>
      <c r="DK1983" s="160" t="s">
        <v>588</v>
      </c>
      <c r="DL1983" s="160" t="s">
        <v>3673</v>
      </c>
      <c r="DM1983" s="160" t="s">
        <v>590</v>
      </c>
      <c r="DN1983" s="161" t="s">
        <v>591</v>
      </c>
      <c r="DP1983" s="130">
        <v>1</v>
      </c>
    </row>
    <row r="1984" spans="109:120" ht="15">
      <c r="DE1984" s="152"/>
      <c r="DF1984" s="160" t="s">
        <v>4832</v>
      </c>
      <c r="DG1984" s="160" t="s">
        <v>647</v>
      </c>
      <c r="DH1984" s="160" t="s">
        <v>1182</v>
      </c>
      <c r="DI1984" s="160" t="s">
        <v>4833</v>
      </c>
      <c r="DJ1984" s="160" t="s">
        <v>4833</v>
      </c>
      <c r="DK1984" s="160" t="s">
        <v>588</v>
      </c>
      <c r="DL1984" s="160" t="s">
        <v>3673</v>
      </c>
      <c r="DM1984" s="160" t="s">
        <v>590</v>
      </c>
      <c r="DN1984" s="161" t="s">
        <v>591</v>
      </c>
      <c r="DP1984" s="130">
        <v>1</v>
      </c>
    </row>
    <row r="1985" spans="109:120" ht="15">
      <c r="DE1985" s="152"/>
      <c r="DF1985" s="160" t="s">
        <v>4834</v>
      </c>
      <c r="DG1985" s="160" t="s">
        <v>647</v>
      </c>
      <c r="DH1985" s="160" t="s">
        <v>1182</v>
      </c>
      <c r="DI1985" s="160" t="s">
        <v>4615</v>
      </c>
      <c r="DJ1985" s="160" t="s">
        <v>4615</v>
      </c>
      <c r="DK1985" s="160" t="s">
        <v>588</v>
      </c>
      <c r="DL1985" s="160" t="s">
        <v>3673</v>
      </c>
      <c r="DM1985" s="160" t="s">
        <v>590</v>
      </c>
      <c r="DN1985" s="161" t="s">
        <v>591</v>
      </c>
      <c r="DP1985" s="130">
        <v>1</v>
      </c>
    </row>
    <row r="1986" spans="109:120" ht="15">
      <c r="DE1986" s="152"/>
      <c r="DF1986" s="160" t="s">
        <v>4835</v>
      </c>
      <c r="DG1986" s="160" t="s">
        <v>647</v>
      </c>
      <c r="DH1986" s="160" t="s">
        <v>1182</v>
      </c>
      <c r="DI1986" s="160" t="s">
        <v>4836</v>
      </c>
      <c r="DJ1986" s="160" t="s">
        <v>4836</v>
      </c>
      <c r="DK1986" s="160" t="s">
        <v>588</v>
      </c>
      <c r="DL1986" s="160" t="s">
        <v>3673</v>
      </c>
      <c r="DM1986" s="160" t="s">
        <v>590</v>
      </c>
      <c r="DN1986" s="161" t="s">
        <v>591</v>
      </c>
      <c r="DP1986" s="130">
        <v>1</v>
      </c>
    </row>
    <row r="1987" spans="109:120" ht="15">
      <c r="DE1987" s="152"/>
      <c r="DF1987" s="160" t="s">
        <v>4837</v>
      </c>
      <c r="DG1987" s="160" t="s">
        <v>647</v>
      </c>
      <c r="DH1987" s="160" t="s">
        <v>1182</v>
      </c>
      <c r="DI1987" s="160" t="s">
        <v>4838</v>
      </c>
      <c r="DJ1987" s="160" t="s">
        <v>4839</v>
      </c>
      <c r="DK1987" s="160" t="s">
        <v>588</v>
      </c>
      <c r="DL1987" s="160" t="s">
        <v>3673</v>
      </c>
      <c r="DM1987" s="160" t="s">
        <v>590</v>
      </c>
      <c r="DN1987" s="161" t="s">
        <v>591</v>
      </c>
      <c r="DP1987" s="130">
        <v>1</v>
      </c>
    </row>
    <row r="1988" spans="109:120" ht="15">
      <c r="DE1988" s="152"/>
      <c r="DF1988" s="160" t="s">
        <v>4840</v>
      </c>
      <c r="DG1988" s="160" t="s">
        <v>650</v>
      </c>
      <c r="DH1988" s="160" t="s">
        <v>125</v>
      </c>
      <c r="DI1988" s="160" t="s">
        <v>4841</v>
      </c>
      <c r="DJ1988" s="160" t="s">
        <v>135</v>
      </c>
      <c r="DK1988" s="160" t="s">
        <v>588</v>
      </c>
      <c r="DL1988" s="160" t="s">
        <v>4842</v>
      </c>
      <c r="DM1988" s="160" t="s">
        <v>590</v>
      </c>
      <c r="DN1988" s="161" t="s">
        <v>591</v>
      </c>
      <c r="DP1988" s="130">
        <v>1</v>
      </c>
    </row>
    <row r="1989" spans="109:120" ht="15">
      <c r="DE1989" s="152"/>
      <c r="DF1989" s="160" t="s">
        <v>4843</v>
      </c>
      <c r="DG1989" s="160" t="s">
        <v>650</v>
      </c>
      <c r="DH1989" s="160" t="s">
        <v>125</v>
      </c>
      <c r="DI1989" s="160" t="s">
        <v>4844</v>
      </c>
      <c r="DJ1989" s="160" t="s">
        <v>427</v>
      </c>
      <c r="DK1989" s="160" t="s">
        <v>588</v>
      </c>
      <c r="DL1989" s="160" t="s">
        <v>4842</v>
      </c>
      <c r="DM1989" s="160" t="s">
        <v>590</v>
      </c>
      <c r="DN1989" s="161" t="s">
        <v>591</v>
      </c>
      <c r="DP1989" s="130">
        <v>1</v>
      </c>
    </row>
    <row r="1990" spans="109:120" ht="15">
      <c r="DE1990" s="152"/>
      <c r="DF1990" s="160" t="s">
        <v>4845</v>
      </c>
      <c r="DG1990" s="160" t="s">
        <v>650</v>
      </c>
      <c r="DH1990" s="160" t="s">
        <v>125</v>
      </c>
      <c r="DI1990" s="160" t="s">
        <v>4846</v>
      </c>
      <c r="DJ1990" s="160" t="s">
        <v>136</v>
      </c>
      <c r="DK1990" s="160" t="s">
        <v>588</v>
      </c>
      <c r="DL1990" s="160" t="s">
        <v>4842</v>
      </c>
      <c r="DM1990" s="160" t="s">
        <v>590</v>
      </c>
      <c r="DN1990" s="161" t="s">
        <v>591</v>
      </c>
      <c r="DP1990" s="130">
        <v>1</v>
      </c>
    </row>
    <row r="1991" spans="109:120" ht="15">
      <c r="DE1991" s="152"/>
      <c r="DF1991" s="160" t="s">
        <v>4847</v>
      </c>
      <c r="DG1991" s="160" t="s">
        <v>650</v>
      </c>
      <c r="DH1991" s="160" t="s">
        <v>125</v>
      </c>
      <c r="DI1991" s="160" t="s">
        <v>4848</v>
      </c>
      <c r="DJ1991" s="160" t="s">
        <v>4848</v>
      </c>
      <c r="DK1991" s="160" t="s">
        <v>666</v>
      </c>
      <c r="DL1991" s="160" t="s">
        <v>667</v>
      </c>
      <c r="DM1991" s="160" t="s">
        <v>590</v>
      </c>
      <c r="DN1991" s="161" t="s">
        <v>668</v>
      </c>
      <c r="DP1991" s="130">
        <v>1</v>
      </c>
    </row>
    <row r="1992" spans="109:120" ht="15">
      <c r="DE1992" s="152"/>
      <c r="DF1992" s="160" t="s">
        <v>4849</v>
      </c>
      <c r="DG1992" s="160" t="s">
        <v>650</v>
      </c>
      <c r="DH1992" s="160" t="s">
        <v>125</v>
      </c>
      <c r="DI1992" s="160" t="s">
        <v>428</v>
      </c>
      <c r="DJ1992" s="160" t="s">
        <v>428</v>
      </c>
      <c r="DK1992" s="160" t="s">
        <v>666</v>
      </c>
      <c r="DL1992" s="160" t="s">
        <v>667</v>
      </c>
      <c r="DM1992" s="160" t="s">
        <v>590</v>
      </c>
      <c r="DN1992" s="161" t="s">
        <v>668</v>
      </c>
      <c r="DP1992" s="130">
        <v>1</v>
      </c>
    </row>
    <row r="1993" spans="109:120" ht="15">
      <c r="DE1993" s="152"/>
      <c r="DF1993" s="160" t="s">
        <v>4850</v>
      </c>
      <c r="DG1993" s="160" t="s">
        <v>650</v>
      </c>
      <c r="DH1993" s="160" t="s">
        <v>125</v>
      </c>
      <c r="DI1993" s="160" t="s">
        <v>4851</v>
      </c>
      <c r="DJ1993" s="160" t="s">
        <v>429</v>
      </c>
      <c r="DK1993" s="160" t="s">
        <v>588</v>
      </c>
      <c r="DL1993" s="160" t="s">
        <v>4842</v>
      </c>
      <c r="DM1993" s="160" t="s">
        <v>590</v>
      </c>
      <c r="DN1993" s="161" t="s">
        <v>591</v>
      </c>
      <c r="DP1993" s="130">
        <v>1</v>
      </c>
    </row>
    <row r="1994" spans="109:120" ht="15">
      <c r="DE1994" s="152"/>
      <c r="DF1994" s="160" t="s">
        <v>4852</v>
      </c>
      <c r="DG1994" s="160" t="s">
        <v>650</v>
      </c>
      <c r="DH1994" s="160" t="s">
        <v>125</v>
      </c>
      <c r="DI1994" s="160" t="s">
        <v>4853</v>
      </c>
      <c r="DJ1994" s="160" t="s">
        <v>137</v>
      </c>
      <c r="DK1994" s="160" t="s">
        <v>588</v>
      </c>
      <c r="DL1994" s="160" t="s">
        <v>4842</v>
      </c>
      <c r="DM1994" s="160" t="s">
        <v>590</v>
      </c>
      <c r="DN1994" s="161" t="s">
        <v>591</v>
      </c>
      <c r="DP1994" s="130">
        <v>1</v>
      </c>
    </row>
    <row r="1995" spans="109:120" ht="15">
      <c r="DE1995" s="152"/>
      <c r="DF1995" s="160" t="s">
        <v>4854</v>
      </c>
      <c r="DG1995" s="160" t="s">
        <v>650</v>
      </c>
      <c r="DH1995" s="160" t="s">
        <v>125</v>
      </c>
      <c r="DI1995" s="160" t="s">
        <v>4855</v>
      </c>
      <c r="DJ1995" s="160" t="s">
        <v>138</v>
      </c>
      <c r="DK1995" s="160" t="s">
        <v>588</v>
      </c>
      <c r="DL1995" s="160" t="s">
        <v>4842</v>
      </c>
      <c r="DM1995" s="160" t="s">
        <v>590</v>
      </c>
      <c r="DN1995" s="161" t="s">
        <v>591</v>
      </c>
      <c r="DP1995" s="130">
        <v>1</v>
      </c>
    </row>
    <row r="1996" spans="109:120" ht="15">
      <c r="DE1996" s="152"/>
      <c r="DF1996" s="160" t="s">
        <v>4856</v>
      </c>
      <c r="DG1996" s="160" t="s">
        <v>650</v>
      </c>
      <c r="DH1996" s="160" t="s">
        <v>125</v>
      </c>
      <c r="DI1996" s="160" t="s">
        <v>4857</v>
      </c>
      <c r="DJ1996" s="160" t="s">
        <v>139</v>
      </c>
      <c r="DK1996" s="160" t="s">
        <v>588</v>
      </c>
      <c r="DL1996" s="160" t="s">
        <v>4842</v>
      </c>
      <c r="DM1996" s="160" t="s">
        <v>590</v>
      </c>
      <c r="DN1996" s="161" t="s">
        <v>591</v>
      </c>
      <c r="DP1996" s="130">
        <v>1</v>
      </c>
    </row>
    <row r="1997" spans="109:120" ht="15">
      <c r="DE1997" s="152"/>
      <c r="DF1997" s="160" t="s">
        <v>4858</v>
      </c>
      <c r="DG1997" s="160" t="s">
        <v>650</v>
      </c>
      <c r="DH1997" s="160" t="s">
        <v>125</v>
      </c>
      <c r="DI1997" s="160" t="s">
        <v>4859</v>
      </c>
      <c r="DJ1997" s="160" t="s">
        <v>140</v>
      </c>
      <c r="DK1997" s="160" t="s">
        <v>588</v>
      </c>
      <c r="DL1997" s="160" t="s">
        <v>4842</v>
      </c>
      <c r="DM1997" s="160" t="s">
        <v>590</v>
      </c>
      <c r="DN1997" s="161" t="s">
        <v>591</v>
      </c>
      <c r="DP1997" s="130">
        <v>1</v>
      </c>
    </row>
    <row r="1998" spans="109:120" ht="15">
      <c r="DE1998" s="152"/>
      <c r="DF1998" s="160" t="s">
        <v>4860</v>
      </c>
      <c r="DG1998" s="160" t="s">
        <v>650</v>
      </c>
      <c r="DH1998" s="160" t="s">
        <v>125</v>
      </c>
      <c r="DI1998" s="160" t="s">
        <v>4861</v>
      </c>
      <c r="DJ1998" s="160" t="s">
        <v>4862</v>
      </c>
      <c r="DK1998" s="160" t="s">
        <v>588</v>
      </c>
      <c r="DL1998" s="160" t="s">
        <v>4842</v>
      </c>
      <c r="DM1998" s="160" t="s">
        <v>590</v>
      </c>
      <c r="DN1998" s="161" t="s">
        <v>591</v>
      </c>
      <c r="DP1998" s="130">
        <v>1</v>
      </c>
    </row>
    <row r="1999" spans="109:120" ht="15">
      <c r="DE1999" s="152"/>
      <c r="DF1999" s="160" t="s">
        <v>4863</v>
      </c>
      <c r="DG1999" s="160" t="s">
        <v>650</v>
      </c>
      <c r="DH1999" s="160" t="s">
        <v>125</v>
      </c>
      <c r="DI1999" s="160" t="s">
        <v>4864</v>
      </c>
      <c r="DJ1999" s="160" t="s">
        <v>430</v>
      </c>
      <c r="DK1999" s="160" t="s">
        <v>588</v>
      </c>
      <c r="DL1999" s="160" t="s">
        <v>4842</v>
      </c>
      <c r="DM1999" s="160" t="s">
        <v>590</v>
      </c>
      <c r="DN1999" s="161" t="s">
        <v>591</v>
      </c>
      <c r="DP1999" s="130">
        <v>1</v>
      </c>
    </row>
    <row r="2000" spans="109:120" ht="15">
      <c r="DE2000" s="152"/>
      <c r="DF2000" s="160" t="s">
        <v>4865</v>
      </c>
      <c r="DG2000" s="160" t="s">
        <v>650</v>
      </c>
      <c r="DH2000" s="160" t="s">
        <v>125</v>
      </c>
      <c r="DI2000" s="160" t="s">
        <v>4866</v>
      </c>
      <c r="DJ2000" s="160" t="s">
        <v>431</v>
      </c>
      <c r="DK2000" s="160" t="s">
        <v>588</v>
      </c>
      <c r="DL2000" s="160" t="s">
        <v>4842</v>
      </c>
      <c r="DM2000" s="160" t="s">
        <v>590</v>
      </c>
      <c r="DN2000" s="161" t="s">
        <v>591</v>
      </c>
      <c r="DP2000" s="130">
        <v>1</v>
      </c>
    </row>
    <row r="2001" spans="109:120" ht="15">
      <c r="DE2001" s="152"/>
      <c r="DF2001" s="160" t="s">
        <v>4867</v>
      </c>
      <c r="DG2001" s="160" t="s">
        <v>650</v>
      </c>
      <c r="DH2001" s="160" t="s">
        <v>125</v>
      </c>
      <c r="DI2001" s="160" t="s">
        <v>4868</v>
      </c>
      <c r="DJ2001" s="160" t="s">
        <v>141</v>
      </c>
      <c r="DK2001" s="160" t="s">
        <v>588</v>
      </c>
      <c r="DL2001" s="160" t="s">
        <v>4842</v>
      </c>
      <c r="DM2001" s="160" t="s">
        <v>590</v>
      </c>
      <c r="DN2001" s="161" t="s">
        <v>591</v>
      </c>
      <c r="DP2001" s="130">
        <v>1</v>
      </c>
    </row>
    <row r="2002" spans="109:120" ht="15">
      <c r="DE2002" s="152"/>
      <c r="DF2002" s="160" t="s">
        <v>4869</v>
      </c>
      <c r="DG2002" s="160" t="s">
        <v>650</v>
      </c>
      <c r="DH2002" s="160" t="s">
        <v>1182</v>
      </c>
      <c r="DI2002" s="160" t="s">
        <v>1188</v>
      </c>
      <c r="DJ2002" s="160" t="s">
        <v>1188</v>
      </c>
      <c r="DK2002" s="160" t="s">
        <v>588</v>
      </c>
      <c r="DL2002" s="160" t="s">
        <v>3673</v>
      </c>
      <c r="DM2002" s="160" t="s">
        <v>590</v>
      </c>
      <c r="DN2002" s="161" t="s">
        <v>591</v>
      </c>
      <c r="DP2002" s="130">
        <v>1</v>
      </c>
    </row>
    <row r="2003" spans="109:120" ht="15">
      <c r="DE2003" s="152"/>
      <c r="DF2003" s="160" t="s">
        <v>4870</v>
      </c>
      <c r="DG2003" s="160" t="s">
        <v>650</v>
      </c>
      <c r="DH2003" s="160" t="s">
        <v>1182</v>
      </c>
      <c r="DI2003" s="160" t="s">
        <v>4871</v>
      </c>
      <c r="DJ2003" s="160" t="s">
        <v>4872</v>
      </c>
      <c r="DK2003" s="160" t="s">
        <v>588</v>
      </c>
      <c r="DL2003" s="160" t="s">
        <v>3673</v>
      </c>
      <c r="DM2003" s="160" t="s">
        <v>590</v>
      </c>
      <c r="DN2003" s="161" t="s">
        <v>591</v>
      </c>
      <c r="DP2003" s="130">
        <v>1</v>
      </c>
    </row>
    <row r="2004" spans="109:120" ht="15">
      <c r="DE2004" s="152"/>
      <c r="DF2004" s="160" t="s">
        <v>4873</v>
      </c>
      <c r="DG2004" s="160" t="s">
        <v>650</v>
      </c>
      <c r="DH2004" s="160" t="s">
        <v>1182</v>
      </c>
      <c r="DI2004" s="160" t="s">
        <v>1199</v>
      </c>
      <c r="DJ2004" s="160" t="s">
        <v>1199</v>
      </c>
      <c r="DK2004" s="160" t="s">
        <v>588</v>
      </c>
      <c r="DL2004" s="160" t="s">
        <v>3673</v>
      </c>
      <c r="DM2004" s="160" t="s">
        <v>590</v>
      </c>
      <c r="DN2004" s="161" t="s">
        <v>591</v>
      </c>
      <c r="DP2004" s="130">
        <v>1</v>
      </c>
    </row>
    <row r="2005" spans="109:120" ht="15">
      <c r="DE2005" s="152"/>
      <c r="DF2005" s="160" t="s">
        <v>4874</v>
      </c>
      <c r="DG2005" s="160" t="s">
        <v>650</v>
      </c>
      <c r="DH2005" s="160" t="s">
        <v>1182</v>
      </c>
      <c r="DI2005" s="160" t="s">
        <v>4875</v>
      </c>
      <c r="DJ2005" s="160" t="s">
        <v>4875</v>
      </c>
      <c r="DK2005" s="160" t="s">
        <v>588</v>
      </c>
      <c r="DL2005" s="160" t="s">
        <v>3673</v>
      </c>
      <c r="DM2005" s="160" t="s">
        <v>590</v>
      </c>
      <c r="DN2005" s="161" t="s">
        <v>591</v>
      </c>
      <c r="DP2005" s="130">
        <v>1</v>
      </c>
    </row>
    <row r="2006" spans="109:120" ht="15">
      <c r="DE2006" s="152"/>
      <c r="DF2006" s="160" t="s">
        <v>4876</v>
      </c>
      <c r="DG2006" s="160" t="s">
        <v>650</v>
      </c>
      <c r="DH2006" s="160" t="s">
        <v>1182</v>
      </c>
      <c r="DI2006" s="160" t="s">
        <v>1204</v>
      </c>
      <c r="DJ2006" s="160" t="s">
        <v>1204</v>
      </c>
      <c r="DK2006" s="160" t="s">
        <v>588</v>
      </c>
      <c r="DL2006" s="160" t="s">
        <v>3673</v>
      </c>
      <c r="DM2006" s="160" t="s">
        <v>590</v>
      </c>
      <c r="DN2006" s="161" t="s">
        <v>591</v>
      </c>
      <c r="DP2006" s="130">
        <v>1</v>
      </c>
    </row>
    <row r="2007" spans="109:120" ht="15">
      <c r="DE2007" s="152"/>
      <c r="DF2007" s="160" t="s">
        <v>4877</v>
      </c>
      <c r="DG2007" s="160" t="s">
        <v>650</v>
      </c>
      <c r="DH2007" s="160" t="s">
        <v>1182</v>
      </c>
      <c r="DI2007" s="160" t="s">
        <v>1208</v>
      </c>
      <c r="DJ2007" s="160" t="s">
        <v>1208</v>
      </c>
      <c r="DK2007" s="160" t="s">
        <v>588</v>
      </c>
      <c r="DL2007" s="160" t="s">
        <v>3673</v>
      </c>
      <c r="DM2007" s="160" t="s">
        <v>590</v>
      </c>
      <c r="DN2007" s="161" t="s">
        <v>591</v>
      </c>
      <c r="DP2007" s="130">
        <v>1</v>
      </c>
    </row>
    <row r="2008" spans="109:120" ht="15">
      <c r="DE2008" s="152"/>
      <c r="DF2008" s="160" t="s">
        <v>4878</v>
      </c>
      <c r="DG2008" s="160" t="s">
        <v>650</v>
      </c>
      <c r="DH2008" s="160" t="s">
        <v>1182</v>
      </c>
      <c r="DI2008" s="160" t="s">
        <v>4879</v>
      </c>
      <c r="DJ2008" s="160" t="s">
        <v>4879</v>
      </c>
      <c r="DK2008" s="160" t="s">
        <v>588</v>
      </c>
      <c r="DL2008" s="160" t="s">
        <v>3673</v>
      </c>
      <c r="DM2008" s="160" t="s">
        <v>590</v>
      </c>
      <c r="DN2008" s="161" t="s">
        <v>591</v>
      </c>
      <c r="DP2008" s="130">
        <v>1</v>
      </c>
    </row>
    <row r="2009" spans="109:120" ht="15">
      <c r="DE2009" s="152"/>
      <c r="DF2009" s="160" t="s">
        <v>4880</v>
      </c>
      <c r="DG2009" s="160" t="s">
        <v>650</v>
      </c>
      <c r="DH2009" s="160" t="s">
        <v>1182</v>
      </c>
      <c r="DI2009" s="160" t="s">
        <v>4881</v>
      </c>
      <c r="DJ2009" s="160" t="s">
        <v>4882</v>
      </c>
      <c r="DK2009" s="160" t="s">
        <v>588</v>
      </c>
      <c r="DL2009" s="160" t="s">
        <v>3673</v>
      </c>
      <c r="DM2009" s="160" t="s">
        <v>590</v>
      </c>
      <c r="DN2009" s="161" t="s">
        <v>591</v>
      </c>
      <c r="DP2009" s="130">
        <v>1</v>
      </c>
    </row>
    <row r="2010" spans="109:120" ht="15">
      <c r="DE2010" s="152"/>
      <c r="DF2010" s="160" t="s">
        <v>4883</v>
      </c>
      <c r="DG2010" s="160" t="s">
        <v>650</v>
      </c>
      <c r="DH2010" s="160" t="s">
        <v>1182</v>
      </c>
      <c r="DI2010" s="160" t="s">
        <v>4884</v>
      </c>
      <c r="DJ2010" s="160" t="s">
        <v>4884</v>
      </c>
      <c r="DK2010" s="160" t="s">
        <v>588</v>
      </c>
      <c r="DL2010" s="160" t="s">
        <v>3673</v>
      </c>
      <c r="DM2010" s="160" t="s">
        <v>590</v>
      </c>
      <c r="DN2010" s="161" t="s">
        <v>591</v>
      </c>
      <c r="DP2010" s="130">
        <v>1</v>
      </c>
    </row>
    <row r="2011" spans="109:120" ht="15">
      <c r="DE2011" s="152"/>
      <c r="DF2011" s="160" t="s">
        <v>4885</v>
      </c>
      <c r="DG2011" s="160" t="s">
        <v>650</v>
      </c>
      <c r="DH2011" s="160" t="s">
        <v>1182</v>
      </c>
      <c r="DI2011" s="160" t="s">
        <v>1772</v>
      </c>
      <c r="DJ2011" s="160" t="s">
        <v>1773</v>
      </c>
      <c r="DK2011" s="160" t="s">
        <v>588</v>
      </c>
      <c r="DL2011" s="160" t="s">
        <v>3673</v>
      </c>
      <c r="DM2011" s="160" t="s">
        <v>590</v>
      </c>
      <c r="DN2011" s="161" t="s">
        <v>591</v>
      </c>
      <c r="DP2011" s="130">
        <v>1</v>
      </c>
    </row>
    <row r="2012" spans="109:120" ht="15">
      <c r="DE2012" s="152"/>
      <c r="DF2012" s="160" t="s">
        <v>4886</v>
      </c>
      <c r="DG2012" s="160" t="s">
        <v>650</v>
      </c>
      <c r="DH2012" s="160" t="s">
        <v>1182</v>
      </c>
      <c r="DI2012" s="160" t="s">
        <v>4887</v>
      </c>
      <c r="DJ2012" s="160" t="s">
        <v>4887</v>
      </c>
      <c r="DK2012" s="160" t="s">
        <v>588</v>
      </c>
      <c r="DL2012" s="160" t="s">
        <v>3673</v>
      </c>
      <c r="DM2012" s="160" t="s">
        <v>590</v>
      </c>
      <c r="DN2012" s="161" t="s">
        <v>591</v>
      </c>
      <c r="DP2012" s="130">
        <v>1</v>
      </c>
    </row>
    <row r="2013" spans="109:120" ht="15">
      <c r="DE2013" s="152"/>
      <c r="DF2013" s="160" t="s">
        <v>4888</v>
      </c>
      <c r="DG2013" s="160" t="s">
        <v>650</v>
      </c>
      <c r="DH2013" s="160" t="s">
        <v>1182</v>
      </c>
      <c r="DI2013" s="160" t="s">
        <v>1240</v>
      </c>
      <c r="DJ2013" s="160" t="s">
        <v>1240</v>
      </c>
      <c r="DK2013" s="160" t="s">
        <v>588</v>
      </c>
      <c r="DL2013" s="160" t="s">
        <v>3673</v>
      </c>
      <c r="DM2013" s="160" t="s">
        <v>590</v>
      </c>
      <c r="DN2013" s="161" t="s">
        <v>591</v>
      </c>
      <c r="DP2013" s="130">
        <v>1</v>
      </c>
    </row>
    <row r="2014" spans="109:120" ht="15">
      <c r="DE2014" s="152"/>
      <c r="DF2014" s="160" t="s">
        <v>4889</v>
      </c>
      <c r="DG2014" s="160" t="s">
        <v>650</v>
      </c>
      <c r="DH2014" s="160" t="s">
        <v>1182</v>
      </c>
      <c r="DI2014" s="160" t="s">
        <v>4890</v>
      </c>
      <c r="DJ2014" s="160" t="s">
        <v>4891</v>
      </c>
      <c r="DK2014" s="160" t="s">
        <v>588</v>
      </c>
      <c r="DL2014" s="160" t="s">
        <v>3673</v>
      </c>
      <c r="DM2014" s="160" t="s">
        <v>590</v>
      </c>
      <c r="DN2014" s="161" t="s">
        <v>591</v>
      </c>
      <c r="DP2014" s="130">
        <v>1</v>
      </c>
    </row>
    <row r="2015" spans="109:120" ht="15">
      <c r="DE2015" s="152"/>
      <c r="DF2015" s="160" t="s">
        <v>4892</v>
      </c>
      <c r="DG2015" s="160" t="s">
        <v>650</v>
      </c>
      <c r="DH2015" s="160" t="s">
        <v>1182</v>
      </c>
      <c r="DI2015" s="160" t="s">
        <v>4893</v>
      </c>
      <c r="DJ2015" s="160" t="s">
        <v>4893</v>
      </c>
      <c r="DK2015" s="160" t="s">
        <v>588</v>
      </c>
      <c r="DL2015" s="160" t="s">
        <v>3673</v>
      </c>
      <c r="DM2015" s="160" t="s">
        <v>590</v>
      </c>
      <c r="DN2015" s="161" t="s">
        <v>591</v>
      </c>
      <c r="DP2015" s="130">
        <v>1</v>
      </c>
    </row>
    <row r="2016" spans="109:120" ht="15">
      <c r="DE2016" s="152"/>
      <c r="DF2016" s="160" t="s">
        <v>4894</v>
      </c>
      <c r="DG2016" s="160" t="s">
        <v>650</v>
      </c>
      <c r="DH2016" s="160" t="s">
        <v>1182</v>
      </c>
      <c r="DI2016" s="160" t="s">
        <v>1786</v>
      </c>
      <c r="DJ2016" s="160" t="s">
        <v>1786</v>
      </c>
      <c r="DK2016" s="160" t="s">
        <v>588</v>
      </c>
      <c r="DL2016" s="160" t="s">
        <v>3673</v>
      </c>
      <c r="DM2016" s="160" t="s">
        <v>590</v>
      </c>
      <c r="DN2016" s="161" t="s">
        <v>591</v>
      </c>
      <c r="DP2016" s="130">
        <v>1</v>
      </c>
    </row>
    <row r="2017" spans="109:120" ht="15">
      <c r="DE2017" s="152"/>
      <c r="DF2017" s="160" t="s">
        <v>4895</v>
      </c>
      <c r="DG2017" s="160" t="s">
        <v>121</v>
      </c>
      <c r="DH2017" s="160" t="s">
        <v>125</v>
      </c>
      <c r="DI2017" s="160" t="s">
        <v>4896</v>
      </c>
      <c r="DJ2017" s="160" t="s">
        <v>4896</v>
      </c>
      <c r="DK2017" s="160" t="s">
        <v>588</v>
      </c>
      <c r="DL2017" s="160" t="s">
        <v>4897</v>
      </c>
      <c r="DM2017" s="160" t="s">
        <v>590</v>
      </c>
      <c r="DN2017" s="161" t="s">
        <v>591</v>
      </c>
      <c r="DP2017" s="130">
        <v>1</v>
      </c>
    </row>
    <row r="2018" spans="109:120" ht="15">
      <c r="DE2018" s="152"/>
      <c r="DF2018" s="160" t="s">
        <v>4898</v>
      </c>
      <c r="DG2018" s="160" t="s">
        <v>121</v>
      </c>
      <c r="DH2018" s="160" t="s">
        <v>125</v>
      </c>
      <c r="DI2018" s="160" t="s">
        <v>267</v>
      </c>
      <c r="DJ2018" s="160" t="s">
        <v>267</v>
      </c>
      <c r="DK2018" s="160" t="s">
        <v>588</v>
      </c>
      <c r="DL2018" s="160" t="s">
        <v>4897</v>
      </c>
      <c r="DM2018" s="160" t="s">
        <v>590</v>
      </c>
      <c r="DN2018" s="161" t="s">
        <v>591</v>
      </c>
      <c r="DP2018" s="130">
        <v>1</v>
      </c>
    </row>
    <row r="2019" spans="109:120" ht="15">
      <c r="DE2019" s="152"/>
      <c r="DF2019" s="160" t="s">
        <v>4899</v>
      </c>
      <c r="DG2019" s="160" t="s">
        <v>121</v>
      </c>
      <c r="DH2019" s="160" t="s">
        <v>125</v>
      </c>
      <c r="DI2019" s="160" t="s">
        <v>268</v>
      </c>
      <c r="DJ2019" s="160" t="s">
        <v>268</v>
      </c>
      <c r="DK2019" s="160" t="s">
        <v>588</v>
      </c>
      <c r="DL2019" s="160" t="s">
        <v>4897</v>
      </c>
      <c r="DM2019" s="160" t="s">
        <v>590</v>
      </c>
      <c r="DN2019" s="161" t="s">
        <v>591</v>
      </c>
      <c r="DP2019" s="130">
        <v>1</v>
      </c>
    </row>
    <row r="2020" spans="109:120" ht="15">
      <c r="DE2020" s="152"/>
      <c r="DF2020" s="160" t="s">
        <v>4900</v>
      </c>
      <c r="DG2020" s="160" t="s">
        <v>121</v>
      </c>
      <c r="DH2020" s="160" t="s">
        <v>125</v>
      </c>
      <c r="DI2020" s="160" t="s">
        <v>269</v>
      </c>
      <c r="DJ2020" s="160" t="s">
        <v>269</v>
      </c>
      <c r="DK2020" s="160" t="s">
        <v>588</v>
      </c>
      <c r="DL2020" s="160" t="s">
        <v>4897</v>
      </c>
      <c r="DM2020" s="160" t="s">
        <v>590</v>
      </c>
      <c r="DN2020" s="161" t="s">
        <v>591</v>
      </c>
      <c r="DP2020" s="130">
        <v>1</v>
      </c>
    </row>
    <row r="2021" spans="109:120" ht="15">
      <c r="DE2021" s="152"/>
      <c r="DF2021" s="160" t="s">
        <v>4901</v>
      </c>
      <c r="DG2021" s="160" t="s">
        <v>121</v>
      </c>
      <c r="DH2021" s="160" t="s">
        <v>125</v>
      </c>
      <c r="DI2021" s="160" t="s">
        <v>270</v>
      </c>
      <c r="DJ2021" s="160" t="s">
        <v>270</v>
      </c>
      <c r="DK2021" s="160" t="s">
        <v>588</v>
      </c>
      <c r="DL2021" s="160" t="s">
        <v>4897</v>
      </c>
      <c r="DM2021" s="160" t="s">
        <v>590</v>
      </c>
      <c r="DN2021" s="161" t="s">
        <v>591</v>
      </c>
      <c r="DP2021" s="130">
        <v>1</v>
      </c>
    </row>
    <row r="2022" spans="109:120" ht="15">
      <c r="DE2022" s="152"/>
      <c r="DF2022" s="160" t="s">
        <v>4902</v>
      </c>
      <c r="DG2022" s="160" t="s">
        <v>121</v>
      </c>
      <c r="DH2022" s="160" t="s">
        <v>125</v>
      </c>
      <c r="DI2022" s="160" t="s">
        <v>4903</v>
      </c>
      <c r="DJ2022" s="160" t="s">
        <v>4904</v>
      </c>
      <c r="DK2022" s="160" t="s">
        <v>588</v>
      </c>
      <c r="DL2022" s="160" t="s">
        <v>4897</v>
      </c>
      <c r="DM2022" s="160" t="s">
        <v>590</v>
      </c>
      <c r="DN2022" s="161" t="s">
        <v>591</v>
      </c>
      <c r="DP2022" s="130">
        <v>1</v>
      </c>
    </row>
    <row r="2023" spans="109:120" ht="15">
      <c r="DE2023" s="152"/>
      <c r="DF2023" s="160" t="s">
        <v>4905</v>
      </c>
      <c r="DG2023" s="160" t="s">
        <v>121</v>
      </c>
      <c r="DH2023" s="160" t="s">
        <v>125</v>
      </c>
      <c r="DI2023" s="160" t="s">
        <v>271</v>
      </c>
      <c r="DJ2023" s="160" t="s">
        <v>271</v>
      </c>
      <c r="DK2023" s="160" t="s">
        <v>588</v>
      </c>
      <c r="DL2023" s="160" t="s">
        <v>4897</v>
      </c>
      <c r="DM2023" s="160" t="s">
        <v>590</v>
      </c>
      <c r="DN2023" s="161" t="s">
        <v>591</v>
      </c>
      <c r="DP2023" s="130">
        <v>1</v>
      </c>
    </row>
    <row r="2024" spans="109:120" ht="15">
      <c r="DE2024" s="152"/>
      <c r="DF2024" s="160" t="s">
        <v>4906</v>
      </c>
      <c r="DG2024" s="160" t="s">
        <v>121</v>
      </c>
      <c r="DH2024" s="160" t="s">
        <v>125</v>
      </c>
      <c r="DI2024" s="160" t="s">
        <v>4907</v>
      </c>
      <c r="DJ2024" s="160" t="s">
        <v>511</v>
      </c>
      <c r="DK2024" s="160" t="s">
        <v>588</v>
      </c>
      <c r="DL2024" s="160" t="s">
        <v>4897</v>
      </c>
      <c r="DM2024" s="160" t="s">
        <v>590</v>
      </c>
      <c r="DN2024" s="161" t="s">
        <v>591</v>
      </c>
      <c r="DP2024" s="130">
        <v>1</v>
      </c>
    </row>
    <row r="2025" spans="109:120" ht="15">
      <c r="DE2025" s="152"/>
      <c r="DF2025" s="160" t="s">
        <v>4908</v>
      </c>
      <c r="DG2025" s="160" t="s">
        <v>121</v>
      </c>
      <c r="DH2025" s="160" t="s">
        <v>125</v>
      </c>
      <c r="DI2025" s="160" t="s">
        <v>512</v>
      </c>
      <c r="DJ2025" s="160" t="s">
        <v>512</v>
      </c>
      <c r="DK2025" s="160" t="s">
        <v>588</v>
      </c>
      <c r="DL2025" s="160" t="s">
        <v>4897</v>
      </c>
      <c r="DM2025" s="160" t="s">
        <v>590</v>
      </c>
      <c r="DN2025" s="161" t="s">
        <v>591</v>
      </c>
      <c r="DP2025" s="130">
        <v>1</v>
      </c>
    </row>
    <row r="2026" spans="109:120" ht="15">
      <c r="DE2026" s="152"/>
      <c r="DF2026" s="160" t="s">
        <v>4909</v>
      </c>
      <c r="DG2026" s="160" t="s">
        <v>121</v>
      </c>
      <c r="DH2026" s="160" t="s">
        <v>125</v>
      </c>
      <c r="DI2026" s="160" t="s">
        <v>4910</v>
      </c>
      <c r="DJ2026" s="160" t="s">
        <v>4910</v>
      </c>
      <c r="DK2026" s="160" t="s">
        <v>588</v>
      </c>
      <c r="DL2026" s="160" t="s">
        <v>4897</v>
      </c>
      <c r="DM2026" s="160" t="s">
        <v>590</v>
      </c>
      <c r="DN2026" s="161" t="s">
        <v>591</v>
      </c>
      <c r="DP2026" s="130">
        <v>1</v>
      </c>
    </row>
    <row r="2027" spans="109:120" ht="15">
      <c r="DE2027" s="152"/>
      <c r="DF2027" s="160" t="s">
        <v>4911</v>
      </c>
      <c r="DG2027" s="160" t="s">
        <v>121</v>
      </c>
      <c r="DH2027" s="160" t="s">
        <v>125</v>
      </c>
      <c r="DI2027" s="160" t="s">
        <v>272</v>
      </c>
      <c r="DJ2027" s="160" t="s">
        <v>272</v>
      </c>
      <c r="DK2027" s="160" t="s">
        <v>588</v>
      </c>
      <c r="DL2027" s="160" t="s">
        <v>4897</v>
      </c>
      <c r="DM2027" s="160" t="s">
        <v>590</v>
      </c>
      <c r="DN2027" s="161" t="s">
        <v>591</v>
      </c>
      <c r="DP2027" s="130">
        <v>1</v>
      </c>
    </row>
    <row r="2028" spans="109:120" ht="15">
      <c r="DE2028" s="152"/>
      <c r="DF2028" s="160" t="s">
        <v>4912</v>
      </c>
      <c r="DG2028" s="160" t="s">
        <v>121</v>
      </c>
      <c r="DH2028" s="160" t="s">
        <v>125</v>
      </c>
      <c r="DI2028" s="160" t="s">
        <v>4913</v>
      </c>
      <c r="DJ2028" s="160" t="s">
        <v>4913</v>
      </c>
      <c r="DK2028" s="160" t="s">
        <v>588</v>
      </c>
      <c r="DL2028" s="160" t="s">
        <v>4897</v>
      </c>
      <c r="DM2028" s="160" t="s">
        <v>590</v>
      </c>
      <c r="DN2028" s="161" t="s">
        <v>591</v>
      </c>
      <c r="DP2028" s="130">
        <v>1</v>
      </c>
    </row>
    <row r="2029" spans="109:120" ht="15">
      <c r="DE2029" s="152"/>
      <c r="DF2029" s="160" t="s">
        <v>4914</v>
      </c>
      <c r="DG2029" s="160" t="s">
        <v>121</v>
      </c>
      <c r="DH2029" s="160" t="s">
        <v>125</v>
      </c>
      <c r="DI2029" s="160" t="s">
        <v>4915</v>
      </c>
      <c r="DJ2029" s="160" t="s">
        <v>4915</v>
      </c>
      <c r="DK2029" s="160" t="s">
        <v>666</v>
      </c>
      <c r="DL2029" s="160" t="s">
        <v>667</v>
      </c>
      <c r="DM2029" s="160" t="s">
        <v>590</v>
      </c>
      <c r="DN2029" s="161" t="s">
        <v>668</v>
      </c>
      <c r="DP2029" s="130">
        <v>1</v>
      </c>
    </row>
    <row r="2030" spans="109:120" ht="15">
      <c r="DE2030" s="152"/>
      <c r="DF2030" s="160" t="s">
        <v>4916</v>
      </c>
      <c r="DG2030" s="160" t="s">
        <v>121</v>
      </c>
      <c r="DH2030" s="160" t="s">
        <v>125</v>
      </c>
      <c r="DI2030" s="160" t="s">
        <v>4917</v>
      </c>
      <c r="DJ2030" s="160" t="s">
        <v>4917</v>
      </c>
      <c r="DK2030" s="160" t="s">
        <v>666</v>
      </c>
      <c r="DL2030" s="160" t="s">
        <v>667</v>
      </c>
      <c r="DM2030" s="160" t="s">
        <v>590</v>
      </c>
      <c r="DN2030" s="161" t="s">
        <v>668</v>
      </c>
      <c r="DP2030" s="130">
        <v>1</v>
      </c>
    </row>
    <row r="2031" spans="109:120" ht="15">
      <c r="DE2031" s="152"/>
      <c r="DF2031" s="160" t="s">
        <v>4918</v>
      </c>
      <c r="DG2031" s="160" t="s">
        <v>121</v>
      </c>
      <c r="DH2031" s="160" t="s">
        <v>125</v>
      </c>
      <c r="DI2031" s="160" t="s">
        <v>4919</v>
      </c>
      <c r="DJ2031" s="160" t="s">
        <v>4919</v>
      </c>
      <c r="DK2031" s="160" t="s">
        <v>666</v>
      </c>
      <c r="DL2031" s="160" t="s">
        <v>667</v>
      </c>
      <c r="DM2031" s="160" t="s">
        <v>590</v>
      </c>
      <c r="DN2031" s="161" t="s">
        <v>668</v>
      </c>
      <c r="DP2031" s="130">
        <v>1</v>
      </c>
    </row>
    <row r="2032" spans="109:120" ht="15">
      <c r="DE2032" s="152"/>
      <c r="DF2032" s="160" t="s">
        <v>4920</v>
      </c>
      <c r="DG2032" s="160" t="s">
        <v>121</v>
      </c>
      <c r="DH2032" s="160" t="s">
        <v>125</v>
      </c>
      <c r="DI2032" s="160" t="s">
        <v>4921</v>
      </c>
      <c r="DJ2032" s="160" t="s">
        <v>4921</v>
      </c>
      <c r="DK2032" s="160" t="s">
        <v>588</v>
      </c>
      <c r="DL2032" s="160" t="s">
        <v>4897</v>
      </c>
      <c r="DM2032" s="160" t="s">
        <v>590</v>
      </c>
      <c r="DN2032" s="161" t="s">
        <v>591</v>
      </c>
      <c r="DP2032" s="130">
        <v>1</v>
      </c>
    </row>
    <row r="2033" spans="109:120" ht="15">
      <c r="DE2033" s="152"/>
      <c r="DF2033" s="160" t="s">
        <v>4922</v>
      </c>
      <c r="DG2033" s="160" t="s">
        <v>121</v>
      </c>
      <c r="DH2033" s="160" t="s">
        <v>125</v>
      </c>
      <c r="DI2033" s="160" t="s">
        <v>4923</v>
      </c>
      <c r="DJ2033" s="160" t="s">
        <v>4923</v>
      </c>
      <c r="DK2033" s="160" t="s">
        <v>588</v>
      </c>
      <c r="DL2033" s="160" t="s">
        <v>4897</v>
      </c>
      <c r="DM2033" s="160" t="s">
        <v>590</v>
      </c>
      <c r="DN2033" s="161" t="s">
        <v>591</v>
      </c>
      <c r="DP2033" s="130">
        <v>1</v>
      </c>
    </row>
    <row r="2034" spans="109:120" ht="15">
      <c r="DE2034" s="152"/>
      <c r="DF2034" s="160" t="s">
        <v>4924</v>
      </c>
      <c r="DG2034" s="160" t="s">
        <v>121</v>
      </c>
      <c r="DH2034" s="160" t="s">
        <v>125</v>
      </c>
      <c r="DI2034" s="160" t="s">
        <v>4925</v>
      </c>
      <c r="DJ2034" s="160" t="s">
        <v>4926</v>
      </c>
      <c r="DK2034" s="160" t="s">
        <v>588</v>
      </c>
      <c r="DL2034" s="160" t="s">
        <v>4897</v>
      </c>
      <c r="DM2034" s="160" t="s">
        <v>590</v>
      </c>
      <c r="DN2034" s="161" t="s">
        <v>591</v>
      </c>
      <c r="DP2034" s="130">
        <v>1</v>
      </c>
    </row>
    <row r="2035" spans="109:120" ht="15">
      <c r="DE2035" s="152"/>
      <c r="DF2035" s="160" t="s">
        <v>4927</v>
      </c>
      <c r="DG2035" s="160" t="s">
        <v>121</v>
      </c>
      <c r="DH2035" s="160" t="s">
        <v>1182</v>
      </c>
      <c r="DI2035" s="160" t="s">
        <v>1199</v>
      </c>
      <c r="DJ2035" s="160" t="s">
        <v>1199</v>
      </c>
      <c r="DK2035" s="160" t="s">
        <v>588</v>
      </c>
      <c r="DL2035" s="160" t="s">
        <v>3673</v>
      </c>
      <c r="DM2035" s="160" t="s">
        <v>590</v>
      </c>
      <c r="DN2035" s="161" t="s">
        <v>591</v>
      </c>
      <c r="DP2035" s="130">
        <v>1</v>
      </c>
    </row>
    <row r="2036" spans="109:120" ht="15">
      <c r="DE2036" s="152"/>
      <c r="DF2036" s="160" t="s">
        <v>4928</v>
      </c>
      <c r="DG2036" s="160" t="s">
        <v>121</v>
      </c>
      <c r="DH2036" s="160" t="s">
        <v>1182</v>
      </c>
      <c r="DI2036" s="160" t="s">
        <v>4929</v>
      </c>
      <c r="DJ2036" s="160" t="s">
        <v>4929</v>
      </c>
      <c r="DK2036" s="160" t="s">
        <v>588</v>
      </c>
      <c r="DL2036" s="160" t="s">
        <v>3673</v>
      </c>
      <c r="DM2036" s="160" t="s">
        <v>590</v>
      </c>
      <c r="DN2036" s="161" t="s">
        <v>591</v>
      </c>
      <c r="DP2036" s="130">
        <v>1</v>
      </c>
    </row>
    <row r="2037" spans="109:120" ht="15">
      <c r="DE2037" s="152"/>
      <c r="DF2037" s="160" t="s">
        <v>4930</v>
      </c>
      <c r="DG2037" s="160" t="s">
        <v>121</v>
      </c>
      <c r="DH2037" s="160" t="s">
        <v>1182</v>
      </c>
      <c r="DI2037" s="160" t="s">
        <v>4931</v>
      </c>
      <c r="DJ2037" s="160" t="s">
        <v>4931</v>
      </c>
      <c r="DK2037" s="160" t="s">
        <v>588</v>
      </c>
      <c r="DL2037" s="160" t="s">
        <v>3673</v>
      </c>
      <c r="DM2037" s="160" t="s">
        <v>590</v>
      </c>
      <c r="DN2037" s="161" t="s">
        <v>591</v>
      </c>
      <c r="DP2037" s="130">
        <v>1</v>
      </c>
    </row>
    <row r="2038" spans="109:120" ht="15">
      <c r="DE2038" s="152"/>
      <c r="DF2038" s="160" t="s">
        <v>4932</v>
      </c>
      <c r="DG2038" s="160" t="s">
        <v>121</v>
      </c>
      <c r="DH2038" s="160" t="s">
        <v>1182</v>
      </c>
      <c r="DI2038" s="160" t="s">
        <v>1684</v>
      </c>
      <c r="DJ2038" s="160" t="s">
        <v>1684</v>
      </c>
      <c r="DK2038" s="160" t="s">
        <v>588</v>
      </c>
      <c r="DL2038" s="160" t="s">
        <v>3673</v>
      </c>
      <c r="DM2038" s="160" t="s">
        <v>590</v>
      </c>
      <c r="DN2038" s="161" t="s">
        <v>591</v>
      </c>
      <c r="DP2038" s="130">
        <v>1</v>
      </c>
    </row>
    <row r="2039" spans="109:120" ht="15">
      <c r="DE2039" s="152"/>
      <c r="DF2039" s="160" t="s">
        <v>4933</v>
      </c>
      <c r="DG2039" s="160" t="s">
        <v>121</v>
      </c>
      <c r="DH2039" s="160" t="s">
        <v>1182</v>
      </c>
      <c r="DI2039" s="160" t="s">
        <v>1772</v>
      </c>
      <c r="DJ2039" s="160" t="s">
        <v>1773</v>
      </c>
      <c r="DK2039" s="160" t="s">
        <v>588</v>
      </c>
      <c r="DL2039" s="160" t="s">
        <v>3673</v>
      </c>
      <c r="DM2039" s="160" t="s">
        <v>590</v>
      </c>
      <c r="DN2039" s="161" t="s">
        <v>591</v>
      </c>
      <c r="DP2039" s="130">
        <v>1</v>
      </c>
    </row>
    <row r="2040" spans="109:120" ht="15">
      <c r="DE2040" s="152"/>
      <c r="DF2040" s="160" t="s">
        <v>4934</v>
      </c>
      <c r="DG2040" s="160" t="s">
        <v>121</v>
      </c>
      <c r="DH2040" s="160" t="s">
        <v>1182</v>
      </c>
      <c r="DI2040" s="160" t="s">
        <v>4935</v>
      </c>
      <c r="DJ2040" s="160" t="s">
        <v>4935</v>
      </c>
      <c r="DK2040" s="160" t="s">
        <v>588</v>
      </c>
      <c r="DL2040" s="160" t="s">
        <v>3673</v>
      </c>
      <c r="DM2040" s="160" t="s">
        <v>590</v>
      </c>
      <c r="DN2040" s="161" t="s">
        <v>591</v>
      </c>
      <c r="DP2040" s="130">
        <v>1</v>
      </c>
    </row>
    <row r="2041" spans="109:120" ht="15">
      <c r="DE2041" s="152"/>
      <c r="DF2041" s="160" t="s">
        <v>4936</v>
      </c>
      <c r="DG2041" s="160" t="s">
        <v>121</v>
      </c>
      <c r="DH2041" s="160" t="s">
        <v>1182</v>
      </c>
      <c r="DI2041" s="160" t="s">
        <v>4937</v>
      </c>
      <c r="DJ2041" s="160" t="s">
        <v>4937</v>
      </c>
      <c r="DK2041" s="160" t="s">
        <v>588</v>
      </c>
      <c r="DL2041" s="160" t="s">
        <v>3673</v>
      </c>
      <c r="DM2041" s="160" t="s">
        <v>590</v>
      </c>
      <c r="DN2041" s="161" t="s">
        <v>591</v>
      </c>
      <c r="DP2041" s="130">
        <v>1</v>
      </c>
    </row>
    <row r="2042" spans="109:120" ht="15">
      <c r="DE2042" s="152"/>
      <c r="DF2042" s="160" t="s">
        <v>4938</v>
      </c>
      <c r="DG2042" s="160" t="s">
        <v>121</v>
      </c>
      <c r="DH2042" s="160" t="s">
        <v>1182</v>
      </c>
      <c r="DI2042" s="160" t="s">
        <v>4939</v>
      </c>
      <c r="DJ2042" s="160" t="s">
        <v>4939</v>
      </c>
      <c r="DK2042" s="160" t="s">
        <v>588</v>
      </c>
      <c r="DL2042" s="160" t="s">
        <v>3673</v>
      </c>
      <c r="DM2042" s="160" t="s">
        <v>590</v>
      </c>
      <c r="DN2042" s="161" t="s">
        <v>591</v>
      </c>
      <c r="DP2042" s="130">
        <v>1</v>
      </c>
    </row>
    <row r="2043" spans="109:120" ht="15">
      <c r="DE2043" s="152"/>
      <c r="DF2043" s="160" t="s">
        <v>4940</v>
      </c>
      <c r="DG2043" s="160" t="s">
        <v>121</v>
      </c>
      <c r="DH2043" s="160" t="s">
        <v>1182</v>
      </c>
      <c r="DI2043" s="160" t="s">
        <v>1726</v>
      </c>
      <c r="DJ2043" s="160" t="s">
        <v>1726</v>
      </c>
      <c r="DK2043" s="160" t="s">
        <v>588</v>
      </c>
      <c r="DL2043" s="160" t="s">
        <v>3673</v>
      </c>
      <c r="DM2043" s="160" t="s">
        <v>590</v>
      </c>
      <c r="DN2043" s="161" t="s">
        <v>591</v>
      </c>
      <c r="DP2043" s="130">
        <v>1</v>
      </c>
    </row>
    <row r="2044" spans="109:120" ht="15">
      <c r="DE2044" s="152"/>
      <c r="DF2044" s="160" t="s">
        <v>4941</v>
      </c>
      <c r="DG2044" s="160" t="s">
        <v>121</v>
      </c>
      <c r="DH2044" s="160" t="s">
        <v>1182</v>
      </c>
      <c r="DI2044" s="160" t="s">
        <v>1730</v>
      </c>
      <c r="DJ2044" s="160" t="s">
        <v>1731</v>
      </c>
      <c r="DK2044" s="160" t="s">
        <v>588</v>
      </c>
      <c r="DL2044" s="160" t="s">
        <v>3673</v>
      </c>
      <c r="DM2044" s="160" t="s">
        <v>590</v>
      </c>
      <c r="DN2044" s="161" t="s">
        <v>591</v>
      </c>
      <c r="DP2044" s="130">
        <v>1</v>
      </c>
    </row>
    <row r="2045" spans="109:120" ht="15">
      <c r="DE2045" s="152"/>
      <c r="DF2045" s="160" t="s">
        <v>4942</v>
      </c>
      <c r="DG2045" s="160" t="s">
        <v>121</v>
      </c>
      <c r="DH2045" s="160" t="s">
        <v>1182</v>
      </c>
      <c r="DI2045" s="160" t="s">
        <v>1733</v>
      </c>
      <c r="DJ2045" s="160" t="s">
        <v>1733</v>
      </c>
      <c r="DK2045" s="160" t="s">
        <v>588</v>
      </c>
      <c r="DL2045" s="160" t="s">
        <v>3673</v>
      </c>
      <c r="DM2045" s="160" t="s">
        <v>590</v>
      </c>
      <c r="DN2045" s="161" t="s">
        <v>591</v>
      </c>
      <c r="DP2045" s="130">
        <v>1</v>
      </c>
    </row>
    <row r="2046" spans="109:120" ht="15">
      <c r="DE2046" s="152"/>
      <c r="DF2046" s="160" t="s">
        <v>4943</v>
      </c>
      <c r="DG2046" s="160" t="s">
        <v>121</v>
      </c>
      <c r="DH2046" s="160" t="s">
        <v>1182</v>
      </c>
      <c r="DI2046" s="160" t="s">
        <v>1240</v>
      </c>
      <c r="DJ2046" s="160" t="s">
        <v>1240</v>
      </c>
      <c r="DK2046" s="160" t="s">
        <v>588</v>
      </c>
      <c r="DL2046" s="160" t="s">
        <v>3673</v>
      </c>
      <c r="DM2046" s="160" t="s">
        <v>590</v>
      </c>
      <c r="DN2046" s="161" t="s">
        <v>591</v>
      </c>
      <c r="DP2046" s="130">
        <v>1</v>
      </c>
    </row>
    <row r="2047" spans="109:120" ht="15">
      <c r="DE2047" s="152"/>
      <c r="DF2047" s="160" t="s">
        <v>4944</v>
      </c>
      <c r="DG2047" s="160" t="s">
        <v>121</v>
      </c>
      <c r="DH2047" s="160" t="s">
        <v>1182</v>
      </c>
      <c r="DI2047" s="160" t="s">
        <v>1244</v>
      </c>
      <c r="DJ2047" s="160" t="s">
        <v>1244</v>
      </c>
      <c r="DK2047" s="160" t="s">
        <v>588</v>
      </c>
      <c r="DL2047" s="160" t="s">
        <v>3673</v>
      </c>
      <c r="DM2047" s="160" t="s">
        <v>590</v>
      </c>
      <c r="DN2047" s="161" t="s">
        <v>591</v>
      </c>
      <c r="DP2047" s="130">
        <v>1</v>
      </c>
    </row>
    <row r="2048" spans="109:120" ht="15">
      <c r="DE2048" s="152"/>
      <c r="DF2048" s="160" t="s">
        <v>4945</v>
      </c>
      <c r="DG2048" s="160" t="s">
        <v>121</v>
      </c>
      <c r="DH2048" s="160" t="s">
        <v>1182</v>
      </c>
      <c r="DI2048" s="160" t="s">
        <v>1786</v>
      </c>
      <c r="DJ2048" s="160" t="s">
        <v>1786</v>
      </c>
      <c r="DK2048" s="160" t="s">
        <v>588</v>
      </c>
      <c r="DL2048" s="160" t="s">
        <v>3673</v>
      </c>
      <c r="DM2048" s="160" t="s">
        <v>590</v>
      </c>
      <c r="DN2048" s="161" t="s">
        <v>591</v>
      </c>
      <c r="DP2048" s="130">
        <v>1</v>
      </c>
    </row>
    <row r="2049" spans="109:120" ht="15">
      <c r="DE2049" s="152"/>
      <c r="DF2049" s="160" t="s">
        <v>4946</v>
      </c>
      <c r="DG2049" s="160" t="s">
        <v>121</v>
      </c>
      <c r="DH2049" s="160" t="s">
        <v>1182</v>
      </c>
      <c r="DI2049" s="160" t="s">
        <v>4947</v>
      </c>
      <c r="DJ2049" s="160" t="s">
        <v>4947</v>
      </c>
      <c r="DK2049" s="160" t="s">
        <v>588</v>
      </c>
      <c r="DL2049" s="160" t="s">
        <v>3673</v>
      </c>
      <c r="DM2049" s="160" t="s">
        <v>590</v>
      </c>
      <c r="DN2049" s="161" t="s">
        <v>591</v>
      </c>
      <c r="DP2049" s="130">
        <v>1</v>
      </c>
    </row>
    <row r="2050" spans="109:120" ht="15">
      <c r="DE2050" s="152"/>
      <c r="DF2050" s="160" t="s">
        <v>4948</v>
      </c>
      <c r="DG2050" s="160" t="s">
        <v>655</v>
      </c>
      <c r="DH2050" s="160" t="s">
        <v>125</v>
      </c>
      <c r="DI2050" s="160" t="s">
        <v>4949</v>
      </c>
      <c r="DJ2050" s="160" t="s">
        <v>4949</v>
      </c>
      <c r="DK2050" s="160" t="s">
        <v>588</v>
      </c>
      <c r="DL2050" s="160" t="s">
        <v>4950</v>
      </c>
      <c r="DM2050" s="160" t="s">
        <v>590</v>
      </c>
      <c r="DN2050" s="161" t="s">
        <v>591</v>
      </c>
      <c r="DP2050" s="130">
        <v>1</v>
      </c>
    </row>
    <row r="2051" spans="109:120" ht="15">
      <c r="DE2051" s="152"/>
      <c r="DF2051" s="160" t="s">
        <v>4951</v>
      </c>
      <c r="DG2051" s="160" t="s">
        <v>655</v>
      </c>
      <c r="DH2051" s="160" t="s">
        <v>125</v>
      </c>
      <c r="DI2051" s="160" t="s">
        <v>303</v>
      </c>
      <c r="DJ2051" s="160" t="s">
        <v>303</v>
      </c>
      <c r="DK2051" s="160" t="s">
        <v>588</v>
      </c>
      <c r="DL2051" s="160" t="s">
        <v>4950</v>
      </c>
      <c r="DM2051" s="160" t="s">
        <v>590</v>
      </c>
      <c r="DN2051" s="161" t="s">
        <v>591</v>
      </c>
      <c r="DP2051" s="130">
        <v>1</v>
      </c>
    </row>
    <row r="2052" spans="109:120" ht="15">
      <c r="DE2052" s="152"/>
      <c r="DF2052" s="160" t="s">
        <v>4952</v>
      </c>
      <c r="DG2052" s="160" t="s">
        <v>655</v>
      </c>
      <c r="DH2052" s="160" t="s">
        <v>125</v>
      </c>
      <c r="DI2052" s="160" t="s">
        <v>4953</v>
      </c>
      <c r="DJ2052" s="160" t="s">
        <v>304</v>
      </c>
      <c r="DK2052" s="160" t="s">
        <v>588</v>
      </c>
      <c r="DL2052" s="160" t="s">
        <v>4950</v>
      </c>
      <c r="DM2052" s="160" t="s">
        <v>590</v>
      </c>
      <c r="DN2052" s="161" t="s">
        <v>591</v>
      </c>
      <c r="DP2052" s="130">
        <v>1</v>
      </c>
    </row>
    <row r="2053" spans="109:120" ht="15">
      <c r="DE2053" s="152"/>
      <c r="DF2053" s="160" t="s">
        <v>4954</v>
      </c>
      <c r="DG2053" s="160" t="s">
        <v>655</v>
      </c>
      <c r="DH2053" s="160" t="s">
        <v>125</v>
      </c>
      <c r="DI2053" s="160" t="s">
        <v>4955</v>
      </c>
      <c r="DJ2053" s="160" t="s">
        <v>305</v>
      </c>
      <c r="DK2053" s="160" t="s">
        <v>588</v>
      </c>
      <c r="DL2053" s="160" t="s">
        <v>4950</v>
      </c>
      <c r="DM2053" s="160" t="s">
        <v>590</v>
      </c>
      <c r="DN2053" s="161" t="s">
        <v>591</v>
      </c>
      <c r="DP2053" s="130">
        <v>1</v>
      </c>
    </row>
    <row r="2054" spans="109:120" ht="15">
      <c r="DE2054" s="152"/>
      <c r="DF2054" s="160" t="s">
        <v>4956</v>
      </c>
      <c r="DG2054" s="160" t="s">
        <v>655</v>
      </c>
      <c r="DH2054" s="160" t="s">
        <v>125</v>
      </c>
      <c r="DI2054" s="160" t="s">
        <v>528</v>
      </c>
      <c r="DJ2054" s="160" t="s">
        <v>528</v>
      </c>
      <c r="DK2054" s="160" t="s">
        <v>588</v>
      </c>
      <c r="DL2054" s="160" t="s">
        <v>4950</v>
      </c>
      <c r="DM2054" s="160" t="s">
        <v>590</v>
      </c>
      <c r="DN2054" s="161" t="s">
        <v>591</v>
      </c>
      <c r="DP2054" s="130">
        <v>1</v>
      </c>
    </row>
    <row r="2055" spans="109:120" ht="15">
      <c r="DE2055" s="152"/>
      <c r="DF2055" s="160" t="s">
        <v>4957</v>
      </c>
      <c r="DG2055" s="160" t="s">
        <v>655</v>
      </c>
      <c r="DH2055" s="160" t="s">
        <v>125</v>
      </c>
      <c r="DI2055" s="160" t="s">
        <v>4958</v>
      </c>
      <c r="DJ2055" s="160" t="s">
        <v>4958</v>
      </c>
      <c r="DK2055" s="160" t="s">
        <v>588</v>
      </c>
      <c r="DL2055" s="160" t="s">
        <v>4950</v>
      </c>
      <c r="DM2055" s="160" t="s">
        <v>590</v>
      </c>
      <c r="DN2055" s="161" t="s">
        <v>591</v>
      </c>
      <c r="DP2055" s="130">
        <v>1</v>
      </c>
    </row>
    <row r="2056" spans="109:120" ht="15">
      <c r="DE2056" s="152"/>
      <c r="DF2056" s="160" t="s">
        <v>4959</v>
      </c>
      <c r="DG2056" s="160" t="s">
        <v>655</v>
      </c>
      <c r="DH2056" s="160" t="s">
        <v>125</v>
      </c>
      <c r="DI2056" s="160" t="s">
        <v>4960</v>
      </c>
      <c r="DJ2056" s="160" t="s">
        <v>306</v>
      </c>
      <c r="DK2056" s="160" t="s">
        <v>588</v>
      </c>
      <c r="DL2056" s="160" t="s">
        <v>4950</v>
      </c>
      <c r="DM2056" s="160" t="s">
        <v>590</v>
      </c>
      <c r="DN2056" s="161" t="s">
        <v>591</v>
      </c>
      <c r="DP2056" s="130">
        <v>1</v>
      </c>
    </row>
    <row r="2057" spans="109:120" ht="15">
      <c r="DE2057" s="152"/>
      <c r="DF2057" s="160" t="s">
        <v>4961</v>
      </c>
      <c r="DG2057" s="160" t="s">
        <v>655</v>
      </c>
      <c r="DH2057" s="160" t="s">
        <v>125</v>
      </c>
      <c r="DI2057" s="160" t="s">
        <v>4962</v>
      </c>
      <c r="DJ2057" s="160" t="s">
        <v>4963</v>
      </c>
      <c r="DK2057" s="160" t="s">
        <v>588</v>
      </c>
      <c r="DL2057" s="160" t="s">
        <v>4950</v>
      </c>
      <c r="DM2057" s="160" t="s">
        <v>590</v>
      </c>
      <c r="DN2057" s="161" t="s">
        <v>591</v>
      </c>
      <c r="DP2057" s="130">
        <v>1</v>
      </c>
    </row>
    <row r="2058" spans="109:120" ht="15">
      <c r="DE2058" s="152"/>
      <c r="DF2058" s="160" t="s">
        <v>4964</v>
      </c>
      <c r="DG2058" s="160" t="s">
        <v>655</v>
      </c>
      <c r="DH2058" s="160" t="s">
        <v>125</v>
      </c>
      <c r="DI2058" s="160" t="s">
        <v>4965</v>
      </c>
      <c r="DJ2058" s="160" t="s">
        <v>307</v>
      </c>
      <c r="DK2058" s="160" t="s">
        <v>588</v>
      </c>
      <c r="DL2058" s="160" t="s">
        <v>4950</v>
      </c>
      <c r="DM2058" s="160" t="s">
        <v>590</v>
      </c>
      <c r="DN2058" s="161" t="s">
        <v>591</v>
      </c>
      <c r="DP2058" s="130">
        <v>1</v>
      </c>
    </row>
    <row r="2059" spans="109:120" ht="15">
      <c r="DE2059" s="152"/>
      <c r="DF2059" s="160" t="s">
        <v>4966</v>
      </c>
      <c r="DG2059" s="160" t="s">
        <v>655</v>
      </c>
      <c r="DH2059" s="160" t="s">
        <v>125</v>
      </c>
      <c r="DI2059" s="160" t="s">
        <v>4967</v>
      </c>
      <c r="DJ2059" s="160" t="s">
        <v>308</v>
      </c>
      <c r="DK2059" s="160" t="s">
        <v>588</v>
      </c>
      <c r="DL2059" s="160" t="s">
        <v>4950</v>
      </c>
      <c r="DM2059" s="160" t="s">
        <v>590</v>
      </c>
      <c r="DN2059" s="161" t="s">
        <v>591</v>
      </c>
      <c r="DP2059" s="130">
        <v>1</v>
      </c>
    </row>
    <row r="2060" spans="109:120" ht="15">
      <c r="DE2060" s="152"/>
      <c r="DF2060" s="160" t="s">
        <v>4968</v>
      </c>
      <c r="DG2060" s="160" t="s">
        <v>655</v>
      </c>
      <c r="DH2060" s="160" t="s">
        <v>125</v>
      </c>
      <c r="DI2060" s="160" t="s">
        <v>4969</v>
      </c>
      <c r="DJ2060" s="160" t="s">
        <v>309</v>
      </c>
      <c r="DK2060" s="160" t="s">
        <v>588</v>
      </c>
      <c r="DL2060" s="160" t="s">
        <v>4950</v>
      </c>
      <c r="DM2060" s="160" t="s">
        <v>590</v>
      </c>
      <c r="DN2060" s="161" t="s">
        <v>591</v>
      </c>
      <c r="DP2060" s="130">
        <v>1</v>
      </c>
    </row>
    <row r="2061" spans="109:120" ht="15">
      <c r="DE2061" s="152"/>
      <c r="DF2061" s="160" t="s">
        <v>4970</v>
      </c>
      <c r="DG2061" s="160" t="s">
        <v>655</v>
      </c>
      <c r="DH2061" s="160" t="s">
        <v>125</v>
      </c>
      <c r="DI2061" s="160" t="s">
        <v>4971</v>
      </c>
      <c r="DJ2061" s="160" t="s">
        <v>4972</v>
      </c>
      <c r="DK2061" s="160" t="s">
        <v>588</v>
      </c>
      <c r="DL2061" s="160" t="s">
        <v>4950</v>
      </c>
      <c r="DM2061" s="160" t="s">
        <v>590</v>
      </c>
      <c r="DN2061" s="161" t="s">
        <v>591</v>
      </c>
      <c r="DP2061" s="130">
        <v>1</v>
      </c>
    </row>
    <row r="2062" spans="109:120" ht="15">
      <c r="DE2062" s="152"/>
      <c r="DF2062" s="160" t="s">
        <v>4973</v>
      </c>
      <c r="DG2062" s="160" t="s">
        <v>655</v>
      </c>
      <c r="DH2062" s="160" t="s">
        <v>125</v>
      </c>
      <c r="DI2062" s="160" t="s">
        <v>4974</v>
      </c>
      <c r="DJ2062" s="160" t="s">
        <v>4975</v>
      </c>
      <c r="DK2062" s="160" t="s">
        <v>588</v>
      </c>
      <c r="DL2062" s="160" t="s">
        <v>4950</v>
      </c>
      <c r="DM2062" s="160" t="s">
        <v>590</v>
      </c>
      <c r="DN2062" s="161" t="s">
        <v>591</v>
      </c>
      <c r="DP2062" s="130">
        <v>1</v>
      </c>
    </row>
    <row r="2063" spans="109:120" ht="15">
      <c r="DE2063" s="152"/>
      <c r="DF2063" s="160" t="s">
        <v>4976</v>
      </c>
      <c r="DG2063" s="160" t="s">
        <v>655</v>
      </c>
      <c r="DH2063" s="160" t="s">
        <v>125</v>
      </c>
      <c r="DI2063" s="160" t="s">
        <v>4977</v>
      </c>
      <c r="DJ2063" s="160" t="s">
        <v>4977</v>
      </c>
      <c r="DK2063" s="160" t="s">
        <v>666</v>
      </c>
      <c r="DL2063" s="160" t="s">
        <v>667</v>
      </c>
      <c r="DM2063" s="160" t="s">
        <v>590</v>
      </c>
      <c r="DN2063" s="161" t="s">
        <v>668</v>
      </c>
      <c r="DP2063" s="130">
        <v>1</v>
      </c>
    </row>
    <row r="2064" spans="109:120" ht="15">
      <c r="DE2064" s="152"/>
      <c r="DF2064" s="160" t="s">
        <v>4978</v>
      </c>
      <c r="DG2064" s="160" t="s">
        <v>655</v>
      </c>
      <c r="DH2064" s="160" t="s">
        <v>125</v>
      </c>
      <c r="DI2064" s="160" t="s">
        <v>4979</v>
      </c>
      <c r="DJ2064" s="160" t="s">
        <v>4979</v>
      </c>
      <c r="DK2064" s="160" t="s">
        <v>666</v>
      </c>
      <c r="DL2064" s="160" t="s">
        <v>667</v>
      </c>
      <c r="DM2064" s="160" t="s">
        <v>590</v>
      </c>
      <c r="DN2064" s="161" t="s">
        <v>668</v>
      </c>
      <c r="DP2064" s="130">
        <v>1</v>
      </c>
    </row>
    <row r="2065" spans="109:120" ht="15">
      <c r="DE2065" s="152"/>
      <c r="DF2065" s="160" t="s">
        <v>4980</v>
      </c>
      <c r="DG2065" s="160" t="s">
        <v>655</v>
      </c>
      <c r="DH2065" s="160" t="s">
        <v>125</v>
      </c>
      <c r="DI2065" s="160" t="s">
        <v>4981</v>
      </c>
      <c r="DJ2065" s="160" t="s">
        <v>4981</v>
      </c>
      <c r="DK2065" s="160" t="s">
        <v>666</v>
      </c>
      <c r="DL2065" s="160" t="s">
        <v>667</v>
      </c>
      <c r="DM2065" s="160" t="s">
        <v>590</v>
      </c>
      <c r="DN2065" s="161" t="s">
        <v>668</v>
      </c>
      <c r="DP2065" s="130">
        <v>1</v>
      </c>
    </row>
    <row r="2066" spans="109:120" ht="15">
      <c r="DE2066" s="152"/>
      <c r="DF2066" s="160" t="s">
        <v>4982</v>
      </c>
      <c r="DG2066" s="160" t="s">
        <v>655</v>
      </c>
      <c r="DH2066" s="160" t="s">
        <v>125</v>
      </c>
      <c r="DI2066" s="160" t="s">
        <v>310</v>
      </c>
      <c r="DJ2066" s="160" t="s">
        <v>310</v>
      </c>
      <c r="DK2066" s="160" t="s">
        <v>588</v>
      </c>
      <c r="DL2066" s="160" t="s">
        <v>4950</v>
      </c>
      <c r="DM2066" s="160" t="s">
        <v>590</v>
      </c>
      <c r="DN2066" s="161" t="s">
        <v>591</v>
      </c>
      <c r="DP2066" s="130">
        <v>1</v>
      </c>
    </row>
    <row r="2067" spans="109:120" ht="15">
      <c r="DE2067" s="152"/>
      <c r="DF2067" s="160" t="s">
        <v>4983</v>
      </c>
      <c r="DG2067" s="160" t="s">
        <v>655</v>
      </c>
      <c r="DH2067" s="160" t="s">
        <v>125</v>
      </c>
      <c r="DI2067" s="160" t="s">
        <v>4984</v>
      </c>
      <c r="DJ2067" s="160" t="s">
        <v>4984</v>
      </c>
      <c r="DK2067" s="160" t="s">
        <v>588</v>
      </c>
      <c r="DL2067" s="160" t="s">
        <v>4950</v>
      </c>
      <c r="DM2067" s="160" t="s">
        <v>590</v>
      </c>
      <c r="DN2067" s="161" t="s">
        <v>591</v>
      </c>
      <c r="DP2067" s="130">
        <v>1</v>
      </c>
    </row>
    <row r="2068" spans="109:120" ht="15">
      <c r="DE2068" s="152"/>
      <c r="DF2068" s="160" t="s">
        <v>4985</v>
      </c>
      <c r="DG2068" s="160" t="s">
        <v>655</v>
      </c>
      <c r="DH2068" s="160" t="s">
        <v>125</v>
      </c>
      <c r="DI2068" s="160" t="s">
        <v>311</v>
      </c>
      <c r="DJ2068" s="160" t="s">
        <v>311</v>
      </c>
      <c r="DK2068" s="160" t="s">
        <v>588</v>
      </c>
      <c r="DL2068" s="160" t="s">
        <v>4950</v>
      </c>
      <c r="DM2068" s="160" t="s">
        <v>590</v>
      </c>
      <c r="DN2068" s="161" t="s">
        <v>591</v>
      </c>
      <c r="DP2068" s="130">
        <v>1</v>
      </c>
    </row>
    <row r="2069" spans="109:120" ht="15">
      <c r="DE2069" s="152"/>
      <c r="DF2069" s="160" t="s">
        <v>4986</v>
      </c>
      <c r="DG2069" s="160" t="s">
        <v>655</v>
      </c>
      <c r="DH2069" s="160" t="s">
        <v>1182</v>
      </c>
      <c r="DI2069" s="160" t="s">
        <v>4987</v>
      </c>
      <c r="DJ2069" s="160" t="s">
        <v>4988</v>
      </c>
      <c r="DK2069" s="160" t="s">
        <v>588</v>
      </c>
      <c r="DL2069" s="160" t="s">
        <v>3673</v>
      </c>
      <c r="DM2069" s="160" t="s">
        <v>590</v>
      </c>
      <c r="DN2069" s="161" t="s">
        <v>591</v>
      </c>
      <c r="DP2069" s="130">
        <v>1</v>
      </c>
    </row>
    <row r="2070" spans="109:120" ht="15">
      <c r="DE2070" s="152"/>
      <c r="DF2070" s="160" t="s">
        <v>4989</v>
      </c>
      <c r="DG2070" s="160" t="s">
        <v>655</v>
      </c>
      <c r="DH2070" s="160" t="s">
        <v>1182</v>
      </c>
      <c r="DI2070" s="160" t="s">
        <v>4990</v>
      </c>
      <c r="DJ2070" s="160" t="s">
        <v>4990</v>
      </c>
      <c r="DK2070" s="160" t="s">
        <v>588</v>
      </c>
      <c r="DL2070" s="160" t="s">
        <v>3673</v>
      </c>
      <c r="DM2070" s="160" t="s">
        <v>590</v>
      </c>
      <c r="DN2070" s="161" t="s">
        <v>591</v>
      </c>
      <c r="DP2070" s="130">
        <v>1</v>
      </c>
    </row>
    <row r="2071" spans="109:120" ht="15">
      <c r="DE2071" s="152"/>
      <c r="DF2071" s="160" t="s">
        <v>4991</v>
      </c>
      <c r="DG2071" s="160" t="s">
        <v>655</v>
      </c>
      <c r="DH2071" s="160" t="s">
        <v>1182</v>
      </c>
      <c r="DI2071" s="160" t="s">
        <v>4992</v>
      </c>
      <c r="DJ2071" s="160" t="s">
        <v>4992</v>
      </c>
      <c r="DK2071" s="160" t="s">
        <v>588</v>
      </c>
      <c r="DL2071" s="160" t="s">
        <v>3673</v>
      </c>
      <c r="DM2071" s="160" t="s">
        <v>590</v>
      </c>
      <c r="DN2071" s="161" t="s">
        <v>591</v>
      </c>
      <c r="DP2071" s="130">
        <v>1</v>
      </c>
    </row>
    <row r="2072" spans="109:120" ht="15">
      <c r="DE2072" s="152"/>
      <c r="DF2072" s="160" t="s">
        <v>4993</v>
      </c>
      <c r="DG2072" s="160" t="s">
        <v>655</v>
      </c>
      <c r="DH2072" s="160" t="s">
        <v>1182</v>
      </c>
      <c r="DI2072" s="160" t="s">
        <v>717</v>
      </c>
      <c r="DJ2072" s="160" t="s">
        <v>717</v>
      </c>
      <c r="DK2072" s="160" t="s">
        <v>588</v>
      </c>
      <c r="DL2072" s="160" t="s">
        <v>3673</v>
      </c>
      <c r="DM2072" s="160" t="s">
        <v>590</v>
      </c>
      <c r="DN2072" s="161" t="s">
        <v>591</v>
      </c>
      <c r="DP2072" s="130">
        <v>1</v>
      </c>
    </row>
    <row r="2073" spans="109:120" ht="15">
      <c r="DE2073" s="152"/>
      <c r="DF2073" s="160" t="s">
        <v>4994</v>
      </c>
      <c r="DG2073" s="160" t="s">
        <v>655</v>
      </c>
      <c r="DH2073" s="160" t="s">
        <v>1182</v>
      </c>
      <c r="DI2073" s="160" t="s">
        <v>4995</v>
      </c>
      <c r="DJ2073" s="160" t="s">
        <v>4995</v>
      </c>
      <c r="DK2073" s="160" t="s">
        <v>588</v>
      </c>
      <c r="DL2073" s="160" t="s">
        <v>3673</v>
      </c>
      <c r="DM2073" s="160" t="s">
        <v>590</v>
      </c>
      <c r="DN2073" s="161" t="s">
        <v>591</v>
      </c>
      <c r="DP2073" s="130">
        <v>1</v>
      </c>
    </row>
    <row r="2074" spans="109:120" ht="15">
      <c r="DE2074" s="152"/>
      <c r="DF2074" s="160" t="s">
        <v>4996</v>
      </c>
      <c r="DG2074" s="160" t="s">
        <v>655</v>
      </c>
      <c r="DH2074" s="160" t="s">
        <v>1182</v>
      </c>
      <c r="DI2074" s="160" t="s">
        <v>4820</v>
      </c>
      <c r="DJ2074" s="160" t="s">
        <v>4820</v>
      </c>
      <c r="DK2074" s="160" t="s">
        <v>588</v>
      </c>
      <c r="DL2074" s="160" t="s">
        <v>3673</v>
      </c>
      <c r="DM2074" s="160" t="s">
        <v>590</v>
      </c>
      <c r="DN2074" s="161" t="s">
        <v>591</v>
      </c>
      <c r="DP2074" s="130">
        <v>1</v>
      </c>
    </row>
    <row r="2075" spans="109:120" ht="15">
      <c r="DE2075" s="152"/>
      <c r="DF2075" s="160" t="s">
        <v>4997</v>
      </c>
      <c r="DG2075" s="160" t="s">
        <v>655</v>
      </c>
      <c r="DH2075" s="160" t="s">
        <v>1182</v>
      </c>
      <c r="DI2075" s="160" t="s">
        <v>4998</v>
      </c>
      <c r="DJ2075" s="160" t="s">
        <v>4998</v>
      </c>
      <c r="DK2075" s="160" t="s">
        <v>588</v>
      </c>
      <c r="DL2075" s="160" t="s">
        <v>3673</v>
      </c>
      <c r="DM2075" s="160" t="s">
        <v>590</v>
      </c>
      <c r="DN2075" s="161" t="s">
        <v>591</v>
      </c>
      <c r="DP2075" s="130">
        <v>1</v>
      </c>
    </row>
    <row r="2076" spans="109:120" ht="15">
      <c r="DE2076" s="152"/>
      <c r="DF2076" s="160" t="s">
        <v>4999</v>
      </c>
      <c r="DG2076" s="160" t="s">
        <v>655</v>
      </c>
      <c r="DH2076" s="160" t="s">
        <v>1182</v>
      </c>
      <c r="DI2076" s="160" t="s">
        <v>5000</v>
      </c>
      <c r="DJ2076" s="160" t="s">
        <v>5000</v>
      </c>
      <c r="DK2076" s="160" t="s">
        <v>588</v>
      </c>
      <c r="DL2076" s="160" t="s">
        <v>3673</v>
      </c>
      <c r="DM2076" s="160" t="s">
        <v>590</v>
      </c>
      <c r="DN2076" s="161" t="s">
        <v>591</v>
      </c>
      <c r="DP2076" s="130">
        <v>1</v>
      </c>
    </row>
    <row r="2077" spans="109:120" ht="15">
      <c r="DE2077" s="152"/>
      <c r="DF2077" s="160" t="s">
        <v>5001</v>
      </c>
      <c r="DG2077" s="160" t="s">
        <v>655</v>
      </c>
      <c r="DH2077" s="160" t="s">
        <v>1182</v>
      </c>
      <c r="DI2077" s="160" t="s">
        <v>4826</v>
      </c>
      <c r="DJ2077" s="160" t="s">
        <v>4826</v>
      </c>
      <c r="DK2077" s="160" t="s">
        <v>588</v>
      </c>
      <c r="DL2077" s="160" t="s">
        <v>3673</v>
      </c>
      <c r="DM2077" s="160" t="s">
        <v>590</v>
      </c>
      <c r="DN2077" s="161" t="s">
        <v>591</v>
      </c>
      <c r="DP2077" s="130">
        <v>1</v>
      </c>
    </row>
    <row r="2078" spans="109:120" ht="15">
      <c r="DE2078" s="152"/>
      <c r="DF2078" s="160" t="s">
        <v>5002</v>
      </c>
      <c r="DG2078" s="160" t="s">
        <v>655</v>
      </c>
      <c r="DH2078" s="160" t="s">
        <v>1182</v>
      </c>
      <c r="DI2078" s="160" t="s">
        <v>5003</v>
      </c>
      <c r="DJ2078" s="160" t="s">
        <v>5003</v>
      </c>
      <c r="DK2078" s="160" t="s">
        <v>588</v>
      </c>
      <c r="DL2078" s="160" t="s">
        <v>3673</v>
      </c>
      <c r="DM2078" s="160" t="s">
        <v>590</v>
      </c>
      <c r="DN2078" s="161" t="s">
        <v>591</v>
      </c>
      <c r="DP2078" s="130">
        <v>1</v>
      </c>
    </row>
    <row r="2079" spans="109:120" ht="15">
      <c r="DE2079" s="152"/>
      <c r="DF2079" s="160" t="s">
        <v>5004</v>
      </c>
      <c r="DG2079" s="160" t="s">
        <v>655</v>
      </c>
      <c r="DH2079" s="160" t="s">
        <v>1182</v>
      </c>
      <c r="DI2079" s="160" t="s">
        <v>5005</v>
      </c>
      <c r="DJ2079" s="160" t="s">
        <v>5005</v>
      </c>
      <c r="DK2079" s="160" t="s">
        <v>588</v>
      </c>
      <c r="DL2079" s="160" t="s">
        <v>3673</v>
      </c>
      <c r="DM2079" s="160" t="s">
        <v>590</v>
      </c>
      <c r="DN2079" s="161" t="s">
        <v>591</v>
      </c>
      <c r="DP2079" s="130">
        <v>1</v>
      </c>
    </row>
    <row r="2080" spans="109:120" ht="15">
      <c r="DE2080" s="152"/>
      <c r="DF2080" s="160" t="s">
        <v>5006</v>
      </c>
      <c r="DG2080" s="160" t="s">
        <v>655</v>
      </c>
      <c r="DH2080" s="160" t="s">
        <v>1182</v>
      </c>
      <c r="DI2080" s="160" t="s">
        <v>5007</v>
      </c>
      <c r="DJ2080" s="160" t="s">
        <v>5007</v>
      </c>
      <c r="DK2080" s="160" t="s">
        <v>588</v>
      </c>
      <c r="DL2080" s="160" t="s">
        <v>3673</v>
      </c>
      <c r="DM2080" s="160" t="s">
        <v>590</v>
      </c>
      <c r="DN2080" s="161" t="s">
        <v>591</v>
      </c>
      <c r="DP2080" s="130">
        <v>1</v>
      </c>
    </row>
    <row r="2081" spans="109:120" ht="15">
      <c r="DE2081" s="152"/>
      <c r="DF2081" s="160" t="s">
        <v>5008</v>
      </c>
      <c r="DG2081" s="160" t="s">
        <v>655</v>
      </c>
      <c r="DH2081" s="160" t="s">
        <v>1182</v>
      </c>
      <c r="DI2081" s="160" t="s">
        <v>879</v>
      </c>
      <c r="DJ2081" s="160" t="s">
        <v>879</v>
      </c>
      <c r="DK2081" s="160" t="s">
        <v>588</v>
      </c>
      <c r="DL2081" s="160" t="s">
        <v>3673</v>
      </c>
      <c r="DM2081" s="160" t="s">
        <v>590</v>
      </c>
      <c r="DN2081" s="161" t="s">
        <v>591</v>
      </c>
      <c r="DP2081" s="130">
        <v>1</v>
      </c>
    </row>
    <row r="2082" spans="109:120" ht="15">
      <c r="DE2082" s="152"/>
      <c r="DF2082" s="160" t="s">
        <v>5009</v>
      </c>
      <c r="DG2082" s="160" t="s">
        <v>655</v>
      </c>
      <c r="DH2082" s="160" t="s">
        <v>1182</v>
      </c>
      <c r="DI2082" s="160" t="s">
        <v>5010</v>
      </c>
      <c r="DJ2082" s="160" t="s">
        <v>5010</v>
      </c>
      <c r="DK2082" s="160" t="s">
        <v>588</v>
      </c>
      <c r="DL2082" s="160" t="s">
        <v>3673</v>
      </c>
      <c r="DM2082" s="160" t="s">
        <v>590</v>
      </c>
      <c r="DN2082" s="161" t="s">
        <v>591</v>
      </c>
      <c r="DP2082" s="130">
        <v>1</v>
      </c>
    </row>
    <row r="2083" spans="109:120" ht="15">
      <c r="DE2083" s="152"/>
      <c r="DF2083" s="160" t="s">
        <v>5011</v>
      </c>
      <c r="DG2083" s="160" t="s">
        <v>655</v>
      </c>
      <c r="DH2083" s="160" t="s">
        <v>1182</v>
      </c>
      <c r="DI2083" s="160" t="s">
        <v>5012</v>
      </c>
      <c r="DJ2083" s="160" t="s">
        <v>5012</v>
      </c>
      <c r="DK2083" s="160" t="s">
        <v>588</v>
      </c>
      <c r="DL2083" s="160" t="s">
        <v>3673</v>
      </c>
      <c r="DM2083" s="160" t="s">
        <v>590</v>
      </c>
      <c r="DN2083" s="161" t="s">
        <v>591</v>
      </c>
      <c r="DP2083" s="130">
        <v>1</v>
      </c>
    </row>
    <row r="2084" spans="109:120" ht="15">
      <c r="DE2084" s="152"/>
      <c r="DF2084" s="160" t="s">
        <v>5013</v>
      </c>
      <c r="DG2084" s="160" t="s">
        <v>124</v>
      </c>
      <c r="DH2084" s="160" t="s">
        <v>125</v>
      </c>
      <c r="DI2084" s="160" t="s">
        <v>5014</v>
      </c>
      <c r="DJ2084" s="160" t="s">
        <v>5014</v>
      </c>
      <c r="DK2084" s="160" t="s">
        <v>588</v>
      </c>
      <c r="DL2084" s="160" t="s">
        <v>5015</v>
      </c>
      <c r="DM2084" s="160" t="s">
        <v>590</v>
      </c>
      <c r="DN2084" s="161" t="s">
        <v>591</v>
      </c>
      <c r="DP2084" s="130">
        <v>1</v>
      </c>
    </row>
    <row r="2085" spans="109:120" ht="15">
      <c r="DE2085" s="152"/>
      <c r="DF2085" s="160" t="s">
        <v>5016</v>
      </c>
      <c r="DG2085" s="160" t="s">
        <v>124</v>
      </c>
      <c r="DH2085" s="160" t="s">
        <v>125</v>
      </c>
      <c r="DI2085" s="160" t="s">
        <v>327</v>
      </c>
      <c r="DJ2085" s="160" t="s">
        <v>327</v>
      </c>
      <c r="DK2085" s="160" t="s">
        <v>588</v>
      </c>
      <c r="DL2085" s="160" t="s">
        <v>5015</v>
      </c>
      <c r="DM2085" s="160" t="s">
        <v>590</v>
      </c>
      <c r="DN2085" s="161" t="s">
        <v>591</v>
      </c>
      <c r="DP2085" s="130">
        <v>1</v>
      </c>
    </row>
    <row r="2086" spans="109:120" ht="15">
      <c r="DE2086" s="152"/>
      <c r="DF2086" s="160" t="s">
        <v>5017</v>
      </c>
      <c r="DG2086" s="160" t="s">
        <v>124</v>
      </c>
      <c r="DH2086" s="160" t="s">
        <v>125</v>
      </c>
      <c r="DI2086" s="160" t="s">
        <v>328</v>
      </c>
      <c r="DJ2086" s="160" t="s">
        <v>328</v>
      </c>
      <c r="DK2086" s="160" t="s">
        <v>588</v>
      </c>
      <c r="DL2086" s="160" t="s">
        <v>5015</v>
      </c>
      <c r="DM2086" s="160" t="s">
        <v>590</v>
      </c>
      <c r="DN2086" s="161" t="s">
        <v>591</v>
      </c>
      <c r="DP2086" s="130">
        <v>1</v>
      </c>
    </row>
    <row r="2087" spans="109:120" ht="15">
      <c r="DE2087" s="152"/>
      <c r="DF2087" s="160" t="s">
        <v>5018</v>
      </c>
      <c r="DG2087" s="160" t="s">
        <v>124</v>
      </c>
      <c r="DH2087" s="160" t="s">
        <v>125</v>
      </c>
      <c r="DI2087" s="160" t="s">
        <v>329</v>
      </c>
      <c r="DJ2087" s="160" t="s">
        <v>329</v>
      </c>
      <c r="DK2087" s="160" t="s">
        <v>588</v>
      </c>
      <c r="DL2087" s="160" t="s">
        <v>5015</v>
      </c>
      <c r="DM2087" s="160" t="s">
        <v>590</v>
      </c>
      <c r="DN2087" s="161" t="s">
        <v>591</v>
      </c>
      <c r="DP2087" s="130">
        <v>1</v>
      </c>
    </row>
    <row r="2088" spans="109:120" ht="15">
      <c r="DE2088" s="152"/>
      <c r="DF2088" s="160" t="s">
        <v>5019</v>
      </c>
      <c r="DG2088" s="160" t="s">
        <v>124</v>
      </c>
      <c r="DH2088" s="160" t="s">
        <v>125</v>
      </c>
      <c r="DI2088" s="160" t="s">
        <v>5020</v>
      </c>
      <c r="DJ2088" s="160" t="s">
        <v>531</v>
      </c>
      <c r="DK2088" s="160" t="s">
        <v>588</v>
      </c>
      <c r="DL2088" s="160" t="s">
        <v>5015</v>
      </c>
      <c r="DM2088" s="160" t="s">
        <v>590</v>
      </c>
      <c r="DN2088" s="161" t="s">
        <v>591</v>
      </c>
      <c r="DP2088" s="130">
        <v>1</v>
      </c>
    </row>
    <row r="2089" spans="109:120" ht="15">
      <c r="DE2089" s="152"/>
      <c r="DF2089" s="160" t="s">
        <v>5021</v>
      </c>
      <c r="DG2089" s="160" t="s">
        <v>124</v>
      </c>
      <c r="DH2089" s="160" t="s">
        <v>125</v>
      </c>
      <c r="DI2089" s="160" t="s">
        <v>5022</v>
      </c>
      <c r="DJ2089" s="160" t="s">
        <v>532</v>
      </c>
      <c r="DK2089" s="160" t="s">
        <v>588</v>
      </c>
      <c r="DL2089" s="160" t="s">
        <v>5015</v>
      </c>
      <c r="DM2089" s="160" t="s">
        <v>590</v>
      </c>
      <c r="DN2089" s="161" t="s">
        <v>591</v>
      </c>
      <c r="DP2089" s="130">
        <v>1</v>
      </c>
    </row>
    <row r="2090" spans="109:120" ht="15">
      <c r="DE2090" s="152"/>
      <c r="DF2090" s="160" t="s">
        <v>5023</v>
      </c>
      <c r="DG2090" s="160" t="s">
        <v>124</v>
      </c>
      <c r="DH2090" s="160" t="s">
        <v>125</v>
      </c>
      <c r="DI2090" s="160" t="s">
        <v>5024</v>
      </c>
      <c r="DJ2090" s="160" t="s">
        <v>533</v>
      </c>
      <c r="DK2090" s="160" t="s">
        <v>588</v>
      </c>
      <c r="DL2090" s="160" t="s">
        <v>5015</v>
      </c>
      <c r="DM2090" s="160" t="s">
        <v>590</v>
      </c>
      <c r="DN2090" s="161" t="s">
        <v>591</v>
      </c>
      <c r="DP2090" s="130">
        <v>1</v>
      </c>
    </row>
    <row r="2091" spans="109:120" ht="15">
      <c r="DE2091" s="152"/>
      <c r="DF2091" s="160" t="s">
        <v>5025</v>
      </c>
      <c r="DG2091" s="160" t="s">
        <v>124</v>
      </c>
      <c r="DH2091" s="160" t="s">
        <v>125</v>
      </c>
      <c r="DI2091" s="160" t="s">
        <v>5026</v>
      </c>
      <c r="DJ2091" s="160" t="s">
        <v>534</v>
      </c>
      <c r="DK2091" s="160" t="s">
        <v>588</v>
      </c>
      <c r="DL2091" s="160" t="s">
        <v>5015</v>
      </c>
      <c r="DM2091" s="160" t="s">
        <v>590</v>
      </c>
      <c r="DN2091" s="161" t="s">
        <v>591</v>
      </c>
      <c r="DP2091" s="130">
        <v>1</v>
      </c>
    </row>
    <row r="2092" spans="109:120" ht="15">
      <c r="DE2092" s="152"/>
      <c r="DF2092" s="160" t="s">
        <v>5027</v>
      </c>
      <c r="DG2092" s="160" t="s">
        <v>124</v>
      </c>
      <c r="DH2092" s="160" t="s">
        <v>125</v>
      </c>
      <c r="DI2092" s="160" t="s">
        <v>5028</v>
      </c>
      <c r="DJ2092" s="160" t="s">
        <v>535</v>
      </c>
      <c r="DK2092" s="160" t="s">
        <v>588</v>
      </c>
      <c r="DL2092" s="160" t="s">
        <v>5015</v>
      </c>
      <c r="DM2092" s="160" t="s">
        <v>590</v>
      </c>
      <c r="DN2092" s="161" t="s">
        <v>591</v>
      </c>
      <c r="DP2092" s="130">
        <v>1</v>
      </c>
    </row>
    <row r="2093" spans="109:120" ht="15">
      <c r="DE2093" s="152"/>
      <c r="DF2093" s="160" t="s">
        <v>5029</v>
      </c>
      <c r="DG2093" s="160" t="s">
        <v>124</v>
      </c>
      <c r="DH2093" s="160" t="s">
        <v>125</v>
      </c>
      <c r="DI2093" s="160" t="s">
        <v>5030</v>
      </c>
      <c r="DJ2093" s="160" t="s">
        <v>5031</v>
      </c>
      <c r="DK2093" s="160" t="s">
        <v>588</v>
      </c>
      <c r="DL2093" s="160" t="s">
        <v>5015</v>
      </c>
      <c r="DM2093" s="160" t="s">
        <v>590</v>
      </c>
      <c r="DN2093" s="161" t="s">
        <v>591</v>
      </c>
      <c r="DP2093" s="130">
        <v>1</v>
      </c>
    </row>
    <row r="2094" spans="109:120" ht="15">
      <c r="DE2094" s="152"/>
      <c r="DF2094" s="160" t="s">
        <v>5032</v>
      </c>
      <c r="DG2094" s="160" t="s">
        <v>124</v>
      </c>
      <c r="DH2094" s="160" t="s">
        <v>125</v>
      </c>
      <c r="DI2094" s="160" t="s">
        <v>5033</v>
      </c>
      <c r="DJ2094" s="160" t="s">
        <v>536</v>
      </c>
      <c r="DK2094" s="160" t="s">
        <v>588</v>
      </c>
      <c r="DL2094" s="160" t="s">
        <v>5015</v>
      </c>
      <c r="DM2094" s="160" t="s">
        <v>590</v>
      </c>
      <c r="DN2094" s="161" t="s">
        <v>591</v>
      </c>
      <c r="DP2094" s="130">
        <v>1</v>
      </c>
    </row>
    <row r="2095" spans="109:120" ht="15">
      <c r="DE2095" s="152"/>
      <c r="DF2095" s="160" t="s">
        <v>5034</v>
      </c>
      <c r="DG2095" s="160" t="s">
        <v>124</v>
      </c>
      <c r="DH2095" s="160" t="s">
        <v>125</v>
      </c>
      <c r="DI2095" s="160" t="s">
        <v>5035</v>
      </c>
      <c r="DJ2095" s="160" t="s">
        <v>537</v>
      </c>
      <c r="DK2095" s="160" t="s">
        <v>588</v>
      </c>
      <c r="DL2095" s="160" t="s">
        <v>5015</v>
      </c>
      <c r="DM2095" s="160" t="s">
        <v>590</v>
      </c>
      <c r="DN2095" s="161" t="s">
        <v>591</v>
      </c>
      <c r="DP2095" s="130">
        <v>1</v>
      </c>
    </row>
    <row r="2096" spans="109:120" ht="15">
      <c r="DE2096" s="152"/>
      <c r="DF2096" s="160" t="s">
        <v>5036</v>
      </c>
      <c r="DG2096" s="160" t="s">
        <v>124</v>
      </c>
      <c r="DH2096" s="160" t="s">
        <v>125</v>
      </c>
      <c r="DI2096" s="160" t="s">
        <v>5037</v>
      </c>
      <c r="DJ2096" s="160" t="s">
        <v>538</v>
      </c>
      <c r="DK2096" s="160" t="s">
        <v>588</v>
      </c>
      <c r="DL2096" s="160" t="s">
        <v>5015</v>
      </c>
      <c r="DM2096" s="160" t="s">
        <v>590</v>
      </c>
      <c r="DN2096" s="161" t="s">
        <v>591</v>
      </c>
      <c r="DP2096" s="130">
        <v>1</v>
      </c>
    </row>
    <row r="2097" spans="109:120" ht="15">
      <c r="DE2097" s="152"/>
      <c r="DF2097" s="160" t="s">
        <v>5038</v>
      </c>
      <c r="DG2097" s="160" t="s">
        <v>124</v>
      </c>
      <c r="DH2097" s="160" t="s">
        <v>125</v>
      </c>
      <c r="DI2097" s="160" t="s">
        <v>5039</v>
      </c>
      <c r="DJ2097" s="160" t="s">
        <v>5040</v>
      </c>
      <c r="DK2097" s="160" t="s">
        <v>588</v>
      </c>
      <c r="DL2097" s="160" t="s">
        <v>5015</v>
      </c>
      <c r="DM2097" s="160" t="s">
        <v>590</v>
      </c>
      <c r="DN2097" s="161" t="s">
        <v>591</v>
      </c>
      <c r="DP2097" s="130">
        <v>1</v>
      </c>
    </row>
    <row r="2098" spans="109:120" ht="15">
      <c r="DE2098" s="152"/>
      <c r="DF2098" s="160" t="s">
        <v>5041</v>
      </c>
      <c r="DG2098" s="160" t="s">
        <v>124</v>
      </c>
      <c r="DH2098" s="160" t="s">
        <v>125</v>
      </c>
      <c r="DI2098" s="160" t="s">
        <v>5042</v>
      </c>
      <c r="DJ2098" s="160" t="s">
        <v>330</v>
      </c>
      <c r="DK2098" s="160" t="s">
        <v>588</v>
      </c>
      <c r="DL2098" s="160" t="s">
        <v>5015</v>
      </c>
      <c r="DM2098" s="160" t="s">
        <v>590</v>
      </c>
      <c r="DN2098" s="161" t="s">
        <v>591</v>
      </c>
      <c r="DP2098" s="130">
        <v>1</v>
      </c>
    </row>
    <row r="2099" spans="109:120" ht="15">
      <c r="DE2099" s="152"/>
      <c r="DF2099" s="160" t="s">
        <v>5043</v>
      </c>
      <c r="DG2099" s="160" t="s">
        <v>124</v>
      </c>
      <c r="DH2099" s="160" t="s">
        <v>125</v>
      </c>
      <c r="DI2099" s="160" t="s">
        <v>331</v>
      </c>
      <c r="DJ2099" s="160" t="s">
        <v>331</v>
      </c>
      <c r="DK2099" s="160" t="s">
        <v>588</v>
      </c>
      <c r="DL2099" s="160" t="s">
        <v>5015</v>
      </c>
      <c r="DM2099" s="160" t="s">
        <v>590</v>
      </c>
      <c r="DN2099" s="161" t="s">
        <v>591</v>
      </c>
      <c r="DP2099" s="130">
        <v>1</v>
      </c>
    </row>
    <row r="2100" spans="109:120" ht="15">
      <c r="DE2100" s="152"/>
      <c r="DF2100" s="160" t="s">
        <v>5044</v>
      </c>
      <c r="DG2100" s="160" t="s">
        <v>124</v>
      </c>
      <c r="DH2100" s="160" t="s">
        <v>125</v>
      </c>
      <c r="DI2100" s="160" t="s">
        <v>332</v>
      </c>
      <c r="DJ2100" s="160" t="s">
        <v>332</v>
      </c>
      <c r="DK2100" s="160" t="s">
        <v>588</v>
      </c>
      <c r="DL2100" s="160" t="s">
        <v>5015</v>
      </c>
      <c r="DM2100" s="160" t="s">
        <v>590</v>
      </c>
      <c r="DN2100" s="161" t="s">
        <v>591</v>
      </c>
      <c r="DP2100" s="130">
        <v>1</v>
      </c>
    </row>
    <row r="2101" spans="109:120" ht="15">
      <c r="DE2101" s="152"/>
      <c r="DF2101" s="160" t="s">
        <v>5045</v>
      </c>
      <c r="DG2101" s="160" t="s">
        <v>124</v>
      </c>
      <c r="DH2101" s="160" t="s">
        <v>125</v>
      </c>
      <c r="DI2101" s="160" t="s">
        <v>5046</v>
      </c>
      <c r="DJ2101" s="160" t="s">
        <v>5046</v>
      </c>
      <c r="DK2101" s="160" t="s">
        <v>666</v>
      </c>
      <c r="DL2101" s="160" t="s">
        <v>667</v>
      </c>
      <c r="DM2101" s="160" t="s">
        <v>590</v>
      </c>
      <c r="DN2101" s="161" t="s">
        <v>668</v>
      </c>
      <c r="DP2101" s="130">
        <v>1</v>
      </c>
    </row>
    <row r="2102" spans="109:120" ht="15">
      <c r="DE2102" s="152"/>
      <c r="DF2102" s="160" t="s">
        <v>5047</v>
      </c>
      <c r="DG2102" s="160" t="s">
        <v>124</v>
      </c>
      <c r="DH2102" s="160" t="s">
        <v>125</v>
      </c>
      <c r="DI2102" s="160" t="s">
        <v>5048</v>
      </c>
      <c r="DJ2102" s="160" t="s">
        <v>5048</v>
      </c>
      <c r="DK2102" s="160" t="s">
        <v>588</v>
      </c>
      <c r="DL2102" s="160" t="s">
        <v>5015</v>
      </c>
      <c r="DM2102" s="160" t="s">
        <v>590</v>
      </c>
      <c r="DN2102" s="161" t="s">
        <v>591</v>
      </c>
      <c r="DP2102" s="130">
        <v>1</v>
      </c>
    </row>
    <row r="2103" spans="109:120" ht="15">
      <c r="DE2103" s="152"/>
      <c r="DF2103" s="160" t="s">
        <v>5049</v>
      </c>
      <c r="DG2103" s="160" t="s">
        <v>124</v>
      </c>
      <c r="DH2103" s="160" t="s">
        <v>125</v>
      </c>
      <c r="DI2103" s="160" t="s">
        <v>5050</v>
      </c>
      <c r="DJ2103" s="160" t="s">
        <v>5050</v>
      </c>
      <c r="DK2103" s="160" t="s">
        <v>588</v>
      </c>
      <c r="DL2103" s="160" t="s">
        <v>5015</v>
      </c>
      <c r="DM2103" s="160" t="s">
        <v>590</v>
      </c>
      <c r="DN2103" s="161" t="s">
        <v>591</v>
      </c>
      <c r="DP2103" s="130">
        <v>1</v>
      </c>
    </row>
    <row r="2104" spans="109:120" ht="15">
      <c r="DE2104" s="152"/>
      <c r="DF2104" s="160" t="s">
        <v>5051</v>
      </c>
      <c r="DG2104" s="160" t="s">
        <v>124</v>
      </c>
      <c r="DH2104" s="160" t="s">
        <v>125</v>
      </c>
      <c r="DI2104" s="160" t="s">
        <v>5052</v>
      </c>
      <c r="DJ2104" s="160" t="s">
        <v>5052</v>
      </c>
      <c r="DK2104" s="160" t="s">
        <v>666</v>
      </c>
      <c r="DL2104" s="160" t="s">
        <v>667</v>
      </c>
      <c r="DM2104" s="160" t="s">
        <v>590</v>
      </c>
      <c r="DN2104" s="161" t="s">
        <v>668</v>
      </c>
      <c r="DP2104" s="130">
        <v>1</v>
      </c>
    </row>
    <row r="2105" spans="109:120" ht="15">
      <c r="DE2105" s="152"/>
      <c r="DF2105" s="160" t="s">
        <v>5053</v>
      </c>
      <c r="DG2105" s="160" t="s">
        <v>124</v>
      </c>
      <c r="DH2105" s="160" t="s">
        <v>1182</v>
      </c>
      <c r="DI2105" s="160" t="s">
        <v>5054</v>
      </c>
      <c r="DJ2105" s="160" t="s">
        <v>5054</v>
      </c>
      <c r="DK2105" s="160" t="s">
        <v>588</v>
      </c>
      <c r="DL2105" s="160" t="s">
        <v>5055</v>
      </c>
      <c r="DM2105" s="160" t="s">
        <v>590</v>
      </c>
      <c r="DN2105" s="161" t="s">
        <v>591</v>
      </c>
      <c r="DP2105" s="130">
        <v>1</v>
      </c>
    </row>
    <row r="2106" spans="109:120" ht="15">
      <c r="DE2106" s="152"/>
      <c r="DF2106" s="160" t="s">
        <v>5056</v>
      </c>
      <c r="DG2106" s="160" t="s">
        <v>124</v>
      </c>
      <c r="DH2106" s="160" t="s">
        <v>1182</v>
      </c>
      <c r="DI2106" s="160" t="s">
        <v>670</v>
      </c>
      <c r="DJ2106" s="160" t="s">
        <v>671</v>
      </c>
      <c r="DK2106" s="160" t="s">
        <v>588</v>
      </c>
      <c r="DL2106" s="160" t="s">
        <v>5055</v>
      </c>
      <c r="DM2106" s="160" t="s">
        <v>590</v>
      </c>
      <c r="DN2106" s="161" t="s">
        <v>591</v>
      </c>
      <c r="DP2106" s="130">
        <v>1</v>
      </c>
    </row>
    <row r="2107" spans="109:120" ht="15">
      <c r="DE2107" s="152"/>
      <c r="DF2107" s="160" t="s">
        <v>5057</v>
      </c>
      <c r="DG2107" s="160" t="s">
        <v>124</v>
      </c>
      <c r="DH2107" s="160" t="s">
        <v>1182</v>
      </c>
      <c r="DI2107" s="160" t="s">
        <v>5058</v>
      </c>
      <c r="DJ2107" s="160" t="s">
        <v>5058</v>
      </c>
      <c r="DK2107" s="160" t="s">
        <v>588</v>
      </c>
      <c r="DL2107" s="160" t="s">
        <v>5055</v>
      </c>
      <c r="DM2107" s="160" t="s">
        <v>590</v>
      </c>
      <c r="DN2107" s="161" t="s">
        <v>591</v>
      </c>
      <c r="DP2107" s="130">
        <v>1</v>
      </c>
    </row>
    <row r="2108" spans="109:120" ht="15">
      <c r="DE2108" s="152"/>
      <c r="DF2108" s="160" t="s">
        <v>5059</v>
      </c>
      <c r="DG2108" s="160" t="s">
        <v>124</v>
      </c>
      <c r="DH2108" s="160" t="s">
        <v>1182</v>
      </c>
      <c r="DI2108" s="160" t="s">
        <v>5060</v>
      </c>
      <c r="DJ2108" s="160" t="s">
        <v>5060</v>
      </c>
      <c r="DK2108" s="160" t="s">
        <v>588</v>
      </c>
      <c r="DL2108" s="160" t="s">
        <v>5055</v>
      </c>
      <c r="DM2108" s="160" t="s">
        <v>590</v>
      </c>
      <c r="DN2108" s="161" t="s">
        <v>591</v>
      </c>
      <c r="DP2108" s="130">
        <v>1</v>
      </c>
    </row>
    <row r="2109" spans="109:120" ht="15">
      <c r="DE2109" s="152"/>
      <c r="DF2109" s="160" t="s">
        <v>5061</v>
      </c>
      <c r="DG2109" s="160" t="s">
        <v>124</v>
      </c>
      <c r="DH2109" s="160" t="s">
        <v>1182</v>
      </c>
      <c r="DI2109" s="160" t="s">
        <v>5062</v>
      </c>
      <c r="DJ2109" s="160" t="s">
        <v>5062</v>
      </c>
      <c r="DK2109" s="160" t="s">
        <v>588</v>
      </c>
      <c r="DL2109" s="160" t="s">
        <v>5055</v>
      </c>
      <c r="DM2109" s="160" t="s">
        <v>590</v>
      </c>
      <c r="DN2109" s="161" t="s">
        <v>591</v>
      </c>
      <c r="DP2109" s="130">
        <v>1</v>
      </c>
    </row>
    <row r="2110" spans="109:120" ht="15">
      <c r="DE2110" s="152"/>
      <c r="DF2110" s="160" t="s">
        <v>5063</v>
      </c>
      <c r="DG2110" s="160" t="s">
        <v>124</v>
      </c>
      <c r="DH2110" s="160" t="s">
        <v>1182</v>
      </c>
      <c r="DI2110" s="160" t="s">
        <v>558</v>
      </c>
      <c r="DJ2110" s="160" t="s">
        <v>558</v>
      </c>
      <c r="DK2110" s="160" t="s">
        <v>588</v>
      </c>
      <c r="DL2110" s="160" t="s">
        <v>5055</v>
      </c>
      <c r="DM2110" s="160" t="s">
        <v>590</v>
      </c>
      <c r="DN2110" s="161" t="s">
        <v>591</v>
      </c>
      <c r="DP2110" s="130">
        <v>1</v>
      </c>
    </row>
    <row r="2111" spans="109:120" ht="15">
      <c r="DE2111" s="152"/>
      <c r="DF2111" s="160" t="s">
        <v>5064</v>
      </c>
      <c r="DG2111" s="160" t="s">
        <v>124</v>
      </c>
      <c r="DH2111" s="160" t="s">
        <v>1182</v>
      </c>
      <c r="DI2111" s="160" t="s">
        <v>5065</v>
      </c>
      <c r="DJ2111" s="160" t="s">
        <v>5065</v>
      </c>
      <c r="DK2111" s="160" t="s">
        <v>666</v>
      </c>
      <c r="DL2111" s="160" t="s">
        <v>1192</v>
      </c>
      <c r="DM2111" s="160" t="s">
        <v>590</v>
      </c>
      <c r="DN2111" s="161" t="s">
        <v>668</v>
      </c>
      <c r="DP2111" s="130">
        <v>1</v>
      </c>
    </row>
    <row r="2112" spans="109:120" ht="15">
      <c r="DE2112" s="152"/>
      <c r="DF2112" s="160" t="s">
        <v>5066</v>
      </c>
      <c r="DG2112" s="160" t="s">
        <v>124</v>
      </c>
      <c r="DH2112" s="160" t="s">
        <v>1182</v>
      </c>
      <c r="DI2112" s="160" t="s">
        <v>5067</v>
      </c>
      <c r="DJ2112" s="160" t="s">
        <v>5067</v>
      </c>
      <c r="DK2112" s="160" t="s">
        <v>588</v>
      </c>
      <c r="DL2112" s="160" t="s">
        <v>5055</v>
      </c>
      <c r="DM2112" s="160" t="s">
        <v>590</v>
      </c>
      <c r="DN2112" s="161" t="s">
        <v>591</v>
      </c>
      <c r="DP2112" s="130">
        <v>1</v>
      </c>
    </row>
    <row r="2113" spans="109:120" ht="15">
      <c r="DE2113" s="152"/>
      <c r="DF2113" s="160" t="s">
        <v>5068</v>
      </c>
      <c r="DG2113" s="160" t="s">
        <v>124</v>
      </c>
      <c r="DH2113" s="160" t="s">
        <v>1182</v>
      </c>
      <c r="DI2113" s="160" t="s">
        <v>5069</v>
      </c>
      <c r="DJ2113" s="160" t="s">
        <v>5070</v>
      </c>
      <c r="DK2113" s="160" t="s">
        <v>588</v>
      </c>
      <c r="DL2113" s="160" t="s">
        <v>5055</v>
      </c>
      <c r="DM2113" s="160" t="s">
        <v>590</v>
      </c>
      <c r="DN2113" s="161" t="s">
        <v>591</v>
      </c>
      <c r="DP2113" s="130">
        <v>1</v>
      </c>
    </row>
    <row r="2114" spans="109:120" ht="15">
      <c r="DE2114" s="152"/>
      <c r="DF2114" s="160" t="s">
        <v>5071</v>
      </c>
      <c r="DG2114" s="160" t="s">
        <v>124</v>
      </c>
      <c r="DH2114" s="160" t="s">
        <v>1182</v>
      </c>
      <c r="DI2114" s="160" t="s">
        <v>5072</v>
      </c>
      <c r="DJ2114" s="160" t="s">
        <v>5073</v>
      </c>
      <c r="DK2114" s="160" t="s">
        <v>588</v>
      </c>
      <c r="DL2114" s="160" t="s">
        <v>5055</v>
      </c>
      <c r="DM2114" s="160" t="s">
        <v>590</v>
      </c>
      <c r="DN2114" s="161" t="s">
        <v>591</v>
      </c>
      <c r="DP2114" s="130">
        <v>1</v>
      </c>
    </row>
    <row r="2115" spans="109:120" ht="15">
      <c r="DE2115" s="152"/>
      <c r="DF2115" s="160" t="s">
        <v>5074</v>
      </c>
      <c r="DG2115" s="160" t="s">
        <v>124</v>
      </c>
      <c r="DH2115" s="160" t="s">
        <v>1182</v>
      </c>
      <c r="DI2115" s="160" t="s">
        <v>5075</v>
      </c>
      <c r="DJ2115" s="160" t="s">
        <v>5076</v>
      </c>
      <c r="DK2115" s="160" t="s">
        <v>588</v>
      </c>
      <c r="DL2115" s="160" t="s">
        <v>5055</v>
      </c>
      <c r="DM2115" s="160" t="s">
        <v>590</v>
      </c>
      <c r="DN2115" s="161" t="s">
        <v>591</v>
      </c>
      <c r="DP2115" s="130">
        <v>1</v>
      </c>
    </row>
    <row r="2116" spans="109:120" ht="15">
      <c r="DE2116" s="152"/>
      <c r="DF2116" s="160" t="s">
        <v>5077</v>
      </c>
      <c r="DG2116" s="160" t="s">
        <v>124</v>
      </c>
      <c r="DH2116" s="160" t="s">
        <v>1182</v>
      </c>
      <c r="DI2116" s="160" t="s">
        <v>5078</v>
      </c>
      <c r="DJ2116" s="160" t="s">
        <v>5078</v>
      </c>
      <c r="DK2116" s="160" t="s">
        <v>588</v>
      </c>
      <c r="DL2116" s="160" t="s">
        <v>5055</v>
      </c>
      <c r="DM2116" s="160" t="s">
        <v>590</v>
      </c>
      <c r="DN2116" s="161" t="s">
        <v>591</v>
      </c>
      <c r="DP2116" s="130">
        <v>1</v>
      </c>
    </row>
    <row r="2117" spans="109:120" ht="15">
      <c r="DE2117" s="152"/>
      <c r="DF2117" s="160" t="s">
        <v>5079</v>
      </c>
      <c r="DG2117" s="160" t="s">
        <v>124</v>
      </c>
      <c r="DH2117" s="160" t="s">
        <v>1182</v>
      </c>
      <c r="DI2117" s="160" t="s">
        <v>5080</v>
      </c>
      <c r="DJ2117" s="160" t="s">
        <v>5080</v>
      </c>
      <c r="DK2117" s="160" t="s">
        <v>588</v>
      </c>
      <c r="DL2117" s="160" t="s">
        <v>5055</v>
      </c>
      <c r="DM2117" s="160" t="s">
        <v>590</v>
      </c>
      <c r="DN2117" s="161" t="s">
        <v>591</v>
      </c>
      <c r="DP2117" s="130">
        <v>1</v>
      </c>
    </row>
    <row r="2118" spans="109:120" ht="15">
      <c r="DE2118" s="152"/>
      <c r="DF2118" s="160" t="s">
        <v>5081</v>
      </c>
      <c r="DG2118" s="160" t="s">
        <v>124</v>
      </c>
      <c r="DH2118" s="160" t="s">
        <v>1182</v>
      </c>
      <c r="DI2118" s="160" t="s">
        <v>5082</v>
      </c>
      <c r="DJ2118" s="160" t="s">
        <v>5082</v>
      </c>
      <c r="DK2118" s="160" t="s">
        <v>588</v>
      </c>
      <c r="DL2118" s="160" t="s">
        <v>5055</v>
      </c>
      <c r="DM2118" s="160" t="s">
        <v>590</v>
      </c>
      <c r="DN2118" s="161" t="s">
        <v>591</v>
      </c>
      <c r="DP2118" s="130">
        <v>1</v>
      </c>
    </row>
    <row r="2119" spans="109:120" ht="15">
      <c r="DE2119" s="152"/>
      <c r="DF2119" s="160" t="s">
        <v>5083</v>
      </c>
      <c r="DG2119" s="160" t="s">
        <v>124</v>
      </c>
      <c r="DH2119" s="160" t="s">
        <v>1182</v>
      </c>
      <c r="DI2119" s="160" t="s">
        <v>5084</v>
      </c>
      <c r="DJ2119" s="160" t="s">
        <v>5084</v>
      </c>
      <c r="DK2119" s="160" t="s">
        <v>588</v>
      </c>
      <c r="DL2119" s="160" t="s">
        <v>5055</v>
      </c>
      <c r="DM2119" s="160" t="s">
        <v>590</v>
      </c>
      <c r="DN2119" s="161" t="s">
        <v>591</v>
      </c>
      <c r="DP2119" s="130">
        <v>1</v>
      </c>
    </row>
    <row r="2120" spans="109:120" ht="15">
      <c r="DE2120" s="152"/>
      <c r="DF2120" s="160" t="s">
        <v>5085</v>
      </c>
      <c r="DG2120" s="160" t="s">
        <v>124</v>
      </c>
      <c r="DH2120" s="160" t="s">
        <v>1182</v>
      </c>
      <c r="DI2120" s="160" t="s">
        <v>5086</v>
      </c>
      <c r="DJ2120" s="160" t="s">
        <v>5086</v>
      </c>
      <c r="DK2120" s="160" t="s">
        <v>666</v>
      </c>
      <c r="DL2120" s="160" t="s">
        <v>1192</v>
      </c>
      <c r="DM2120" s="160" t="s">
        <v>590</v>
      </c>
      <c r="DN2120" s="161" t="s">
        <v>668</v>
      </c>
      <c r="DP2120" s="130">
        <v>1</v>
      </c>
    </row>
    <row r="2121" spans="109:120" ht="15">
      <c r="DE2121" s="152"/>
      <c r="DF2121" s="160" t="s">
        <v>5087</v>
      </c>
      <c r="DG2121" s="160" t="s">
        <v>124</v>
      </c>
      <c r="DH2121" s="160" t="s">
        <v>1182</v>
      </c>
      <c r="DI2121" s="160" t="s">
        <v>5088</v>
      </c>
      <c r="DJ2121" s="160" t="s">
        <v>5088</v>
      </c>
      <c r="DK2121" s="160" t="s">
        <v>666</v>
      </c>
      <c r="DL2121" s="160" t="s">
        <v>1192</v>
      </c>
      <c r="DM2121" s="160" t="s">
        <v>590</v>
      </c>
      <c r="DN2121" s="161" t="s">
        <v>668</v>
      </c>
      <c r="DP2121" s="130">
        <v>1</v>
      </c>
    </row>
    <row r="2122" spans="109:120" ht="15">
      <c r="DE2122" s="152"/>
      <c r="DF2122" s="160" t="s">
        <v>5089</v>
      </c>
      <c r="DG2122" s="160" t="s">
        <v>124</v>
      </c>
      <c r="DH2122" s="160" t="s">
        <v>1182</v>
      </c>
      <c r="DI2122" s="160" t="s">
        <v>5090</v>
      </c>
      <c r="DJ2122" s="160" t="s">
        <v>559</v>
      </c>
      <c r="DK2122" s="160" t="s">
        <v>588</v>
      </c>
      <c r="DL2122" s="160" t="s">
        <v>5055</v>
      </c>
      <c r="DM2122" s="160" t="s">
        <v>590</v>
      </c>
      <c r="DN2122" s="161" t="s">
        <v>591</v>
      </c>
      <c r="DP2122" s="130">
        <v>1</v>
      </c>
    </row>
    <row r="2123" spans="109:120" ht="25.5">
      <c r="DE2123" s="152"/>
      <c r="DF2123" s="160" t="s">
        <v>5091</v>
      </c>
      <c r="DG2123" s="160" t="s">
        <v>124</v>
      </c>
      <c r="DH2123" s="160" t="s">
        <v>1182</v>
      </c>
      <c r="DI2123" s="160" t="s">
        <v>5092</v>
      </c>
      <c r="DJ2123" s="160" t="s">
        <v>5093</v>
      </c>
      <c r="DK2123" s="160" t="s">
        <v>588</v>
      </c>
      <c r="DL2123" s="160" t="s">
        <v>5094</v>
      </c>
      <c r="DM2123" s="160" t="s">
        <v>821</v>
      </c>
      <c r="DN2123" s="161" t="s">
        <v>668</v>
      </c>
      <c r="DP2123" s="130">
        <v>1</v>
      </c>
    </row>
    <row r="2124" spans="109:120" ht="15">
      <c r="DE2124" s="152"/>
      <c r="DF2124" s="160" t="s">
        <v>5095</v>
      </c>
      <c r="DG2124" s="160" t="s">
        <v>124</v>
      </c>
      <c r="DH2124" s="160" t="s">
        <v>1182</v>
      </c>
      <c r="DI2124" s="160" t="s">
        <v>5096</v>
      </c>
      <c r="DJ2124" s="160" t="s">
        <v>5097</v>
      </c>
      <c r="DK2124" s="160" t="s">
        <v>588</v>
      </c>
      <c r="DL2124" s="160" t="s">
        <v>5055</v>
      </c>
      <c r="DM2124" s="160" t="s">
        <v>590</v>
      </c>
      <c r="DN2124" s="161" t="s">
        <v>591</v>
      </c>
      <c r="DP2124" s="130">
        <v>1</v>
      </c>
    </row>
    <row r="2125" spans="109:120" ht="15">
      <c r="DE2125" s="152"/>
      <c r="DF2125" s="160" t="s">
        <v>5098</v>
      </c>
      <c r="DG2125" s="160" t="s">
        <v>124</v>
      </c>
      <c r="DH2125" s="160" t="s">
        <v>1182</v>
      </c>
      <c r="DI2125" s="160" t="s">
        <v>560</v>
      </c>
      <c r="DJ2125" s="160" t="s">
        <v>560</v>
      </c>
      <c r="DK2125" s="160" t="s">
        <v>588</v>
      </c>
      <c r="DL2125" s="160" t="s">
        <v>5055</v>
      </c>
      <c r="DM2125" s="160" t="s">
        <v>590</v>
      </c>
      <c r="DN2125" s="161" t="s">
        <v>591</v>
      </c>
      <c r="DP2125" s="130">
        <v>1</v>
      </c>
    </row>
    <row r="2126" spans="109:120" ht="15">
      <c r="DE2126" s="152"/>
      <c r="DF2126" s="160" t="s">
        <v>5099</v>
      </c>
      <c r="DG2126" s="160" t="s">
        <v>124</v>
      </c>
      <c r="DH2126" s="160" t="s">
        <v>1182</v>
      </c>
      <c r="DI2126" s="160" t="s">
        <v>5100</v>
      </c>
      <c r="DJ2126" s="160" t="s">
        <v>5101</v>
      </c>
      <c r="DK2126" s="160" t="s">
        <v>588</v>
      </c>
      <c r="DL2126" s="160" t="s">
        <v>5055</v>
      </c>
      <c r="DM2126" s="160" t="s">
        <v>590</v>
      </c>
      <c r="DN2126" s="161" t="s">
        <v>591</v>
      </c>
      <c r="DP2126" s="130">
        <v>1</v>
      </c>
    </row>
    <row r="2127" spans="109:120" ht="15">
      <c r="DE2127" s="152"/>
      <c r="DF2127" s="160" t="s">
        <v>5102</v>
      </c>
      <c r="DG2127" s="160" t="s">
        <v>124</v>
      </c>
      <c r="DH2127" s="160" t="s">
        <v>1182</v>
      </c>
      <c r="DI2127" s="160" t="s">
        <v>5103</v>
      </c>
      <c r="DJ2127" s="160" t="s">
        <v>5103</v>
      </c>
      <c r="DK2127" s="160" t="s">
        <v>588</v>
      </c>
      <c r="DL2127" s="160" t="s">
        <v>5055</v>
      </c>
      <c r="DM2127" s="160" t="s">
        <v>590</v>
      </c>
      <c r="DN2127" s="161" t="s">
        <v>591</v>
      </c>
      <c r="DP2127" s="130">
        <v>1</v>
      </c>
    </row>
    <row r="2128" spans="109:120" ht="15">
      <c r="DE2128" s="152"/>
      <c r="DF2128" s="160" t="s">
        <v>5104</v>
      </c>
      <c r="DG2128" s="160" t="s">
        <v>124</v>
      </c>
      <c r="DH2128" s="160" t="s">
        <v>1182</v>
      </c>
      <c r="DI2128" s="160" t="s">
        <v>5105</v>
      </c>
      <c r="DJ2128" s="160" t="s">
        <v>5105</v>
      </c>
      <c r="DK2128" s="160" t="s">
        <v>588</v>
      </c>
      <c r="DL2128" s="160" t="s">
        <v>5055</v>
      </c>
      <c r="DM2128" s="160" t="s">
        <v>590</v>
      </c>
      <c r="DN2128" s="161" t="s">
        <v>591</v>
      </c>
      <c r="DP2128" s="130">
        <v>1</v>
      </c>
    </row>
    <row r="2129" spans="109:120" ht="15">
      <c r="DE2129" s="152"/>
      <c r="DF2129" s="160" t="s">
        <v>5106</v>
      </c>
      <c r="DG2129" s="160" t="s">
        <v>124</v>
      </c>
      <c r="DH2129" s="160" t="s">
        <v>1182</v>
      </c>
      <c r="DI2129" s="160" t="s">
        <v>5107</v>
      </c>
      <c r="DJ2129" s="160" t="s">
        <v>5108</v>
      </c>
      <c r="DK2129" s="160" t="s">
        <v>588</v>
      </c>
      <c r="DL2129" s="160" t="s">
        <v>5055</v>
      </c>
      <c r="DM2129" s="160" t="s">
        <v>590</v>
      </c>
      <c r="DN2129" s="161" t="s">
        <v>591</v>
      </c>
      <c r="DP2129" s="130">
        <v>1</v>
      </c>
    </row>
    <row r="2130" spans="109:120" ht="15">
      <c r="DE2130" s="152"/>
      <c r="DF2130" s="160" t="s">
        <v>5109</v>
      </c>
      <c r="DG2130" s="160" t="s">
        <v>124</v>
      </c>
      <c r="DH2130" s="160" t="s">
        <v>1182</v>
      </c>
      <c r="DI2130" s="160" t="s">
        <v>5110</v>
      </c>
      <c r="DJ2130" s="160" t="s">
        <v>5110</v>
      </c>
      <c r="DK2130" s="160" t="s">
        <v>588</v>
      </c>
      <c r="DL2130" s="160" t="s">
        <v>5055</v>
      </c>
      <c r="DM2130" s="160" t="s">
        <v>590</v>
      </c>
      <c r="DN2130" s="161" t="s">
        <v>591</v>
      </c>
      <c r="DP2130" s="130">
        <v>1</v>
      </c>
    </row>
    <row r="2131" spans="109:120" ht="15">
      <c r="DE2131" s="152"/>
      <c r="DF2131" s="160" t="s">
        <v>5111</v>
      </c>
      <c r="DG2131" s="160" t="s">
        <v>124</v>
      </c>
      <c r="DH2131" s="160" t="s">
        <v>1182</v>
      </c>
      <c r="DI2131" s="160" t="s">
        <v>5112</v>
      </c>
      <c r="DJ2131" s="160" t="s">
        <v>5112</v>
      </c>
      <c r="DK2131" s="160" t="s">
        <v>666</v>
      </c>
      <c r="DL2131" s="160" t="s">
        <v>1192</v>
      </c>
      <c r="DM2131" s="160" t="s">
        <v>590</v>
      </c>
      <c r="DN2131" s="161" t="s">
        <v>668</v>
      </c>
      <c r="DP2131" s="130">
        <v>1</v>
      </c>
    </row>
    <row r="2132" spans="109:120" ht="15">
      <c r="DE2132" s="152"/>
      <c r="DF2132" s="160" t="s">
        <v>5113</v>
      </c>
      <c r="DG2132" s="160" t="s">
        <v>124</v>
      </c>
      <c r="DH2132" s="160" t="s">
        <v>1182</v>
      </c>
      <c r="DI2132" s="160" t="s">
        <v>5114</v>
      </c>
      <c r="DJ2132" s="160" t="s">
        <v>5114</v>
      </c>
      <c r="DK2132" s="160" t="s">
        <v>588</v>
      </c>
      <c r="DL2132" s="160" t="s">
        <v>5055</v>
      </c>
      <c r="DM2132" s="160" t="s">
        <v>590</v>
      </c>
      <c r="DN2132" s="161" t="s">
        <v>591</v>
      </c>
      <c r="DP2132" s="130">
        <v>1</v>
      </c>
    </row>
    <row r="2133" spans="109:120" ht="15">
      <c r="DE2133" s="152"/>
      <c r="DF2133" s="160" t="s">
        <v>5115</v>
      </c>
      <c r="DG2133" s="160" t="s">
        <v>124</v>
      </c>
      <c r="DH2133" s="160" t="s">
        <v>1182</v>
      </c>
      <c r="DI2133" s="160" t="s">
        <v>5116</v>
      </c>
      <c r="DJ2133" s="160" t="s">
        <v>5116</v>
      </c>
      <c r="DK2133" s="160" t="s">
        <v>588</v>
      </c>
      <c r="DL2133" s="160" t="s">
        <v>5055</v>
      </c>
      <c r="DM2133" s="160" t="s">
        <v>590</v>
      </c>
      <c r="DN2133" s="161" t="s">
        <v>591</v>
      </c>
      <c r="DP2133" s="130">
        <v>1</v>
      </c>
    </row>
    <row r="2134" spans="109:120" ht="15">
      <c r="DE2134" s="152"/>
      <c r="DF2134" s="160" t="s">
        <v>5117</v>
      </c>
      <c r="DG2134" s="160" t="s">
        <v>124</v>
      </c>
      <c r="DH2134" s="160" t="s">
        <v>1182</v>
      </c>
      <c r="DI2134" s="160" t="s">
        <v>5118</v>
      </c>
      <c r="DJ2134" s="160" t="s">
        <v>5118</v>
      </c>
      <c r="DK2134" s="160" t="s">
        <v>666</v>
      </c>
      <c r="DL2134" s="160" t="s">
        <v>1192</v>
      </c>
      <c r="DM2134" s="160" t="s">
        <v>590</v>
      </c>
      <c r="DN2134" s="161" t="s">
        <v>668</v>
      </c>
      <c r="DP2134" s="130">
        <v>1</v>
      </c>
    </row>
    <row r="2135" spans="109:120" ht="15">
      <c r="DE2135" s="152"/>
      <c r="DF2135" s="160" t="s">
        <v>5119</v>
      </c>
      <c r="DG2135" s="160" t="s">
        <v>124</v>
      </c>
      <c r="DH2135" s="160" t="s">
        <v>1182</v>
      </c>
      <c r="DI2135" s="160" t="s">
        <v>5120</v>
      </c>
      <c r="DJ2135" s="160" t="s">
        <v>5120</v>
      </c>
      <c r="DK2135" s="160" t="s">
        <v>588</v>
      </c>
      <c r="DL2135" s="160" t="s">
        <v>5055</v>
      </c>
      <c r="DM2135" s="160" t="s">
        <v>590</v>
      </c>
      <c r="DN2135" s="161" t="s">
        <v>591</v>
      </c>
      <c r="DP2135" s="130">
        <v>1</v>
      </c>
    </row>
    <row r="2136" spans="109:120" ht="15">
      <c r="DE2136" s="152"/>
      <c r="DF2136" s="160" t="s">
        <v>5121</v>
      </c>
      <c r="DG2136" s="160" t="s">
        <v>124</v>
      </c>
      <c r="DH2136" s="160" t="s">
        <v>1182</v>
      </c>
      <c r="DI2136" s="160" t="s">
        <v>5122</v>
      </c>
      <c r="DJ2136" s="160" t="s">
        <v>5122</v>
      </c>
      <c r="DK2136" s="160" t="s">
        <v>588</v>
      </c>
      <c r="DL2136" s="160" t="s">
        <v>5055</v>
      </c>
      <c r="DM2136" s="160" t="s">
        <v>590</v>
      </c>
      <c r="DN2136" s="161" t="s">
        <v>591</v>
      </c>
      <c r="DP2136" s="130">
        <v>1</v>
      </c>
    </row>
    <row r="2137" spans="109:120" ht="15">
      <c r="DE2137" s="152"/>
      <c r="DF2137" s="160" t="s">
        <v>5123</v>
      </c>
      <c r="DG2137" s="160" t="s">
        <v>124</v>
      </c>
      <c r="DH2137" s="160" t="s">
        <v>1182</v>
      </c>
      <c r="DI2137" s="160" t="s">
        <v>561</v>
      </c>
      <c r="DJ2137" s="160" t="s">
        <v>561</v>
      </c>
      <c r="DK2137" s="160" t="s">
        <v>588</v>
      </c>
      <c r="DL2137" s="160" t="s">
        <v>5055</v>
      </c>
      <c r="DM2137" s="160" t="s">
        <v>590</v>
      </c>
      <c r="DN2137" s="161" t="s">
        <v>591</v>
      </c>
      <c r="DP2137" s="130">
        <v>1</v>
      </c>
    </row>
    <row r="2138" spans="109:120" ht="15">
      <c r="DE2138" s="152"/>
      <c r="DF2138" s="160" t="s">
        <v>5124</v>
      </c>
      <c r="DG2138" s="160" t="s">
        <v>124</v>
      </c>
      <c r="DH2138" s="160" t="s">
        <v>1182</v>
      </c>
      <c r="DI2138" s="160" t="s">
        <v>5125</v>
      </c>
      <c r="DJ2138" s="160" t="s">
        <v>5126</v>
      </c>
      <c r="DK2138" s="160" t="s">
        <v>588</v>
      </c>
      <c r="DL2138" s="160" t="s">
        <v>5055</v>
      </c>
      <c r="DM2138" s="160" t="s">
        <v>590</v>
      </c>
      <c r="DN2138" s="161" t="s">
        <v>591</v>
      </c>
      <c r="DP2138" s="130">
        <v>1</v>
      </c>
    </row>
    <row r="2139" spans="109:120" ht="15">
      <c r="DE2139" s="152"/>
      <c r="DF2139" s="160" t="s">
        <v>5127</v>
      </c>
      <c r="DG2139" s="160" t="s">
        <v>124</v>
      </c>
      <c r="DH2139" s="160" t="s">
        <v>1182</v>
      </c>
      <c r="DI2139" s="160" t="s">
        <v>562</v>
      </c>
      <c r="DJ2139" s="160" t="s">
        <v>562</v>
      </c>
      <c r="DK2139" s="160" t="s">
        <v>588</v>
      </c>
      <c r="DL2139" s="160" t="s">
        <v>5055</v>
      </c>
      <c r="DM2139" s="160" t="s">
        <v>590</v>
      </c>
      <c r="DN2139" s="161" t="s">
        <v>591</v>
      </c>
      <c r="DP2139" s="130">
        <v>1</v>
      </c>
    </row>
    <row r="2140" spans="109:120" ht="15">
      <c r="DE2140" s="152"/>
      <c r="DF2140" s="160" t="s">
        <v>5128</v>
      </c>
      <c r="DG2140" s="160" t="s">
        <v>124</v>
      </c>
      <c r="DH2140" s="160" t="s">
        <v>1182</v>
      </c>
      <c r="DI2140" s="160" t="s">
        <v>563</v>
      </c>
      <c r="DJ2140" s="160" t="s">
        <v>563</v>
      </c>
      <c r="DK2140" s="160" t="s">
        <v>588</v>
      </c>
      <c r="DL2140" s="160" t="s">
        <v>5055</v>
      </c>
      <c r="DM2140" s="160" t="s">
        <v>590</v>
      </c>
      <c r="DN2140" s="161" t="s">
        <v>591</v>
      </c>
      <c r="DP2140" s="130">
        <v>1</v>
      </c>
    </row>
    <row r="2141" spans="109:120" ht="15">
      <c r="DE2141" s="152"/>
      <c r="DF2141" s="160" t="s">
        <v>5129</v>
      </c>
      <c r="DG2141" s="160" t="s">
        <v>124</v>
      </c>
      <c r="DH2141" s="160" t="s">
        <v>1182</v>
      </c>
      <c r="DI2141" s="160" t="s">
        <v>564</v>
      </c>
      <c r="DJ2141" s="160" t="s">
        <v>564</v>
      </c>
      <c r="DK2141" s="160" t="s">
        <v>588</v>
      </c>
      <c r="DL2141" s="160" t="s">
        <v>5055</v>
      </c>
      <c r="DM2141" s="160" t="s">
        <v>590</v>
      </c>
      <c r="DN2141" s="161" t="s">
        <v>591</v>
      </c>
      <c r="DP2141" s="130">
        <v>1</v>
      </c>
    </row>
    <row r="2142" spans="109:120" ht="15">
      <c r="DE2142" s="152"/>
      <c r="DF2142" s="160" t="s">
        <v>5130</v>
      </c>
      <c r="DG2142" s="160" t="s">
        <v>124</v>
      </c>
      <c r="DH2142" s="160" t="s">
        <v>125</v>
      </c>
      <c r="DI2142" s="160" t="s">
        <v>565</v>
      </c>
      <c r="DJ2142" s="160" t="s">
        <v>565</v>
      </c>
      <c r="DK2142" s="160" t="s">
        <v>588</v>
      </c>
      <c r="DL2142" s="160" t="s">
        <v>5131</v>
      </c>
      <c r="DM2142" s="160" t="s">
        <v>590</v>
      </c>
      <c r="DN2142" s="161" t="s">
        <v>591</v>
      </c>
      <c r="DP2142" s="130">
        <v>1</v>
      </c>
    </row>
    <row r="2143" spans="109:120" ht="15">
      <c r="DE2143" s="152"/>
      <c r="DF2143" s="160" t="s">
        <v>5132</v>
      </c>
      <c r="DG2143" s="160" t="s">
        <v>124</v>
      </c>
      <c r="DH2143" s="160" t="s">
        <v>1182</v>
      </c>
      <c r="DI2143" s="160" t="s">
        <v>5133</v>
      </c>
      <c r="DJ2143" s="160" t="s">
        <v>5133</v>
      </c>
      <c r="DK2143" s="160" t="s">
        <v>666</v>
      </c>
      <c r="DL2143" s="160" t="s">
        <v>1192</v>
      </c>
      <c r="DM2143" s="160" t="s">
        <v>590</v>
      </c>
      <c r="DN2143" s="161" t="s">
        <v>668</v>
      </c>
      <c r="DP2143" s="130">
        <v>1</v>
      </c>
    </row>
    <row r="2144" spans="109:120" ht="15">
      <c r="DE2144" s="152"/>
      <c r="DF2144" s="160" t="s">
        <v>5134</v>
      </c>
      <c r="DG2144" s="160" t="s">
        <v>124</v>
      </c>
      <c r="DH2144" s="160" t="s">
        <v>1182</v>
      </c>
      <c r="DI2144" s="160" t="s">
        <v>5135</v>
      </c>
      <c r="DJ2144" s="160" t="s">
        <v>5136</v>
      </c>
      <c r="DK2144" s="160" t="s">
        <v>588</v>
      </c>
      <c r="DL2144" s="160" t="s">
        <v>5055</v>
      </c>
      <c r="DM2144" s="160" t="s">
        <v>590</v>
      </c>
      <c r="DN2144" s="161" t="s">
        <v>591</v>
      </c>
      <c r="DP2144" s="130">
        <v>1</v>
      </c>
    </row>
    <row r="2145" spans="109:120" ht="15">
      <c r="DE2145" s="152"/>
      <c r="DF2145" s="160" t="s">
        <v>5137</v>
      </c>
      <c r="DG2145" s="160" t="s">
        <v>119</v>
      </c>
      <c r="DH2145" s="160" t="s">
        <v>125</v>
      </c>
      <c r="DI2145" s="160" t="s">
        <v>229</v>
      </c>
      <c r="DJ2145" s="160" t="s">
        <v>229</v>
      </c>
      <c r="DK2145" s="160" t="s">
        <v>588</v>
      </c>
      <c r="DL2145" s="160" t="s">
        <v>5138</v>
      </c>
      <c r="DM2145" s="160" t="s">
        <v>590</v>
      </c>
      <c r="DN2145" s="161" t="s">
        <v>591</v>
      </c>
      <c r="DP2145" s="130">
        <v>1</v>
      </c>
    </row>
    <row r="2146" spans="109:120" ht="15">
      <c r="DE2146" s="152"/>
      <c r="DF2146" s="160" t="s">
        <v>5139</v>
      </c>
      <c r="DG2146" s="160" t="s">
        <v>119</v>
      </c>
      <c r="DH2146" s="160" t="s">
        <v>125</v>
      </c>
      <c r="DI2146" s="160" t="s">
        <v>230</v>
      </c>
      <c r="DJ2146" s="160" t="s">
        <v>230</v>
      </c>
      <c r="DK2146" s="160" t="s">
        <v>588</v>
      </c>
      <c r="DL2146" s="160" t="s">
        <v>5138</v>
      </c>
      <c r="DM2146" s="160" t="s">
        <v>590</v>
      </c>
      <c r="DN2146" s="161" t="s">
        <v>591</v>
      </c>
      <c r="DP2146" s="130">
        <v>1</v>
      </c>
    </row>
    <row r="2147" spans="109:120" ht="15">
      <c r="DE2147" s="152"/>
      <c r="DF2147" s="160" t="s">
        <v>5140</v>
      </c>
      <c r="DG2147" s="160" t="s">
        <v>119</v>
      </c>
      <c r="DH2147" s="160" t="s">
        <v>125</v>
      </c>
      <c r="DI2147" s="160" t="s">
        <v>231</v>
      </c>
      <c r="DJ2147" s="160" t="s">
        <v>231</v>
      </c>
      <c r="DK2147" s="160" t="s">
        <v>588</v>
      </c>
      <c r="DL2147" s="160" t="s">
        <v>5138</v>
      </c>
      <c r="DM2147" s="160" t="s">
        <v>590</v>
      </c>
      <c r="DN2147" s="161" t="s">
        <v>591</v>
      </c>
      <c r="DP2147" s="130">
        <v>1</v>
      </c>
    </row>
    <row r="2148" spans="109:120" ht="15">
      <c r="DE2148" s="152"/>
      <c r="DF2148" s="160" t="s">
        <v>5141</v>
      </c>
      <c r="DG2148" s="160" t="s">
        <v>119</v>
      </c>
      <c r="DH2148" s="160" t="s">
        <v>125</v>
      </c>
      <c r="DI2148" s="160" t="s">
        <v>5142</v>
      </c>
      <c r="DJ2148" s="160" t="s">
        <v>5142</v>
      </c>
      <c r="DK2148" s="160" t="s">
        <v>588</v>
      </c>
      <c r="DL2148" s="160" t="s">
        <v>5138</v>
      </c>
      <c r="DM2148" s="160" t="s">
        <v>590</v>
      </c>
      <c r="DN2148" s="161" t="s">
        <v>591</v>
      </c>
      <c r="DP2148" s="130">
        <v>1</v>
      </c>
    </row>
    <row r="2149" spans="109:120" ht="15">
      <c r="DE2149" s="152"/>
      <c r="DF2149" s="160" t="s">
        <v>5143</v>
      </c>
      <c r="DG2149" s="160" t="s">
        <v>119</v>
      </c>
      <c r="DH2149" s="160" t="s">
        <v>125</v>
      </c>
      <c r="DI2149" s="160" t="s">
        <v>232</v>
      </c>
      <c r="DJ2149" s="160" t="s">
        <v>232</v>
      </c>
      <c r="DK2149" s="160" t="s">
        <v>588</v>
      </c>
      <c r="DL2149" s="160" t="s">
        <v>5138</v>
      </c>
      <c r="DM2149" s="160" t="s">
        <v>590</v>
      </c>
      <c r="DN2149" s="161" t="s">
        <v>591</v>
      </c>
      <c r="DP2149" s="130">
        <v>1</v>
      </c>
    </row>
    <row r="2150" spans="109:120" ht="15">
      <c r="DE2150" s="152"/>
      <c r="DF2150" s="160" t="s">
        <v>5144</v>
      </c>
      <c r="DG2150" s="160" t="s">
        <v>119</v>
      </c>
      <c r="DH2150" s="160" t="s">
        <v>125</v>
      </c>
      <c r="DI2150" s="160" t="s">
        <v>5145</v>
      </c>
      <c r="DJ2150" s="160" t="s">
        <v>5145</v>
      </c>
      <c r="DK2150" s="160" t="s">
        <v>588</v>
      </c>
      <c r="DL2150" s="160" t="s">
        <v>5138</v>
      </c>
      <c r="DM2150" s="160" t="s">
        <v>590</v>
      </c>
      <c r="DN2150" s="161" t="s">
        <v>591</v>
      </c>
      <c r="DP2150" s="130">
        <v>1</v>
      </c>
    </row>
    <row r="2151" spans="109:120" ht="15">
      <c r="DE2151" s="152"/>
      <c r="DF2151" s="160" t="s">
        <v>5146</v>
      </c>
      <c r="DG2151" s="160" t="s">
        <v>119</v>
      </c>
      <c r="DH2151" s="160" t="s">
        <v>125</v>
      </c>
      <c r="DI2151" s="160" t="s">
        <v>5147</v>
      </c>
      <c r="DJ2151" s="160" t="s">
        <v>5147</v>
      </c>
      <c r="DK2151" s="160" t="s">
        <v>666</v>
      </c>
      <c r="DL2151" s="160" t="s">
        <v>667</v>
      </c>
      <c r="DM2151" s="160" t="s">
        <v>590</v>
      </c>
      <c r="DN2151" s="161" t="s">
        <v>668</v>
      </c>
      <c r="DP2151" s="130">
        <v>1</v>
      </c>
    </row>
    <row r="2152" spans="109:120" ht="15">
      <c r="DE2152" s="152"/>
      <c r="DF2152" s="160" t="s">
        <v>5148</v>
      </c>
      <c r="DG2152" s="160" t="s">
        <v>119</v>
      </c>
      <c r="DH2152" s="160" t="s">
        <v>125</v>
      </c>
      <c r="DI2152" s="160" t="s">
        <v>5149</v>
      </c>
      <c r="DJ2152" s="160" t="s">
        <v>5149</v>
      </c>
      <c r="DK2152" s="160" t="s">
        <v>666</v>
      </c>
      <c r="DL2152" s="160" t="s">
        <v>667</v>
      </c>
      <c r="DM2152" s="160" t="s">
        <v>590</v>
      </c>
      <c r="DN2152" s="161" t="s">
        <v>668</v>
      </c>
      <c r="DP2152" s="130">
        <v>1</v>
      </c>
    </row>
    <row r="2153" spans="109:120" ht="15">
      <c r="DE2153" s="152"/>
      <c r="DF2153" s="160" t="s">
        <v>5150</v>
      </c>
      <c r="DG2153" s="160" t="s">
        <v>119</v>
      </c>
      <c r="DH2153" s="160" t="s">
        <v>125</v>
      </c>
      <c r="DI2153" s="160" t="s">
        <v>5151</v>
      </c>
      <c r="DJ2153" s="160" t="s">
        <v>5151</v>
      </c>
      <c r="DK2153" s="160" t="s">
        <v>588</v>
      </c>
      <c r="DL2153" s="160" t="s">
        <v>5138</v>
      </c>
      <c r="DM2153" s="160" t="s">
        <v>590</v>
      </c>
      <c r="DN2153" s="161" t="s">
        <v>591</v>
      </c>
      <c r="DP2153" s="130">
        <v>1</v>
      </c>
    </row>
    <row r="2154" spans="109:120" ht="15">
      <c r="DE2154" s="152"/>
      <c r="DF2154" s="160" t="s">
        <v>5152</v>
      </c>
      <c r="DG2154" s="160" t="s">
        <v>119</v>
      </c>
      <c r="DH2154" s="160" t="s">
        <v>125</v>
      </c>
      <c r="DI2154" s="160" t="s">
        <v>5153</v>
      </c>
      <c r="DJ2154" s="160" t="s">
        <v>233</v>
      </c>
      <c r="DK2154" s="160" t="s">
        <v>588</v>
      </c>
      <c r="DL2154" s="160" t="s">
        <v>5138</v>
      </c>
      <c r="DM2154" s="160" t="s">
        <v>590</v>
      </c>
      <c r="DN2154" s="161" t="s">
        <v>591</v>
      </c>
      <c r="DP2154" s="130">
        <v>1</v>
      </c>
    </row>
    <row r="2155" spans="109:120" ht="15">
      <c r="DE2155" s="152"/>
      <c r="DF2155" s="160" t="s">
        <v>5154</v>
      </c>
      <c r="DG2155" s="160" t="s">
        <v>119</v>
      </c>
      <c r="DH2155" s="160" t="s">
        <v>125</v>
      </c>
      <c r="DI2155" s="160" t="s">
        <v>5155</v>
      </c>
      <c r="DJ2155" s="160" t="s">
        <v>234</v>
      </c>
      <c r="DK2155" s="160" t="s">
        <v>588</v>
      </c>
      <c r="DL2155" s="160" t="s">
        <v>5138</v>
      </c>
      <c r="DM2155" s="160" t="s">
        <v>590</v>
      </c>
      <c r="DN2155" s="161" t="s">
        <v>591</v>
      </c>
      <c r="DP2155" s="130">
        <v>1</v>
      </c>
    </row>
    <row r="2156" spans="109:120" ht="15">
      <c r="DE2156" s="152"/>
      <c r="DF2156" s="160" t="s">
        <v>5156</v>
      </c>
      <c r="DG2156" s="160" t="s">
        <v>119</v>
      </c>
      <c r="DH2156" s="160" t="s">
        <v>125</v>
      </c>
      <c r="DI2156" s="160" t="s">
        <v>235</v>
      </c>
      <c r="DJ2156" s="160" t="s">
        <v>235</v>
      </c>
      <c r="DK2156" s="160" t="s">
        <v>588</v>
      </c>
      <c r="DL2156" s="160" t="s">
        <v>5138</v>
      </c>
      <c r="DM2156" s="160" t="s">
        <v>590</v>
      </c>
      <c r="DN2156" s="161" t="s">
        <v>591</v>
      </c>
      <c r="DP2156" s="130">
        <v>1</v>
      </c>
    </row>
    <row r="2157" spans="109:120" ht="15">
      <c r="DE2157" s="152"/>
      <c r="DF2157" s="160" t="s">
        <v>5157</v>
      </c>
      <c r="DG2157" s="160" t="s">
        <v>119</v>
      </c>
      <c r="DH2157" s="160" t="s">
        <v>125</v>
      </c>
      <c r="DI2157" s="160" t="s">
        <v>236</v>
      </c>
      <c r="DJ2157" s="160" t="s">
        <v>236</v>
      </c>
      <c r="DK2157" s="160" t="s">
        <v>588</v>
      </c>
      <c r="DL2157" s="160" t="s">
        <v>5138</v>
      </c>
      <c r="DM2157" s="160" t="s">
        <v>590</v>
      </c>
      <c r="DN2157" s="161" t="s">
        <v>591</v>
      </c>
      <c r="DP2157" s="130">
        <v>1</v>
      </c>
    </row>
    <row r="2158" spans="109:120" ht="15">
      <c r="DE2158" s="152"/>
      <c r="DF2158" s="160" t="s">
        <v>5158</v>
      </c>
      <c r="DG2158" s="160" t="s">
        <v>119</v>
      </c>
      <c r="DH2158" s="160" t="s">
        <v>1182</v>
      </c>
      <c r="DI2158" s="160" t="s">
        <v>1095</v>
      </c>
      <c r="DJ2158" s="160" t="s">
        <v>1095</v>
      </c>
      <c r="DK2158" s="160" t="s">
        <v>588</v>
      </c>
      <c r="DL2158" s="160" t="s">
        <v>5159</v>
      </c>
      <c r="DM2158" s="160" t="s">
        <v>590</v>
      </c>
      <c r="DN2158" s="161" t="s">
        <v>591</v>
      </c>
      <c r="DP2158" s="130">
        <v>1</v>
      </c>
    </row>
    <row r="2159" spans="109:120" ht="15">
      <c r="DE2159" s="152"/>
      <c r="DF2159" s="160" t="s">
        <v>5160</v>
      </c>
      <c r="DG2159" s="160" t="s">
        <v>119</v>
      </c>
      <c r="DH2159" s="160" t="s">
        <v>1182</v>
      </c>
      <c r="DI2159" s="160" t="s">
        <v>1155</v>
      </c>
      <c r="DJ2159" s="160" t="s">
        <v>1155</v>
      </c>
      <c r="DK2159" s="160" t="s">
        <v>588</v>
      </c>
      <c r="DL2159" s="160" t="s">
        <v>5159</v>
      </c>
      <c r="DM2159" s="160" t="s">
        <v>590</v>
      </c>
      <c r="DN2159" s="161" t="s">
        <v>591</v>
      </c>
      <c r="DP2159" s="130">
        <v>1</v>
      </c>
    </row>
    <row r="2160" spans="109:120" ht="15">
      <c r="DE2160" s="152"/>
      <c r="DF2160" s="160" t="s">
        <v>5161</v>
      </c>
      <c r="DG2160" s="160" t="s">
        <v>119</v>
      </c>
      <c r="DH2160" s="160" t="s">
        <v>1182</v>
      </c>
      <c r="DI2160" s="160" t="s">
        <v>1164</v>
      </c>
      <c r="DJ2160" s="160" t="s">
        <v>1165</v>
      </c>
      <c r="DK2160" s="160" t="s">
        <v>588</v>
      </c>
      <c r="DL2160" s="160" t="s">
        <v>5159</v>
      </c>
      <c r="DM2160" s="160" t="s">
        <v>590</v>
      </c>
      <c r="DN2160" s="161" t="s">
        <v>591</v>
      </c>
      <c r="DP2160" s="130">
        <v>1</v>
      </c>
    </row>
    <row r="2161" spans="109:120" ht="15">
      <c r="DE2161" s="152"/>
      <c r="DF2161" s="160" t="s">
        <v>5162</v>
      </c>
      <c r="DG2161" s="160" t="s">
        <v>119</v>
      </c>
      <c r="DH2161" s="160" t="s">
        <v>1182</v>
      </c>
      <c r="DI2161" s="160" t="s">
        <v>5163</v>
      </c>
      <c r="DJ2161" s="160" t="s">
        <v>5164</v>
      </c>
      <c r="DK2161" s="160" t="s">
        <v>588</v>
      </c>
      <c r="DL2161" s="160" t="s">
        <v>5159</v>
      </c>
      <c r="DM2161" s="160" t="s">
        <v>590</v>
      </c>
      <c r="DN2161" s="161" t="s">
        <v>591</v>
      </c>
      <c r="DP2161" s="130">
        <v>1</v>
      </c>
    </row>
    <row r="2162" spans="109:120" ht="15">
      <c r="DE2162" s="152"/>
      <c r="DF2162" s="160" t="s">
        <v>5165</v>
      </c>
      <c r="DG2162" s="160" t="s">
        <v>119</v>
      </c>
      <c r="DH2162" s="160" t="s">
        <v>1182</v>
      </c>
      <c r="DI2162" s="160" t="s">
        <v>3818</v>
      </c>
      <c r="DJ2162" s="160" t="s">
        <v>3819</v>
      </c>
      <c r="DK2162" s="160" t="s">
        <v>588</v>
      </c>
      <c r="DL2162" s="160" t="s">
        <v>5159</v>
      </c>
      <c r="DM2162" s="160" t="s">
        <v>590</v>
      </c>
      <c r="DN2162" s="161" t="s">
        <v>591</v>
      </c>
      <c r="DP2162" s="130">
        <v>1</v>
      </c>
    </row>
    <row r="2163" spans="109:120" ht="15">
      <c r="DE2163" s="152"/>
      <c r="DF2163" s="160" t="s">
        <v>5166</v>
      </c>
      <c r="DG2163" s="160" t="s">
        <v>119</v>
      </c>
      <c r="DH2163" s="160" t="s">
        <v>1182</v>
      </c>
      <c r="DI2163" s="160" t="s">
        <v>5167</v>
      </c>
      <c r="DJ2163" s="160" t="s">
        <v>5168</v>
      </c>
      <c r="DK2163" s="160" t="s">
        <v>588</v>
      </c>
      <c r="DL2163" s="160" t="s">
        <v>5159</v>
      </c>
      <c r="DM2163" s="160" t="s">
        <v>590</v>
      </c>
      <c r="DN2163" s="161" t="s">
        <v>591</v>
      </c>
      <c r="DP2163" s="130">
        <v>1</v>
      </c>
    </row>
    <row r="2164" spans="109:120" ht="15">
      <c r="DE2164" s="152"/>
      <c r="DF2164" s="160" t="s">
        <v>5169</v>
      </c>
      <c r="DG2164" s="160" t="s">
        <v>120</v>
      </c>
      <c r="DH2164" s="160" t="s">
        <v>125</v>
      </c>
      <c r="DI2164" s="160" t="s">
        <v>5170</v>
      </c>
      <c r="DJ2164" s="160" t="s">
        <v>5170</v>
      </c>
      <c r="DK2164" s="160" t="s">
        <v>1259</v>
      </c>
      <c r="DL2164" s="160" t="s">
        <v>1260</v>
      </c>
      <c r="DM2164" s="160" t="s">
        <v>1261</v>
      </c>
      <c r="DN2164" s="161" t="s">
        <v>5171</v>
      </c>
      <c r="DP2164" s="130">
        <v>1</v>
      </c>
    </row>
    <row r="2165" spans="109:120" ht="15">
      <c r="DE2165" s="152"/>
      <c r="DF2165" s="160" t="s">
        <v>5172</v>
      </c>
      <c r="DG2165" s="160" t="s">
        <v>120</v>
      </c>
      <c r="DH2165" s="160" t="s">
        <v>125</v>
      </c>
      <c r="DI2165" s="160" t="s">
        <v>5173</v>
      </c>
      <c r="DJ2165" s="160" t="s">
        <v>5173</v>
      </c>
      <c r="DK2165" s="160" t="s">
        <v>1259</v>
      </c>
      <c r="DL2165" s="160" t="s">
        <v>1260</v>
      </c>
      <c r="DM2165" s="160" t="s">
        <v>1261</v>
      </c>
      <c r="DN2165" s="161" t="s">
        <v>5171</v>
      </c>
      <c r="DP2165" s="130">
        <v>1</v>
      </c>
    </row>
    <row r="2166" spans="109:120" ht="15">
      <c r="DE2166" s="152"/>
      <c r="DF2166" s="160" t="s">
        <v>5174</v>
      </c>
      <c r="DG2166" s="160" t="s">
        <v>120</v>
      </c>
      <c r="DH2166" s="160" t="s">
        <v>125</v>
      </c>
      <c r="DI2166" s="160" t="s">
        <v>5175</v>
      </c>
      <c r="DJ2166" s="160" t="s">
        <v>5175</v>
      </c>
      <c r="DK2166" s="160" t="s">
        <v>1259</v>
      </c>
      <c r="DL2166" s="160" t="s">
        <v>1260</v>
      </c>
      <c r="DM2166" s="160" t="s">
        <v>1261</v>
      </c>
      <c r="DN2166" s="161" t="s">
        <v>5171</v>
      </c>
      <c r="DP2166" s="130">
        <v>1</v>
      </c>
    </row>
    <row r="2167" spans="109:120" ht="15">
      <c r="DE2167" s="152"/>
      <c r="DF2167" s="160" t="s">
        <v>5176</v>
      </c>
      <c r="DG2167" s="160" t="s">
        <v>120</v>
      </c>
      <c r="DH2167" s="160" t="s">
        <v>125</v>
      </c>
      <c r="DI2167" s="160" t="s">
        <v>539</v>
      </c>
      <c r="DJ2167" s="160" t="s">
        <v>539</v>
      </c>
      <c r="DK2167" s="160" t="s">
        <v>1259</v>
      </c>
      <c r="DL2167" s="160" t="s">
        <v>1260</v>
      </c>
      <c r="DM2167" s="160" t="s">
        <v>1261</v>
      </c>
      <c r="DN2167" s="161" t="s">
        <v>5171</v>
      </c>
      <c r="DP2167" s="130">
        <v>1</v>
      </c>
    </row>
    <row r="2168" spans="109:120" ht="15">
      <c r="DE2168" s="152"/>
      <c r="DF2168" s="160" t="s">
        <v>5177</v>
      </c>
      <c r="DG2168" s="160" t="s">
        <v>120</v>
      </c>
      <c r="DH2168" s="160" t="s">
        <v>125</v>
      </c>
      <c r="DI2168" s="160" t="s">
        <v>5178</v>
      </c>
      <c r="DJ2168" s="160" t="s">
        <v>5178</v>
      </c>
      <c r="DK2168" s="160" t="s">
        <v>1259</v>
      </c>
      <c r="DL2168" s="160" t="s">
        <v>1260</v>
      </c>
      <c r="DM2168" s="160" t="s">
        <v>1261</v>
      </c>
      <c r="DN2168" s="161" t="s">
        <v>5171</v>
      </c>
      <c r="DP2168" s="130">
        <v>1</v>
      </c>
    </row>
    <row r="2169" spans="109:120" ht="15">
      <c r="DE2169" s="152"/>
      <c r="DF2169" s="160" t="s">
        <v>5179</v>
      </c>
      <c r="DG2169" s="160" t="s">
        <v>120</v>
      </c>
      <c r="DH2169" s="160" t="s">
        <v>125</v>
      </c>
      <c r="DI2169" s="160" t="s">
        <v>540</v>
      </c>
      <c r="DJ2169" s="160" t="s">
        <v>540</v>
      </c>
      <c r="DK2169" s="160" t="s">
        <v>666</v>
      </c>
      <c r="DL2169" s="160" t="s">
        <v>5180</v>
      </c>
      <c r="DM2169" s="160" t="s">
        <v>590</v>
      </c>
      <c r="DN2169" s="161" t="s">
        <v>668</v>
      </c>
      <c r="DP2169" s="130">
        <v>1</v>
      </c>
    </row>
    <row r="2170" spans="109:120" ht="15">
      <c r="DE2170" s="152"/>
      <c r="DF2170" s="160" t="s">
        <v>5181</v>
      </c>
      <c r="DG2170" s="160" t="s">
        <v>120</v>
      </c>
      <c r="DH2170" s="160" t="s">
        <v>125</v>
      </c>
      <c r="DI2170" s="160" t="s">
        <v>5182</v>
      </c>
      <c r="DJ2170" s="160" t="s">
        <v>5182</v>
      </c>
      <c r="DK2170" s="160" t="s">
        <v>1259</v>
      </c>
      <c r="DL2170" s="160" t="s">
        <v>1260</v>
      </c>
      <c r="DM2170" s="160" t="s">
        <v>1261</v>
      </c>
      <c r="DN2170" s="161" t="s">
        <v>5171</v>
      </c>
      <c r="DP2170" s="130">
        <v>1</v>
      </c>
    </row>
    <row r="2171" spans="109:120" ht="15">
      <c r="DE2171" s="152"/>
      <c r="DF2171" s="160" t="s">
        <v>5183</v>
      </c>
      <c r="DG2171" s="160" t="s">
        <v>120</v>
      </c>
      <c r="DH2171" s="160" t="s">
        <v>125</v>
      </c>
      <c r="DI2171" s="160" t="s">
        <v>5184</v>
      </c>
      <c r="DJ2171" s="160" t="s">
        <v>5184</v>
      </c>
      <c r="DK2171" s="160" t="s">
        <v>1259</v>
      </c>
      <c r="DL2171" s="160" t="s">
        <v>1260</v>
      </c>
      <c r="DM2171" s="160" t="s">
        <v>1261</v>
      </c>
      <c r="DN2171" s="161" t="s">
        <v>5171</v>
      </c>
      <c r="DP2171" s="130">
        <v>1</v>
      </c>
    </row>
    <row r="2172" spans="109:120" ht="15">
      <c r="DE2172" s="152"/>
      <c r="DF2172" s="160" t="s">
        <v>5185</v>
      </c>
      <c r="DG2172" s="160" t="s">
        <v>120</v>
      </c>
      <c r="DH2172" s="160" t="s">
        <v>125</v>
      </c>
      <c r="DI2172" s="160" t="s">
        <v>5186</v>
      </c>
      <c r="DJ2172" s="160" t="s">
        <v>5186</v>
      </c>
      <c r="DK2172" s="160" t="s">
        <v>1259</v>
      </c>
      <c r="DL2172" s="160" t="s">
        <v>1260</v>
      </c>
      <c r="DM2172" s="160" t="s">
        <v>1261</v>
      </c>
      <c r="DN2172" s="161" t="s">
        <v>5171</v>
      </c>
      <c r="DP2172" s="130">
        <v>1</v>
      </c>
    </row>
    <row r="2173" spans="109:120" ht="15">
      <c r="DE2173" s="152"/>
      <c r="DF2173" s="160" t="s">
        <v>5187</v>
      </c>
      <c r="DG2173" s="160" t="s">
        <v>120</v>
      </c>
      <c r="DH2173" s="160" t="s">
        <v>125</v>
      </c>
      <c r="DI2173" s="160" t="s">
        <v>5188</v>
      </c>
      <c r="DJ2173" s="160" t="s">
        <v>5188</v>
      </c>
      <c r="DK2173" s="160" t="s">
        <v>1259</v>
      </c>
      <c r="DL2173" s="160" t="s">
        <v>1260</v>
      </c>
      <c r="DM2173" s="160" t="s">
        <v>1261</v>
      </c>
      <c r="DN2173" s="161" t="s">
        <v>5171</v>
      </c>
      <c r="DP2173" s="130">
        <v>1</v>
      </c>
    </row>
    <row r="2174" spans="109:120" ht="15">
      <c r="DE2174" s="152"/>
      <c r="DF2174" s="160" t="s">
        <v>5189</v>
      </c>
      <c r="DG2174" s="160" t="s">
        <v>120</v>
      </c>
      <c r="DH2174" s="160" t="s">
        <v>125</v>
      </c>
      <c r="DI2174" s="160" t="s">
        <v>5190</v>
      </c>
      <c r="DJ2174" s="160" t="s">
        <v>5190</v>
      </c>
      <c r="DK2174" s="160" t="s">
        <v>1259</v>
      </c>
      <c r="DL2174" s="160" t="s">
        <v>1260</v>
      </c>
      <c r="DM2174" s="160" t="s">
        <v>1261</v>
      </c>
      <c r="DN2174" s="161" t="s">
        <v>5171</v>
      </c>
      <c r="DP2174" s="130">
        <v>1</v>
      </c>
    </row>
    <row r="2175" spans="109:120" ht="15">
      <c r="DE2175" s="152"/>
      <c r="DF2175" s="160" t="s">
        <v>5191</v>
      </c>
      <c r="DG2175" s="160" t="s">
        <v>120</v>
      </c>
      <c r="DH2175" s="160" t="s">
        <v>125</v>
      </c>
      <c r="DI2175" s="160" t="s">
        <v>5192</v>
      </c>
      <c r="DJ2175" s="160" t="s">
        <v>5192</v>
      </c>
      <c r="DK2175" s="160" t="s">
        <v>1259</v>
      </c>
      <c r="DL2175" s="160" t="s">
        <v>1260</v>
      </c>
      <c r="DM2175" s="160" t="s">
        <v>1261</v>
      </c>
      <c r="DN2175" s="161" t="s">
        <v>5171</v>
      </c>
      <c r="DP2175" s="130">
        <v>1</v>
      </c>
    </row>
    <row r="2176" spans="109:120" ht="15">
      <c r="DE2176" s="152"/>
      <c r="DF2176" s="160" t="s">
        <v>5193</v>
      </c>
      <c r="DG2176" s="160" t="s">
        <v>120</v>
      </c>
      <c r="DH2176" s="160" t="s">
        <v>125</v>
      </c>
      <c r="DI2176" s="160" t="s">
        <v>5194</v>
      </c>
      <c r="DJ2176" s="160" t="s">
        <v>5194</v>
      </c>
      <c r="DK2176" s="160" t="s">
        <v>1259</v>
      </c>
      <c r="DL2176" s="160" t="s">
        <v>1260</v>
      </c>
      <c r="DM2176" s="160" t="s">
        <v>1261</v>
      </c>
      <c r="DN2176" s="161" t="s">
        <v>5171</v>
      </c>
      <c r="DP2176" s="130">
        <v>1</v>
      </c>
    </row>
    <row r="2177" spans="109:120" ht="15">
      <c r="DE2177" s="152"/>
      <c r="DF2177" s="160" t="s">
        <v>5195</v>
      </c>
      <c r="DG2177" s="160" t="s">
        <v>120</v>
      </c>
      <c r="DH2177" s="160" t="s">
        <v>125</v>
      </c>
      <c r="DI2177" s="160" t="s">
        <v>237</v>
      </c>
      <c r="DJ2177" s="160" t="s">
        <v>237</v>
      </c>
      <c r="DK2177" s="160" t="s">
        <v>1259</v>
      </c>
      <c r="DL2177" s="160" t="s">
        <v>1260</v>
      </c>
      <c r="DM2177" s="160" t="s">
        <v>1261</v>
      </c>
      <c r="DN2177" s="161" t="s">
        <v>5171</v>
      </c>
      <c r="DP2177" s="130">
        <v>1</v>
      </c>
    </row>
    <row r="2178" spans="109:120" ht="15">
      <c r="DE2178" s="152"/>
      <c r="DF2178" s="160" t="s">
        <v>5196</v>
      </c>
      <c r="DG2178" s="160" t="s">
        <v>120</v>
      </c>
      <c r="DH2178" s="160" t="s">
        <v>125</v>
      </c>
      <c r="DI2178" s="160" t="s">
        <v>5197</v>
      </c>
      <c r="DJ2178" s="160" t="s">
        <v>5197</v>
      </c>
      <c r="DK2178" s="160" t="s">
        <v>588</v>
      </c>
      <c r="DL2178" s="160" t="s">
        <v>5198</v>
      </c>
      <c r="DM2178" s="160" t="s">
        <v>590</v>
      </c>
      <c r="DN2178" s="161" t="s">
        <v>591</v>
      </c>
      <c r="DP2178" s="130">
        <v>1</v>
      </c>
    </row>
    <row r="2179" spans="109:120" ht="15">
      <c r="DE2179" s="152"/>
      <c r="DF2179" s="160" t="s">
        <v>5199</v>
      </c>
      <c r="DG2179" s="160" t="s">
        <v>120</v>
      </c>
      <c r="DH2179" s="160" t="s">
        <v>125</v>
      </c>
      <c r="DI2179" s="160" t="s">
        <v>5200</v>
      </c>
      <c r="DJ2179" s="160" t="s">
        <v>5200</v>
      </c>
      <c r="DK2179" s="160" t="s">
        <v>1259</v>
      </c>
      <c r="DL2179" s="160" t="s">
        <v>1260</v>
      </c>
      <c r="DM2179" s="160" t="s">
        <v>1261</v>
      </c>
      <c r="DN2179" s="161" t="s">
        <v>5171</v>
      </c>
      <c r="DP2179" s="130">
        <v>1</v>
      </c>
    </row>
    <row r="2180" spans="109:120" ht="15">
      <c r="DE2180" s="152"/>
      <c r="DF2180" s="160" t="s">
        <v>5201</v>
      </c>
      <c r="DG2180" s="160" t="s">
        <v>120</v>
      </c>
      <c r="DH2180" s="160" t="s">
        <v>125</v>
      </c>
      <c r="DI2180" s="160" t="s">
        <v>503</v>
      </c>
      <c r="DJ2180" s="160" t="s">
        <v>503</v>
      </c>
      <c r="DK2180" s="160" t="s">
        <v>1259</v>
      </c>
      <c r="DL2180" s="160" t="s">
        <v>1260</v>
      </c>
      <c r="DM2180" s="160" t="s">
        <v>1261</v>
      </c>
      <c r="DN2180" s="161" t="s">
        <v>5171</v>
      </c>
      <c r="DP2180" s="130">
        <v>1</v>
      </c>
    </row>
    <row r="2181" spans="109:120" ht="15">
      <c r="DE2181" s="152"/>
      <c r="DF2181" s="160" t="s">
        <v>5202</v>
      </c>
      <c r="DG2181" s="160" t="s">
        <v>120</v>
      </c>
      <c r="DH2181" s="160" t="s">
        <v>125</v>
      </c>
      <c r="DI2181" s="160" t="s">
        <v>504</v>
      </c>
      <c r="DJ2181" s="160" t="s">
        <v>504</v>
      </c>
      <c r="DK2181" s="160" t="s">
        <v>588</v>
      </c>
      <c r="DL2181" s="160" t="s">
        <v>5198</v>
      </c>
      <c r="DM2181" s="160" t="s">
        <v>590</v>
      </c>
      <c r="DN2181" s="161" t="s">
        <v>591</v>
      </c>
      <c r="DP2181" s="130">
        <v>1</v>
      </c>
    </row>
    <row r="2182" spans="109:120" ht="15">
      <c r="DE2182" s="152"/>
      <c r="DF2182" s="160" t="s">
        <v>5203</v>
      </c>
      <c r="DG2182" s="160" t="s">
        <v>120</v>
      </c>
      <c r="DH2182" s="160" t="s">
        <v>125</v>
      </c>
      <c r="DI2182" s="160" t="s">
        <v>5204</v>
      </c>
      <c r="DJ2182" s="160" t="s">
        <v>5204</v>
      </c>
      <c r="DK2182" s="160" t="s">
        <v>1259</v>
      </c>
      <c r="DL2182" s="160" t="s">
        <v>1260</v>
      </c>
      <c r="DM2182" s="160" t="s">
        <v>1261</v>
      </c>
      <c r="DN2182" s="161" t="s">
        <v>5171</v>
      </c>
      <c r="DP2182" s="130">
        <v>1</v>
      </c>
    </row>
    <row r="2183" spans="109:120" ht="15">
      <c r="DE2183" s="152"/>
      <c r="DF2183" s="160" t="s">
        <v>5205</v>
      </c>
      <c r="DG2183" s="160" t="s">
        <v>120</v>
      </c>
      <c r="DH2183" s="160" t="s">
        <v>125</v>
      </c>
      <c r="DI2183" s="160" t="s">
        <v>505</v>
      </c>
      <c r="DJ2183" s="160" t="s">
        <v>505</v>
      </c>
      <c r="DK2183" s="160" t="s">
        <v>1259</v>
      </c>
      <c r="DL2183" s="160" t="s">
        <v>1260</v>
      </c>
      <c r="DM2183" s="160" t="s">
        <v>1261</v>
      </c>
      <c r="DN2183" s="161" t="s">
        <v>5171</v>
      </c>
      <c r="DP2183" s="130">
        <v>1</v>
      </c>
    </row>
    <row r="2184" spans="109:120" ht="15">
      <c r="DE2184" s="152"/>
      <c r="DF2184" s="160" t="s">
        <v>5206</v>
      </c>
      <c r="DG2184" s="160" t="s">
        <v>120</v>
      </c>
      <c r="DH2184" s="160" t="s">
        <v>125</v>
      </c>
      <c r="DI2184" s="160" t="s">
        <v>506</v>
      </c>
      <c r="DJ2184" s="160" t="s">
        <v>506</v>
      </c>
      <c r="DK2184" s="160" t="s">
        <v>588</v>
      </c>
      <c r="DL2184" s="160" t="s">
        <v>5198</v>
      </c>
      <c r="DM2184" s="160" t="s">
        <v>590</v>
      </c>
      <c r="DN2184" s="161" t="s">
        <v>591</v>
      </c>
      <c r="DP2184" s="130">
        <v>1</v>
      </c>
    </row>
    <row r="2185" spans="109:120" ht="15">
      <c r="DE2185" s="152"/>
      <c r="DF2185" s="160" t="s">
        <v>5207</v>
      </c>
      <c r="DG2185" s="160" t="s">
        <v>120</v>
      </c>
      <c r="DH2185" s="160" t="s">
        <v>125</v>
      </c>
      <c r="DI2185" s="160" t="s">
        <v>5208</v>
      </c>
      <c r="DJ2185" s="160" t="s">
        <v>5208</v>
      </c>
      <c r="DK2185" s="160" t="s">
        <v>1259</v>
      </c>
      <c r="DL2185" s="160" t="s">
        <v>1260</v>
      </c>
      <c r="DM2185" s="160" t="s">
        <v>1261</v>
      </c>
      <c r="DN2185" s="161" t="s">
        <v>5171</v>
      </c>
      <c r="DP2185" s="130">
        <v>1</v>
      </c>
    </row>
    <row r="2186" spans="109:120" ht="15">
      <c r="DE2186" s="152"/>
      <c r="DF2186" s="160" t="s">
        <v>5209</v>
      </c>
      <c r="DG2186" s="160" t="s">
        <v>120</v>
      </c>
      <c r="DH2186" s="160" t="s">
        <v>125</v>
      </c>
      <c r="DI2186" s="160" t="s">
        <v>238</v>
      </c>
      <c r="DJ2186" s="160" t="s">
        <v>238</v>
      </c>
      <c r="DK2186" s="160" t="s">
        <v>1259</v>
      </c>
      <c r="DL2186" s="160" t="s">
        <v>1260</v>
      </c>
      <c r="DM2186" s="160" t="s">
        <v>1261</v>
      </c>
      <c r="DN2186" s="161" t="s">
        <v>5171</v>
      </c>
      <c r="DP2186" s="130">
        <v>1</v>
      </c>
    </row>
    <row r="2187" spans="109:120" ht="15">
      <c r="DE2187" s="152"/>
      <c r="DF2187" s="160" t="s">
        <v>5210</v>
      </c>
      <c r="DG2187" s="160" t="s">
        <v>120</v>
      </c>
      <c r="DH2187" s="160" t="s">
        <v>125</v>
      </c>
      <c r="DI2187" s="160" t="s">
        <v>239</v>
      </c>
      <c r="DJ2187" s="160" t="s">
        <v>239</v>
      </c>
      <c r="DK2187" s="160" t="s">
        <v>588</v>
      </c>
      <c r="DL2187" s="160" t="s">
        <v>5198</v>
      </c>
      <c r="DM2187" s="160" t="s">
        <v>590</v>
      </c>
      <c r="DN2187" s="161" t="s">
        <v>591</v>
      </c>
      <c r="DP2187" s="130">
        <v>1</v>
      </c>
    </row>
    <row r="2188" spans="109:120" ht="15">
      <c r="DE2188" s="152"/>
      <c r="DF2188" s="160" t="s">
        <v>5211</v>
      </c>
      <c r="DG2188" s="160" t="s">
        <v>120</v>
      </c>
      <c r="DH2188" s="160" t="s">
        <v>125</v>
      </c>
      <c r="DI2188" s="160" t="s">
        <v>240</v>
      </c>
      <c r="DJ2188" s="160" t="s">
        <v>240</v>
      </c>
      <c r="DK2188" s="160" t="s">
        <v>1259</v>
      </c>
      <c r="DL2188" s="160" t="s">
        <v>1260</v>
      </c>
      <c r="DM2188" s="160" t="s">
        <v>1261</v>
      </c>
      <c r="DN2188" s="161" t="s">
        <v>5171</v>
      </c>
      <c r="DP2188" s="130">
        <v>1</v>
      </c>
    </row>
    <row r="2189" spans="109:120" ht="15">
      <c r="DE2189" s="152"/>
      <c r="DF2189" s="160" t="s">
        <v>5212</v>
      </c>
      <c r="DG2189" s="160" t="s">
        <v>120</v>
      </c>
      <c r="DH2189" s="160" t="s">
        <v>125</v>
      </c>
      <c r="DI2189" s="160" t="s">
        <v>5213</v>
      </c>
      <c r="DJ2189" s="160" t="s">
        <v>5213</v>
      </c>
      <c r="DK2189" s="160" t="s">
        <v>1259</v>
      </c>
      <c r="DL2189" s="160" t="s">
        <v>1260</v>
      </c>
      <c r="DM2189" s="160" t="s">
        <v>1261</v>
      </c>
      <c r="DN2189" s="161" t="s">
        <v>5171</v>
      </c>
      <c r="DP2189" s="130">
        <v>1</v>
      </c>
    </row>
    <row r="2190" spans="109:120" ht="15">
      <c r="DE2190" s="152"/>
      <c r="DF2190" s="160" t="s">
        <v>5214</v>
      </c>
      <c r="DG2190" s="160" t="s">
        <v>120</v>
      </c>
      <c r="DH2190" s="160" t="s">
        <v>125</v>
      </c>
      <c r="DI2190" s="160" t="s">
        <v>5215</v>
      </c>
      <c r="DJ2190" s="160" t="s">
        <v>5215</v>
      </c>
      <c r="DK2190" s="160" t="s">
        <v>1259</v>
      </c>
      <c r="DL2190" s="160" t="s">
        <v>1260</v>
      </c>
      <c r="DM2190" s="160" t="s">
        <v>1261</v>
      </c>
      <c r="DN2190" s="161" t="s">
        <v>5171</v>
      </c>
      <c r="DP2190" s="130">
        <v>1</v>
      </c>
    </row>
    <row r="2191" spans="109:120" ht="15">
      <c r="DE2191" s="152"/>
      <c r="DF2191" s="160" t="s">
        <v>5216</v>
      </c>
      <c r="DG2191" s="160" t="s">
        <v>120</v>
      </c>
      <c r="DH2191" s="160" t="s">
        <v>125</v>
      </c>
      <c r="DI2191" s="160" t="s">
        <v>5217</v>
      </c>
      <c r="DJ2191" s="160" t="s">
        <v>5217</v>
      </c>
      <c r="DK2191" s="160" t="s">
        <v>1259</v>
      </c>
      <c r="DL2191" s="160" t="s">
        <v>1260</v>
      </c>
      <c r="DM2191" s="160" t="s">
        <v>1261</v>
      </c>
      <c r="DN2191" s="161" t="s">
        <v>5171</v>
      </c>
      <c r="DP2191" s="130">
        <v>1</v>
      </c>
    </row>
    <row r="2192" spans="109:120" ht="15">
      <c r="DE2192" s="152"/>
      <c r="DF2192" s="160" t="s">
        <v>5218</v>
      </c>
      <c r="DG2192" s="160" t="s">
        <v>120</v>
      </c>
      <c r="DH2192" s="160" t="s">
        <v>125</v>
      </c>
      <c r="DI2192" s="160" t="s">
        <v>5219</v>
      </c>
      <c r="DJ2192" s="160" t="s">
        <v>5219</v>
      </c>
      <c r="DK2192" s="160" t="s">
        <v>1259</v>
      </c>
      <c r="DL2192" s="160" t="s">
        <v>1260</v>
      </c>
      <c r="DM2192" s="160" t="s">
        <v>1261</v>
      </c>
      <c r="DN2192" s="161" t="s">
        <v>5171</v>
      </c>
      <c r="DP2192" s="130">
        <v>1</v>
      </c>
    </row>
    <row r="2193" spans="109:120" ht="15">
      <c r="DE2193" s="152"/>
      <c r="DF2193" s="160" t="s">
        <v>5220</v>
      </c>
      <c r="DG2193" s="160" t="s">
        <v>120</v>
      </c>
      <c r="DH2193" s="160" t="s">
        <v>125</v>
      </c>
      <c r="DI2193" s="160" t="s">
        <v>5221</v>
      </c>
      <c r="DJ2193" s="160" t="s">
        <v>5221</v>
      </c>
      <c r="DK2193" s="160" t="s">
        <v>1259</v>
      </c>
      <c r="DL2193" s="160" t="s">
        <v>1260</v>
      </c>
      <c r="DM2193" s="160" t="s">
        <v>1261</v>
      </c>
      <c r="DN2193" s="161" t="s">
        <v>5171</v>
      </c>
      <c r="DP2193" s="130">
        <v>1</v>
      </c>
    </row>
    <row r="2194" spans="109:120" ht="15">
      <c r="DE2194" s="152"/>
      <c r="DF2194" s="160" t="s">
        <v>5222</v>
      </c>
      <c r="DG2194" s="160" t="s">
        <v>120</v>
      </c>
      <c r="DH2194" s="160" t="s">
        <v>125</v>
      </c>
      <c r="DI2194" s="160" t="s">
        <v>5223</v>
      </c>
      <c r="DJ2194" s="160" t="s">
        <v>5223</v>
      </c>
      <c r="DK2194" s="160" t="s">
        <v>1259</v>
      </c>
      <c r="DL2194" s="160" t="s">
        <v>1260</v>
      </c>
      <c r="DM2194" s="160" t="s">
        <v>1261</v>
      </c>
      <c r="DN2194" s="161" t="s">
        <v>5171</v>
      </c>
      <c r="DP2194" s="130">
        <v>1</v>
      </c>
    </row>
    <row r="2195" spans="109:120" ht="15">
      <c r="DE2195" s="152"/>
      <c r="DF2195" s="160" t="s">
        <v>5224</v>
      </c>
      <c r="DG2195" s="160" t="s">
        <v>120</v>
      </c>
      <c r="DH2195" s="160" t="s">
        <v>125</v>
      </c>
      <c r="DI2195" s="160" t="s">
        <v>5225</v>
      </c>
      <c r="DJ2195" s="160" t="s">
        <v>5225</v>
      </c>
      <c r="DK2195" s="160" t="s">
        <v>1259</v>
      </c>
      <c r="DL2195" s="160" t="s">
        <v>1260</v>
      </c>
      <c r="DM2195" s="160" t="s">
        <v>1261</v>
      </c>
      <c r="DN2195" s="161" t="s">
        <v>5171</v>
      </c>
      <c r="DP2195" s="130">
        <v>1</v>
      </c>
    </row>
    <row r="2196" spans="109:120" ht="15">
      <c r="DE2196" s="152"/>
      <c r="DF2196" s="160" t="s">
        <v>5226</v>
      </c>
      <c r="DG2196" s="160" t="s">
        <v>120</v>
      </c>
      <c r="DH2196" s="160" t="s">
        <v>125</v>
      </c>
      <c r="DI2196" s="160" t="s">
        <v>5227</v>
      </c>
      <c r="DJ2196" s="160" t="s">
        <v>5227</v>
      </c>
      <c r="DK2196" s="160" t="s">
        <v>1259</v>
      </c>
      <c r="DL2196" s="160" t="s">
        <v>1260</v>
      </c>
      <c r="DM2196" s="160" t="s">
        <v>1261</v>
      </c>
      <c r="DN2196" s="161" t="s">
        <v>5171</v>
      </c>
      <c r="DP2196" s="130">
        <v>1</v>
      </c>
    </row>
    <row r="2197" spans="109:120" ht="15">
      <c r="DE2197" s="152"/>
      <c r="DF2197" s="160" t="s">
        <v>5228</v>
      </c>
      <c r="DG2197" s="160" t="s">
        <v>120</v>
      </c>
      <c r="DH2197" s="160" t="s">
        <v>125</v>
      </c>
      <c r="DI2197" s="160" t="s">
        <v>5229</v>
      </c>
      <c r="DJ2197" s="160" t="s">
        <v>5229</v>
      </c>
      <c r="DK2197" s="160" t="s">
        <v>1259</v>
      </c>
      <c r="DL2197" s="160" t="s">
        <v>1260</v>
      </c>
      <c r="DM2197" s="160" t="s">
        <v>1261</v>
      </c>
      <c r="DN2197" s="161" t="s">
        <v>5171</v>
      </c>
      <c r="DP2197" s="130">
        <v>1</v>
      </c>
    </row>
    <row r="2198" spans="109:120" ht="15">
      <c r="DE2198" s="152"/>
      <c r="DF2198" s="160" t="s">
        <v>5230</v>
      </c>
      <c r="DG2198" s="160" t="s">
        <v>120</v>
      </c>
      <c r="DH2198" s="160" t="s">
        <v>125</v>
      </c>
      <c r="DI2198" s="160" t="s">
        <v>5231</v>
      </c>
      <c r="DJ2198" s="160" t="s">
        <v>5231</v>
      </c>
      <c r="DK2198" s="160" t="s">
        <v>1259</v>
      </c>
      <c r="DL2198" s="160" t="s">
        <v>1260</v>
      </c>
      <c r="DM2198" s="160" t="s">
        <v>1261</v>
      </c>
      <c r="DN2198" s="161" t="s">
        <v>5171</v>
      </c>
      <c r="DP2198" s="130">
        <v>1</v>
      </c>
    </row>
    <row r="2199" spans="109:120" ht="15">
      <c r="DE2199" s="152"/>
      <c r="DF2199" s="160" t="s">
        <v>5232</v>
      </c>
      <c r="DG2199" s="160" t="s">
        <v>120</v>
      </c>
      <c r="DH2199" s="160" t="s">
        <v>125</v>
      </c>
      <c r="DI2199" s="160" t="s">
        <v>5233</v>
      </c>
      <c r="DJ2199" s="160" t="s">
        <v>5233</v>
      </c>
      <c r="DK2199" s="160" t="s">
        <v>1259</v>
      </c>
      <c r="DL2199" s="160" t="s">
        <v>1260</v>
      </c>
      <c r="DM2199" s="160" t="s">
        <v>1261</v>
      </c>
      <c r="DN2199" s="161" t="s">
        <v>5171</v>
      </c>
      <c r="DP2199" s="130">
        <v>1</v>
      </c>
    </row>
    <row r="2200" spans="109:120" ht="15">
      <c r="DE2200" s="152"/>
      <c r="DF2200" s="160" t="s">
        <v>5234</v>
      </c>
      <c r="DG2200" s="160" t="s">
        <v>120</v>
      </c>
      <c r="DH2200" s="160" t="s">
        <v>125</v>
      </c>
      <c r="DI2200" s="160" t="s">
        <v>5235</v>
      </c>
      <c r="DJ2200" s="160" t="s">
        <v>5235</v>
      </c>
      <c r="DK2200" s="160" t="s">
        <v>588</v>
      </c>
      <c r="DL2200" s="160" t="s">
        <v>5198</v>
      </c>
      <c r="DM2200" s="160" t="s">
        <v>590</v>
      </c>
      <c r="DN2200" s="161" t="s">
        <v>591</v>
      </c>
      <c r="DP2200" s="130">
        <v>1</v>
      </c>
    </row>
    <row r="2201" spans="109:120" ht="15">
      <c r="DE2201" s="152"/>
      <c r="DF2201" s="160" t="s">
        <v>5236</v>
      </c>
      <c r="DG2201" s="160" t="s">
        <v>120</v>
      </c>
      <c r="DH2201" s="160" t="s">
        <v>125</v>
      </c>
      <c r="DI2201" s="160" t="s">
        <v>5237</v>
      </c>
      <c r="DJ2201" s="160" t="s">
        <v>5237</v>
      </c>
      <c r="DK2201" s="160" t="s">
        <v>1259</v>
      </c>
      <c r="DL2201" s="160" t="s">
        <v>1260</v>
      </c>
      <c r="DM2201" s="160" t="s">
        <v>1261</v>
      </c>
      <c r="DN2201" s="161" t="s">
        <v>5171</v>
      </c>
      <c r="DP2201" s="130">
        <v>1</v>
      </c>
    </row>
    <row r="2202" spans="109:120" ht="15">
      <c r="DE2202" s="152"/>
      <c r="DF2202" s="160" t="s">
        <v>5238</v>
      </c>
      <c r="DG2202" s="160" t="s">
        <v>120</v>
      </c>
      <c r="DH2202" s="160" t="s">
        <v>125</v>
      </c>
      <c r="DI2202" s="160" t="s">
        <v>5239</v>
      </c>
      <c r="DJ2202" s="160" t="s">
        <v>5239</v>
      </c>
      <c r="DK2202" s="160" t="s">
        <v>1259</v>
      </c>
      <c r="DL2202" s="160" t="s">
        <v>1260</v>
      </c>
      <c r="DM2202" s="160" t="s">
        <v>1261</v>
      </c>
      <c r="DN2202" s="161" t="s">
        <v>5171</v>
      </c>
      <c r="DP2202" s="130">
        <v>1</v>
      </c>
    </row>
    <row r="2203" spans="109:120" ht="15">
      <c r="DE2203" s="152"/>
      <c r="DF2203" s="160" t="s">
        <v>5240</v>
      </c>
      <c r="DG2203" s="160" t="s">
        <v>120</v>
      </c>
      <c r="DH2203" s="160" t="s">
        <v>125</v>
      </c>
      <c r="DI2203" s="160" t="s">
        <v>5241</v>
      </c>
      <c r="DJ2203" s="160" t="s">
        <v>5241</v>
      </c>
      <c r="DK2203" s="160" t="s">
        <v>1259</v>
      </c>
      <c r="DL2203" s="160" t="s">
        <v>1260</v>
      </c>
      <c r="DM2203" s="160" t="s">
        <v>1261</v>
      </c>
      <c r="DN2203" s="161" t="s">
        <v>5171</v>
      </c>
      <c r="DP2203" s="130">
        <v>1</v>
      </c>
    </row>
    <row r="2204" spans="109:120" ht="15">
      <c r="DE2204" s="152"/>
      <c r="DF2204" s="160" t="s">
        <v>5242</v>
      </c>
      <c r="DG2204" s="160" t="s">
        <v>120</v>
      </c>
      <c r="DH2204" s="160" t="s">
        <v>125</v>
      </c>
      <c r="DI2204" s="160" t="s">
        <v>5243</v>
      </c>
      <c r="DJ2204" s="160" t="s">
        <v>5243</v>
      </c>
      <c r="DK2204" s="160" t="s">
        <v>1259</v>
      </c>
      <c r="DL2204" s="160" t="s">
        <v>1260</v>
      </c>
      <c r="DM2204" s="160" t="s">
        <v>1261</v>
      </c>
      <c r="DN2204" s="161" t="s">
        <v>5171</v>
      </c>
      <c r="DP2204" s="130">
        <v>1</v>
      </c>
    </row>
    <row r="2205" spans="109:120" ht="15">
      <c r="DE2205" s="152"/>
      <c r="DF2205" s="160" t="s">
        <v>5244</v>
      </c>
      <c r="DG2205" s="160" t="s">
        <v>120</v>
      </c>
      <c r="DH2205" s="160" t="s">
        <v>125</v>
      </c>
      <c r="DI2205" s="160" t="s">
        <v>5245</v>
      </c>
      <c r="DJ2205" s="160" t="s">
        <v>5245</v>
      </c>
      <c r="DK2205" s="160" t="s">
        <v>1259</v>
      </c>
      <c r="DL2205" s="160" t="s">
        <v>1260</v>
      </c>
      <c r="DM2205" s="160" t="s">
        <v>1261</v>
      </c>
      <c r="DN2205" s="161" t="s">
        <v>5171</v>
      </c>
      <c r="DP2205" s="130">
        <v>1</v>
      </c>
    </row>
    <row r="2206" spans="109:120" ht="15">
      <c r="DE2206" s="152"/>
      <c r="DF2206" s="160" t="s">
        <v>5246</v>
      </c>
      <c r="DG2206" s="160" t="s">
        <v>120</v>
      </c>
      <c r="DH2206" s="160" t="s">
        <v>125</v>
      </c>
      <c r="DI2206" s="160" t="s">
        <v>5247</v>
      </c>
      <c r="DJ2206" s="160" t="s">
        <v>5247</v>
      </c>
      <c r="DK2206" s="160" t="s">
        <v>1259</v>
      </c>
      <c r="DL2206" s="160" t="s">
        <v>1260</v>
      </c>
      <c r="DM2206" s="160" t="s">
        <v>1261</v>
      </c>
      <c r="DN2206" s="161" t="s">
        <v>5171</v>
      </c>
      <c r="DP2206" s="130">
        <v>1</v>
      </c>
    </row>
    <row r="2207" spans="109:120" ht="15">
      <c r="DE2207" s="152"/>
      <c r="DF2207" s="160" t="s">
        <v>5248</v>
      </c>
      <c r="DG2207" s="160" t="s">
        <v>120</v>
      </c>
      <c r="DH2207" s="160" t="s">
        <v>125</v>
      </c>
      <c r="DI2207" s="160" t="s">
        <v>5249</v>
      </c>
      <c r="DJ2207" s="160" t="s">
        <v>5249</v>
      </c>
      <c r="DK2207" s="160" t="s">
        <v>1259</v>
      </c>
      <c r="DL2207" s="160" t="s">
        <v>1260</v>
      </c>
      <c r="DM2207" s="160" t="s">
        <v>1261</v>
      </c>
      <c r="DN2207" s="161" t="s">
        <v>5171</v>
      </c>
      <c r="DP2207" s="130">
        <v>1</v>
      </c>
    </row>
    <row r="2208" spans="109:120" ht="15">
      <c r="DE2208" s="152"/>
      <c r="DF2208" s="160" t="s">
        <v>5250</v>
      </c>
      <c r="DG2208" s="160" t="s">
        <v>120</v>
      </c>
      <c r="DH2208" s="160" t="s">
        <v>125</v>
      </c>
      <c r="DI2208" s="160" t="s">
        <v>5251</v>
      </c>
      <c r="DJ2208" s="160" t="s">
        <v>5251</v>
      </c>
      <c r="DK2208" s="160" t="s">
        <v>666</v>
      </c>
      <c r="DL2208" s="160" t="s">
        <v>667</v>
      </c>
      <c r="DM2208" s="160" t="s">
        <v>590</v>
      </c>
      <c r="DN2208" s="161" t="s">
        <v>668</v>
      </c>
      <c r="DP2208" s="130">
        <v>1</v>
      </c>
    </row>
    <row r="2209" spans="109:120" ht="15">
      <c r="DE2209" s="152"/>
      <c r="DF2209" s="160" t="s">
        <v>5252</v>
      </c>
      <c r="DG2209" s="160" t="s">
        <v>120</v>
      </c>
      <c r="DH2209" s="160" t="s">
        <v>125</v>
      </c>
      <c r="DI2209" s="160" t="s">
        <v>5253</v>
      </c>
      <c r="DJ2209" s="160" t="s">
        <v>5253</v>
      </c>
      <c r="DK2209" s="160" t="s">
        <v>1259</v>
      </c>
      <c r="DL2209" s="160" t="s">
        <v>1260</v>
      </c>
      <c r="DM2209" s="160" t="s">
        <v>1261</v>
      </c>
      <c r="DN2209" s="161" t="s">
        <v>5171</v>
      </c>
      <c r="DP2209" s="130">
        <v>1</v>
      </c>
    </row>
    <row r="2210" spans="109:120" ht="15">
      <c r="DE2210" s="152"/>
      <c r="DF2210" s="160" t="s">
        <v>5254</v>
      </c>
      <c r="DG2210" s="160" t="s">
        <v>120</v>
      </c>
      <c r="DH2210" s="160" t="s">
        <v>125</v>
      </c>
      <c r="DI2210" s="160" t="s">
        <v>5255</v>
      </c>
      <c r="DJ2210" s="160" t="s">
        <v>5255</v>
      </c>
      <c r="DK2210" s="160" t="s">
        <v>1259</v>
      </c>
      <c r="DL2210" s="160" t="s">
        <v>1260</v>
      </c>
      <c r="DM2210" s="160" t="s">
        <v>1261</v>
      </c>
      <c r="DN2210" s="161" t="s">
        <v>5171</v>
      </c>
      <c r="DP2210" s="130">
        <v>1</v>
      </c>
    </row>
    <row r="2211" spans="109:120" ht="15">
      <c r="DE2211" s="152"/>
      <c r="DF2211" s="160" t="s">
        <v>5256</v>
      </c>
      <c r="DG2211" s="160" t="s">
        <v>120</v>
      </c>
      <c r="DH2211" s="160" t="s">
        <v>125</v>
      </c>
      <c r="DI2211" s="160" t="s">
        <v>5257</v>
      </c>
      <c r="DJ2211" s="160" t="s">
        <v>5257</v>
      </c>
      <c r="DK2211" s="160" t="s">
        <v>1259</v>
      </c>
      <c r="DL2211" s="160" t="s">
        <v>1260</v>
      </c>
      <c r="DM2211" s="160" t="s">
        <v>1261</v>
      </c>
      <c r="DN2211" s="161" t="s">
        <v>5171</v>
      </c>
      <c r="DP2211" s="130">
        <v>1</v>
      </c>
    </row>
    <row r="2212" spans="109:120" ht="15">
      <c r="DE2212" s="152"/>
      <c r="DF2212" s="160" t="s">
        <v>5258</v>
      </c>
      <c r="DG2212" s="160" t="s">
        <v>120</v>
      </c>
      <c r="DH2212" s="160" t="s">
        <v>125</v>
      </c>
      <c r="DI2212" s="160" t="s">
        <v>241</v>
      </c>
      <c r="DJ2212" s="160" t="s">
        <v>241</v>
      </c>
      <c r="DK2212" s="160" t="s">
        <v>1259</v>
      </c>
      <c r="DL2212" s="160" t="s">
        <v>1260</v>
      </c>
      <c r="DM2212" s="160" t="s">
        <v>1261</v>
      </c>
      <c r="DN2212" s="161" t="s">
        <v>5171</v>
      </c>
      <c r="DP2212" s="130">
        <v>1</v>
      </c>
    </row>
    <row r="2213" spans="109:120" ht="15">
      <c r="DE2213" s="152"/>
      <c r="DF2213" s="160" t="s">
        <v>5259</v>
      </c>
      <c r="DG2213" s="160" t="s">
        <v>120</v>
      </c>
      <c r="DH2213" s="160" t="s">
        <v>125</v>
      </c>
      <c r="DI2213" s="160" t="s">
        <v>5260</v>
      </c>
      <c r="DJ2213" s="160" t="s">
        <v>5260</v>
      </c>
      <c r="DK2213" s="160" t="s">
        <v>1259</v>
      </c>
      <c r="DL2213" s="160" t="s">
        <v>1260</v>
      </c>
      <c r="DM2213" s="160" t="s">
        <v>1261</v>
      </c>
      <c r="DN2213" s="161" t="s">
        <v>5171</v>
      </c>
      <c r="DP2213" s="130">
        <v>1</v>
      </c>
    </row>
    <row r="2214" spans="109:120" ht="15">
      <c r="DE2214" s="152"/>
      <c r="DF2214" s="160" t="s">
        <v>5261</v>
      </c>
      <c r="DG2214" s="160" t="s">
        <v>120</v>
      </c>
      <c r="DH2214" s="160" t="s">
        <v>125</v>
      </c>
      <c r="DI2214" s="160" t="s">
        <v>5262</v>
      </c>
      <c r="DJ2214" s="160" t="s">
        <v>5262</v>
      </c>
      <c r="DK2214" s="160" t="s">
        <v>1259</v>
      </c>
      <c r="DL2214" s="160" t="s">
        <v>1260</v>
      </c>
      <c r="DM2214" s="160" t="s">
        <v>1261</v>
      </c>
      <c r="DN2214" s="161" t="s">
        <v>5171</v>
      </c>
      <c r="DP2214" s="130">
        <v>1</v>
      </c>
    </row>
    <row r="2215" spans="109:120" ht="15">
      <c r="DE2215" s="152"/>
      <c r="DF2215" s="160" t="s">
        <v>5263</v>
      </c>
      <c r="DG2215" s="160" t="s">
        <v>120</v>
      </c>
      <c r="DH2215" s="160" t="s">
        <v>125</v>
      </c>
      <c r="DI2215" s="160" t="s">
        <v>242</v>
      </c>
      <c r="DJ2215" s="160" t="s">
        <v>242</v>
      </c>
      <c r="DK2215" s="160" t="s">
        <v>588</v>
      </c>
      <c r="DL2215" s="160" t="s">
        <v>5198</v>
      </c>
      <c r="DM2215" s="160" t="s">
        <v>590</v>
      </c>
      <c r="DN2215" s="161" t="s">
        <v>591</v>
      </c>
      <c r="DP2215" s="130">
        <v>1</v>
      </c>
    </row>
    <row r="2216" spans="109:120" ht="15">
      <c r="DE2216" s="152"/>
      <c r="DF2216" s="160" t="s">
        <v>5264</v>
      </c>
      <c r="DG2216" s="160" t="s">
        <v>120</v>
      </c>
      <c r="DH2216" s="160" t="s">
        <v>125</v>
      </c>
      <c r="DI2216" s="160" t="s">
        <v>5265</v>
      </c>
      <c r="DJ2216" s="160" t="s">
        <v>5265</v>
      </c>
      <c r="DK2216" s="160" t="s">
        <v>588</v>
      </c>
      <c r="DL2216" s="160" t="s">
        <v>5198</v>
      </c>
      <c r="DM2216" s="160" t="s">
        <v>590</v>
      </c>
      <c r="DN2216" s="161" t="s">
        <v>591</v>
      </c>
      <c r="DP2216" s="130">
        <v>1</v>
      </c>
    </row>
    <row r="2217" spans="109:120" ht="15">
      <c r="DE2217" s="152"/>
      <c r="DF2217" s="160" t="s">
        <v>5266</v>
      </c>
      <c r="DG2217" s="160" t="s">
        <v>120</v>
      </c>
      <c r="DH2217" s="160" t="s">
        <v>125</v>
      </c>
      <c r="DI2217" s="160" t="s">
        <v>5267</v>
      </c>
      <c r="DJ2217" s="160" t="s">
        <v>5267</v>
      </c>
      <c r="DK2217" s="160" t="s">
        <v>588</v>
      </c>
      <c r="DL2217" s="160" t="s">
        <v>5198</v>
      </c>
      <c r="DM2217" s="160" t="s">
        <v>590</v>
      </c>
      <c r="DN2217" s="161" t="s">
        <v>591</v>
      </c>
      <c r="DP2217" s="130">
        <v>1</v>
      </c>
    </row>
    <row r="2218" spans="109:120" ht="15">
      <c r="DE2218" s="152"/>
      <c r="DF2218" s="160" t="s">
        <v>5268</v>
      </c>
      <c r="DG2218" s="160" t="s">
        <v>120</v>
      </c>
      <c r="DH2218" s="160" t="s">
        <v>125</v>
      </c>
      <c r="DI2218" s="160" t="s">
        <v>243</v>
      </c>
      <c r="DJ2218" s="160" t="s">
        <v>243</v>
      </c>
      <c r="DK2218" s="160" t="s">
        <v>588</v>
      </c>
      <c r="DL2218" s="160" t="s">
        <v>5198</v>
      </c>
      <c r="DM2218" s="160" t="s">
        <v>590</v>
      </c>
      <c r="DN2218" s="161" t="s">
        <v>591</v>
      </c>
      <c r="DP2218" s="130">
        <v>1</v>
      </c>
    </row>
    <row r="2219" spans="109:120" ht="15">
      <c r="DE2219" s="152"/>
      <c r="DF2219" s="160" t="s">
        <v>5269</v>
      </c>
      <c r="DG2219" s="160" t="s">
        <v>120</v>
      </c>
      <c r="DH2219" s="160" t="s">
        <v>125</v>
      </c>
      <c r="DI2219" s="160" t="s">
        <v>244</v>
      </c>
      <c r="DJ2219" s="160" t="s">
        <v>244</v>
      </c>
      <c r="DK2219" s="160" t="s">
        <v>588</v>
      </c>
      <c r="DL2219" s="160" t="s">
        <v>5198</v>
      </c>
      <c r="DM2219" s="160" t="s">
        <v>590</v>
      </c>
      <c r="DN2219" s="161" t="s">
        <v>591</v>
      </c>
      <c r="DP2219" s="130">
        <v>1</v>
      </c>
    </row>
    <row r="2220" spans="109:120" ht="15">
      <c r="DE2220" s="152"/>
      <c r="DF2220" s="160" t="s">
        <v>5270</v>
      </c>
      <c r="DG2220" s="160" t="s">
        <v>120</v>
      </c>
      <c r="DH2220" s="160" t="s">
        <v>125</v>
      </c>
      <c r="DI2220" s="160" t="s">
        <v>5271</v>
      </c>
      <c r="DJ2220" s="160" t="s">
        <v>5271</v>
      </c>
      <c r="DK2220" s="160" t="s">
        <v>1259</v>
      </c>
      <c r="DL2220" s="160" t="s">
        <v>1260</v>
      </c>
      <c r="DM2220" s="160" t="s">
        <v>1261</v>
      </c>
      <c r="DN2220" s="161" t="s">
        <v>5171</v>
      </c>
      <c r="DP2220" s="130">
        <v>1</v>
      </c>
    </row>
    <row r="2221" spans="109:120" ht="15">
      <c r="DE2221" s="152"/>
      <c r="DF2221" s="160" t="s">
        <v>5272</v>
      </c>
      <c r="DG2221" s="160" t="s">
        <v>120</v>
      </c>
      <c r="DH2221" s="160" t="s">
        <v>125</v>
      </c>
      <c r="DI2221" s="160" t="s">
        <v>5273</v>
      </c>
      <c r="DJ2221" s="160" t="s">
        <v>5273</v>
      </c>
      <c r="DK2221" s="160" t="s">
        <v>1259</v>
      </c>
      <c r="DL2221" s="160" t="s">
        <v>1260</v>
      </c>
      <c r="DM2221" s="160" t="s">
        <v>1261</v>
      </c>
      <c r="DN2221" s="161" t="s">
        <v>5171</v>
      </c>
      <c r="DP2221" s="130">
        <v>1</v>
      </c>
    </row>
    <row r="2222" spans="109:120" ht="15">
      <c r="DE2222" s="152"/>
      <c r="DF2222" s="160" t="s">
        <v>5274</v>
      </c>
      <c r="DG2222" s="160" t="s">
        <v>120</v>
      </c>
      <c r="DH2222" s="160" t="s">
        <v>125</v>
      </c>
      <c r="DI2222" s="160" t="s">
        <v>5275</v>
      </c>
      <c r="DJ2222" s="160" t="s">
        <v>5275</v>
      </c>
      <c r="DK2222" s="160" t="s">
        <v>588</v>
      </c>
      <c r="DL2222" s="160" t="s">
        <v>5198</v>
      </c>
      <c r="DM2222" s="160" t="s">
        <v>590</v>
      </c>
      <c r="DN2222" s="161" t="s">
        <v>591</v>
      </c>
      <c r="DP2222" s="130">
        <v>1</v>
      </c>
    </row>
    <row r="2223" spans="109:120" ht="15">
      <c r="DE2223" s="152"/>
      <c r="DF2223" s="160" t="s">
        <v>5276</v>
      </c>
      <c r="DG2223" s="160" t="s">
        <v>120</v>
      </c>
      <c r="DH2223" s="160" t="s">
        <v>125</v>
      </c>
      <c r="DI2223" s="160" t="s">
        <v>5277</v>
      </c>
      <c r="DJ2223" s="160" t="s">
        <v>5277</v>
      </c>
      <c r="DK2223" s="160" t="s">
        <v>1259</v>
      </c>
      <c r="DL2223" s="160" t="s">
        <v>1260</v>
      </c>
      <c r="DM2223" s="160" t="s">
        <v>1261</v>
      </c>
      <c r="DN2223" s="161" t="s">
        <v>5171</v>
      </c>
      <c r="DP2223" s="130">
        <v>1</v>
      </c>
    </row>
    <row r="2224" spans="109:120" ht="15">
      <c r="DE2224" s="152"/>
      <c r="DF2224" s="160" t="s">
        <v>5278</v>
      </c>
      <c r="DG2224" s="160" t="s">
        <v>120</v>
      </c>
      <c r="DH2224" s="160" t="s">
        <v>125</v>
      </c>
      <c r="DI2224" s="160" t="s">
        <v>5279</v>
      </c>
      <c r="DJ2224" s="160" t="s">
        <v>5279</v>
      </c>
      <c r="DK2224" s="160" t="s">
        <v>666</v>
      </c>
      <c r="DL2224" s="160" t="s">
        <v>667</v>
      </c>
      <c r="DM2224" s="160" t="s">
        <v>590</v>
      </c>
      <c r="DN2224" s="161" t="s">
        <v>668</v>
      </c>
      <c r="DP2224" s="130">
        <v>1</v>
      </c>
    </row>
    <row r="2225" spans="109:120" ht="15">
      <c r="DE2225" s="152"/>
      <c r="DF2225" s="160" t="s">
        <v>5280</v>
      </c>
      <c r="DG2225" s="160" t="s">
        <v>120</v>
      </c>
      <c r="DH2225" s="160" t="s">
        <v>125</v>
      </c>
      <c r="DI2225" s="160" t="s">
        <v>5281</v>
      </c>
      <c r="DJ2225" s="160" t="s">
        <v>5281</v>
      </c>
      <c r="DK2225" s="160" t="s">
        <v>1259</v>
      </c>
      <c r="DL2225" s="160" t="s">
        <v>1260</v>
      </c>
      <c r="DM2225" s="160" t="s">
        <v>1261</v>
      </c>
      <c r="DN2225" s="161" t="s">
        <v>5171</v>
      </c>
      <c r="DP2225" s="130">
        <v>1</v>
      </c>
    </row>
    <row r="2226" spans="109:120" ht="15">
      <c r="DE2226" s="152"/>
      <c r="DF2226" s="160" t="s">
        <v>5282</v>
      </c>
      <c r="DG2226" s="160" t="s">
        <v>120</v>
      </c>
      <c r="DH2226" s="160" t="s">
        <v>125</v>
      </c>
      <c r="DI2226" s="160" t="s">
        <v>5283</v>
      </c>
      <c r="DJ2226" s="160" t="s">
        <v>5283</v>
      </c>
      <c r="DK2226" s="160" t="s">
        <v>1259</v>
      </c>
      <c r="DL2226" s="160" t="s">
        <v>1260</v>
      </c>
      <c r="DM2226" s="160" t="s">
        <v>1261</v>
      </c>
      <c r="DN2226" s="161" t="s">
        <v>5171</v>
      </c>
      <c r="DP2226" s="130">
        <v>1</v>
      </c>
    </row>
    <row r="2227" spans="109:120" ht="15">
      <c r="DE2227" s="152"/>
      <c r="DF2227" s="160" t="s">
        <v>5284</v>
      </c>
      <c r="DG2227" s="160" t="s">
        <v>120</v>
      </c>
      <c r="DH2227" s="160" t="s">
        <v>125</v>
      </c>
      <c r="DI2227" s="160" t="s">
        <v>5285</v>
      </c>
      <c r="DJ2227" s="160" t="s">
        <v>5285</v>
      </c>
      <c r="DK2227" s="160" t="s">
        <v>1259</v>
      </c>
      <c r="DL2227" s="160" t="s">
        <v>1260</v>
      </c>
      <c r="DM2227" s="160" t="s">
        <v>1261</v>
      </c>
      <c r="DN2227" s="161" t="s">
        <v>5171</v>
      </c>
      <c r="DP2227" s="130">
        <v>1</v>
      </c>
    </row>
    <row r="2228" spans="109:120" ht="15">
      <c r="DE2228" s="152"/>
      <c r="DF2228" s="160" t="s">
        <v>5286</v>
      </c>
      <c r="DG2228" s="160" t="s">
        <v>120</v>
      </c>
      <c r="DH2228" s="160" t="s">
        <v>125</v>
      </c>
      <c r="DI2228" s="160" t="s">
        <v>5287</v>
      </c>
      <c r="DJ2228" s="160" t="s">
        <v>5287</v>
      </c>
      <c r="DK2228" s="160" t="s">
        <v>1259</v>
      </c>
      <c r="DL2228" s="160" t="s">
        <v>1260</v>
      </c>
      <c r="DM2228" s="160" t="s">
        <v>1261</v>
      </c>
      <c r="DN2228" s="161" t="s">
        <v>5171</v>
      </c>
      <c r="DP2228" s="130">
        <v>1</v>
      </c>
    </row>
    <row r="2229" spans="109:120" ht="15">
      <c r="DE2229" s="152"/>
      <c r="DF2229" s="160" t="s">
        <v>5288</v>
      </c>
      <c r="DG2229" s="160" t="s">
        <v>120</v>
      </c>
      <c r="DH2229" s="160" t="s">
        <v>125</v>
      </c>
      <c r="DI2229" s="160" t="s">
        <v>5289</v>
      </c>
      <c r="DJ2229" s="160" t="s">
        <v>5289</v>
      </c>
      <c r="DK2229" s="160" t="s">
        <v>1259</v>
      </c>
      <c r="DL2229" s="160" t="s">
        <v>1260</v>
      </c>
      <c r="DM2229" s="160" t="s">
        <v>1261</v>
      </c>
      <c r="DN2229" s="161" t="s">
        <v>5171</v>
      </c>
      <c r="DP2229" s="130">
        <v>1</v>
      </c>
    </row>
    <row r="2230" spans="109:120" ht="15">
      <c r="DE2230" s="152"/>
      <c r="DF2230" s="160" t="s">
        <v>5290</v>
      </c>
      <c r="DG2230" s="160" t="s">
        <v>120</v>
      </c>
      <c r="DH2230" s="160" t="s">
        <v>125</v>
      </c>
      <c r="DI2230" s="160" t="s">
        <v>5291</v>
      </c>
      <c r="DJ2230" s="160" t="s">
        <v>5291</v>
      </c>
      <c r="DK2230" s="160" t="s">
        <v>1259</v>
      </c>
      <c r="DL2230" s="160" t="s">
        <v>1260</v>
      </c>
      <c r="DM2230" s="160" t="s">
        <v>1261</v>
      </c>
      <c r="DN2230" s="161" t="s">
        <v>5171</v>
      </c>
      <c r="DP2230" s="130">
        <v>1</v>
      </c>
    </row>
    <row r="2231" spans="109:120" ht="15">
      <c r="DE2231" s="152"/>
      <c r="DF2231" s="160" t="s">
        <v>5292</v>
      </c>
      <c r="DG2231" s="160" t="s">
        <v>120</v>
      </c>
      <c r="DH2231" s="160" t="s">
        <v>125</v>
      </c>
      <c r="DI2231" s="160" t="s">
        <v>5293</v>
      </c>
      <c r="DJ2231" s="160" t="s">
        <v>5293</v>
      </c>
      <c r="DK2231" s="160" t="s">
        <v>1259</v>
      </c>
      <c r="DL2231" s="160" t="s">
        <v>1260</v>
      </c>
      <c r="DM2231" s="160" t="s">
        <v>1261</v>
      </c>
      <c r="DN2231" s="161" t="s">
        <v>5171</v>
      </c>
      <c r="DP2231" s="130">
        <v>1</v>
      </c>
    </row>
    <row r="2232" spans="109:120" ht="15">
      <c r="DE2232" s="152"/>
      <c r="DF2232" s="160" t="s">
        <v>5294</v>
      </c>
      <c r="DG2232" s="160" t="s">
        <v>120</v>
      </c>
      <c r="DH2232" s="160" t="s">
        <v>125</v>
      </c>
      <c r="DI2232" s="160" t="s">
        <v>5295</v>
      </c>
      <c r="DJ2232" s="160" t="s">
        <v>5295</v>
      </c>
      <c r="DK2232" s="160" t="s">
        <v>1259</v>
      </c>
      <c r="DL2232" s="160" t="s">
        <v>1260</v>
      </c>
      <c r="DM2232" s="160" t="s">
        <v>1261</v>
      </c>
      <c r="DN2232" s="161" t="s">
        <v>5171</v>
      </c>
      <c r="DP2232" s="130">
        <v>1</v>
      </c>
    </row>
    <row r="2233" spans="109:120" ht="15">
      <c r="DE2233" s="152"/>
      <c r="DF2233" s="160" t="s">
        <v>5296</v>
      </c>
      <c r="DG2233" s="160" t="s">
        <v>120</v>
      </c>
      <c r="DH2233" s="160" t="s">
        <v>125</v>
      </c>
      <c r="DI2233" s="160" t="s">
        <v>245</v>
      </c>
      <c r="DJ2233" s="160" t="s">
        <v>245</v>
      </c>
      <c r="DK2233" s="160" t="s">
        <v>1259</v>
      </c>
      <c r="DL2233" s="160" t="s">
        <v>1260</v>
      </c>
      <c r="DM2233" s="160" t="s">
        <v>1261</v>
      </c>
      <c r="DN2233" s="161" t="s">
        <v>5171</v>
      </c>
      <c r="DP2233" s="130">
        <v>1</v>
      </c>
    </row>
    <row r="2234" spans="109:120" ht="15">
      <c r="DE2234" s="152"/>
      <c r="DF2234" s="160" t="s">
        <v>5297</v>
      </c>
      <c r="DG2234" s="160" t="s">
        <v>120</v>
      </c>
      <c r="DH2234" s="160" t="s">
        <v>125</v>
      </c>
      <c r="DI2234" s="160" t="s">
        <v>5298</v>
      </c>
      <c r="DJ2234" s="160" t="s">
        <v>5298</v>
      </c>
      <c r="DK2234" s="160" t="s">
        <v>1259</v>
      </c>
      <c r="DL2234" s="160" t="s">
        <v>1260</v>
      </c>
      <c r="DM2234" s="160" t="s">
        <v>1261</v>
      </c>
      <c r="DN2234" s="161" t="s">
        <v>5171</v>
      </c>
      <c r="DP2234" s="130">
        <v>1</v>
      </c>
    </row>
    <row r="2235" spans="109:120" ht="15">
      <c r="DE2235" s="152"/>
      <c r="DF2235" s="160" t="s">
        <v>5299</v>
      </c>
      <c r="DG2235" s="160" t="s">
        <v>120</v>
      </c>
      <c r="DH2235" s="160" t="s">
        <v>125</v>
      </c>
      <c r="DI2235" s="160" t="s">
        <v>5300</v>
      </c>
      <c r="DJ2235" s="160" t="s">
        <v>5300</v>
      </c>
      <c r="DK2235" s="160" t="s">
        <v>1259</v>
      </c>
      <c r="DL2235" s="160" t="s">
        <v>1260</v>
      </c>
      <c r="DM2235" s="160" t="s">
        <v>1261</v>
      </c>
      <c r="DN2235" s="161" t="s">
        <v>5171</v>
      </c>
      <c r="DP2235" s="130">
        <v>1</v>
      </c>
    </row>
    <row r="2236" spans="109:120" ht="15">
      <c r="DE2236" s="152"/>
      <c r="DF2236" s="160" t="s">
        <v>5301</v>
      </c>
      <c r="DG2236" s="160" t="s">
        <v>120</v>
      </c>
      <c r="DH2236" s="160" t="s">
        <v>125</v>
      </c>
      <c r="DI2236" s="160" t="s">
        <v>5302</v>
      </c>
      <c r="DJ2236" s="160" t="s">
        <v>5302</v>
      </c>
      <c r="DK2236" s="160" t="s">
        <v>1259</v>
      </c>
      <c r="DL2236" s="160" t="s">
        <v>1260</v>
      </c>
      <c r="DM2236" s="160" t="s">
        <v>1261</v>
      </c>
      <c r="DN2236" s="161" t="s">
        <v>5171</v>
      </c>
      <c r="DP2236" s="130">
        <v>1</v>
      </c>
    </row>
    <row r="2237" spans="109:120" ht="15">
      <c r="DE2237" s="152"/>
      <c r="DF2237" s="160" t="s">
        <v>5303</v>
      </c>
      <c r="DG2237" s="160" t="s">
        <v>120</v>
      </c>
      <c r="DH2237" s="160" t="s">
        <v>125</v>
      </c>
      <c r="DI2237" s="160" t="s">
        <v>5304</v>
      </c>
      <c r="DJ2237" s="160" t="s">
        <v>5304</v>
      </c>
      <c r="DK2237" s="160" t="s">
        <v>1259</v>
      </c>
      <c r="DL2237" s="160" t="s">
        <v>1260</v>
      </c>
      <c r="DM2237" s="160" t="s">
        <v>1261</v>
      </c>
      <c r="DN2237" s="161" t="s">
        <v>5171</v>
      </c>
      <c r="DP2237" s="130">
        <v>1</v>
      </c>
    </row>
    <row r="2238" spans="109:120" ht="15">
      <c r="DE2238" s="152"/>
      <c r="DF2238" s="160" t="s">
        <v>5305</v>
      </c>
      <c r="DG2238" s="160" t="s">
        <v>120</v>
      </c>
      <c r="DH2238" s="160" t="s">
        <v>125</v>
      </c>
      <c r="DI2238" s="160" t="s">
        <v>5306</v>
      </c>
      <c r="DJ2238" s="160" t="s">
        <v>5306</v>
      </c>
      <c r="DK2238" s="160" t="s">
        <v>1259</v>
      </c>
      <c r="DL2238" s="160" t="s">
        <v>1260</v>
      </c>
      <c r="DM2238" s="160" t="s">
        <v>1261</v>
      </c>
      <c r="DN2238" s="161" t="s">
        <v>5171</v>
      </c>
      <c r="DP2238" s="130">
        <v>1</v>
      </c>
    </row>
    <row r="2239" spans="109:120" ht="15">
      <c r="DE2239" s="152"/>
      <c r="DF2239" s="160" t="s">
        <v>5307</v>
      </c>
      <c r="DG2239" s="160" t="s">
        <v>120</v>
      </c>
      <c r="DH2239" s="160" t="s">
        <v>125</v>
      </c>
      <c r="DI2239" s="160" t="s">
        <v>5308</v>
      </c>
      <c r="DJ2239" s="160" t="s">
        <v>5308</v>
      </c>
      <c r="DK2239" s="160" t="s">
        <v>1259</v>
      </c>
      <c r="DL2239" s="160" t="s">
        <v>1260</v>
      </c>
      <c r="DM2239" s="160" t="s">
        <v>1261</v>
      </c>
      <c r="DN2239" s="161" t="s">
        <v>5171</v>
      </c>
      <c r="DP2239" s="130">
        <v>1</v>
      </c>
    </row>
    <row r="2240" spans="109:120" ht="15">
      <c r="DE2240" s="152"/>
      <c r="DF2240" s="160" t="s">
        <v>5309</v>
      </c>
      <c r="DG2240" s="160" t="s">
        <v>120</v>
      </c>
      <c r="DH2240" s="160" t="s">
        <v>125</v>
      </c>
      <c r="DI2240" s="160" t="s">
        <v>5310</v>
      </c>
      <c r="DJ2240" s="160" t="s">
        <v>5310</v>
      </c>
      <c r="DK2240" s="160" t="s">
        <v>1259</v>
      </c>
      <c r="DL2240" s="160" t="s">
        <v>1260</v>
      </c>
      <c r="DM2240" s="160" t="s">
        <v>1261</v>
      </c>
      <c r="DN2240" s="161" t="s">
        <v>5171</v>
      </c>
      <c r="DP2240" s="130">
        <v>1</v>
      </c>
    </row>
    <row r="2241" spans="109:120" ht="15">
      <c r="DE2241" s="152"/>
      <c r="DF2241" s="160" t="s">
        <v>5311</v>
      </c>
      <c r="DG2241" s="160" t="s">
        <v>120</v>
      </c>
      <c r="DH2241" s="160" t="s">
        <v>125</v>
      </c>
      <c r="DI2241" s="160" t="s">
        <v>5312</v>
      </c>
      <c r="DJ2241" s="160" t="s">
        <v>5312</v>
      </c>
      <c r="DK2241" s="160" t="s">
        <v>1259</v>
      </c>
      <c r="DL2241" s="160" t="s">
        <v>1260</v>
      </c>
      <c r="DM2241" s="160" t="s">
        <v>1261</v>
      </c>
      <c r="DN2241" s="161" t="s">
        <v>5171</v>
      </c>
      <c r="DP2241" s="130">
        <v>1</v>
      </c>
    </row>
    <row r="2242" spans="109:120" ht="15">
      <c r="DE2242" s="152"/>
      <c r="DF2242" s="160" t="s">
        <v>5313</v>
      </c>
      <c r="DG2242" s="160" t="s">
        <v>120</v>
      </c>
      <c r="DH2242" s="160" t="s">
        <v>125</v>
      </c>
      <c r="DI2242" s="160" t="s">
        <v>5314</v>
      </c>
      <c r="DJ2242" s="160" t="s">
        <v>5314</v>
      </c>
      <c r="DK2242" s="160" t="s">
        <v>1259</v>
      </c>
      <c r="DL2242" s="160" t="s">
        <v>1260</v>
      </c>
      <c r="DM2242" s="160" t="s">
        <v>1261</v>
      </c>
      <c r="DN2242" s="161" t="s">
        <v>5171</v>
      </c>
      <c r="DP2242" s="130">
        <v>1</v>
      </c>
    </row>
    <row r="2243" spans="109:120" ht="15">
      <c r="DE2243" s="152"/>
      <c r="DF2243" s="160" t="s">
        <v>5315</v>
      </c>
      <c r="DG2243" s="160" t="s">
        <v>120</v>
      </c>
      <c r="DH2243" s="160" t="s">
        <v>125</v>
      </c>
      <c r="DI2243" s="160" t="s">
        <v>5316</v>
      </c>
      <c r="DJ2243" s="160" t="s">
        <v>5316</v>
      </c>
      <c r="DK2243" s="160" t="s">
        <v>1259</v>
      </c>
      <c r="DL2243" s="160" t="s">
        <v>1260</v>
      </c>
      <c r="DM2243" s="160" t="s">
        <v>1261</v>
      </c>
      <c r="DN2243" s="161" t="s">
        <v>5171</v>
      </c>
      <c r="DP2243" s="130">
        <v>1</v>
      </c>
    </row>
    <row r="2244" spans="109:120" ht="15">
      <c r="DE2244" s="152"/>
      <c r="DF2244" s="160" t="s">
        <v>5317</v>
      </c>
      <c r="DG2244" s="160" t="s">
        <v>120</v>
      </c>
      <c r="DH2244" s="160" t="s">
        <v>125</v>
      </c>
      <c r="DI2244" s="160" t="s">
        <v>5318</v>
      </c>
      <c r="DJ2244" s="160" t="s">
        <v>5318</v>
      </c>
      <c r="DK2244" s="160" t="s">
        <v>1259</v>
      </c>
      <c r="DL2244" s="160" t="s">
        <v>1260</v>
      </c>
      <c r="DM2244" s="160" t="s">
        <v>1261</v>
      </c>
      <c r="DN2244" s="161" t="s">
        <v>5171</v>
      </c>
      <c r="DP2244" s="130">
        <v>1</v>
      </c>
    </row>
    <row r="2245" spans="109:120" ht="15">
      <c r="DE2245" s="152"/>
      <c r="DF2245" s="160" t="s">
        <v>5319</v>
      </c>
      <c r="DG2245" s="160" t="s">
        <v>120</v>
      </c>
      <c r="DH2245" s="160" t="s">
        <v>125</v>
      </c>
      <c r="DI2245" s="160" t="s">
        <v>246</v>
      </c>
      <c r="DJ2245" s="160" t="s">
        <v>246</v>
      </c>
      <c r="DK2245" s="160" t="s">
        <v>588</v>
      </c>
      <c r="DL2245" s="160" t="s">
        <v>5198</v>
      </c>
      <c r="DM2245" s="160" t="s">
        <v>590</v>
      </c>
      <c r="DN2245" s="161" t="s">
        <v>591</v>
      </c>
      <c r="DP2245" s="130">
        <v>1</v>
      </c>
    </row>
    <row r="2246" spans="109:120" ht="15">
      <c r="DE2246" s="152"/>
      <c r="DF2246" s="160" t="s">
        <v>5320</v>
      </c>
      <c r="DG2246" s="160" t="s">
        <v>120</v>
      </c>
      <c r="DH2246" s="160" t="s">
        <v>125</v>
      </c>
      <c r="DI2246" s="160" t="s">
        <v>5321</v>
      </c>
      <c r="DJ2246" s="160" t="s">
        <v>5321</v>
      </c>
      <c r="DK2246" s="160" t="s">
        <v>588</v>
      </c>
      <c r="DL2246" s="160" t="s">
        <v>5198</v>
      </c>
      <c r="DM2246" s="160" t="s">
        <v>590</v>
      </c>
      <c r="DN2246" s="161" t="s">
        <v>591</v>
      </c>
      <c r="DP2246" s="130">
        <v>1</v>
      </c>
    </row>
    <row r="2247" spans="109:120" ht="15">
      <c r="DE2247" s="152"/>
      <c r="DF2247" s="160" t="s">
        <v>5322</v>
      </c>
      <c r="DG2247" s="160" t="s">
        <v>120</v>
      </c>
      <c r="DH2247" s="160" t="s">
        <v>125</v>
      </c>
      <c r="DI2247" s="160" t="s">
        <v>247</v>
      </c>
      <c r="DJ2247" s="160" t="s">
        <v>247</v>
      </c>
      <c r="DK2247" s="160" t="s">
        <v>588</v>
      </c>
      <c r="DL2247" s="160" t="s">
        <v>5198</v>
      </c>
      <c r="DM2247" s="160" t="s">
        <v>590</v>
      </c>
      <c r="DN2247" s="161" t="s">
        <v>591</v>
      </c>
      <c r="DP2247" s="130">
        <v>1</v>
      </c>
    </row>
    <row r="2248" spans="109:120" ht="15">
      <c r="DE2248" s="152"/>
      <c r="DF2248" s="160" t="s">
        <v>5323</v>
      </c>
      <c r="DG2248" s="160" t="s">
        <v>120</v>
      </c>
      <c r="DH2248" s="160" t="s">
        <v>125</v>
      </c>
      <c r="DI2248" s="160" t="s">
        <v>248</v>
      </c>
      <c r="DJ2248" s="160" t="s">
        <v>248</v>
      </c>
      <c r="DK2248" s="160" t="s">
        <v>588</v>
      </c>
      <c r="DL2248" s="160" t="s">
        <v>5198</v>
      </c>
      <c r="DM2248" s="160" t="s">
        <v>590</v>
      </c>
      <c r="DN2248" s="161" t="s">
        <v>591</v>
      </c>
      <c r="DP2248" s="130">
        <v>1</v>
      </c>
    </row>
    <row r="2249" spans="109:120" ht="15">
      <c r="DE2249" s="152"/>
      <c r="DF2249" s="160" t="s">
        <v>5324</v>
      </c>
      <c r="DG2249" s="160" t="s">
        <v>120</v>
      </c>
      <c r="DH2249" s="160" t="s">
        <v>125</v>
      </c>
      <c r="DI2249" s="160" t="s">
        <v>5325</v>
      </c>
      <c r="DJ2249" s="160" t="s">
        <v>5326</v>
      </c>
      <c r="DK2249" s="160" t="s">
        <v>588</v>
      </c>
      <c r="DL2249" s="160" t="s">
        <v>5198</v>
      </c>
      <c r="DM2249" s="160" t="s">
        <v>590</v>
      </c>
      <c r="DN2249" s="161" t="s">
        <v>591</v>
      </c>
      <c r="DP2249" s="130">
        <v>1</v>
      </c>
    </row>
    <row r="2250" spans="109:120" ht="15">
      <c r="DE2250" s="152"/>
      <c r="DF2250" s="160" t="s">
        <v>5327</v>
      </c>
      <c r="DG2250" s="160" t="s">
        <v>120</v>
      </c>
      <c r="DH2250" s="160" t="s">
        <v>125</v>
      </c>
      <c r="DI2250" s="160" t="s">
        <v>5328</v>
      </c>
      <c r="DJ2250" s="160" t="s">
        <v>5328</v>
      </c>
      <c r="DK2250" s="160" t="s">
        <v>1259</v>
      </c>
      <c r="DL2250" s="160" t="s">
        <v>1260</v>
      </c>
      <c r="DM2250" s="160" t="s">
        <v>1261</v>
      </c>
      <c r="DN2250" s="161" t="s">
        <v>5171</v>
      </c>
      <c r="DP2250" s="130">
        <v>1</v>
      </c>
    </row>
    <row r="2251" spans="109:120" ht="15">
      <c r="DE2251" s="152"/>
      <c r="DF2251" s="160" t="s">
        <v>5329</v>
      </c>
      <c r="DG2251" s="160" t="s">
        <v>120</v>
      </c>
      <c r="DH2251" s="160" t="s">
        <v>125</v>
      </c>
      <c r="DI2251" s="160" t="s">
        <v>5330</v>
      </c>
      <c r="DJ2251" s="160" t="s">
        <v>5330</v>
      </c>
      <c r="DK2251" s="160" t="s">
        <v>1259</v>
      </c>
      <c r="DL2251" s="160" t="s">
        <v>1260</v>
      </c>
      <c r="DM2251" s="160" t="s">
        <v>1261</v>
      </c>
      <c r="DN2251" s="161" t="s">
        <v>5171</v>
      </c>
      <c r="DP2251" s="130">
        <v>1</v>
      </c>
    </row>
    <row r="2252" spans="109:120" ht="15">
      <c r="DE2252" s="152"/>
      <c r="DF2252" s="160" t="s">
        <v>5331</v>
      </c>
      <c r="DG2252" s="160" t="s">
        <v>120</v>
      </c>
      <c r="DH2252" s="160" t="s">
        <v>125</v>
      </c>
      <c r="DI2252" s="160" t="s">
        <v>5332</v>
      </c>
      <c r="DJ2252" s="160" t="s">
        <v>5332</v>
      </c>
      <c r="DK2252" s="160" t="s">
        <v>1259</v>
      </c>
      <c r="DL2252" s="160" t="s">
        <v>1260</v>
      </c>
      <c r="DM2252" s="160" t="s">
        <v>1261</v>
      </c>
      <c r="DN2252" s="161" t="s">
        <v>5171</v>
      </c>
      <c r="DP2252" s="130">
        <v>1</v>
      </c>
    </row>
    <row r="2253" spans="109:120" ht="15">
      <c r="DE2253" s="152"/>
      <c r="DF2253" s="160" t="s">
        <v>5333</v>
      </c>
      <c r="DG2253" s="160" t="s">
        <v>120</v>
      </c>
      <c r="DH2253" s="160" t="s">
        <v>125</v>
      </c>
      <c r="DI2253" s="160" t="s">
        <v>5334</v>
      </c>
      <c r="DJ2253" s="160" t="s">
        <v>5334</v>
      </c>
      <c r="DK2253" s="160" t="s">
        <v>588</v>
      </c>
      <c r="DL2253" s="160" t="s">
        <v>5198</v>
      </c>
      <c r="DM2253" s="160" t="s">
        <v>590</v>
      </c>
      <c r="DN2253" s="161" t="s">
        <v>591</v>
      </c>
      <c r="DP2253" s="130">
        <v>1</v>
      </c>
    </row>
    <row r="2254" spans="109:120" ht="15">
      <c r="DE2254" s="152"/>
      <c r="DF2254" s="160" t="s">
        <v>5335</v>
      </c>
      <c r="DG2254" s="160" t="s">
        <v>120</v>
      </c>
      <c r="DH2254" s="160" t="s">
        <v>125</v>
      </c>
      <c r="DI2254" s="160" t="s">
        <v>5336</v>
      </c>
      <c r="DJ2254" s="160" t="s">
        <v>5336</v>
      </c>
      <c r="DK2254" s="160" t="s">
        <v>588</v>
      </c>
      <c r="DL2254" s="160" t="s">
        <v>5198</v>
      </c>
      <c r="DM2254" s="160" t="s">
        <v>590</v>
      </c>
      <c r="DN2254" s="161" t="s">
        <v>591</v>
      </c>
      <c r="DP2254" s="130">
        <v>1</v>
      </c>
    </row>
    <row r="2255" spans="109:120" ht="15">
      <c r="DE2255" s="152"/>
      <c r="DF2255" s="160" t="s">
        <v>5337</v>
      </c>
      <c r="DG2255" s="160" t="s">
        <v>120</v>
      </c>
      <c r="DH2255" s="160" t="s">
        <v>125</v>
      </c>
      <c r="DI2255" s="160" t="s">
        <v>5338</v>
      </c>
      <c r="DJ2255" s="160" t="s">
        <v>5338</v>
      </c>
      <c r="DK2255" s="160" t="s">
        <v>1259</v>
      </c>
      <c r="DL2255" s="160" t="s">
        <v>1260</v>
      </c>
      <c r="DM2255" s="160" t="s">
        <v>1261</v>
      </c>
      <c r="DN2255" s="161" t="s">
        <v>5171</v>
      </c>
      <c r="DP2255" s="130">
        <v>1</v>
      </c>
    </row>
    <row r="2256" spans="109:120" ht="15">
      <c r="DE2256" s="152"/>
      <c r="DF2256" s="160" t="s">
        <v>5339</v>
      </c>
      <c r="DG2256" s="160" t="s">
        <v>120</v>
      </c>
      <c r="DH2256" s="160" t="s">
        <v>125</v>
      </c>
      <c r="DI2256" s="160" t="s">
        <v>5340</v>
      </c>
      <c r="DJ2256" s="160" t="s">
        <v>5340</v>
      </c>
      <c r="DK2256" s="160" t="s">
        <v>1259</v>
      </c>
      <c r="DL2256" s="160" t="s">
        <v>1260</v>
      </c>
      <c r="DM2256" s="160" t="s">
        <v>1261</v>
      </c>
      <c r="DN2256" s="161" t="s">
        <v>5171</v>
      </c>
      <c r="DP2256" s="130">
        <v>1</v>
      </c>
    </row>
    <row r="2257" spans="109:120" ht="15">
      <c r="DE2257" s="152"/>
      <c r="DF2257" s="160" t="s">
        <v>5341</v>
      </c>
      <c r="DG2257" s="160" t="s">
        <v>120</v>
      </c>
      <c r="DH2257" s="160" t="s">
        <v>125</v>
      </c>
      <c r="DI2257" s="160" t="s">
        <v>5342</v>
      </c>
      <c r="DJ2257" s="160" t="s">
        <v>5342</v>
      </c>
      <c r="DK2257" s="160" t="s">
        <v>1259</v>
      </c>
      <c r="DL2257" s="160" t="s">
        <v>1260</v>
      </c>
      <c r="DM2257" s="160" t="s">
        <v>1261</v>
      </c>
      <c r="DN2257" s="161" t="s">
        <v>5171</v>
      </c>
      <c r="DP2257" s="130">
        <v>1</v>
      </c>
    </row>
    <row r="2258" spans="109:120" ht="15">
      <c r="DE2258" s="152"/>
      <c r="DF2258" s="160" t="s">
        <v>5343</v>
      </c>
      <c r="DG2258" s="160" t="s">
        <v>120</v>
      </c>
      <c r="DH2258" s="160" t="s">
        <v>125</v>
      </c>
      <c r="DI2258" s="160" t="s">
        <v>5344</v>
      </c>
      <c r="DJ2258" s="160" t="s">
        <v>5344</v>
      </c>
      <c r="DK2258" s="160" t="s">
        <v>1259</v>
      </c>
      <c r="DL2258" s="160" t="s">
        <v>1260</v>
      </c>
      <c r="DM2258" s="160" t="s">
        <v>1261</v>
      </c>
      <c r="DN2258" s="161" t="s">
        <v>5171</v>
      </c>
      <c r="DP2258" s="130">
        <v>1</v>
      </c>
    </row>
    <row r="2259" spans="109:120" ht="15">
      <c r="DE2259" s="152"/>
      <c r="DF2259" s="160" t="s">
        <v>5345</v>
      </c>
      <c r="DG2259" s="160" t="s">
        <v>120</v>
      </c>
      <c r="DH2259" s="160" t="s">
        <v>125</v>
      </c>
      <c r="DI2259" s="160" t="s">
        <v>5346</v>
      </c>
      <c r="DJ2259" s="160" t="s">
        <v>5346</v>
      </c>
      <c r="DK2259" s="160" t="s">
        <v>1259</v>
      </c>
      <c r="DL2259" s="160" t="s">
        <v>1260</v>
      </c>
      <c r="DM2259" s="160" t="s">
        <v>1261</v>
      </c>
      <c r="DN2259" s="161" t="s">
        <v>5171</v>
      </c>
      <c r="DP2259" s="130">
        <v>1</v>
      </c>
    </row>
    <row r="2260" spans="109:120" ht="15">
      <c r="DE2260" s="152"/>
      <c r="DF2260" s="160" t="s">
        <v>5347</v>
      </c>
      <c r="DG2260" s="160" t="s">
        <v>120</v>
      </c>
      <c r="DH2260" s="160" t="s">
        <v>125</v>
      </c>
      <c r="DI2260" s="160" t="s">
        <v>5348</v>
      </c>
      <c r="DJ2260" s="160" t="s">
        <v>249</v>
      </c>
      <c r="DK2260" s="160" t="s">
        <v>588</v>
      </c>
      <c r="DL2260" s="160" t="s">
        <v>5198</v>
      </c>
      <c r="DM2260" s="160" t="s">
        <v>590</v>
      </c>
      <c r="DN2260" s="161" t="s">
        <v>591</v>
      </c>
      <c r="DP2260" s="130">
        <v>1</v>
      </c>
    </row>
    <row r="2261" spans="109:120" ht="15">
      <c r="DE2261" s="152"/>
      <c r="DF2261" s="160" t="s">
        <v>5349</v>
      </c>
      <c r="DG2261" s="160" t="s">
        <v>120</v>
      </c>
      <c r="DH2261" s="160" t="s">
        <v>125</v>
      </c>
      <c r="DI2261" s="160" t="s">
        <v>5350</v>
      </c>
      <c r="DJ2261" s="160" t="s">
        <v>5350</v>
      </c>
      <c r="DK2261" s="160" t="s">
        <v>1259</v>
      </c>
      <c r="DL2261" s="160" t="s">
        <v>1260</v>
      </c>
      <c r="DM2261" s="160" t="s">
        <v>1261</v>
      </c>
      <c r="DN2261" s="161" t="s">
        <v>5171</v>
      </c>
      <c r="DP2261" s="130">
        <v>1</v>
      </c>
    </row>
    <row r="2262" spans="109:120" ht="15">
      <c r="DE2262" s="152"/>
      <c r="DF2262" s="160" t="s">
        <v>5351</v>
      </c>
      <c r="DG2262" s="160" t="s">
        <v>120</v>
      </c>
      <c r="DH2262" s="160" t="s">
        <v>125</v>
      </c>
      <c r="DI2262" s="160" t="s">
        <v>5352</v>
      </c>
      <c r="DJ2262" s="160" t="s">
        <v>5352</v>
      </c>
      <c r="DK2262" s="160" t="s">
        <v>1259</v>
      </c>
      <c r="DL2262" s="160" t="s">
        <v>1260</v>
      </c>
      <c r="DM2262" s="160" t="s">
        <v>1261</v>
      </c>
      <c r="DN2262" s="161" t="s">
        <v>5171</v>
      </c>
      <c r="DP2262" s="130">
        <v>1</v>
      </c>
    </row>
    <row r="2263" spans="109:120" ht="15">
      <c r="DE2263" s="152"/>
      <c r="DF2263" s="160" t="s">
        <v>5353</v>
      </c>
      <c r="DG2263" s="160" t="s">
        <v>120</v>
      </c>
      <c r="DH2263" s="160" t="s">
        <v>125</v>
      </c>
      <c r="DI2263" s="160" t="s">
        <v>5354</v>
      </c>
      <c r="DJ2263" s="160" t="s">
        <v>5354</v>
      </c>
      <c r="DK2263" s="160" t="s">
        <v>1259</v>
      </c>
      <c r="DL2263" s="160" t="s">
        <v>1260</v>
      </c>
      <c r="DM2263" s="160" t="s">
        <v>1261</v>
      </c>
      <c r="DN2263" s="161" t="s">
        <v>5171</v>
      </c>
      <c r="DP2263" s="130">
        <v>1</v>
      </c>
    </row>
    <row r="2264" spans="109:120" ht="15">
      <c r="DE2264" s="152"/>
      <c r="DF2264" s="160" t="s">
        <v>5355</v>
      </c>
      <c r="DG2264" s="160" t="s">
        <v>120</v>
      </c>
      <c r="DH2264" s="160" t="s">
        <v>125</v>
      </c>
      <c r="DI2264" s="160" t="s">
        <v>5356</v>
      </c>
      <c r="DJ2264" s="160" t="s">
        <v>5356</v>
      </c>
      <c r="DK2264" s="160" t="s">
        <v>1259</v>
      </c>
      <c r="DL2264" s="160" t="s">
        <v>1260</v>
      </c>
      <c r="DM2264" s="160" t="s">
        <v>1261</v>
      </c>
      <c r="DN2264" s="161" t="s">
        <v>5171</v>
      </c>
      <c r="DP2264" s="130">
        <v>1</v>
      </c>
    </row>
    <row r="2265" spans="109:120" ht="15">
      <c r="DE2265" s="152"/>
      <c r="DF2265" s="160" t="s">
        <v>5357</v>
      </c>
      <c r="DG2265" s="160" t="s">
        <v>120</v>
      </c>
      <c r="DH2265" s="160" t="s">
        <v>125</v>
      </c>
      <c r="DI2265" s="160" t="s">
        <v>5358</v>
      </c>
      <c r="DJ2265" s="160" t="s">
        <v>5358</v>
      </c>
      <c r="DK2265" s="160" t="s">
        <v>1259</v>
      </c>
      <c r="DL2265" s="160" t="s">
        <v>1260</v>
      </c>
      <c r="DM2265" s="160" t="s">
        <v>1261</v>
      </c>
      <c r="DN2265" s="161" t="s">
        <v>5171</v>
      </c>
      <c r="DP2265" s="130">
        <v>1</v>
      </c>
    </row>
    <row r="2266" spans="109:120" ht="15">
      <c r="DE2266" s="152"/>
      <c r="DF2266" s="160" t="s">
        <v>5359</v>
      </c>
      <c r="DG2266" s="160" t="s">
        <v>120</v>
      </c>
      <c r="DH2266" s="160" t="s">
        <v>125</v>
      </c>
      <c r="DI2266" s="160" t="s">
        <v>5360</v>
      </c>
      <c r="DJ2266" s="160" t="s">
        <v>5360</v>
      </c>
      <c r="DK2266" s="160" t="s">
        <v>1259</v>
      </c>
      <c r="DL2266" s="160" t="s">
        <v>1260</v>
      </c>
      <c r="DM2266" s="160" t="s">
        <v>1261</v>
      </c>
      <c r="DN2266" s="161" t="s">
        <v>5171</v>
      </c>
      <c r="DP2266" s="130">
        <v>1</v>
      </c>
    </row>
    <row r="2267" spans="109:120" ht="15">
      <c r="DE2267" s="152"/>
      <c r="DF2267" s="160" t="s">
        <v>5361</v>
      </c>
      <c r="DG2267" s="160" t="s">
        <v>120</v>
      </c>
      <c r="DH2267" s="160" t="s">
        <v>125</v>
      </c>
      <c r="DI2267" s="160" t="s">
        <v>5362</v>
      </c>
      <c r="DJ2267" s="160" t="s">
        <v>5362</v>
      </c>
      <c r="DK2267" s="160" t="s">
        <v>1259</v>
      </c>
      <c r="DL2267" s="160" t="s">
        <v>1260</v>
      </c>
      <c r="DM2267" s="160" t="s">
        <v>1261</v>
      </c>
      <c r="DN2267" s="161" t="s">
        <v>5171</v>
      </c>
      <c r="DP2267" s="130">
        <v>1</v>
      </c>
    </row>
    <row r="2268" spans="109:120" ht="15">
      <c r="DE2268" s="152"/>
      <c r="DF2268" s="160" t="s">
        <v>5363</v>
      </c>
      <c r="DG2268" s="160" t="s">
        <v>120</v>
      </c>
      <c r="DH2268" s="160" t="s">
        <v>125</v>
      </c>
      <c r="DI2268" s="160" t="s">
        <v>5364</v>
      </c>
      <c r="DJ2268" s="160" t="s">
        <v>5364</v>
      </c>
      <c r="DK2268" s="160" t="s">
        <v>1259</v>
      </c>
      <c r="DL2268" s="160" t="s">
        <v>1260</v>
      </c>
      <c r="DM2268" s="160" t="s">
        <v>1261</v>
      </c>
      <c r="DN2268" s="161" t="s">
        <v>5171</v>
      </c>
      <c r="DP2268" s="130">
        <v>1</v>
      </c>
    </row>
    <row r="2269" spans="109:120" ht="15">
      <c r="DE2269" s="152"/>
      <c r="DF2269" s="160" t="s">
        <v>5365</v>
      </c>
      <c r="DG2269" s="160" t="s">
        <v>120</v>
      </c>
      <c r="DH2269" s="160" t="s">
        <v>125</v>
      </c>
      <c r="DI2269" s="160" t="s">
        <v>5366</v>
      </c>
      <c r="DJ2269" s="160" t="s">
        <v>5366</v>
      </c>
      <c r="DK2269" s="160" t="s">
        <v>1259</v>
      </c>
      <c r="DL2269" s="160" t="s">
        <v>1260</v>
      </c>
      <c r="DM2269" s="160" t="s">
        <v>1261</v>
      </c>
      <c r="DN2269" s="161" t="s">
        <v>5171</v>
      </c>
      <c r="DP2269" s="130">
        <v>1</v>
      </c>
    </row>
    <row r="2270" spans="109:120" ht="15">
      <c r="DE2270" s="152"/>
      <c r="DF2270" s="160" t="s">
        <v>5367</v>
      </c>
      <c r="DG2270" s="160" t="s">
        <v>120</v>
      </c>
      <c r="DH2270" s="160" t="s">
        <v>125</v>
      </c>
      <c r="DI2270" s="160" t="s">
        <v>5368</v>
      </c>
      <c r="DJ2270" s="160" t="s">
        <v>5368</v>
      </c>
      <c r="DK2270" s="160" t="s">
        <v>1259</v>
      </c>
      <c r="DL2270" s="160" t="s">
        <v>1260</v>
      </c>
      <c r="DM2270" s="160" t="s">
        <v>1261</v>
      </c>
      <c r="DN2270" s="161" t="s">
        <v>5171</v>
      </c>
      <c r="DP2270" s="130">
        <v>1</v>
      </c>
    </row>
    <row r="2271" spans="109:120" ht="15">
      <c r="DE2271" s="152"/>
      <c r="DF2271" s="160" t="s">
        <v>5369</v>
      </c>
      <c r="DG2271" s="160" t="s">
        <v>120</v>
      </c>
      <c r="DH2271" s="160" t="s">
        <v>125</v>
      </c>
      <c r="DI2271" s="160" t="s">
        <v>5370</v>
      </c>
      <c r="DJ2271" s="160" t="s">
        <v>5370</v>
      </c>
      <c r="DK2271" s="160" t="s">
        <v>1259</v>
      </c>
      <c r="DL2271" s="160" t="s">
        <v>1260</v>
      </c>
      <c r="DM2271" s="160" t="s">
        <v>1261</v>
      </c>
      <c r="DN2271" s="161" t="s">
        <v>5171</v>
      </c>
      <c r="DP2271" s="130">
        <v>1</v>
      </c>
    </row>
    <row r="2272" spans="109:120" ht="15">
      <c r="DE2272" s="152"/>
      <c r="DF2272" s="160" t="s">
        <v>5371</v>
      </c>
      <c r="DG2272" s="160" t="s">
        <v>120</v>
      </c>
      <c r="DH2272" s="160" t="s">
        <v>125</v>
      </c>
      <c r="DI2272" s="160" t="s">
        <v>5372</v>
      </c>
      <c r="DJ2272" s="160" t="s">
        <v>250</v>
      </c>
      <c r="DK2272" s="160" t="s">
        <v>588</v>
      </c>
      <c r="DL2272" s="160" t="s">
        <v>5198</v>
      </c>
      <c r="DM2272" s="160" t="s">
        <v>590</v>
      </c>
      <c r="DN2272" s="161" t="s">
        <v>591</v>
      </c>
      <c r="DP2272" s="130">
        <v>1</v>
      </c>
    </row>
    <row r="2273" spans="109:120" ht="15">
      <c r="DE2273" s="152"/>
      <c r="DF2273" s="160" t="s">
        <v>5373</v>
      </c>
      <c r="DG2273" s="160" t="s">
        <v>120</v>
      </c>
      <c r="DH2273" s="160" t="s">
        <v>125</v>
      </c>
      <c r="DI2273" s="160" t="s">
        <v>5374</v>
      </c>
      <c r="DJ2273" s="160" t="s">
        <v>5374</v>
      </c>
      <c r="DK2273" s="160" t="s">
        <v>1259</v>
      </c>
      <c r="DL2273" s="160" t="s">
        <v>1260</v>
      </c>
      <c r="DM2273" s="160" t="s">
        <v>1261</v>
      </c>
      <c r="DN2273" s="161" t="s">
        <v>5171</v>
      </c>
      <c r="DP2273" s="130">
        <v>1</v>
      </c>
    </row>
    <row r="2274" spans="109:120" ht="15">
      <c r="DE2274" s="152"/>
      <c r="DF2274" s="160" t="s">
        <v>5375</v>
      </c>
      <c r="DG2274" s="160" t="s">
        <v>120</v>
      </c>
      <c r="DH2274" s="160" t="s">
        <v>125</v>
      </c>
      <c r="DI2274" s="160" t="s">
        <v>5376</v>
      </c>
      <c r="DJ2274" s="160" t="s">
        <v>5376</v>
      </c>
      <c r="DK2274" s="160" t="s">
        <v>1259</v>
      </c>
      <c r="DL2274" s="160" t="s">
        <v>1260</v>
      </c>
      <c r="DM2274" s="160" t="s">
        <v>1261</v>
      </c>
      <c r="DN2274" s="161" t="s">
        <v>5171</v>
      </c>
      <c r="DP2274" s="130">
        <v>1</v>
      </c>
    </row>
    <row r="2275" spans="109:120" ht="15">
      <c r="DE2275" s="152"/>
      <c r="DF2275" s="160" t="s">
        <v>5377</v>
      </c>
      <c r="DG2275" s="160" t="s">
        <v>120</v>
      </c>
      <c r="DH2275" s="160" t="s">
        <v>125</v>
      </c>
      <c r="DI2275" s="160" t="s">
        <v>5378</v>
      </c>
      <c r="DJ2275" s="160" t="s">
        <v>5378</v>
      </c>
      <c r="DK2275" s="160" t="s">
        <v>588</v>
      </c>
      <c r="DL2275" s="160" t="s">
        <v>5198</v>
      </c>
      <c r="DM2275" s="160" t="s">
        <v>590</v>
      </c>
      <c r="DN2275" s="161" t="s">
        <v>591</v>
      </c>
      <c r="DP2275" s="130">
        <v>1</v>
      </c>
    </row>
    <row r="2276" spans="109:120" ht="15">
      <c r="DE2276" s="152"/>
      <c r="DF2276" s="160" t="s">
        <v>5379</v>
      </c>
      <c r="DG2276" s="160" t="s">
        <v>120</v>
      </c>
      <c r="DH2276" s="160" t="s">
        <v>125</v>
      </c>
      <c r="DI2276" s="160" t="s">
        <v>5380</v>
      </c>
      <c r="DJ2276" s="160" t="s">
        <v>5380</v>
      </c>
      <c r="DK2276" s="160" t="s">
        <v>1259</v>
      </c>
      <c r="DL2276" s="160" t="s">
        <v>1260</v>
      </c>
      <c r="DM2276" s="160" t="s">
        <v>1261</v>
      </c>
      <c r="DN2276" s="161" t="s">
        <v>5171</v>
      </c>
      <c r="DP2276" s="130">
        <v>1</v>
      </c>
    </row>
    <row r="2277" spans="109:120" ht="15">
      <c r="DE2277" s="152"/>
      <c r="DF2277" s="160" t="s">
        <v>5381</v>
      </c>
      <c r="DG2277" s="160" t="s">
        <v>120</v>
      </c>
      <c r="DH2277" s="160" t="s">
        <v>125</v>
      </c>
      <c r="DI2277" s="160" t="s">
        <v>5382</v>
      </c>
      <c r="DJ2277" s="160" t="s">
        <v>5382</v>
      </c>
      <c r="DK2277" s="160" t="s">
        <v>1259</v>
      </c>
      <c r="DL2277" s="160" t="s">
        <v>1260</v>
      </c>
      <c r="DM2277" s="160" t="s">
        <v>1261</v>
      </c>
      <c r="DN2277" s="161" t="s">
        <v>5171</v>
      </c>
      <c r="DP2277" s="130">
        <v>1</v>
      </c>
    </row>
    <row r="2278" spans="109:120" ht="15">
      <c r="DE2278" s="152"/>
      <c r="DF2278" s="160" t="s">
        <v>5383</v>
      </c>
      <c r="DG2278" s="160" t="s">
        <v>120</v>
      </c>
      <c r="DH2278" s="160" t="s">
        <v>125</v>
      </c>
      <c r="DI2278" s="160" t="s">
        <v>5384</v>
      </c>
      <c r="DJ2278" s="160" t="s">
        <v>5384</v>
      </c>
      <c r="DK2278" s="160" t="s">
        <v>1259</v>
      </c>
      <c r="DL2278" s="160" t="s">
        <v>1260</v>
      </c>
      <c r="DM2278" s="160" t="s">
        <v>1261</v>
      </c>
      <c r="DN2278" s="161" t="s">
        <v>5171</v>
      </c>
      <c r="DP2278" s="130">
        <v>1</v>
      </c>
    </row>
    <row r="2279" spans="109:120" ht="15">
      <c r="DE2279" s="152"/>
      <c r="DF2279" s="160" t="s">
        <v>5385</v>
      </c>
      <c r="DG2279" s="160" t="s">
        <v>120</v>
      </c>
      <c r="DH2279" s="160" t="s">
        <v>125</v>
      </c>
      <c r="DI2279" s="160" t="s">
        <v>5386</v>
      </c>
      <c r="DJ2279" s="160" t="s">
        <v>5386</v>
      </c>
      <c r="DK2279" s="160" t="s">
        <v>1259</v>
      </c>
      <c r="DL2279" s="160" t="s">
        <v>1260</v>
      </c>
      <c r="DM2279" s="160" t="s">
        <v>1261</v>
      </c>
      <c r="DN2279" s="161" t="s">
        <v>5171</v>
      </c>
      <c r="DP2279" s="130">
        <v>1</v>
      </c>
    </row>
    <row r="2280" spans="109:120" ht="15">
      <c r="DE2280" s="152"/>
      <c r="DF2280" s="160" t="s">
        <v>5387</v>
      </c>
      <c r="DG2280" s="160" t="s">
        <v>120</v>
      </c>
      <c r="DH2280" s="160" t="s">
        <v>125</v>
      </c>
      <c r="DI2280" s="160" t="s">
        <v>5388</v>
      </c>
      <c r="DJ2280" s="160" t="s">
        <v>5388</v>
      </c>
      <c r="DK2280" s="160" t="s">
        <v>1259</v>
      </c>
      <c r="DL2280" s="160" t="s">
        <v>1260</v>
      </c>
      <c r="DM2280" s="160" t="s">
        <v>1261</v>
      </c>
      <c r="DN2280" s="161" t="s">
        <v>5171</v>
      </c>
      <c r="DP2280" s="130">
        <v>1</v>
      </c>
    </row>
    <row r="2281" spans="109:120" ht="15">
      <c r="DE2281" s="152"/>
      <c r="DF2281" s="160" t="s">
        <v>5389</v>
      </c>
      <c r="DG2281" s="160" t="s">
        <v>120</v>
      </c>
      <c r="DH2281" s="160" t="s">
        <v>125</v>
      </c>
      <c r="DI2281" s="160" t="s">
        <v>5390</v>
      </c>
      <c r="DJ2281" s="160" t="s">
        <v>5390</v>
      </c>
      <c r="DK2281" s="160" t="s">
        <v>1259</v>
      </c>
      <c r="DL2281" s="160" t="s">
        <v>1260</v>
      </c>
      <c r="DM2281" s="160" t="s">
        <v>1261</v>
      </c>
      <c r="DN2281" s="161" t="s">
        <v>5171</v>
      </c>
      <c r="DP2281" s="130">
        <v>1</v>
      </c>
    </row>
    <row r="2282" spans="109:120" ht="15">
      <c r="DE2282" s="152"/>
      <c r="DF2282" s="160" t="s">
        <v>5391</v>
      </c>
      <c r="DG2282" s="160" t="s">
        <v>120</v>
      </c>
      <c r="DH2282" s="160" t="s">
        <v>125</v>
      </c>
      <c r="DI2282" s="160" t="s">
        <v>5392</v>
      </c>
      <c r="DJ2282" s="160" t="s">
        <v>5392</v>
      </c>
      <c r="DK2282" s="160" t="s">
        <v>1259</v>
      </c>
      <c r="DL2282" s="160" t="s">
        <v>1260</v>
      </c>
      <c r="DM2282" s="160" t="s">
        <v>1261</v>
      </c>
      <c r="DN2282" s="161" t="s">
        <v>5171</v>
      </c>
      <c r="DP2282" s="130">
        <v>1</v>
      </c>
    </row>
    <row r="2283" spans="109:120" ht="15">
      <c r="DE2283" s="152"/>
      <c r="DF2283" s="160" t="s">
        <v>5393</v>
      </c>
      <c r="DG2283" s="160" t="s">
        <v>120</v>
      </c>
      <c r="DH2283" s="160" t="s">
        <v>125</v>
      </c>
      <c r="DI2283" s="160" t="s">
        <v>5394</v>
      </c>
      <c r="DJ2283" s="160" t="s">
        <v>5394</v>
      </c>
      <c r="DK2283" s="160" t="s">
        <v>1259</v>
      </c>
      <c r="DL2283" s="160" t="s">
        <v>1260</v>
      </c>
      <c r="DM2283" s="160" t="s">
        <v>1261</v>
      </c>
      <c r="DN2283" s="161" t="s">
        <v>5171</v>
      </c>
      <c r="DP2283" s="130">
        <v>1</v>
      </c>
    </row>
    <row r="2284" spans="109:120" ht="15">
      <c r="DE2284" s="152"/>
      <c r="DF2284" s="160" t="s">
        <v>5395</v>
      </c>
      <c r="DG2284" s="160" t="s">
        <v>120</v>
      </c>
      <c r="DH2284" s="160" t="s">
        <v>125</v>
      </c>
      <c r="DI2284" s="160" t="s">
        <v>5396</v>
      </c>
      <c r="DJ2284" s="160" t="s">
        <v>5396</v>
      </c>
      <c r="DK2284" s="160" t="s">
        <v>1259</v>
      </c>
      <c r="DL2284" s="160" t="s">
        <v>1260</v>
      </c>
      <c r="DM2284" s="160" t="s">
        <v>1261</v>
      </c>
      <c r="DN2284" s="161" t="s">
        <v>5171</v>
      </c>
      <c r="DP2284" s="130">
        <v>1</v>
      </c>
    </row>
    <row r="2285" spans="109:120" ht="15">
      <c r="DE2285" s="152"/>
      <c r="DF2285" s="160" t="s">
        <v>5397</v>
      </c>
      <c r="DG2285" s="160" t="s">
        <v>120</v>
      </c>
      <c r="DH2285" s="160" t="s">
        <v>125</v>
      </c>
      <c r="DI2285" s="160" t="s">
        <v>5398</v>
      </c>
      <c r="DJ2285" s="160" t="s">
        <v>5398</v>
      </c>
      <c r="DK2285" s="160" t="s">
        <v>1259</v>
      </c>
      <c r="DL2285" s="160" t="s">
        <v>1260</v>
      </c>
      <c r="DM2285" s="160" t="s">
        <v>1261</v>
      </c>
      <c r="DN2285" s="161" t="s">
        <v>5171</v>
      </c>
      <c r="DP2285" s="130">
        <v>1</v>
      </c>
    </row>
    <row r="2286" spans="109:120" ht="15">
      <c r="DE2286" s="152"/>
      <c r="DF2286" s="160" t="s">
        <v>5399</v>
      </c>
      <c r="DG2286" s="160" t="s">
        <v>120</v>
      </c>
      <c r="DH2286" s="160" t="s">
        <v>125</v>
      </c>
      <c r="DI2286" s="160" t="s">
        <v>5400</v>
      </c>
      <c r="DJ2286" s="160" t="s">
        <v>5400</v>
      </c>
      <c r="DK2286" s="160" t="s">
        <v>1259</v>
      </c>
      <c r="DL2286" s="160" t="s">
        <v>1260</v>
      </c>
      <c r="DM2286" s="160" t="s">
        <v>1261</v>
      </c>
      <c r="DN2286" s="161" t="s">
        <v>5171</v>
      </c>
      <c r="DP2286" s="130">
        <v>1</v>
      </c>
    </row>
    <row r="2287" spans="109:120" ht="15">
      <c r="DE2287" s="152"/>
      <c r="DF2287" s="160" t="s">
        <v>5401</v>
      </c>
      <c r="DG2287" s="160" t="s">
        <v>120</v>
      </c>
      <c r="DH2287" s="160" t="s">
        <v>125</v>
      </c>
      <c r="DI2287" s="160" t="s">
        <v>5402</v>
      </c>
      <c r="DJ2287" s="160" t="s">
        <v>5402</v>
      </c>
      <c r="DK2287" s="160" t="s">
        <v>1259</v>
      </c>
      <c r="DL2287" s="160" t="s">
        <v>1260</v>
      </c>
      <c r="DM2287" s="160" t="s">
        <v>1261</v>
      </c>
      <c r="DN2287" s="161" t="s">
        <v>5171</v>
      </c>
      <c r="DP2287" s="130">
        <v>1</v>
      </c>
    </row>
    <row r="2288" spans="109:120" ht="15">
      <c r="DE2288" s="152"/>
      <c r="DF2288" s="160" t="s">
        <v>5403</v>
      </c>
      <c r="DG2288" s="160" t="s">
        <v>120</v>
      </c>
      <c r="DH2288" s="160" t="s">
        <v>125</v>
      </c>
      <c r="DI2288" s="160" t="s">
        <v>5404</v>
      </c>
      <c r="DJ2288" s="160" t="s">
        <v>5404</v>
      </c>
      <c r="DK2288" s="160" t="s">
        <v>1259</v>
      </c>
      <c r="DL2288" s="160" t="s">
        <v>1260</v>
      </c>
      <c r="DM2288" s="160" t="s">
        <v>1261</v>
      </c>
      <c r="DN2288" s="161" t="s">
        <v>5171</v>
      </c>
      <c r="DP2288" s="130">
        <v>1</v>
      </c>
    </row>
    <row r="2289" spans="109:120" ht="15">
      <c r="DE2289" s="152"/>
      <c r="DF2289" s="160" t="s">
        <v>5405</v>
      </c>
      <c r="DG2289" s="160" t="s">
        <v>120</v>
      </c>
      <c r="DH2289" s="160" t="s">
        <v>125</v>
      </c>
      <c r="DI2289" s="160" t="s">
        <v>5406</v>
      </c>
      <c r="DJ2289" s="160" t="s">
        <v>5406</v>
      </c>
      <c r="DK2289" s="160" t="s">
        <v>666</v>
      </c>
      <c r="DL2289" s="160" t="s">
        <v>667</v>
      </c>
      <c r="DM2289" s="160" t="s">
        <v>590</v>
      </c>
      <c r="DN2289" s="161" t="s">
        <v>668</v>
      </c>
      <c r="DP2289" s="130">
        <v>1</v>
      </c>
    </row>
    <row r="2290" spans="109:120" ht="15">
      <c r="DE2290" s="152"/>
      <c r="DF2290" s="160" t="s">
        <v>5407</v>
      </c>
      <c r="DG2290" s="160" t="s">
        <v>120</v>
      </c>
      <c r="DH2290" s="160" t="s">
        <v>125</v>
      </c>
      <c r="DI2290" s="160" t="s">
        <v>5408</v>
      </c>
      <c r="DJ2290" s="160" t="s">
        <v>5408</v>
      </c>
      <c r="DK2290" s="160" t="s">
        <v>666</v>
      </c>
      <c r="DL2290" s="160" t="s">
        <v>667</v>
      </c>
      <c r="DM2290" s="160" t="s">
        <v>590</v>
      </c>
      <c r="DN2290" s="161" t="s">
        <v>668</v>
      </c>
      <c r="DP2290" s="130">
        <v>1</v>
      </c>
    </row>
    <row r="2291" spans="109:120" ht="15">
      <c r="DE2291" s="152"/>
      <c r="DF2291" s="160" t="s">
        <v>5409</v>
      </c>
      <c r="DG2291" s="160" t="s">
        <v>120</v>
      </c>
      <c r="DH2291" s="160" t="s">
        <v>125</v>
      </c>
      <c r="DI2291" s="160" t="s">
        <v>251</v>
      </c>
      <c r="DJ2291" s="160" t="s">
        <v>251</v>
      </c>
      <c r="DK2291" s="160" t="s">
        <v>588</v>
      </c>
      <c r="DL2291" s="160" t="s">
        <v>5198</v>
      </c>
      <c r="DM2291" s="160" t="s">
        <v>590</v>
      </c>
      <c r="DN2291" s="161" t="s">
        <v>591</v>
      </c>
      <c r="DP2291" s="130">
        <v>1</v>
      </c>
    </row>
    <row r="2292" spans="109:120" ht="15">
      <c r="DE2292" s="152"/>
      <c r="DF2292" s="160" t="s">
        <v>5410</v>
      </c>
      <c r="DG2292" s="160" t="s">
        <v>120</v>
      </c>
      <c r="DH2292" s="160" t="s">
        <v>125</v>
      </c>
      <c r="DI2292" s="160" t="s">
        <v>252</v>
      </c>
      <c r="DJ2292" s="160" t="s">
        <v>252</v>
      </c>
      <c r="DK2292" s="160" t="s">
        <v>588</v>
      </c>
      <c r="DL2292" s="160" t="s">
        <v>5198</v>
      </c>
      <c r="DM2292" s="160" t="s">
        <v>590</v>
      </c>
      <c r="DN2292" s="161" t="s">
        <v>591</v>
      </c>
      <c r="DP2292" s="130">
        <v>1</v>
      </c>
    </row>
    <row r="2293" spans="109:120" ht="15">
      <c r="DE2293" s="152"/>
      <c r="DF2293" s="160" t="s">
        <v>5411</v>
      </c>
      <c r="DG2293" s="160" t="s">
        <v>120</v>
      </c>
      <c r="DH2293" s="160" t="s">
        <v>125</v>
      </c>
      <c r="DI2293" s="160" t="s">
        <v>5412</v>
      </c>
      <c r="DJ2293" s="160" t="s">
        <v>5412</v>
      </c>
      <c r="DK2293" s="160" t="s">
        <v>1259</v>
      </c>
      <c r="DL2293" s="160" t="s">
        <v>1260</v>
      </c>
      <c r="DM2293" s="160" t="s">
        <v>1261</v>
      </c>
      <c r="DN2293" s="161" t="s">
        <v>5171</v>
      </c>
      <c r="DP2293" s="130">
        <v>1</v>
      </c>
    </row>
    <row r="2294" spans="109:120" ht="15">
      <c r="DE2294" s="152"/>
      <c r="DF2294" s="160" t="s">
        <v>5413</v>
      </c>
      <c r="DG2294" s="160" t="s">
        <v>120</v>
      </c>
      <c r="DH2294" s="160" t="s">
        <v>125</v>
      </c>
      <c r="DI2294" s="160" t="s">
        <v>5414</v>
      </c>
      <c r="DJ2294" s="160" t="s">
        <v>5414</v>
      </c>
      <c r="DK2294" s="160" t="s">
        <v>1259</v>
      </c>
      <c r="DL2294" s="160" t="s">
        <v>1260</v>
      </c>
      <c r="DM2294" s="160" t="s">
        <v>1261</v>
      </c>
      <c r="DN2294" s="161" t="s">
        <v>5171</v>
      </c>
      <c r="DP2294" s="130">
        <v>1</v>
      </c>
    </row>
    <row r="2295" spans="109:120" ht="15">
      <c r="DE2295" s="152"/>
      <c r="DF2295" s="160" t="s">
        <v>5415</v>
      </c>
      <c r="DG2295" s="160" t="s">
        <v>120</v>
      </c>
      <c r="DH2295" s="160" t="s">
        <v>125</v>
      </c>
      <c r="DI2295" s="160" t="s">
        <v>5416</v>
      </c>
      <c r="DJ2295" s="160" t="s">
        <v>5416</v>
      </c>
      <c r="DK2295" s="160" t="s">
        <v>1259</v>
      </c>
      <c r="DL2295" s="160" t="s">
        <v>1260</v>
      </c>
      <c r="DM2295" s="160" t="s">
        <v>1261</v>
      </c>
      <c r="DN2295" s="161" t="s">
        <v>5171</v>
      </c>
      <c r="DP2295" s="130">
        <v>1</v>
      </c>
    </row>
    <row r="2296" spans="109:120" ht="15">
      <c r="DE2296" s="152"/>
      <c r="DF2296" s="160" t="s">
        <v>5417</v>
      </c>
      <c r="DG2296" s="160" t="s">
        <v>120</v>
      </c>
      <c r="DH2296" s="160" t="s">
        <v>125</v>
      </c>
      <c r="DI2296" s="160" t="s">
        <v>5418</v>
      </c>
      <c r="DJ2296" s="160" t="s">
        <v>5418</v>
      </c>
      <c r="DK2296" s="160" t="s">
        <v>1259</v>
      </c>
      <c r="DL2296" s="160" t="s">
        <v>1260</v>
      </c>
      <c r="DM2296" s="160" t="s">
        <v>1261</v>
      </c>
      <c r="DN2296" s="161" t="s">
        <v>5171</v>
      </c>
      <c r="DP2296" s="130">
        <v>1</v>
      </c>
    </row>
    <row r="2297" spans="109:120" ht="15">
      <c r="DE2297" s="152"/>
      <c r="DF2297" s="160" t="s">
        <v>5419</v>
      </c>
      <c r="DG2297" s="160" t="s">
        <v>120</v>
      </c>
      <c r="DH2297" s="160" t="s">
        <v>125</v>
      </c>
      <c r="DI2297" s="160" t="s">
        <v>5420</v>
      </c>
      <c r="DJ2297" s="160" t="s">
        <v>5420</v>
      </c>
      <c r="DK2297" s="160" t="s">
        <v>1259</v>
      </c>
      <c r="DL2297" s="160" t="s">
        <v>1260</v>
      </c>
      <c r="DM2297" s="160" t="s">
        <v>1261</v>
      </c>
      <c r="DN2297" s="161" t="s">
        <v>5171</v>
      </c>
      <c r="DP2297" s="130">
        <v>1</v>
      </c>
    </row>
    <row r="2298" spans="109:120" ht="15">
      <c r="DE2298" s="152"/>
      <c r="DF2298" s="160" t="s">
        <v>5421</v>
      </c>
      <c r="DG2298" s="160" t="s">
        <v>120</v>
      </c>
      <c r="DH2298" s="160" t="s">
        <v>125</v>
      </c>
      <c r="DI2298" s="160" t="s">
        <v>5422</v>
      </c>
      <c r="DJ2298" s="160" t="s">
        <v>5422</v>
      </c>
      <c r="DK2298" s="160" t="s">
        <v>1259</v>
      </c>
      <c r="DL2298" s="160" t="s">
        <v>1260</v>
      </c>
      <c r="DM2298" s="160" t="s">
        <v>1261</v>
      </c>
      <c r="DN2298" s="161" t="s">
        <v>5171</v>
      </c>
      <c r="DP2298" s="130">
        <v>1</v>
      </c>
    </row>
    <row r="2299" spans="109:120" ht="15">
      <c r="DE2299" s="152"/>
      <c r="DF2299" s="160" t="s">
        <v>5423</v>
      </c>
      <c r="DG2299" s="160" t="s">
        <v>120</v>
      </c>
      <c r="DH2299" s="160" t="s">
        <v>125</v>
      </c>
      <c r="DI2299" s="160" t="s">
        <v>5424</v>
      </c>
      <c r="DJ2299" s="160" t="s">
        <v>5424</v>
      </c>
      <c r="DK2299" s="160" t="s">
        <v>1259</v>
      </c>
      <c r="DL2299" s="160" t="s">
        <v>1260</v>
      </c>
      <c r="DM2299" s="160" t="s">
        <v>1261</v>
      </c>
      <c r="DN2299" s="161" t="s">
        <v>5171</v>
      </c>
      <c r="DP2299" s="130">
        <v>1</v>
      </c>
    </row>
    <row r="2300" spans="109:120" ht="15">
      <c r="DE2300" s="152"/>
      <c r="DF2300" s="160" t="s">
        <v>5425</v>
      </c>
      <c r="DG2300" s="160" t="s">
        <v>120</v>
      </c>
      <c r="DH2300" s="160" t="s">
        <v>125</v>
      </c>
      <c r="DI2300" s="160" t="s">
        <v>5426</v>
      </c>
      <c r="DJ2300" s="160" t="s">
        <v>5426</v>
      </c>
      <c r="DK2300" s="160" t="s">
        <v>1259</v>
      </c>
      <c r="DL2300" s="160" t="s">
        <v>1260</v>
      </c>
      <c r="DM2300" s="160" t="s">
        <v>1261</v>
      </c>
      <c r="DN2300" s="161" t="s">
        <v>5171</v>
      </c>
      <c r="DP2300" s="130">
        <v>1</v>
      </c>
    </row>
    <row r="2301" spans="109:120" ht="15">
      <c r="DE2301" s="152"/>
      <c r="DF2301" s="160" t="s">
        <v>5427</v>
      </c>
      <c r="DG2301" s="160" t="s">
        <v>120</v>
      </c>
      <c r="DH2301" s="160" t="s">
        <v>125</v>
      </c>
      <c r="DI2301" s="160" t="s">
        <v>5428</v>
      </c>
      <c r="DJ2301" s="160" t="s">
        <v>5428</v>
      </c>
      <c r="DK2301" s="160" t="s">
        <v>1259</v>
      </c>
      <c r="DL2301" s="160" t="s">
        <v>1260</v>
      </c>
      <c r="DM2301" s="160" t="s">
        <v>1261</v>
      </c>
      <c r="DN2301" s="161" t="s">
        <v>5171</v>
      </c>
      <c r="DP2301" s="130">
        <v>1</v>
      </c>
    </row>
    <row r="2302" spans="109:120" ht="15">
      <c r="DE2302" s="152"/>
      <c r="DF2302" s="160" t="s">
        <v>5429</v>
      </c>
      <c r="DG2302" s="160" t="s">
        <v>120</v>
      </c>
      <c r="DH2302" s="160" t="s">
        <v>125</v>
      </c>
      <c r="DI2302" s="160" t="s">
        <v>5430</v>
      </c>
      <c r="DJ2302" s="160" t="s">
        <v>5430</v>
      </c>
      <c r="DK2302" s="160" t="s">
        <v>1259</v>
      </c>
      <c r="DL2302" s="160" t="s">
        <v>1260</v>
      </c>
      <c r="DM2302" s="160" t="s">
        <v>1261</v>
      </c>
      <c r="DN2302" s="161" t="s">
        <v>5171</v>
      </c>
      <c r="DP2302" s="130">
        <v>1</v>
      </c>
    </row>
    <row r="2303" spans="109:120" ht="15">
      <c r="DE2303" s="152"/>
      <c r="DF2303" s="160" t="s">
        <v>5431</v>
      </c>
      <c r="DG2303" s="160" t="s">
        <v>120</v>
      </c>
      <c r="DH2303" s="160" t="s">
        <v>125</v>
      </c>
      <c r="DI2303" s="160" t="s">
        <v>5432</v>
      </c>
      <c r="DJ2303" s="160" t="s">
        <v>5432</v>
      </c>
      <c r="DK2303" s="160" t="s">
        <v>1259</v>
      </c>
      <c r="DL2303" s="160" t="s">
        <v>1260</v>
      </c>
      <c r="DM2303" s="160" t="s">
        <v>1261</v>
      </c>
      <c r="DN2303" s="161" t="s">
        <v>5171</v>
      </c>
      <c r="DP2303" s="130">
        <v>1</v>
      </c>
    </row>
    <row r="2304" spans="109:120" ht="15">
      <c r="DE2304" s="152"/>
      <c r="DF2304" s="160" t="s">
        <v>5433</v>
      </c>
      <c r="DG2304" s="160" t="s">
        <v>120</v>
      </c>
      <c r="DH2304" s="160" t="s">
        <v>125</v>
      </c>
      <c r="DI2304" s="160" t="s">
        <v>253</v>
      </c>
      <c r="DJ2304" s="160" t="s">
        <v>253</v>
      </c>
      <c r="DK2304" s="160" t="s">
        <v>588</v>
      </c>
      <c r="DL2304" s="160" t="s">
        <v>5198</v>
      </c>
      <c r="DM2304" s="160" t="s">
        <v>590</v>
      </c>
      <c r="DN2304" s="161" t="s">
        <v>591</v>
      </c>
      <c r="DP2304" s="130">
        <v>1</v>
      </c>
    </row>
    <row r="2305" spans="109:120" ht="15">
      <c r="DE2305" s="152"/>
      <c r="DF2305" s="160" t="s">
        <v>5434</v>
      </c>
      <c r="DG2305" s="160" t="s">
        <v>120</v>
      </c>
      <c r="DH2305" s="160" t="s">
        <v>125</v>
      </c>
      <c r="DI2305" s="160" t="s">
        <v>5435</v>
      </c>
      <c r="DJ2305" s="160" t="s">
        <v>5435</v>
      </c>
      <c r="DK2305" s="160" t="s">
        <v>1259</v>
      </c>
      <c r="DL2305" s="160" t="s">
        <v>1260</v>
      </c>
      <c r="DM2305" s="160" t="s">
        <v>1261</v>
      </c>
      <c r="DN2305" s="161" t="s">
        <v>5171</v>
      </c>
      <c r="DP2305" s="130">
        <v>1</v>
      </c>
    </row>
    <row r="2306" spans="109:120" ht="15">
      <c r="DE2306" s="152"/>
      <c r="DF2306" s="160" t="s">
        <v>5436</v>
      </c>
      <c r="DG2306" s="160" t="s">
        <v>120</v>
      </c>
      <c r="DH2306" s="160" t="s">
        <v>125</v>
      </c>
      <c r="DI2306" s="160" t="s">
        <v>5437</v>
      </c>
      <c r="DJ2306" s="160" t="s">
        <v>5437</v>
      </c>
      <c r="DK2306" s="160" t="s">
        <v>666</v>
      </c>
      <c r="DL2306" s="160" t="s">
        <v>667</v>
      </c>
      <c r="DM2306" s="160" t="s">
        <v>590</v>
      </c>
      <c r="DN2306" s="161" t="s">
        <v>668</v>
      </c>
      <c r="DP2306" s="130">
        <v>1</v>
      </c>
    </row>
    <row r="2307" spans="109:120" ht="15">
      <c r="DE2307" s="152"/>
      <c r="DF2307" s="160" t="s">
        <v>5438</v>
      </c>
      <c r="DG2307" s="160" t="s">
        <v>120</v>
      </c>
      <c r="DH2307" s="160" t="s">
        <v>125</v>
      </c>
      <c r="DI2307" s="160" t="s">
        <v>5439</v>
      </c>
      <c r="DJ2307" s="160" t="s">
        <v>5439</v>
      </c>
      <c r="DK2307" s="160" t="s">
        <v>666</v>
      </c>
      <c r="DL2307" s="160" t="s">
        <v>667</v>
      </c>
      <c r="DM2307" s="160" t="s">
        <v>590</v>
      </c>
      <c r="DN2307" s="161" t="s">
        <v>668</v>
      </c>
      <c r="DP2307" s="130">
        <v>1</v>
      </c>
    </row>
    <row r="2308" spans="109:120" ht="15">
      <c r="DE2308" s="152"/>
      <c r="DF2308" s="160" t="s">
        <v>5440</v>
      </c>
      <c r="DG2308" s="160" t="s">
        <v>120</v>
      </c>
      <c r="DH2308" s="160" t="s">
        <v>125</v>
      </c>
      <c r="DI2308" s="160" t="s">
        <v>5441</v>
      </c>
      <c r="DJ2308" s="160" t="s">
        <v>5441</v>
      </c>
      <c r="DK2308" s="160" t="s">
        <v>1259</v>
      </c>
      <c r="DL2308" s="160" t="s">
        <v>1260</v>
      </c>
      <c r="DM2308" s="160" t="s">
        <v>1261</v>
      </c>
      <c r="DN2308" s="161" t="s">
        <v>5171</v>
      </c>
      <c r="DP2308" s="130">
        <v>1</v>
      </c>
    </row>
    <row r="2309" spans="109:120" ht="15">
      <c r="DE2309" s="152"/>
      <c r="DF2309" s="160" t="s">
        <v>5442</v>
      </c>
      <c r="DG2309" s="160" t="s">
        <v>120</v>
      </c>
      <c r="DH2309" s="160" t="s">
        <v>125</v>
      </c>
      <c r="DI2309" s="160" t="s">
        <v>5443</v>
      </c>
      <c r="DJ2309" s="160" t="s">
        <v>5443</v>
      </c>
      <c r="DK2309" s="160" t="s">
        <v>1259</v>
      </c>
      <c r="DL2309" s="160" t="s">
        <v>1260</v>
      </c>
      <c r="DM2309" s="160" t="s">
        <v>1261</v>
      </c>
      <c r="DN2309" s="161" t="s">
        <v>5171</v>
      </c>
      <c r="DP2309" s="130">
        <v>1</v>
      </c>
    </row>
    <row r="2310" spans="109:120" ht="15">
      <c r="DE2310" s="152"/>
      <c r="DF2310" s="160" t="s">
        <v>5444</v>
      </c>
      <c r="DG2310" s="160" t="s">
        <v>120</v>
      </c>
      <c r="DH2310" s="160" t="s">
        <v>125</v>
      </c>
      <c r="DI2310" s="160" t="s">
        <v>5445</v>
      </c>
      <c r="DJ2310" s="160" t="s">
        <v>5445</v>
      </c>
      <c r="DK2310" s="160" t="s">
        <v>1259</v>
      </c>
      <c r="DL2310" s="160" t="s">
        <v>1260</v>
      </c>
      <c r="DM2310" s="160" t="s">
        <v>1261</v>
      </c>
      <c r="DN2310" s="161" t="s">
        <v>5171</v>
      </c>
      <c r="DP2310" s="130">
        <v>1</v>
      </c>
    </row>
    <row r="2311" spans="109:120" ht="15">
      <c r="DE2311" s="152"/>
      <c r="DF2311" s="160" t="s">
        <v>5446</v>
      </c>
      <c r="DG2311" s="160" t="s">
        <v>120</v>
      </c>
      <c r="DH2311" s="160" t="s">
        <v>125</v>
      </c>
      <c r="DI2311" s="160" t="s">
        <v>5447</v>
      </c>
      <c r="DJ2311" s="160" t="s">
        <v>5447</v>
      </c>
      <c r="DK2311" s="160" t="s">
        <v>1259</v>
      </c>
      <c r="DL2311" s="160" t="s">
        <v>1260</v>
      </c>
      <c r="DM2311" s="160" t="s">
        <v>1261</v>
      </c>
      <c r="DN2311" s="161" t="s">
        <v>5171</v>
      </c>
      <c r="DP2311" s="130">
        <v>1</v>
      </c>
    </row>
    <row r="2312" spans="109:120" ht="15">
      <c r="DE2312" s="152"/>
      <c r="DF2312" s="160" t="s">
        <v>5448</v>
      </c>
      <c r="DG2312" s="160" t="s">
        <v>120</v>
      </c>
      <c r="DH2312" s="160" t="s">
        <v>125</v>
      </c>
      <c r="DI2312" s="160" t="s">
        <v>5449</v>
      </c>
      <c r="DJ2312" s="160" t="s">
        <v>5449</v>
      </c>
      <c r="DK2312" s="160" t="s">
        <v>1259</v>
      </c>
      <c r="DL2312" s="160" t="s">
        <v>1260</v>
      </c>
      <c r="DM2312" s="160" t="s">
        <v>1261</v>
      </c>
      <c r="DN2312" s="161" t="s">
        <v>5171</v>
      </c>
      <c r="DP2312" s="130">
        <v>1</v>
      </c>
    </row>
    <row r="2313" spans="109:120" ht="15">
      <c r="DE2313" s="152"/>
      <c r="DF2313" s="160" t="s">
        <v>5450</v>
      </c>
      <c r="DG2313" s="160" t="s">
        <v>120</v>
      </c>
      <c r="DH2313" s="160" t="s">
        <v>125</v>
      </c>
      <c r="DI2313" s="160" t="s">
        <v>254</v>
      </c>
      <c r="DJ2313" s="160" t="s">
        <v>254</v>
      </c>
      <c r="DK2313" s="160" t="s">
        <v>588</v>
      </c>
      <c r="DL2313" s="160" t="s">
        <v>5198</v>
      </c>
      <c r="DM2313" s="160" t="s">
        <v>590</v>
      </c>
      <c r="DN2313" s="161" t="s">
        <v>591</v>
      </c>
      <c r="DP2313" s="130">
        <v>1</v>
      </c>
    </row>
    <row r="2314" spans="109:120" ht="15">
      <c r="DE2314" s="152"/>
      <c r="DF2314" s="160" t="s">
        <v>5451</v>
      </c>
      <c r="DG2314" s="160" t="s">
        <v>120</v>
      </c>
      <c r="DH2314" s="160" t="s">
        <v>125</v>
      </c>
      <c r="DI2314" s="160" t="s">
        <v>255</v>
      </c>
      <c r="DJ2314" s="160" t="s">
        <v>255</v>
      </c>
      <c r="DK2314" s="160" t="s">
        <v>588</v>
      </c>
      <c r="DL2314" s="160" t="s">
        <v>5198</v>
      </c>
      <c r="DM2314" s="160" t="s">
        <v>590</v>
      </c>
      <c r="DN2314" s="161" t="s">
        <v>591</v>
      </c>
      <c r="DP2314" s="130">
        <v>1</v>
      </c>
    </row>
    <row r="2315" spans="109:120" ht="15">
      <c r="DE2315" s="152"/>
      <c r="DF2315" s="160" t="s">
        <v>5452</v>
      </c>
      <c r="DG2315" s="160" t="s">
        <v>120</v>
      </c>
      <c r="DH2315" s="160" t="s">
        <v>125</v>
      </c>
      <c r="DI2315" s="160" t="s">
        <v>256</v>
      </c>
      <c r="DJ2315" s="160" t="s">
        <v>256</v>
      </c>
      <c r="DK2315" s="160" t="s">
        <v>588</v>
      </c>
      <c r="DL2315" s="160" t="s">
        <v>5198</v>
      </c>
      <c r="DM2315" s="160" t="s">
        <v>590</v>
      </c>
      <c r="DN2315" s="161" t="s">
        <v>591</v>
      </c>
      <c r="DP2315" s="130">
        <v>1</v>
      </c>
    </row>
    <row r="2316" spans="109:120" ht="15">
      <c r="DE2316" s="152"/>
      <c r="DF2316" s="160" t="s">
        <v>5453</v>
      </c>
      <c r="DG2316" s="160" t="s">
        <v>120</v>
      </c>
      <c r="DH2316" s="160" t="s">
        <v>125</v>
      </c>
      <c r="DI2316" s="160" t="s">
        <v>5454</v>
      </c>
      <c r="DJ2316" s="160" t="s">
        <v>5454</v>
      </c>
      <c r="DK2316" s="160" t="s">
        <v>1259</v>
      </c>
      <c r="DL2316" s="160" t="s">
        <v>1260</v>
      </c>
      <c r="DM2316" s="160" t="s">
        <v>1261</v>
      </c>
      <c r="DN2316" s="161" t="s">
        <v>5171</v>
      </c>
      <c r="DP2316" s="130">
        <v>1</v>
      </c>
    </row>
    <row r="2317" spans="109:120" ht="15">
      <c r="DE2317" s="152"/>
      <c r="DF2317" s="160" t="s">
        <v>5455</v>
      </c>
      <c r="DG2317" s="160" t="s">
        <v>120</v>
      </c>
      <c r="DH2317" s="160" t="s">
        <v>125</v>
      </c>
      <c r="DI2317" s="160" t="s">
        <v>507</v>
      </c>
      <c r="DJ2317" s="160" t="s">
        <v>507</v>
      </c>
      <c r="DK2317" s="160" t="s">
        <v>1259</v>
      </c>
      <c r="DL2317" s="160" t="s">
        <v>1260</v>
      </c>
      <c r="DM2317" s="160" t="s">
        <v>1261</v>
      </c>
      <c r="DN2317" s="161" t="s">
        <v>5171</v>
      </c>
      <c r="DP2317" s="130">
        <v>1</v>
      </c>
    </row>
    <row r="2318" spans="109:120" ht="15">
      <c r="DE2318" s="152"/>
      <c r="DF2318" s="160" t="s">
        <v>5456</v>
      </c>
      <c r="DG2318" s="160" t="s">
        <v>120</v>
      </c>
      <c r="DH2318" s="160" t="s">
        <v>125</v>
      </c>
      <c r="DI2318" s="160" t="s">
        <v>5457</v>
      </c>
      <c r="DJ2318" s="160" t="s">
        <v>5457</v>
      </c>
      <c r="DK2318" s="160" t="s">
        <v>1259</v>
      </c>
      <c r="DL2318" s="160" t="s">
        <v>1260</v>
      </c>
      <c r="DM2318" s="160" t="s">
        <v>1261</v>
      </c>
      <c r="DN2318" s="161" t="s">
        <v>5171</v>
      </c>
      <c r="DP2318" s="130">
        <v>1</v>
      </c>
    </row>
    <row r="2319" spans="109:120" ht="15">
      <c r="DE2319" s="152"/>
      <c r="DF2319" s="160" t="s">
        <v>5458</v>
      </c>
      <c r="DG2319" s="160" t="s">
        <v>120</v>
      </c>
      <c r="DH2319" s="160" t="s">
        <v>125</v>
      </c>
      <c r="DI2319" s="160" t="s">
        <v>5459</v>
      </c>
      <c r="DJ2319" s="160" t="s">
        <v>5459</v>
      </c>
      <c r="DK2319" s="160" t="s">
        <v>1259</v>
      </c>
      <c r="DL2319" s="160" t="s">
        <v>1260</v>
      </c>
      <c r="DM2319" s="160" t="s">
        <v>1261</v>
      </c>
      <c r="DN2319" s="161" t="s">
        <v>5171</v>
      </c>
      <c r="DP2319" s="130">
        <v>1</v>
      </c>
    </row>
    <row r="2320" spans="109:120" ht="15">
      <c r="DE2320" s="152"/>
      <c r="DF2320" s="160" t="s">
        <v>5460</v>
      </c>
      <c r="DG2320" s="160" t="s">
        <v>120</v>
      </c>
      <c r="DH2320" s="160" t="s">
        <v>125</v>
      </c>
      <c r="DI2320" s="160" t="s">
        <v>5461</v>
      </c>
      <c r="DJ2320" s="160" t="s">
        <v>5461</v>
      </c>
      <c r="DK2320" s="160" t="s">
        <v>1259</v>
      </c>
      <c r="DL2320" s="160" t="s">
        <v>1260</v>
      </c>
      <c r="DM2320" s="160" t="s">
        <v>1261</v>
      </c>
      <c r="DN2320" s="161" t="s">
        <v>5171</v>
      </c>
      <c r="DP2320" s="130">
        <v>1</v>
      </c>
    </row>
    <row r="2321" spans="109:120" ht="15">
      <c r="DE2321" s="152"/>
      <c r="DF2321" s="160" t="s">
        <v>5462</v>
      </c>
      <c r="DG2321" s="160" t="s">
        <v>120</v>
      </c>
      <c r="DH2321" s="160" t="s">
        <v>125</v>
      </c>
      <c r="DI2321" s="160" t="s">
        <v>508</v>
      </c>
      <c r="DJ2321" s="160" t="s">
        <v>508</v>
      </c>
      <c r="DK2321" s="160" t="s">
        <v>588</v>
      </c>
      <c r="DL2321" s="160" t="s">
        <v>5198</v>
      </c>
      <c r="DM2321" s="160" t="s">
        <v>590</v>
      </c>
      <c r="DN2321" s="161" t="s">
        <v>591</v>
      </c>
      <c r="DP2321" s="130">
        <v>1</v>
      </c>
    </row>
    <row r="2322" spans="109:120" ht="15">
      <c r="DE2322" s="152"/>
      <c r="DF2322" s="160" t="s">
        <v>5463</v>
      </c>
      <c r="DG2322" s="160" t="s">
        <v>120</v>
      </c>
      <c r="DH2322" s="160" t="s">
        <v>125</v>
      </c>
      <c r="DI2322" s="160" t="s">
        <v>5464</v>
      </c>
      <c r="DJ2322" s="160" t="s">
        <v>5464</v>
      </c>
      <c r="DK2322" s="160" t="s">
        <v>1259</v>
      </c>
      <c r="DL2322" s="160" t="s">
        <v>1260</v>
      </c>
      <c r="DM2322" s="160" t="s">
        <v>1261</v>
      </c>
      <c r="DN2322" s="161" t="s">
        <v>5171</v>
      </c>
      <c r="DP2322" s="130">
        <v>1</v>
      </c>
    </row>
    <row r="2323" spans="109:120" ht="15">
      <c r="DE2323" s="152"/>
      <c r="DF2323" s="160" t="s">
        <v>5465</v>
      </c>
      <c r="DG2323" s="160" t="s">
        <v>120</v>
      </c>
      <c r="DH2323" s="160" t="s">
        <v>125</v>
      </c>
      <c r="DI2323" s="160" t="s">
        <v>5466</v>
      </c>
      <c r="DJ2323" s="160" t="s">
        <v>5466</v>
      </c>
      <c r="DK2323" s="160" t="s">
        <v>1259</v>
      </c>
      <c r="DL2323" s="160" t="s">
        <v>1260</v>
      </c>
      <c r="DM2323" s="160" t="s">
        <v>1261</v>
      </c>
      <c r="DN2323" s="161" t="s">
        <v>5171</v>
      </c>
      <c r="DP2323" s="130">
        <v>1</v>
      </c>
    </row>
    <row r="2324" spans="109:120" ht="15">
      <c r="DE2324" s="152"/>
      <c r="DF2324" s="160" t="s">
        <v>5467</v>
      </c>
      <c r="DG2324" s="160" t="s">
        <v>120</v>
      </c>
      <c r="DH2324" s="160" t="s">
        <v>125</v>
      </c>
      <c r="DI2324" s="160" t="s">
        <v>5468</v>
      </c>
      <c r="DJ2324" s="160" t="s">
        <v>5468</v>
      </c>
      <c r="DK2324" s="160" t="s">
        <v>666</v>
      </c>
      <c r="DL2324" s="160" t="s">
        <v>667</v>
      </c>
      <c r="DM2324" s="160" t="s">
        <v>590</v>
      </c>
      <c r="DN2324" s="161" t="s">
        <v>668</v>
      </c>
      <c r="DP2324" s="130">
        <v>1</v>
      </c>
    </row>
    <row r="2325" spans="109:120" ht="15">
      <c r="DE2325" s="152"/>
      <c r="DF2325" s="160" t="s">
        <v>5469</v>
      </c>
      <c r="DG2325" s="160" t="s">
        <v>120</v>
      </c>
      <c r="DH2325" s="160" t="s">
        <v>125</v>
      </c>
      <c r="DI2325" s="160" t="s">
        <v>5470</v>
      </c>
      <c r="DJ2325" s="160" t="s">
        <v>5470</v>
      </c>
      <c r="DK2325" s="160" t="s">
        <v>666</v>
      </c>
      <c r="DL2325" s="160" t="s">
        <v>667</v>
      </c>
      <c r="DM2325" s="160" t="s">
        <v>590</v>
      </c>
      <c r="DN2325" s="161" t="s">
        <v>668</v>
      </c>
      <c r="DP2325" s="130">
        <v>1</v>
      </c>
    </row>
    <row r="2326" spans="109:120" ht="15">
      <c r="DE2326" s="152"/>
      <c r="DF2326" s="160" t="s">
        <v>5471</v>
      </c>
      <c r="DG2326" s="160" t="s">
        <v>120</v>
      </c>
      <c r="DH2326" s="160" t="s">
        <v>125</v>
      </c>
      <c r="DI2326" s="160" t="s">
        <v>257</v>
      </c>
      <c r="DJ2326" s="160" t="s">
        <v>257</v>
      </c>
      <c r="DK2326" s="160" t="s">
        <v>1259</v>
      </c>
      <c r="DL2326" s="160" t="s">
        <v>1260</v>
      </c>
      <c r="DM2326" s="160" t="s">
        <v>1261</v>
      </c>
      <c r="DN2326" s="161" t="s">
        <v>5171</v>
      </c>
      <c r="DP2326" s="130">
        <v>1</v>
      </c>
    </row>
    <row r="2327" spans="109:120" ht="15">
      <c r="DE2327" s="152"/>
      <c r="DF2327" s="160" t="s">
        <v>5472</v>
      </c>
      <c r="DG2327" s="160" t="s">
        <v>120</v>
      </c>
      <c r="DH2327" s="160" t="s">
        <v>125</v>
      </c>
      <c r="DI2327" s="160" t="s">
        <v>5473</v>
      </c>
      <c r="DJ2327" s="160" t="s">
        <v>5473</v>
      </c>
      <c r="DK2327" s="160" t="s">
        <v>1259</v>
      </c>
      <c r="DL2327" s="160" t="s">
        <v>1260</v>
      </c>
      <c r="DM2327" s="160" t="s">
        <v>1261</v>
      </c>
      <c r="DN2327" s="161" t="s">
        <v>5171</v>
      </c>
      <c r="DP2327" s="130">
        <v>1</v>
      </c>
    </row>
    <row r="2328" spans="109:120" ht="15">
      <c r="DE2328" s="152"/>
      <c r="DF2328" s="160" t="s">
        <v>5474</v>
      </c>
      <c r="DG2328" s="160" t="s">
        <v>120</v>
      </c>
      <c r="DH2328" s="160" t="s">
        <v>125</v>
      </c>
      <c r="DI2328" s="160" t="s">
        <v>5475</v>
      </c>
      <c r="DJ2328" s="160" t="s">
        <v>5475</v>
      </c>
      <c r="DK2328" s="160" t="s">
        <v>1259</v>
      </c>
      <c r="DL2328" s="160" t="s">
        <v>1260</v>
      </c>
      <c r="DM2328" s="160" t="s">
        <v>1261</v>
      </c>
      <c r="DN2328" s="161" t="s">
        <v>5171</v>
      </c>
      <c r="DP2328" s="130">
        <v>1</v>
      </c>
    </row>
    <row r="2329" spans="109:120" ht="15">
      <c r="DE2329" s="152"/>
      <c r="DF2329" s="160" t="s">
        <v>5476</v>
      </c>
      <c r="DG2329" s="160" t="s">
        <v>120</v>
      </c>
      <c r="DH2329" s="160" t="s">
        <v>125</v>
      </c>
      <c r="DI2329" s="160" t="s">
        <v>5477</v>
      </c>
      <c r="DJ2329" s="160" t="s">
        <v>5477</v>
      </c>
      <c r="DK2329" s="160" t="s">
        <v>1259</v>
      </c>
      <c r="DL2329" s="160" t="s">
        <v>1260</v>
      </c>
      <c r="DM2329" s="160" t="s">
        <v>1261</v>
      </c>
      <c r="DN2329" s="161" t="s">
        <v>5171</v>
      </c>
      <c r="DP2329" s="130">
        <v>1</v>
      </c>
    </row>
    <row r="2330" spans="109:120" ht="15">
      <c r="DE2330" s="152"/>
      <c r="DF2330" s="160" t="s">
        <v>5478</v>
      </c>
      <c r="DG2330" s="160" t="s">
        <v>120</v>
      </c>
      <c r="DH2330" s="160" t="s">
        <v>125</v>
      </c>
      <c r="DI2330" s="160" t="s">
        <v>5479</v>
      </c>
      <c r="DJ2330" s="160" t="s">
        <v>5479</v>
      </c>
      <c r="DK2330" s="160" t="s">
        <v>1259</v>
      </c>
      <c r="DL2330" s="160" t="s">
        <v>1260</v>
      </c>
      <c r="DM2330" s="160" t="s">
        <v>1261</v>
      </c>
      <c r="DN2330" s="161" t="s">
        <v>5171</v>
      </c>
      <c r="DP2330" s="130">
        <v>1</v>
      </c>
    </row>
    <row r="2331" spans="109:120" ht="15">
      <c r="DE2331" s="152"/>
      <c r="DF2331" s="160" t="s">
        <v>5480</v>
      </c>
      <c r="DG2331" s="160" t="s">
        <v>120</v>
      </c>
      <c r="DH2331" s="160" t="s">
        <v>125</v>
      </c>
      <c r="DI2331" s="160" t="s">
        <v>5481</v>
      </c>
      <c r="DJ2331" s="160" t="s">
        <v>5481</v>
      </c>
      <c r="DK2331" s="160" t="s">
        <v>1259</v>
      </c>
      <c r="DL2331" s="160" t="s">
        <v>1260</v>
      </c>
      <c r="DM2331" s="160" t="s">
        <v>1261</v>
      </c>
      <c r="DN2331" s="161" t="s">
        <v>5171</v>
      </c>
      <c r="DP2331" s="130">
        <v>1</v>
      </c>
    </row>
    <row r="2332" spans="109:120" ht="15">
      <c r="DE2332" s="152"/>
      <c r="DF2332" s="160" t="s">
        <v>5482</v>
      </c>
      <c r="DG2332" s="160" t="s">
        <v>120</v>
      </c>
      <c r="DH2332" s="160" t="s">
        <v>125</v>
      </c>
      <c r="DI2332" s="160" t="s">
        <v>5483</v>
      </c>
      <c r="DJ2332" s="160" t="s">
        <v>5483</v>
      </c>
      <c r="DK2332" s="160" t="s">
        <v>1259</v>
      </c>
      <c r="DL2332" s="160" t="s">
        <v>1260</v>
      </c>
      <c r="DM2332" s="160" t="s">
        <v>1261</v>
      </c>
      <c r="DN2332" s="161" t="s">
        <v>5171</v>
      </c>
      <c r="DP2332" s="130">
        <v>1</v>
      </c>
    </row>
    <row r="2333" spans="109:120" ht="15">
      <c r="DE2333" s="152"/>
      <c r="DF2333" s="160" t="s">
        <v>5484</v>
      </c>
      <c r="DG2333" s="160" t="s">
        <v>120</v>
      </c>
      <c r="DH2333" s="160" t="s">
        <v>125</v>
      </c>
      <c r="DI2333" s="160" t="s">
        <v>5485</v>
      </c>
      <c r="DJ2333" s="160" t="s">
        <v>5485</v>
      </c>
      <c r="DK2333" s="160" t="s">
        <v>1259</v>
      </c>
      <c r="DL2333" s="160" t="s">
        <v>1260</v>
      </c>
      <c r="DM2333" s="160" t="s">
        <v>1261</v>
      </c>
      <c r="DN2333" s="161" t="s">
        <v>5171</v>
      </c>
      <c r="DP2333" s="130">
        <v>1</v>
      </c>
    </row>
    <row r="2334" spans="109:120" ht="15">
      <c r="DE2334" s="152"/>
      <c r="DF2334" s="160" t="s">
        <v>5486</v>
      </c>
      <c r="DG2334" s="160" t="s">
        <v>120</v>
      </c>
      <c r="DH2334" s="160" t="s">
        <v>125</v>
      </c>
      <c r="DI2334" s="160" t="s">
        <v>5487</v>
      </c>
      <c r="DJ2334" s="160" t="s">
        <v>5487</v>
      </c>
      <c r="DK2334" s="160" t="s">
        <v>1259</v>
      </c>
      <c r="DL2334" s="160" t="s">
        <v>1260</v>
      </c>
      <c r="DM2334" s="160" t="s">
        <v>1261</v>
      </c>
      <c r="DN2334" s="161" t="s">
        <v>5171</v>
      </c>
      <c r="DP2334" s="130">
        <v>1</v>
      </c>
    </row>
    <row r="2335" spans="109:120" ht="15">
      <c r="DE2335" s="152"/>
      <c r="DF2335" s="160" t="s">
        <v>5488</v>
      </c>
      <c r="DG2335" s="160" t="s">
        <v>120</v>
      </c>
      <c r="DH2335" s="160" t="s">
        <v>125</v>
      </c>
      <c r="DI2335" s="160" t="s">
        <v>258</v>
      </c>
      <c r="DJ2335" s="160" t="s">
        <v>258</v>
      </c>
      <c r="DK2335" s="160" t="s">
        <v>588</v>
      </c>
      <c r="DL2335" s="160" t="s">
        <v>5198</v>
      </c>
      <c r="DM2335" s="160" t="s">
        <v>590</v>
      </c>
      <c r="DN2335" s="161" t="s">
        <v>591</v>
      </c>
      <c r="DP2335" s="130">
        <v>1</v>
      </c>
    </row>
    <row r="2336" spans="109:120" ht="15">
      <c r="DE2336" s="152"/>
      <c r="DF2336" s="160" t="s">
        <v>5489</v>
      </c>
      <c r="DG2336" s="160" t="s">
        <v>120</v>
      </c>
      <c r="DH2336" s="160" t="s">
        <v>125</v>
      </c>
      <c r="DI2336" s="160" t="s">
        <v>5490</v>
      </c>
      <c r="DJ2336" s="160" t="s">
        <v>5490</v>
      </c>
      <c r="DK2336" s="160" t="s">
        <v>1259</v>
      </c>
      <c r="DL2336" s="160" t="s">
        <v>1260</v>
      </c>
      <c r="DM2336" s="160" t="s">
        <v>1261</v>
      </c>
      <c r="DN2336" s="161" t="s">
        <v>5171</v>
      </c>
      <c r="DP2336" s="130">
        <v>1</v>
      </c>
    </row>
    <row r="2337" spans="109:120" ht="15">
      <c r="DE2337" s="152"/>
      <c r="DF2337" s="160" t="s">
        <v>5491</v>
      </c>
      <c r="DG2337" s="160" t="s">
        <v>120</v>
      </c>
      <c r="DH2337" s="160" t="s">
        <v>125</v>
      </c>
      <c r="DI2337" s="160" t="s">
        <v>5492</v>
      </c>
      <c r="DJ2337" s="160" t="s">
        <v>5492</v>
      </c>
      <c r="DK2337" s="160" t="s">
        <v>1259</v>
      </c>
      <c r="DL2337" s="160" t="s">
        <v>1260</v>
      </c>
      <c r="DM2337" s="160" t="s">
        <v>1261</v>
      </c>
      <c r="DN2337" s="161" t="s">
        <v>5171</v>
      </c>
      <c r="DP2337" s="130">
        <v>1</v>
      </c>
    </row>
    <row r="2338" spans="109:120" ht="15">
      <c r="DE2338" s="152"/>
      <c r="DF2338" s="160" t="s">
        <v>5493</v>
      </c>
      <c r="DG2338" s="160" t="s">
        <v>120</v>
      </c>
      <c r="DH2338" s="160" t="s">
        <v>125</v>
      </c>
      <c r="DI2338" s="160" t="s">
        <v>5494</v>
      </c>
      <c r="DJ2338" s="160" t="s">
        <v>5494</v>
      </c>
      <c r="DK2338" s="160" t="s">
        <v>1259</v>
      </c>
      <c r="DL2338" s="160" t="s">
        <v>1260</v>
      </c>
      <c r="DM2338" s="160" t="s">
        <v>1261</v>
      </c>
      <c r="DN2338" s="161" t="s">
        <v>5171</v>
      </c>
      <c r="DP2338" s="130">
        <v>1</v>
      </c>
    </row>
    <row r="2339" spans="109:120" ht="15">
      <c r="DE2339" s="152"/>
      <c r="DF2339" s="160" t="s">
        <v>5495</v>
      </c>
      <c r="DG2339" s="160" t="s">
        <v>120</v>
      </c>
      <c r="DH2339" s="160" t="s">
        <v>125</v>
      </c>
      <c r="DI2339" s="160" t="s">
        <v>5496</v>
      </c>
      <c r="DJ2339" s="160" t="s">
        <v>5496</v>
      </c>
      <c r="DK2339" s="160" t="s">
        <v>1259</v>
      </c>
      <c r="DL2339" s="160" t="s">
        <v>1260</v>
      </c>
      <c r="DM2339" s="160" t="s">
        <v>1261</v>
      </c>
      <c r="DN2339" s="161" t="s">
        <v>5171</v>
      </c>
      <c r="DP2339" s="130">
        <v>1</v>
      </c>
    </row>
    <row r="2340" spans="109:120" ht="15">
      <c r="DE2340" s="152"/>
      <c r="DF2340" s="160" t="s">
        <v>5497</v>
      </c>
      <c r="DG2340" s="160" t="s">
        <v>120</v>
      </c>
      <c r="DH2340" s="160" t="s">
        <v>125</v>
      </c>
      <c r="DI2340" s="160" t="s">
        <v>5498</v>
      </c>
      <c r="DJ2340" s="160" t="s">
        <v>5499</v>
      </c>
      <c r="DK2340" s="160" t="s">
        <v>588</v>
      </c>
      <c r="DL2340" s="160" t="s">
        <v>5198</v>
      </c>
      <c r="DM2340" s="160" t="s">
        <v>590</v>
      </c>
      <c r="DN2340" s="161" t="s">
        <v>591</v>
      </c>
      <c r="DP2340" s="130">
        <v>1</v>
      </c>
    </row>
    <row r="2341" spans="109:120" ht="15">
      <c r="DE2341" s="152"/>
      <c r="DF2341" s="160" t="s">
        <v>5500</v>
      </c>
      <c r="DG2341" s="160" t="s">
        <v>120</v>
      </c>
      <c r="DH2341" s="160" t="s">
        <v>125</v>
      </c>
      <c r="DI2341" s="160" t="s">
        <v>5501</v>
      </c>
      <c r="DJ2341" s="160" t="s">
        <v>5502</v>
      </c>
      <c r="DK2341" s="160" t="s">
        <v>588</v>
      </c>
      <c r="DL2341" s="160" t="s">
        <v>5198</v>
      </c>
      <c r="DM2341" s="160" t="s">
        <v>590</v>
      </c>
      <c r="DN2341" s="161" t="s">
        <v>591</v>
      </c>
      <c r="DP2341" s="130">
        <v>1</v>
      </c>
    </row>
    <row r="2342" spans="109:120" ht="15">
      <c r="DE2342" s="152"/>
      <c r="DF2342" s="160" t="s">
        <v>5503</v>
      </c>
      <c r="DG2342" s="160" t="s">
        <v>120</v>
      </c>
      <c r="DH2342" s="160" t="s">
        <v>125</v>
      </c>
      <c r="DI2342" s="160" t="s">
        <v>5504</v>
      </c>
      <c r="DJ2342" s="160" t="s">
        <v>5504</v>
      </c>
      <c r="DK2342" s="160" t="s">
        <v>1259</v>
      </c>
      <c r="DL2342" s="160" t="s">
        <v>1260</v>
      </c>
      <c r="DM2342" s="160" t="s">
        <v>1261</v>
      </c>
      <c r="DN2342" s="161" t="s">
        <v>5171</v>
      </c>
      <c r="DP2342" s="130">
        <v>1</v>
      </c>
    </row>
    <row r="2343" spans="109:120" ht="15">
      <c r="DE2343" s="152"/>
      <c r="DF2343" s="160" t="s">
        <v>5505</v>
      </c>
      <c r="DG2343" s="160" t="s">
        <v>120</v>
      </c>
      <c r="DH2343" s="160" t="s">
        <v>125</v>
      </c>
      <c r="DI2343" s="160" t="s">
        <v>5506</v>
      </c>
      <c r="DJ2343" s="160" t="s">
        <v>5506</v>
      </c>
      <c r="DK2343" s="160" t="s">
        <v>1259</v>
      </c>
      <c r="DL2343" s="160" t="s">
        <v>1260</v>
      </c>
      <c r="DM2343" s="160" t="s">
        <v>1261</v>
      </c>
      <c r="DN2343" s="161" t="s">
        <v>5171</v>
      </c>
      <c r="DP2343" s="130">
        <v>1</v>
      </c>
    </row>
    <row r="2344" spans="109:120" ht="15">
      <c r="DE2344" s="152"/>
      <c r="DF2344" s="160" t="s">
        <v>5507</v>
      </c>
      <c r="DG2344" s="160" t="s">
        <v>120</v>
      </c>
      <c r="DH2344" s="160" t="s">
        <v>125</v>
      </c>
      <c r="DI2344" s="160" t="s">
        <v>259</v>
      </c>
      <c r="DJ2344" s="160" t="s">
        <v>259</v>
      </c>
      <c r="DK2344" s="160" t="s">
        <v>1259</v>
      </c>
      <c r="DL2344" s="160" t="s">
        <v>1260</v>
      </c>
      <c r="DM2344" s="160" t="s">
        <v>1261</v>
      </c>
      <c r="DN2344" s="161" t="s">
        <v>5171</v>
      </c>
      <c r="DP2344" s="130">
        <v>1</v>
      </c>
    </row>
    <row r="2345" spans="109:120" ht="15">
      <c r="DE2345" s="152"/>
      <c r="DF2345" s="160" t="s">
        <v>5508</v>
      </c>
      <c r="DG2345" s="160" t="s">
        <v>120</v>
      </c>
      <c r="DH2345" s="160" t="s">
        <v>125</v>
      </c>
      <c r="DI2345" s="160" t="s">
        <v>5509</v>
      </c>
      <c r="DJ2345" s="160" t="s">
        <v>5509</v>
      </c>
      <c r="DK2345" s="160" t="s">
        <v>588</v>
      </c>
      <c r="DL2345" s="160" t="s">
        <v>5198</v>
      </c>
      <c r="DM2345" s="160" t="s">
        <v>590</v>
      </c>
      <c r="DN2345" s="161" t="s">
        <v>591</v>
      </c>
      <c r="DP2345" s="130">
        <v>1</v>
      </c>
    </row>
    <row r="2346" spans="109:120" ht="15">
      <c r="DE2346" s="152"/>
      <c r="DF2346" s="160" t="s">
        <v>5510</v>
      </c>
      <c r="DG2346" s="160" t="s">
        <v>120</v>
      </c>
      <c r="DH2346" s="160" t="s">
        <v>125</v>
      </c>
      <c r="DI2346" s="160" t="s">
        <v>5511</v>
      </c>
      <c r="DJ2346" s="160" t="s">
        <v>5511</v>
      </c>
      <c r="DK2346" s="160" t="s">
        <v>1259</v>
      </c>
      <c r="DL2346" s="160" t="s">
        <v>1260</v>
      </c>
      <c r="DM2346" s="160" t="s">
        <v>1261</v>
      </c>
      <c r="DN2346" s="161" t="s">
        <v>5171</v>
      </c>
      <c r="DP2346" s="130">
        <v>1</v>
      </c>
    </row>
    <row r="2347" spans="109:120" ht="15">
      <c r="DE2347" s="152"/>
      <c r="DF2347" s="160" t="s">
        <v>5512</v>
      </c>
      <c r="DG2347" s="160" t="s">
        <v>120</v>
      </c>
      <c r="DH2347" s="160" t="s">
        <v>125</v>
      </c>
      <c r="DI2347" s="160" t="s">
        <v>5513</v>
      </c>
      <c r="DJ2347" s="160" t="s">
        <v>5513</v>
      </c>
      <c r="DK2347" s="160" t="s">
        <v>1259</v>
      </c>
      <c r="DL2347" s="160" t="s">
        <v>1260</v>
      </c>
      <c r="DM2347" s="160" t="s">
        <v>1261</v>
      </c>
      <c r="DN2347" s="161" t="s">
        <v>5171</v>
      </c>
      <c r="DP2347" s="130">
        <v>1</v>
      </c>
    </row>
    <row r="2348" spans="109:120" ht="15">
      <c r="DE2348" s="152"/>
      <c r="DF2348" s="160" t="s">
        <v>5514</v>
      </c>
      <c r="DG2348" s="160" t="s">
        <v>120</v>
      </c>
      <c r="DH2348" s="160" t="s">
        <v>125</v>
      </c>
      <c r="DI2348" s="160" t="s">
        <v>260</v>
      </c>
      <c r="DJ2348" s="160" t="s">
        <v>260</v>
      </c>
      <c r="DK2348" s="160" t="s">
        <v>1259</v>
      </c>
      <c r="DL2348" s="160" t="s">
        <v>1260</v>
      </c>
      <c r="DM2348" s="160" t="s">
        <v>1261</v>
      </c>
      <c r="DN2348" s="161" t="s">
        <v>5171</v>
      </c>
      <c r="DP2348" s="130">
        <v>1</v>
      </c>
    </row>
    <row r="2349" spans="109:120" ht="15">
      <c r="DE2349" s="152"/>
      <c r="DF2349" s="160" t="s">
        <v>5515</v>
      </c>
      <c r="DG2349" s="160" t="s">
        <v>120</v>
      </c>
      <c r="DH2349" s="160" t="s">
        <v>125</v>
      </c>
      <c r="DI2349" s="160" t="s">
        <v>5516</v>
      </c>
      <c r="DJ2349" s="160" t="s">
        <v>5516</v>
      </c>
      <c r="DK2349" s="160" t="s">
        <v>1259</v>
      </c>
      <c r="DL2349" s="160" t="s">
        <v>1260</v>
      </c>
      <c r="DM2349" s="160" t="s">
        <v>1261</v>
      </c>
      <c r="DN2349" s="161" t="s">
        <v>5171</v>
      </c>
      <c r="DP2349" s="130">
        <v>1</v>
      </c>
    </row>
    <row r="2350" spans="109:120" ht="15">
      <c r="DE2350" s="152"/>
      <c r="DF2350" s="160" t="s">
        <v>5517</v>
      </c>
      <c r="DG2350" s="160" t="s">
        <v>120</v>
      </c>
      <c r="DH2350" s="160" t="s">
        <v>125</v>
      </c>
      <c r="DI2350" s="160" t="s">
        <v>5518</v>
      </c>
      <c r="DJ2350" s="160" t="s">
        <v>5518</v>
      </c>
      <c r="DK2350" s="160" t="s">
        <v>1259</v>
      </c>
      <c r="DL2350" s="160" t="s">
        <v>1260</v>
      </c>
      <c r="DM2350" s="160" t="s">
        <v>1261</v>
      </c>
      <c r="DN2350" s="161" t="s">
        <v>5171</v>
      </c>
      <c r="DP2350" s="130">
        <v>1</v>
      </c>
    </row>
    <row r="2351" spans="109:120" ht="15">
      <c r="DE2351" s="152"/>
      <c r="DF2351" s="160" t="s">
        <v>5519</v>
      </c>
      <c r="DG2351" s="160" t="s">
        <v>120</v>
      </c>
      <c r="DH2351" s="160" t="s">
        <v>125</v>
      </c>
      <c r="DI2351" s="160" t="s">
        <v>5520</v>
      </c>
      <c r="DJ2351" s="160" t="s">
        <v>5520</v>
      </c>
      <c r="DK2351" s="160" t="s">
        <v>1259</v>
      </c>
      <c r="DL2351" s="160" t="s">
        <v>1260</v>
      </c>
      <c r="DM2351" s="160" t="s">
        <v>1261</v>
      </c>
      <c r="DN2351" s="161" t="s">
        <v>5171</v>
      </c>
      <c r="DP2351" s="130">
        <v>1</v>
      </c>
    </row>
    <row r="2352" spans="109:120" ht="15">
      <c r="DE2352" s="152"/>
      <c r="DF2352" s="160" t="s">
        <v>5521</v>
      </c>
      <c r="DG2352" s="160" t="s">
        <v>120</v>
      </c>
      <c r="DH2352" s="160" t="s">
        <v>125</v>
      </c>
      <c r="DI2352" s="160" t="s">
        <v>5522</v>
      </c>
      <c r="DJ2352" s="160" t="s">
        <v>5522</v>
      </c>
      <c r="DK2352" s="160" t="s">
        <v>1259</v>
      </c>
      <c r="DL2352" s="160" t="s">
        <v>1260</v>
      </c>
      <c r="DM2352" s="160" t="s">
        <v>1261</v>
      </c>
      <c r="DN2352" s="161" t="s">
        <v>5171</v>
      </c>
      <c r="DP2352" s="130">
        <v>1</v>
      </c>
    </row>
    <row r="2353" spans="109:120" ht="15">
      <c r="DE2353" s="152"/>
      <c r="DF2353" s="160" t="s">
        <v>5523</v>
      </c>
      <c r="DG2353" s="160" t="s">
        <v>120</v>
      </c>
      <c r="DH2353" s="160" t="s">
        <v>125</v>
      </c>
      <c r="DI2353" s="160" t="s">
        <v>5524</v>
      </c>
      <c r="DJ2353" s="160" t="s">
        <v>5524</v>
      </c>
      <c r="DK2353" s="160" t="s">
        <v>1259</v>
      </c>
      <c r="DL2353" s="160" t="s">
        <v>1260</v>
      </c>
      <c r="DM2353" s="160" t="s">
        <v>1261</v>
      </c>
      <c r="DN2353" s="161" t="s">
        <v>5171</v>
      </c>
      <c r="DP2353" s="130">
        <v>1</v>
      </c>
    </row>
    <row r="2354" spans="109:120" ht="15">
      <c r="DE2354" s="152"/>
      <c r="DF2354" s="160" t="s">
        <v>5525</v>
      </c>
      <c r="DG2354" s="160" t="s">
        <v>120</v>
      </c>
      <c r="DH2354" s="160" t="s">
        <v>125</v>
      </c>
      <c r="DI2354" s="160" t="s">
        <v>261</v>
      </c>
      <c r="DJ2354" s="160" t="s">
        <v>261</v>
      </c>
      <c r="DK2354" s="160" t="s">
        <v>588</v>
      </c>
      <c r="DL2354" s="160" t="s">
        <v>5198</v>
      </c>
      <c r="DM2354" s="160" t="s">
        <v>590</v>
      </c>
      <c r="DN2354" s="161" t="s">
        <v>591</v>
      </c>
      <c r="DP2354" s="130">
        <v>1</v>
      </c>
    </row>
    <row r="2355" spans="109:120" ht="15">
      <c r="DE2355" s="152"/>
      <c r="DF2355" s="160" t="s">
        <v>5526</v>
      </c>
      <c r="DG2355" s="160" t="s">
        <v>120</v>
      </c>
      <c r="DH2355" s="160" t="s">
        <v>125</v>
      </c>
      <c r="DI2355" s="160" t="s">
        <v>5527</v>
      </c>
      <c r="DJ2355" s="160" t="s">
        <v>5527</v>
      </c>
      <c r="DK2355" s="160" t="s">
        <v>1259</v>
      </c>
      <c r="DL2355" s="160" t="s">
        <v>1260</v>
      </c>
      <c r="DM2355" s="160" t="s">
        <v>1261</v>
      </c>
      <c r="DN2355" s="161" t="s">
        <v>5171</v>
      </c>
      <c r="DP2355" s="130">
        <v>1</v>
      </c>
    </row>
    <row r="2356" spans="109:120" ht="15">
      <c r="DE2356" s="152"/>
      <c r="DF2356" s="160" t="s">
        <v>5528</v>
      </c>
      <c r="DG2356" s="160" t="s">
        <v>120</v>
      </c>
      <c r="DH2356" s="160" t="s">
        <v>125</v>
      </c>
      <c r="DI2356" s="160" t="s">
        <v>262</v>
      </c>
      <c r="DJ2356" s="160" t="s">
        <v>262</v>
      </c>
      <c r="DK2356" s="160" t="s">
        <v>1259</v>
      </c>
      <c r="DL2356" s="160" t="s">
        <v>1260</v>
      </c>
      <c r="DM2356" s="160" t="s">
        <v>1261</v>
      </c>
      <c r="DN2356" s="161" t="s">
        <v>5171</v>
      </c>
      <c r="DP2356" s="130">
        <v>1</v>
      </c>
    </row>
    <row r="2357" spans="109:120" ht="15">
      <c r="DE2357" s="152"/>
      <c r="DF2357" s="160" t="s">
        <v>5529</v>
      </c>
      <c r="DG2357" s="160" t="s">
        <v>120</v>
      </c>
      <c r="DH2357" s="160" t="s">
        <v>125</v>
      </c>
      <c r="DI2357" s="160" t="s">
        <v>263</v>
      </c>
      <c r="DJ2357" s="160" t="s">
        <v>263</v>
      </c>
      <c r="DK2357" s="160" t="s">
        <v>588</v>
      </c>
      <c r="DL2357" s="160" t="s">
        <v>5198</v>
      </c>
      <c r="DM2357" s="160" t="s">
        <v>590</v>
      </c>
      <c r="DN2357" s="161" t="s">
        <v>591</v>
      </c>
      <c r="DP2357" s="130">
        <v>1</v>
      </c>
    </row>
    <row r="2358" spans="109:120" ht="15">
      <c r="DE2358" s="152"/>
      <c r="DF2358" s="160" t="s">
        <v>5530</v>
      </c>
      <c r="DG2358" s="160" t="s">
        <v>120</v>
      </c>
      <c r="DH2358" s="160" t="s">
        <v>125</v>
      </c>
      <c r="DI2358" s="160" t="s">
        <v>5531</v>
      </c>
      <c r="DJ2358" s="160" t="s">
        <v>5531</v>
      </c>
      <c r="DK2358" s="160" t="s">
        <v>1259</v>
      </c>
      <c r="DL2358" s="160" t="s">
        <v>1260</v>
      </c>
      <c r="DM2358" s="160" t="s">
        <v>1261</v>
      </c>
      <c r="DN2358" s="161" t="s">
        <v>5171</v>
      </c>
      <c r="DP2358" s="130">
        <v>1</v>
      </c>
    </row>
    <row r="2359" spans="109:120" ht="15">
      <c r="DE2359" s="152"/>
      <c r="DF2359" s="160" t="s">
        <v>5532</v>
      </c>
      <c r="DG2359" s="160" t="s">
        <v>120</v>
      </c>
      <c r="DH2359" s="160" t="s">
        <v>125</v>
      </c>
      <c r="DI2359" s="160" t="s">
        <v>5533</v>
      </c>
      <c r="DJ2359" s="160" t="s">
        <v>5533</v>
      </c>
      <c r="DK2359" s="160" t="s">
        <v>1259</v>
      </c>
      <c r="DL2359" s="160" t="s">
        <v>1260</v>
      </c>
      <c r="DM2359" s="160" t="s">
        <v>1261</v>
      </c>
      <c r="DN2359" s="161" t="s">
        <v>5171</v>
      </c>
      <c r="DP2359" s="130">
        <v>1</v>
      </c>
    </row>
    <row r="2360" spans="109:120" ht="15">
      <c r="DE2360" s="152"/>
      <c r="DF2360" s="160" t="s">
        <v>5534</v>
      </c>
      <c r="DG2360" s="160" t="s">
        <v>120</v>
      </c>
      <c r="DH2360" s="160" t="s">
        <v>125</v>
      </c>
      <c r="DI2360" s="160" t="s">
        <v>5535</v>
      </c>
      <c r="DJ2360" s="160" t="s">
        <v>5535</v>
      </c>
      <c r="DK2360" s="160" t="s">
        <v>1259</v>
      </c>
      <c r="DL2360" s="160" t="s">
        <v>1260</v>
      </c>
      <c r="DM2360" s="160" t="s">
        <v>1261</v>
      </c>
      <c r="DN2360" s="161" t="s">
        <v>5171</v>
      </c>
      <c r="DP2360" s="130">
        <v>1</v>
      </c>
    </row>
    <row r="2361" spans="109:120" ht="15">
      <c r="DE2361" s="152"/>
      <c r="DF2361" s="160" t="s">
        <v>5536</v>
      </c>
      <c r="DG2361" s="160" t="s">
        <v>120</v>
      </c>
      <c r="DH2361" s="160" t="s">
        <v>125</v>
      </c>
      <c r="DI2361" s="160" t="s">
        <v>5537</v>
      </c>
      <c r="DJ2361" s="160" t="s">
        <v>5537</v>
      </c>
      <c r="DK2361" s="160" t="s">
        <v>1259</v>
      </c>
      <c r="DL2361" s="160" t="s">
        <v>1260</v>
      </c>
      <c r="DM2361" s="160" t="s">
        <v>1261</v>
      </c>
      <c r="DN2361" s="161" t="s">
        <v>5171</v>
      </c>
      <c r="DP2361" s="130">
        <v>1</v>
      </c>
    </row>
    <row r="2362" spans="109:120" ht="15">
      <c r="DE2362" s="152"/>
      <c r="DF2362" s="160" t="s">
        <v>5538</v>
      </c>
      <c r="DG2362" s="160" t="s">
        <v>120</v>
      </c>
      <c r="DH2362" s="160" t="s">
        <v>125</v>
      </c>
      <c r="DI2362" s="160" t="s">
        <v>5539</v>
      </c>
      <c r="DJ2362" s="160" t="s">
        <v>5539</v>
      </c>
      <c r="DK2362" s="160" t="s">
        <v>1259</v>
      </c>
      <c r="DL2362" s="160" t="s">
        <v>1260</v>
      </c>
      <c r="DM2362" s="160" t="s">
        <v>1261</v>
      </c>
      <c r="DN2362" s="161" t="s">
        <v>5171</v>
      </c>
      <c r="DP2362" s="130">
        <v>1</v>
      </c>
    </row>
    <row r="2363" spans="109:120" ht="15">
      <c r="DE2363" s="152"/>
      <c r="DF2363" s="160" t="s">
        <v>5540</v>
      </c>
      <c r="DG2363" s="160" t="s">
        <v>120</v>
      </c>
      <c r="DH2363" s="160" t="s">
        <v>125</v>
      </c>
      <c r="DI2363" s="160" t="s">
        <v>5541</v>
      </c>
      <c r="DJ2363" s="160" t="s">
        <v>5541</v>
      </c>
      <c r="DK2363" s="160" t="s">
        <v>588</v>
      </c>
      <c r="DL2363" s="160" t="s">
        <v>5198</v>
      </c>
      <c r="DM2363" s="160" t="s">
        <v>590</v>
      </c>
      <c r="DN2363" s="161" t="s">
        <v>591</v>
      </c>
      <c r="DP2363" s="130">
        <v>1</v>
      </c>
    </row>
    <row r="2364" spans="109:120" ht="15">
      <c r="DE2364" s="152"/>
      <c r="DF2364" s="160" t="s">
        <v>5542</v>
      </c>
      <c r="DG2364" s="160" t="s">
        <v>120</v>
      </c>
      <c r="DH2364" s="160" t="s">
        <v>125</v>
      </c>
      <c r="DI2364" s="160" t="s">
        <v>5543</v>
      </c>
      <c r="DJ2364" s="160" t="s">
        <v>5543</v>
      </c>
      <c r="DK2364" s="160" t="s">
        <v>1259</v>
      </c>
      <c r="DL2364" s="160" t="s">
        <v>1260</v>
      </c>
      <c r="DM2364" s="160" t="s">
        <v>1261</v>
      </c>
      <c r="DN2364" s="161" t="s">
        <v>5171</v>
      </c>
      <c r="DP2364" s="130">
        <v>1</v>
      </c>
    </row>
    <row r="2365" spans="109:120" ht="15">
      <c r="DE2365" s="152"/>
      <c r="DF2365" s="160" t="s">
        <v>5544</v>
      </c>
      <c r="DG2365" s="160" t="s">
        <v>120</v>
      </c>
      <c r="DH2365" s="160" t="s">
        <v>125</v>
      </c>
      <c r="DI2365" s="160" t="s">
        <v>264</v>
      </c>
      <c r="DJ2365" s="160" t="s">
        <v>264</v>
      </c>
      <c r="DK2365" s="160" t="s">
        <v>588</v>
      </c>
      <c r="DL2365" s="160" t="s">
        <v>5198</v>
      </c>
      <c r="DM2365" s="160" t="s">
        <v>590</v>
      </c>
      <c r="DN2365" s="161" t="s">
        <v>591</v>
      </c>
      <c r="DP2365" s="130">
        <v>1</v>
      </c>
    </row>
    <row r="2366" spans="109:120" ht="15">
      <c r="DE2366" s="152"/>
      <c r="DF2366" s="160" t="s">
        <v>5545</v>
      </c>
      <c r="DG2366" s="160" t="s">
        <v>120</v>
      </c>
      <c r="DH2366" s="160" t="s">
        <v>125</v>
      </c>
      <c r="DI2366" s="160" t="s">
        <v>5546</v>
      </c>
      <c r="DJ2366" s="160" t="s">
        <v>5546</v>
      </c>
      <c r="DK2366" s="160" t="s">
        <v>1259</v>
      </c>
      <c r="DL2366" s="160" t="s">
        <v>1260</v>
      </c>
      <c r="DM2366" s="160" t="s">
        <v>1261</v>
      </c>
      <c r="DN2366" s="161" t="s">
        <v>5171</v>
      </c>
      <c r="DP2366" s="130">
        <v>1</v>
      </c>
    </row>
    <row r="2367" spans="109:120" ht="15">
      <c r="DE2367" s="152"/>
      <c r="DF2367" s="160" t="s">
        <v>5547</v>
      </c>
      <c r="DG2367" s="160" t="s">
        <v>120</v>
      </c>
      <c r="DH2367" s="160" t="s">
        <v>125</v>
      </c>
      <c r="DI2367" s="160" t="s">
        <v>5548</v>
      </c>
      <c r="DJ2367" s="160" t="s">
        <v>5549</v>
      </c>
      <c r="DK2367" s="160" t="s">
        <v>588</v>
      </c>
      <c r="DL2367" s="160" t="s">
        <v>5198</v>
      </c>
      <c r="DM2367" s="160" t="s">
        <v>590</v>
      </c>
      <c r="DN2367" s="161" t="s">
        <v>591</v>
      </c>
      <c r="DP2367" s="130">
        <v>1</v>
      </c>
    </row>
    <row r="2368" spans="109:120" ht="15">
      <c r="DE2368" s="152"/>
      <c r="DF2368" s="160" t="s">
        <v>5550</v>
      </c>
      <c r="DG2368" s="160" t="s">
        <v>120</v>
      </c>
      <c r="DH2368" s="160" t="s">
        <v>125</v>
      </c>
      <c r="DI2368" s="160" t="s">
        <v>5551</v>
      </c>
      <c r="DJ2368" s="160" t="s">
        <v>5552</v>
      </c>
      <c r="DK2368" s="160" t="s">
        <v>588</v>
      </c>
      <c r="DL2368" s="160" t="s">
        <v>5198</v>
      </c>
      <c r="DM2368" s="160" t="s">
        <v>590</v>
      </c>
      <c r="DN2368" s="161" t="s">
        <v>591</v>
      </c>
      <c r="DP2368" s="130">
        <v>1</v>
      </c>
    </row>
    <row r="2369" spans="109:120" ht="15">
      <c r="DE2369" s="152"/>
      <c r="DF2369" s="160" t="s">
        <v>5553</v>
      </c>
      <c r="DG2369" s="160" t="s">
        <v>120</v>
      </c>
      <c r="DH2369" s="160" t="s">
        <v>125</v>
      </c>
      <c r="DI2369" s="160" t="s">
        <v>5554</v>
      </c>
      <c r="DJ2369" s="160" t="s">
        <v>5554</v>
      </c>
      <c r="DK2369" s="160" t="s">
        <v>1259</v>
      </c>
      <c r="DL2369" s="160" t="s">
        <v>1260</v>
      </c>
      <c r="DM2369" s="160" t="s">
        <v>1261</v>
      </c>
      <c r="DN2369" s="161" t="s">
        <v>5171</v>
      </c>
      <c r="DP2369" s="130">
        <v>1</v>
      </c>
    </row>
    <row r="2370" spans="109:120" ht="15">
      <c r="DE2370" s="152"/>
      <c r="DF2370" s="160" t="s">
        <v>5555</v>
      </c>
      <c r="DG2370" s="160" t="s">
        <v>120</v>
      </c>
      <c r="DH2370" s="160" t="s">
        <v>125</v>
      </c>
      <c r="DI2370" s="160" t="s">
        <v>5556</v>
      </c>
      <c r="DJ2370" s="160" t="s">
        <v>5556</v>
      </c>
      <c r="DK2370" s="160" t="s">
        <v>666</v>
      </c>
      <c r="DL2370" s="160" t="s">
        <v>667</v>
      </c>
      <c r="DM2370" s="160" t="s">
        <v>590</v>
      </c>
      <c r="DN2370" s="161" t="s">
        <v>668</v>
      </c>
      <c r="DP2370" s="130">
        <v>1</v>
      </c>
    </row>
    <row r="2371" spans="109:120" ht="15">
      <c r="DE2371" s="152"/>
      <c r="DF2371" s="160" t="s">
        <v>5557</v>
      </c>
      <c r="DG2371" s="160" t="s">
        <v>120</v>
      </c>
      <c r="DH2371" s="160" t="s">
        <v>125</v>
      </c>
      <c r="DI2371" s="160" t="s">
        <v>5558</v>
      </c>
      <c r="DJ2371" s="160" t="s">
        <v>5558</v>
      </c>
      <c r="DK2371" s="160" t="s">
        <v>666</v>
      </c>
      <c r="DL2371" s="160" t="s">
        <v>667</v>
      </c>
      <c r="DM2371" s="160" t="s">
        <v>590</v>
      </c>
      <c r="DN2371" s="161" t="s">
        <v>668</v>
      </c>
      <c r="DP2371" s="130">
        <v>1</v>
      </c>
    </row>
    <row r="2372" spans="109:120" ht="15">
      <c r="DE2372" s="152"/>
      <c r="DF2372" s="160" t="s">
        <v>5559</v>
      </c>
      <c r="DG2372" s="160" t="s">
        <v>120</v>
      </c>
      <c r="DH2372" s="160" t="s">
        <v>125</v>
      </c>
      <c r="DI2372" s="160" t="s">
        <v>265</v>
      </c>
      <c r="DJ2372" s="160" t="s">
        <v>265</v>
      </c>
      <c r="DK2372" s="160" t="s">
        <v>1259</v>
      </c>
      <c r="DL2372" s="160" t="s">
        <v>1260</v>
      </c>
      <c r="DM2372" s="160" t="s">
        <v>1261</v>
      </c>
      <c r="DN2372" s="161" t="s">
        <v>5171</v>
      </c>
      <c r="DP2372" s="130">
        <v>1</v>
      </c>
    </row>
    <row r="2373" spans="109:120" ht="15">
      <c r="DE2373" s="152"/>
      <c r="DF2373" s="160" t="s">
        <v>5560</v>
      </c>
      <c r="DG2373" s="160" t="s">
        <v>120</v>
      </c>
      <c r="DH2373" s="160" t="s">
        <v>125</v>
      </c>
      <c r="DI2373" s="160" t="s">
        <v>5561</v>
      </c>
      <c r="DJ2373" s="160" t="s">
        <v>5561</v>
      </c>
      <c r="DK2373" s="160" t="s">
        <v>1259</v>
      </c>
      <c r="DL2373" s="160" t="s">
        <v>1260</v>
      </c>
      <c r="DM2373" s="160" t="s">
        <v>1261</v>
      </c>
      <c r="DN2373" s="161" t="s">
        <v>5171</v>
      </c>
      <c r="DP2373" s="130">
        <v>1</v>
      </c>
    </row>
    <row r="2374" spans="109:120" ht="15">
      <c r="DE2374" s="152"/>
      <c r="DF2374" s="160" t="s">
        <v>5562</v>
      </c>
      <c r="DG2374" s="160" t="s">
        <v>120</v>
      </c>
      <c r="DH2374" s="160" t="s">
        <v>125</v>
      </c>
      <c r="DI2374" s="160" t="s">
        <v>5563</v>
      </c>
      <c r="DJ2374" s="160" t="s">
        <v>5563</v>
      </c>
      <c r="DK2374" s="160" t="s">
        <v>1259</v>
      </c>
      <c r="DL2374" s="160" t="s">
        <v>1260</v>
      </c>
      <c r="DM2374" s="160" t="s">
        <v>1261</v>
      </c>
      <c r="DN2374" s="161" t="s">
        <v>5171</v>
      </c>
      <c r="DP2374" s="130">
        <v>1</v>
      </c>
    </row>
    <row r="2375" spans="109:120" ht="15">
      <c r="DE2375" s="152"/>
      <c r="DF2375" s="160" t="s">
        <v>5564</v>
      </c>
      <c r="DG2375" s="160" t="s">
        <v>120</v>
      </c>
      <c r="DH2375" s="160" t="s">
        <v>125</v>
      </c>
      <c r="DI2375" s="160" t="s">
        <v>5565</v>
      </c>
      <c r="DJ2375" s="160" t="s">
        <v>5565</v>
      </c>
      <c r="DK2375" s="160" t="s">
        <v>1259</v>
      </c>
      <c r="DL2375" s="160" t="s">
        <v>1260</v>
      </c>
      <c r="DM2375" s="160" t="s">
        <v>1261</v>
      </c>
      <c r="DN2375" s="161" t="s">
        <v>5171</v>
      </c>
      <c r="DP2375" s="130">
        <v>1</v>
      </c>
    </row>
    <row r="2376" spans="109:120" ht="15">
      <c r="DE2376" s="152"/>
      <c r="DF2376" s="160" t="s">
        <v>5566</v>
      </c>
      <c r="DG2376" s="160" t="s">
        <v>120</v>
      </c>
      <c r="DH2376" s="160" t="s">
        <v>125</v>
      </c>
      <c r="DI2376" s="160" t="s">
        <v>5567</v>
      </c>
      <c r="DJ2376" s="160" t="s">
        <v>5567</v>
      </c>
      <c r="DK2376" s="160" t="s">
        <v>1259</v>
      </c>
      <c r="DL2376" s="160" t="s">
        <v>1260</v>
      </c>
      <c r="DM2376" s="160" t="s">
        <v>1261</v>
      </c>
      <c r="DN2376" s="161" t="s">
        <v>5171</v>
      </c>
      <c r="DP2376" s="130">
        <v>1</v>
      </c>
    </row>
    <row r="2377" spans="109:120" ht="15">
      <c r="DE2377" s="152"/>
      <c r="DF2377" s="160" t="s">
        <v>5568</v>
      </c>
      <c r="DG2377" s="160" t="s">
        <v>120</v>
      </c>
      <c r="DH2377" s="160" t="s">
        <v>125</v>
      </c>
      <c r="DI2377" s="160" t="s">
        <v>5569</v>
      </c>
      <c r="DJ2377" s="160" t="s">
        <v>5569</v>
      </c>
      <c r="DK2377" s="160" t="s">
        <v>1259</v>
      </c>
      <c r="DL2377" s="160" t="s">
        <v>1260</v>
      </c>
      <c r="DM2377" s="160" t="s">
        <v>1261</v>
      </c>
      <c r="DN2377" s="161" t="s">
        <v>5171</v>
      </c>
      <c r="DP2377" s="130">
        <v>1</v>
      </c>
    </row>
    <row r="2378" spans="109:120" ht="15">
      <c r="DE2378" s="152"/>
      <c r="DF2378" s="160" t="s">
        <v>5570</v>
      </c>
      <c r="DG2378" s="160" t="s">
        <v>120</v>
      </c>
      <c r="DH2378" s="160" t="s">
        <v>125</v>
      </c>
      <c r="DI2378" s="160" t="s">
        <v>266</v>
      </c>
      <c r="DJ2378" s="160" t="s">
        <v>266</v>
      </c>
      <c r="DK2378" s="160" t="s">
        <v>588</v>
      </c>
      <c r="DL2378" s="160" t="s">
        <v>5198</v>
      </c>
      <c r="DM2378" s="160" t="s">
        <v>590</v>
      </c>
      <c r="DN2378" s="161" t="s">
        <v>591</v>
      </c>
      <c r="DP2378" s="130">
        <v>1</v>
      </c>
    </row>
    <row r="2379" spans="109:120" ht="15">
      <c r="DE2379" s="152"/>
      <c r="DF2379" s="160" t="s">
        <v>5571</v>
      </c>
      <c r="DG2379" s="160" t="s">
        <v>120</v>
      </c>
      <c r="DH2379" s="160" t="s">
        <v>125</v>
      </c>
      <c r="DI2379" s="160" t="s">
        <v>5572</v>
      </c>
      <c r="DJ2379" s="160" t="s">
        <v>5572</v>
      </c>
      <c r="DK2379" s="160" t="s">
        <v>1259</v>
      </c>
      <c r="DL2379" s="160" t="s">
        <v>1260</v>
      </c>
      <c r="DM2379" s="160" t="s">
        <v>1261</v>
      </c>
      <c r="DN2379" s="161" t="s">
        <v>5171</v>
      </c>
      <c r="DP2379" s="130">
        <v>1</v>
      </c>
    </row>
    <row r="2380" spans="109:120" ht="15">
      <c r="DE2380" s="152"/>
      <c r="DF2380" s="160" t="s">
        <v>5573</v>
      </c>
      <c r="DG2380" s="160" t="s">
        <v>120</v>
      </c>
      <c r="DH2380" s="160" t="s">
        <v>125</v>
      </c>
      <c r="DI2380" s="160" t="s">
        <v>5574</v>
      </c>
      <c r="DJ2380" s="160" t="s">
        <v>5574</v>
      </c>
      <c r="DK2380" s="160" t="s">
        <v>1259</v>
      </c>
      <c r="DL2380" s="160" t="s">
        <v>1260</v>
      </c>
      <c r="DM2380" s="160" t="s">
        <v>1261</v>
      </c>
      <c r="DN2380" s="161" t="s">
        <v>5171</v>
      </c>
      <c r="DP2380" s="130">
        <v>1</v>
      </c>
    </row>
    <row r="2381" spans="109:120" ht="15">
      <c r="DE2381" s="152"/>
      <c r="DF2381" s="160" t="s">
        <v>5575</v>
      </c>
      <c r="DG2381" s="160" t="s">
        <v>120</v>
      </c>
      <c r="DH2381" s="160" t="s">
        <v>125</v>
      </c>
      <c r="DI2381" s="160" t="s">
        <v>5576</v>
      </c>
      <c r="DJ2381" s="160" t="s">
        <v>5576</v>
      </c>
      <c r="DK2381" s="160" t="s">
        <v>1259</v>
      </c>
      <c r="DL2381" s="160" t="s">
        <v>1260</v>
      </c>
      <c r="DM2381" s="160" t="s">
        <v>1261</v>
      </c>
      <c r="DN2381" s="161" t="s">
        <v>5171</v>
      </c>
      <c r="DP2381" s="130">
        <v>1</v>
      </c>
    </row>
    <row r="2382" spans="109:120" ht="15">
      <c r="DE2382" s="152"/>
      <c r="DF2382" s="160" t="s">
        <v>5577</v>
      </c>
      <c r="DG2382" s="160" t="s">
        <v>120</v>
      </c>
      <c r="DH2382" s="160" t="s">
        <v>125</v>
      </c>
      <c r="DI2382" s="160" t="s">
        <v>5578</v>
      </c>
      <c r="DJ2382" s="160" t="s">
        <v>5578</v>
      </c>
      <c r="DK2382" s="160" t="s">
        <v>1259</v>
      </c>
      <c r="DL2382" s="160" t="s">
        <v>1260</v>
      </c>
      <c r="DM2382" s="160" t="s">
        <v>1261</v>
      </c>
      <c r="DN2382" s="161" t="s">
        <v>5171</v>
      </c>
      <c r="DP2382" s="130">
        <v>1</v>
      </c>
    </row>
    <row r="2383" spans="109:120" ht="15">
      <c r="DE2383" s="152"/>
      <c r="DF2383" s="160" t="s">
        <v>5579</v>
      </c>
      <c r="DG2383" s="160" t="s">
        <v>120</v>
      </c>
      <c r="DH2383" s="160" t="s">
        <v>125</v>
      </c>
      <c r="DI2383" s="160" t="s">
        <v>5580</v>
      </c>
      <c r="DJ2383" s="160" t="s">
        <v>5580</v>
      </c>
      <c r="DK2383" s="160" t="s">
        <v>1259</v>
      </c>
      <c r="DL2383" s="160" t="s">
        <v>1260</v>
      </c>
      <c r="DM2383" s="160" t="s">
        <v>1261</v>
      </c>
      <c r="DN2383" s="161" t="s">
        <v>5171</v>
      </c>
      <c r="DP2383" s="130">
        <v>1</v>
      </c>
    </row>
    <row r="2384" spans="109:120" ht="15">
      <c r="DE2384" s="152"/>
      <c r="DF2384" s="160" t="s">
        <v>5581</v>
      </c>
      <c r="DG2384" s="160" t="s">
        <v>120</v>
      </c>
      <c r="DH2384" s="160" t="s">
        <v>125</v>
      </c>
      <c r="DI2384" s="160" t="s">
        <v>5582</v>
      </c>
      <c r="DJ2384" s="160" t="s">
        <v>5582</v>
      </c>
      <c r="DK2384" s="160" t="s">
        <v>666</v>
      </c>
      <c r="DL2384" s="160" t="s">
        <v>667</v>
      </c>
      <c r="DM2384" s="160" t="s">
        <v>590</v>
      </c>
      <c r="DN2384" s="161" t="s">
        <v>668</v>
      </c>
      <c r="DP2384" s="130">
        <v>1</v>
      </c>
    </row>
    <row r="2385" spans="109:120" ht="15">
      <c r="DE2385" s="152"/>
      <c r="DF2385" s="160" t="s">
        <v>5583</v>
      </c>
      <c r="DG2385" s="160" t="s">
        <v>120</v>
      </c>
      <c r="DH2385" s="160" t="s">
        <v>125</v>
      </c>
      <c r="DI2385" s="160" t="s">
        <v>5584</v>
      </c>
      <c r="DJ2385" s="160" t="s">
        <v>5584</v>
      </c>
      <c r="DK2385" s="160" t="s">
        <v>1259</v>
      </c>
      <c r="DL2385" s="160" t="s">
        <v>1260</v>
      </c>
      <c r="DM2385" s="160" t="s">
        <v>1261</v>
      </c>
      <c r="DN2385" s="161" t="s">
        <v>5171</v>
      </c>
      <c r="DP2385" s="130">
        <v>1</v>
      </c>
    </row>
    <row r="2386" spans="109:120" ht="15">
      <c r="DE2386" s="152"/>
      <c r="DF2386" s="160" t="s">
        <v>5585</v>
      </c>
      <c r="DG2386" s="160" t="s">
        <v>120</v>
      </c>
      <c r="DH2386" s="160" t="s">
        <v>125</v>
      </c>
      <c r="DI2386" s="160" t="s">
        <v>5586</v>
      </c>
      <c r="DJ2386" s="160" t="s">
        <v>5586</v>
      </c>
      <c r="DK2386" s="160" t="s">
        <v>1259</v>
      </c>
      <c r="DL2386" s="160" t="s">
        <v>1260</v>
      </c>
      <c r="DM2386" s="160" t="s">
        <v>1261</v>
      </c>
      <c r="DN2386" s="161" t="s">
        <v>5171</v>
      </c>
      <c r="DP2386" s="130">
        <v>1</v>
      </c>
    </row>
    <row r="2387" spans="109:120" ht="15">
      <c r="DE2387" s="152"/>
      <c r="DF2387" s="160" t="s">
        <v>5587</v>
      </c>
      <c r="DG2387" s="160" t="s">
        <v>120</v>
      </c>
      <c r="DH2387" s="160" t="s">
        <v>125</v>
      </c>
      <c r="DI2387" s="160" t="s">
        <v>5588</v>
      </c>
      <c r="DJ2387" s="160" t="s">
        <v>5588</v>
      </c>
      <c r="DK2387" s="160" t="s">
        <v>1259</v>
      </c>
      <c r="DL2387" s="160" t="s">
        <v>1260</v>
      </c>
      <c r="DM2387" s="160" t="s">
        <v>1261</v>
      </c>
      <c r="DN2387" s="161" t="s">
        <v>5171</v>
      </c>
      <c r="DP2387" s="130">
        <v>1</v>
      </c>
    </row>
    <row r="2388" spans="109:120" ht="15">
      <c r="DE2388" s="152"/>
      <c r="DF2388" s="160" t="s">
        <v>5589</v>
      </c>
      <c r="DG2388" s="160" t="s">
        <v>120</v>
      </c>
      <c r="DH2388" s="160" t="s">
        <v>125</v>
      </c>
      <c r="DI2388" s="160" t="s">
        <v>509</v>
      </c>
      <c r="DJ2388" s="160" t="s">
        <v>509</v>
      </c>
      <c r="DK2388" s="160" t="s">
        <v>1259</v>
      </c>
      <c r="DL2388" s="160" t="s">
        <v>1260</v>
      </c>
      <c r="DM2388" s="160" t="s">
        <v>1261</v>
      </c>
      <c r="DN2388" s="161" t="s">
        <v>5171</v>
      </c>
      <c r="DP2388" s="130">
        <v>1</v>
      </c>
    </row>
    <row r="2389" spans="109:120" ht="15">
      <c r="DE2389" s="152"/>
      <c r="DF2389" s="160" t="s">
        <v>5590</v>
      </c>
      <c r="DG2389" s="160" t="s">
        <v>120</v>
      </c>
      <c r="DH2389" s="160" t="s">
        <v>125</v>
      </c>
      <c r="DI2389" s="160" t="s">
        <v>510</v>
      </c>
      <c r="DJ2389" s="160" t="s">
        <v>510</v>
      </c>
      <c r="DK2389" s="160" t="s">
        <v>588</v>
      </c>
      <c r="DL2389" s="160" t="s">
        <v>5198</v>
      </c>
      <c r="DM2389" s="160" t="s">
        <v>590</v>
      </c>
      <c r="DN2389" s="161" t="s">
        <v>591</v>
      </c>
      <c r="DP2389" s="130">
        <v>1</v>
      </c>
    </row>
    <row r="2390" spans="109:120" ht="15">
      <c r="DE2390" s="152"/>
      <c r="DF2390" s="160" t="s">
        <v>5591</v>
      </c>
      <c r="DG2390" s="160" t="s">
        <v>120</v>
      </c>
      <c r="DH2390" s="160" t="s">
        <v>125</v>
      </c>
      <c r="DI2390" s="160" t="s">
        <v>5592</v>
      </c>
      <c r="DJ2390" s="160" t="s">
        <v>5592</v>
      </c>
      <c r="DK2390" s="160" t="s">
        <v>1259</v>
      </c>
      <c r="DL2390" s="160" t="s">
        <v>1260</v>
      </c>
      <c r="DM2390" s="160" t="s">
        <v>1261</v>
      </c>
      <c r="DN2390" s="161" t="s">
        <v>5171</v>
      </c>
      <c r="DP2390" s="130">
        <v>1</v>
      </c>
    </row>
    <row r="2391" spans="109:120" ht="15">
      <c r="DE2391" s="152"/>
      <c r="DF2391" s="160" t="s">
        <v>5593</v>
      </c>
      <c r="DG2391" s="160" t="s">
        <v>120</v>
      </c>
      <c r="DH2391" s="160" t="s">
        <v>125</v>
      </c>
      <c r="DI2391" s="160" t="s">
        <v>5594</v>
      </c>
      <c r="DJ2391" s="160" t="s">
        <v>5594</v>
      </c>
      <c r="DK2391" s="160" t="s">
        <v>1259</v>
      </c>
      <c r="DL2391" s="160" t="s">
        <v>1260</v>
      </c>
      <c r="DM2391" s="160" t="s">
        <v>1261</v>
      </c>
      <c r="DN2391" s="161" t="s">
        <v>5171</v>
      </c>
      <c r="DP2391" s="130">
        <v>1</v>
      </c>
    </row>
    <row r="2392" spans="109:120" ht="15">
      <c r="DE2392" s="152"/>
      <c r="DF2392" s="160" t="s">
        <v>5595</v>
      </c>
      <c r="DG2392" s="160" t="s">
        <v>120</v>
      </c>
      <c r="DH2392" s="160" t="s">
        <v>125</v>
      </c>
      <c r="DI2392" s="160" t="s">
        <v>5596</v>
      </c>
      <c r="DJ2392" s="160" t="s">
        <v>5596</v>
      </c>
      <c r="DK2392" s="160" t="s">
        <v>1259</v>
      </c>
      <c r="DL2392" s="160" t="s">
        <v>1260</v>
      </c>
      <c r="DM2392" s="160" t="s">
        <v>1261</v>
      </c>
      <c r="DN2392" s="161" t="s">
        <v>5171</v>
      </c>
      <c r="DP2392" s="130">
        <v>1</v>
      </c>
    </row>
    <row r="2393" spans="109:120" ht="15">
      <c r="DE2393" s="152"/>
      <c r="DF2393" s="160" t="s">
        <v>5597</v>
      </c>
      <c r="DG2393" s="160" t="s">
        <v>120</v>
      </c>
      <c r="DH2393" s="160" t="s">
        <v>125</v>
      </c>
      <c r="DI2393" s="160" t="s">
        <v>5598</v>
      </c>
      <c r="DJ2393" s="160" t="s">
        <v>5598</v>
      </c>
      <c r="DK2393" s="160" t="s">
        <v>1259</v>
      </c>
      <c r="DL2393" s="160" t="s">
        <v>1260</v>
      </c>
      <c r="DM2393" s="160" t="s">
        <v>1261</v>
      </c>
      <c r="DN2393" s="161" t="s">
        <v>5171</v>
      </c>
      <c r="DP2393" s="130">
        <v>1</v>
      </c>
    </row>
    <row r="2394" spans="109:120" ht="15">
      <c r="DE2394" s="152"/>
      <c r="DF2394" s="160" t="s">
        <v>5599</v>
      </c>
      <c r="DG2394" s="160" t="s">
        <v>120</v>
      </c>
      <c r="DH2394" s="160" t="s">
        <v>125</v>
      </c>
      <c r="DI2394" s="160" t="s">
        <v>5600</v>
      </c>
      <c r="DJ2394" s="160" t="s">
        <v>5600</v>
      </c>
      <c r="DK2394" s="160" t="s">
        <v>1259</v>
      </c>
      <c r="DL2394" s="160" t="s">
        <v>1260</v>
      </c>
      <c r="DM2394" s="160" t="s">
        <v>1261</v>
      </c>
      <c r="DN2394" s="161" t="s">
        <v>5171</v>
      </c>
      <c r="DP2394" s="130">
        <v>1</v>
      </c>
    </row>
    <row r="2395" spans="109:120" ht="15">
      <c r="DE2395" s="152"/>
      <c r="DF2395" s="160" t="s">
        <v>5601</v>
      </c>
      <c r="DG2395" s="160" t="s">
        <v>120</v>
      </c>
      <c r="DH2395" s="160" t="s">
        <v>125</v>
      </c>
      <c r="DI2395" s="160" t="s">
        <v>5602</v>
      </c>
      <c r="DJ2395" s="160" t="s">
        <v>5602</v>
      </c>
      <c r="DK2395" s="160" t="s">
        <v>1259</v>
      </c>
      <c r="DL2395" s="160" t="s">
        <v>1260</v>
      </c>
      <c r="DM2395" s="160" t="s">
        <v>1261</v>
      </c>
      <c r="DN2395" s="161" t="s">
        <v>5171</v>
      </c>
      <c r="DP2395" s="130">
        <v>1</v>
      </c>
    </row>
    <row r="2396" spans="109:120" ht="15">
      <c r="DE2396" s="152"/>
      <c r="DF2396" s="160" t="s">
        <v>5603</v>
      </c>
      <c r="DG2396" s="160" t="s">
        <v>120</v>
      </c>
      <c r="DH2396" s="160" t="s">
        <v>125</v>
      </c>
      <c r="DI2396" s="160" t="s">
        <v>5604</v>
      </c>
      <c r="DJ2396" s="160" t="s">
        <v>5604</v>
      </c>
      <c r="DK2396" s="160" t="s">
        <v>1259</v>
      </c>
      <c r="DL2396" s="160" t="s">
        <v>1260</v>
      </c>
      <c r="DM2396" s="160" t="s">
        <v>1261</v>
      </c>
      <c r="DN2396" s="161" t="s">
        <v>5171</v>
      </c>
      <c r="DP2396" s="130">
        <v>1</v>
      </c>
    </row>
    <row r="2397" spans="109:120" ht="15">
      <c r="DE2397" s="152"/>
      <c r="DF2397" s="160" t="s">
        <v>5605</v>
      </c>
      <c r="DG2397" s="160" t="s">
        <v>120</v>
      </c>
      <c r="DH2397" s="160" t="s">
        <v>125</v>
      </c>
      <c r="DI2397" s="160" t="s">
        <v>5606</v>
      </c>
      <c r="DJ2397" s="160" t="s">
        <v>5606</v>
      </c>
      <c r="DK2397" s="160" t="s">
        <v>1259</v>
      </c>
      <c r="DL2397" s="160" t="s">
        <v>1260</v>
      </c>
      <c r="DM2397" s="160" t="s">
        <v>1261</v>
      </c>
      <c r="DN2397" s="161" t="s">
        <v>5171</v>
      </c>
      <c r="DP2397" s="130">
        <v>1</v>
      </c>
    </row>
    <row r="2398" spans="109:120" ht="15">
      <c r="DE2398" s="152"/>
      <c r="DF2398" s="160" t="s">
        <v>5607</v>
      </c>
      <c r="DG2398" s="160" t="s">
        <v>120</v>
      </c>
      <c r="DH2398" s="160" t="s">
        <v>125</v>
      </c>
      <c r="DI2398" s="160" t="s">
        <v>5608</v>
      </c>
      <c r="DJ2398" s="160" t="s">
        <v>5608</v>
      </c>
      <c r="DK2398" s="160" t="s">
        <v>1259</v>
      </c>
      <c r="DL2398" s="160" t="s">
        <v>1260</v>
      </c>
      <c r="DM2398" s="160" t="s">
        <v>1261</v>
      </c>
      <c r="DN2398" s="161" t="s">
        <v>5171</v>
      </c>
      <c r="DP2398" s="130">
        <v>1</v>
      </c>
    </row>
    <row r="2399" spans="109:120" ht="15">
      <c r="DE2399" s="152"/>
      <c r="DF2399" s="160" t="s">
        <v>5609</v>
      </c>
      <c r="DG2399" s="160" t="s">
        <v>120</v>
      </c>
      <c r="DH2399" s="160" t="s">
        <v>125</v>
      </c>
      <c r="DI2399" s="160" t="s">
        <v>5610</v>
      </c>
      <c r="DJ2399" s="160" t="s">
        <v>5610</v>
      </c>
      <c r="DK2399" s="160" t="s">
        <v>1259</v>
      </c>
      <c r="DL2399" s="160" t="s">
        <v>1260</v>
      </c>
      <c r="DM2399" s="160" t="s">
        <v>1261</v>
      </c>
      <c r="DN2399" s="161" t="s">
        <v>5171</v>
      </c>
      <c r="DP2399" s="130">
        <v>1</v>
      </c>
    </row>
    <row r="2400" spans="109:120" ht="15">
      <c r="DE2400" s="152"/>
      <c r="DF2400" s="160" t="s">
        <v>5611</v>
      </c>
      <c r="DG2400" s="160" t="s">
        <v>120</v>
      </c>
      <c r="DH2400" s="160" t="s">
        <v>125</v>
      </c>
      <c r="DI2400" s="160" t="s">
        <v>5612</v>
      </c>
      <c r="DJ2400" s="160" t="s">
        <v>5612</v>
      </c>
      <c r="DK2400" s="160" t="s">
        <v>1259</v>
      </c>
      <c r="DL2400" s="160" t="s">
        <v>1260</v>
      </c>
      <c r="DM2400" s="160" t="s">
        <v>1261</v>
      </c>
      <c r="DN2400" s="161" t="s">
        <v>5171</v>
      </c>
      <c r="DP2400" s="130">
        <v>1</v>
      </c>
    </row>
    <row r="2401" spans="109:120" ht="15">
      <c r="DE2401" s="152"/>
      <c r="DF2401" s="160" t="s">
        <v>5613</v>
      </c>
      <c r="DG2401" s="160" t="s">
        <v>120</v>
      </c>
      <c r="DH2401" s="160" t="s">
        <v>125</v>
      </c>
      <c r="DI2401" s="160" t="s">
        <v>5614</v>
      </c>
      <c r="DJ2401" s="160" t="s">
        <v>5614</v>
      </c>
      <c r="DK2401" s="160" t="s">
        <v>1259</v>
      </c>
      <c r="DL2401" s="160" t="s">
        <v>1260</v>
      </c>
      <c r="DM2401" s="160" t="s">
        <v>1261</v>
      </c>
      <c r="DN2401" s="161" t="s">
        <v>5171</v>
      </c>
      <c r="DP2401" s="130">
        <v>1</v>
      </c>
    </row>
    <row r="2402" spans="109:120" ht="15">
      <c r="DE2402" s="152"/>
      <c r="DF2402" s="160" t="s">
        <v>5615</v>
      </c>
      <c r="DG2402" s="160" t="s">
        <v>120</v>
      </c>
      <c r="DH2402" s="160" t="s">
        <v>125</v>
      </c>
      <c r="DI2402" s="160" t="s">
        <v>5616</v>
      </c>
      <c r="DJ2402" s="160" t="s">
        <v>5616</v>
      </c>
      <c r="DK2402" s="160" t="s">
        <v>1259</v>
      </c>
      <c r="DL2402" s="160" t="s">
        <v>1260</v>
      </c>
      <c r="DM2402" s="160" t="s">
        <v>1261</v>
      </c>
      <c r="DN2402" s="161" t="s">
        <v>5171</v>
      </c>
      <c r="DP2402" s="130">
        <v>1</v>
      </c>
    </row>
    <row r="2403" spans="109:120" ht="15">
      <c r="DE2403" s="152"/>
      <c r="DF2403" s="160" t="s">
        <v>5617</v>
      </c>
      <c r="DG2403" s="160" t="s">
        <v>120</v>
      </c>
      <c r="DH2403" s="160" t="s">
        <v>125</v>
      </c>
      <c r="DI2403" s="160" t="s">
        <v>5618</v>
      </c>
      <c r="DJ2403" s="160" t="s">
        <v>5618</v>
      </c>
      <c r="DK2403" s="160" t="s">
        <v>1259</v>
      </c>
      <c r="DL2403" s="160" t="s">
        <v>1260</v>
      </c>
      <c r="DM2403" s="160" t="s">
        <v>1261</v>
      </c>
      <c r="DN2403" s="161" t="s">
        <v>5171</v>
      </c>
      <c r="DP2403" s="130">
        <v>1</v>
      </c>
    </row>
    <row r="2404" spans="109:120" ht="15">
      <c r="DE2404" s="152"/>
      <c r="DF2404" s="160" t="s">
        <v>5619</v>
      </c>
      <c r="DG2404" s="160" t="s">
        <v>120</v>
      </c>
      <c r="DH2404" s="160" t="s">
        <v>125</v>
      </c>
      <c r="DI2404" s="160" t="s">
        <v>5620</v>
      </c>
      <c r="DJ2404" s="160" t="s">
        <v>5620</v>
      </c>
      <c r="DK2404" s="160" t="s">
        <v>666</v>
      </c>
      <c r="DL2404" s="160" t="s">
        <v>667</v>
      </c>
      <c r="DM2404" s="160" t="s">
        <v>590</v>
      </c>
      <c r="DN2404" s="161" t="s">
        <v>668</v>
      </c>
      <c r="DP2404" s="130">
        <v>1</v>
      </c>
    </row>
    <row r="2405" spans="109:120" ht="15">
      <c r="DE2405" s="152"/>
      <c r="DF2405" s="160" t="s">
        <v>5621</v>
      </c>
      <c r="DG2405" s="160" t="s">
        <v>120</v>
      </c>
      <c r="DH2405" s="160" t="s">
        <v>125</v>
      </c>
      <c r="DI2405" s="160" t="s">
        <v>5622</v>
      </c>
      <c r="DJ2405" s="160" t="s">
        <v>5622</v>
      </c>
      <c r="DK2405" s="160" t="s">
        <v>666</v>
      </c>
      <c r="DL2405" s="160" t="s">
        <v>667</v>
      </c>
      <c r="DM2405" s="160" t="s">
        <v>590</v>
      </c>
      <c r="DN2405" s="161" t="s">
        <v>668</v>
      </c>
      <c r="DP2405" s="130">
        <v>1</v>
      </c>
    </row>
    <row r="2406" spans="109:120" ht="15">
      <c r="DE2406" s="152"/>
      <c r="DF2406" s="160" t="s">
        <v>5623</v>
      </c>
      <c r="DG2406" s="160" t="s">
        <v>120</v>
      </c>
      <c r="DH2406" s="160" t="s">
        <v>125</v>
      </c>
      <c r="DI2406" s="160" t="s">
        <v>5624</v>
      </c>
      <c r="DJ2406" s="160" t="s">
        <v>5624</v>
      </c>
      <c r="DK2406" s="160" t="s">
        <v>1259</v>
      </c>
      <c r="DL2406" s="160" t="s">
        <v>1260</v>
      </c>
      <c r="DM2406" s="160" t="s">
        <v>1261</v>
      </c>
      <c r="DN2406" s="161" t="s">
        <v>5171</v>
      </c>
      <c r="DP2406" s="130">
        <v>1</v>
      </c>
    </row>
    <row r="2407" spans="109:120" ht="15">
      <c r="DE2407" s="152"/>
      <c r="DF2407" s="160" t="s">
        <v>5625</v>
      </c>
      <c r="DG2407" s="160" t="s">
        <v>120</v>
      </c>
      <c r="DH2407" s="160" t="s">
        <v>126</v>
      </c>
      <c r="DI2407" s="160" t="s">
        <v>5626</v>
      </c>
      <c r="DJ2407" s="160" t="s">
        <v>5626</v>
      </c>
      <c r="DK2407" s="160" t="s">
        <v>588</v>
      </c>
      <c r="DL2407" s="160" t="s">
        <v>5627</v>
      </c>
      <c r="DM2407" s="160" t="s">
        <v>590</v>
      </c>
      <c r="DN2407" s="161" t="s">
        <v>591</v>
      </c>
      <c r="DP2407" s="130">
        <v>1</v>
      </c>
    </row>
    <row r="2408" spans="109:120" ht="15">
      <c r="DE2408" s="152"/>
      <c r="DF2408" s="160" t="s">
        <v>5628</v>
      </c>
      <c r="DG2408" s="160" t="s">
        <v>120</v>
      </c>
      <c r="DH2408" s="160" t="s">
        <v>126</v>
      </c>
      <c r="DI2408" s="160" t="s">
        <v>5629</v>
      </c>
      <c r="DJ2408" s="160" t="s">
        <v>5629</v>
      </c>
      <c r="DK2408" s="160" t="s">
        <v>588</v>
      </c>
      <c r="DL2408" s="160" t="s">
        <v>5627</v>
      </c>
      <c r="DM2408" s="160" t="s">
        <v>590</v>
      </c>
      <c r="DN2408" s="161" t="s">
        <v>591</v>
      </c>
      <c r="DP2408" s="130">
        <v>1</v>
      </c>
    </row>
    <row r="2409" spans="109:120" ht="15">
      <c r="DE2409" s="152"/>
      <c r="DF2409" s="160" t="s">
        <v>5630</v>
      </c>
      <c r="DG2409" s="160" t="s">
        <v>120</v>
      </c>
      <c r="DH2409" s="160" t="s">
        <v>126</v>
      </c>
      <c r="DI2409" s="160" t="s">
        <v>5631</v>
      </c>
      <c r="DJ2409" s="160" t="s">
        <v>5631</v>
      </c>
      <c r="DK2409" s="160" t="s">
        <v>588</v>
      </c>
      <c r="DL2409" s="160" t="s">
        <v>5627</v>
      </c>
      <c r="DM2409" s="160" t="s">
        <v>590</v>
      </c>
      <c r="DN2409" s="161" t="s">
        <v>591</v>
      </c>
      <c r="DP2409" s="130">
        <v>1</v>
      </c>
    </row>
    <row r="2410" spans="109:120" ht="15">
      <c r="DE2410" s="152"/>
      <c r="DF2410" s="160" t="s">
        <v>5632</v>
      </c>
      <c r="DG2410" s="160" t="s">
        <v>120</v>
      </c>
      <c r="DH2410" s="160" t="s">
        <v>126</v>
      </c>
      <c r="DI2410" s="160" t="s">
        <v>5633</v>
      </c>
      <c r="DJ2410" s="160" t="s">
        <v>5633</v>
      </c>
      <c r="DK2410" s="160" t="s">
        <v>588</v>
      </c>
      <c r="DL2410" s="160" t="s">
        <v>5627</v>
      </c>
      <c r="DM2410" s="160" t="s">
        <v>590</v>
      </c>
      <c r="DN2410" s="161" t="s">
        <v>591</v>
      </c>
      <c r="DP2410" s="130">
        <v>1</v>
      </c>
    </row>
    <row r="2411" spans="109:120" ht="15">
      <c r="DE2411" s="152"/>
      <c r="DF2411" s="160" t="s">
        <v>5634</v>
      </c>
      <c r="DG2411" s="160" t="s">
        <v>120</v>
      </c>
      <c r="DH2411" s="160" t="s">
        <v>126</v>
      </c>
      <c r="DI2411" s="160" t="s">
        <v>5635</v>
      </c>
      <c r="DJ2411" s="160" t="s">
        <v>5635</v>
      </c>
      <c r="DK2411" s="160" t="s">
        <v>588</v>
      </c>
      <c r="DL2411" s="160" t="s">
        <v>5627</v>
      </c>
      <c r="DM2411" s="160" t="s">
        <v>590</v>
      </c>
      <c r="DN2411" s="161" t="s">
        <v>591</v>
      </c>
      <c r="DP2411" s="130">
        <v>1</v>
      </c>
    </row>
    <row r="2412" spans="109:120" ht="15">
      <c r="DE2412" s="152"/>
      <c r="DF2412" s="160" t="s">
        <v>5636</v>
      </c>
      <c r="DG2412" s="160" t="s">
        <v>120</v>
      </c>
      <c r="DH2412" s="160" t="s">
        <v>126</v>
      </c>
      <c r="DI2412" s="160" t="s">
        <v>5637</v>
      </c>
      <c r="DJ2412" s="160" t="s">
        <v>5637</v>
      </c>
      <c r="DK2412" s="160" t="s">
        <v>588</v>
      </c>
      <c r="DL2412" s="160" t="s">
        <v>5627</v>
      </c>
      <c r="DM2412" s="160" t="s">
        <v>590</v>
      </c>
      <c r="DN2412" s="161" t="s">
        <v>591</v>
      </c>
      <c r="DP2412" s="130">
        <v>1</v>
      </c>
    </row>
    <row r="2413" spans="109:120" ht="15">
      <c r="DE2413" s="152"/>
      <c r="DF2413" s="160" t="s">
        <v>5638</v>
      </c>
      <c r="DG2413" s="160" t="s">
        <v>120</v>
      </c>
      <c r="DH2413" s="160" t="s">
        <v>126</v>
      </c>
      <c r="DI2413" s="160" t="s">
        <v>1131</v>
      </c>
      <c r="DJ2413" s="160" t="s">
        <v>550</v>
      </c>
      <c r="DK2413" s="160" t="s">
        <v>666</v>
      </c>
      <c r="DL2413" s="160" t="s">
        <v>952</v>
      </c>
      <c r="DM2413" s="160" t="s">
        <v>590</v>
      </c>
      <c r="DN2413" s="161" t="s">
        <v>668</v>
      </c>
      <c r="DP2413" s="130">
        <v>1</v>
      </c>
    </row>
    <row r="2414" spans="109:120" ht="15">
      <c r="DE2414" s="152"/>
      <c r="DF2414" s="160" t="s">
        <v>5639</v>
      </c>
      <c r="DG2414" s="160" t="s">
        <v>120</v>
      </c>
      <c r="DH2414" s="160" t="s">
        <v>126</v>
      </c>
      <c r="DI2414" s="160" t="s">
        <v>1134</v>
      </c>
      <c r="DJ2414" s="160" t="s">
        <v>551</v>
      </c>
      <c r="DK2414" s="160" t="s">
        <v>588</v>
      </c>
      <c r="DL2414" s="160" t="s">
        <v>5627</v>
      </c>
      <c r="DM2414" s="160" t="s">
        <v>590</v>
      </c>
      <c r="DN2414" s="161" t="s">
        <v>591</v>
      </c>
      <c r="DP2414" s="130">
        <v>1</v>
      </c>
    </row>
    <row r="2415" spans="109:120" ht="15">
      <c r="DE2415" s="152"/>
      <c r="DF2415" s="160" t="s">
        <v>5640</v>
      </c>
      <c r="DG2415" s="160" t="s">
        <v>120</v>
      </c>
      <c r="DH2415" s="160" t="s">
        <v>126</v>
      </c>
      <c r="DI2415" s="160" t="s">
        <v>1137</v>
      </c>
      <c r="DJ2415" s="160" t="s">
        <v>1138</v>
      </c>
      <c r="DK2415" s="160" t="s">
        <v>588</v>
      </c>
      <c r="DL2415" s="160" t="s">
        <v>5627</v>
      </c>
      <c r="DM2415" s="160" t="s">
        <v>590</v>
      </c>
      <c r="DN2415" s="161" t="s">
        <v>591</v>
      </c>
      <c r="DP2415" s="130">
        <v>1</v>
      </c>
    </row>
    <row r="2416" spans="109:120" ht="15">
      <c r="DE2416" s="152"/>
      <c r="DF2416" s="160" t="s">
        <v>5641</v>
      </c>
      <c r="DG2416" s="160" t="s">
        <v>120</v>
      </c>
      <c r="DH2416" s="160" t="s">
        <v>126</v>
      </c>
      <c r="DI2416" s="160" t="s">
        <v>1141</v>
      </c>
      <c r="DJ2416" s="160" t="s">
        <v>1142</v>
      </c>
      <c r="DK2416" s="160" t="s">
        <v>666</v>
      </c>
      <c r="DL2416" s="160" t="s">
        <v>952</v>
      </c>
      <c r="DM2416" s="160" t="s">
        <v>590</v>
      </c>
      <c r="DN2416" s="161" t="s">
        <v>668</v>
      </c>
      <c r="DP2416" s="130">
        <v>1</v>
      </c>
    </row>
    <row r="2417" spans="109:120" ht="15">
      <c r="DE2417" s="152"/>
      <c r="DF2417" s="160" t="s">
        <v>5642</v>
      </c>
      <c r="DG2417" s="160" t="s">
        <v>120</v>
      </c>
      <c r="DH2417" s="160" t="s">
        <v>126</v>
      </c>
      <c r="DI2417" s="160" t="s">
        <v>1145</v>
      </c>
      <c r="DJ2417" s="160" t="s">
        <v>552</v>
      </c>
      <c r="DK2417" s="160" t="s">
        <v>666</v>
      </c>
      <c r="DL2417" s="160" t="s">
        <v>952</v>
      </c>
      <c r="DM2417" s="160" t="s">
        <v>590</v>
      </c>
      <c r="DN2417" s="161" t="s">
        <v>668</v>
      </c>
      <c r="DP2417" s="130">
        <v>1</v>
      </c>
    </row>
    <row r="2418" spans="109:120" ht="15">
      <c r="DE2418" s="152"/>
      <c r="DF2418" s="160" t="s">
        <v>5643</v>
      </c>
      <c r="DG2418" s="160" t="s">
        <v>120</v>
      </c>
      <c r="DH2418" s="160" t="s">
        <v>126</v>
      </c>
      <c r="DI2418" s="160" t="s">
        <v>1148</v>
      </c>
      <c r="DJ2418" s="160" t="s">
        <v>1149</v>
      </c>
      <c r="DK2418" s="160" t="s">
        <v>666</v>
      </c>
      <c r="DL2418" s="160" t="s">
        <v>952</v>
      </c>
      <c r="DM2418" s="160" t="s">
        <v>590</v>
      </c>
      <c r="DN2418" s="161" t="s">
        <v>668</v>
      </c>
      <c r="DP2418" s="130">
        <v>1</v>
      </c>
    </row>
    <row r="2419" spans="109:120" ht="15">
      <c r="DE2419" s="152"/>
      <c r="DF2419" s="160" t="s">
        <v>5644</v>
      </c>
      <c r="DG2419" s="160" t="s">
        <v>120</v>
      </c>
      <c r="DH2419" s="160" t="s">
        <v>126</v>
      </c>
      <c r="DI2419" s="160" t="s">
        <v>1152</v>
      </c>
      <c r="DJ2419" s="160" t="s">
        <v>553</v>
      </c>
      <c r="DK2419" s="160" t="s">
        <v>588</v>
      </c>
      <c r="DL2419" s="160" t="s">
        <v>5627</v>
      </c>
      <c r="DM2419" s="160" t="s">
        <v>590</v>
      </c>
      <c r="DN2419" s="161" t="s">
        <v>591</v>
      </c>
      <c r="DP2419" s="130">
        <v>1</v>
      </c>
    </row>
    <row r="2420" spans="109:120" ht="15">
      <c r="DE2420" s="152"/>
      <c r="DF2420" s="160" t="s">
        <v>5645</v>
      </c>
      <c r="DG2420" s="160" t="s">
        <v>120</v>
      </c>
      <c r="DH2420" s="160" t="s">
        <v>126</v>
      </c>
      <c r="DI2420" s="160" t="s">
        <v>362</v>
      </c>
      <c r="DJ2420" s="160" t="s">
        <v>362</v>
      </c>
      <c r="DK2420" s="160" t="s">
        <v>588</v>
      </c>
      <c r="DL2420" s="160" t="s">
        <v>5627</v>
      </c>
      <c r="DM2420" s="160" t="s">
        <v>590</v>
      </c>
      <c r="DN2420" s="161" t="s">
        <v>591</v>
      </c>
      <c r="DP2420" s="130">
        <v>1</v>
      </c>
    </row>
    <row r="2421" spans="109:120" ht="15">
      <c r="DE2421" s="152"/>
      <c r="DF2421" s="160" t="s">
        <v>5646</v>
      </c>
      <c r="DG2421" s="160" t="s">
        <v>120</v>
      </c>
      <c r="DH2421" s="160" t="s">
        <v>126</v>
      </c>
      <c r="DI2421" s="160" t="s">
        <v>5647</v>
      </c>
      <c r="DJ2421" s="160" t="s">
        <v>5648</v>
      </c>
      <c r="DK2421" s="160" t="s">
        <v>588</v>
      </c>
      <c r="DL2421" s="160" t="s">
        <v>5627</v>
      </c>
      <c r="DM2421" s="160" t="s">
        <v>590</v>
      </c>
      <c r="DN2421" s="161" t="s">
        <v>591</v>
      </c>
      <c r="DP2421" s="130">
        <v>1</v>
      </c>
    </row>
    <row r="2422" spans="109:120" ht="15">
      <c r="DE2422" s="152"/>
      <c r="DF2422" s="160" t="s">
        <v>5649</v>
      </c>
      <c r="DG2422" s="160" t="s">
        <v>120</v>
      </c>
      <c r="DH2422" s="160" t="s">
        <v>126</v>
      </c>
      <c r="DI2422" s="160" t="s">
        <v>363</v>
      </c>
      <c r="DJ2422" s="160" t="s">
        <v>363</v>
      </c>
      <c r="DK2422" s="160" t="s">
        <v>588</v>
      </c>
      <c r="DL2422" s="160" t="s">
        <v>5627</v>
      </c>
      <c r="DM2422" s="160" t="s">
        <v>590</v>
      </c>
      <c r="DN2422" s="161" t="s">
        <v>591</v>
      </c>
      <c r="DP2422" s="130">
        <v>1</v>
      </c>
    </row>
    <row r="2423" spans="109:120" ht="15">
      <c r="DE2423" s="152"/>
      <c r="DF2423" s="160" t="s">
        <v>5650</v>
      </c>
      <c r="DG2423" s="160" t="s">
        <v>120</v>
      </c>
      <c r="DH2423" s="160" t="s">
        <v>1182</v>
      </c>
      <c r="DI2423" s="160" t="s">
        <v>3675</v>
      </c>
      <c r="DJ2423" s="160" t="s">
        <v>3675</v>
      </c>
      <c r="DK2423" s="160" t="s">
        <v>588</v>
      </c>
      <c r="DL2423" s="160" t="s">
        <v>3673</v>
      </c>
      <c r="DM2423" s="160" t="s">
        <v>590</v>
      </c>
      <c r="DN2423" s="161" t="s">
        <v>591</v>
      </c>
      <c r="DP2423" s="130">
        <v>1</v>
      </c>
    </row>
    <row r="2424" spans="109:120" ht="15">
      <c r="DE2424" s="152"/>
      <c r="DF2424" s="160" t="s">
        <v>5651</v>
      </c>
      <c r="DG2424" s="160" t="s">
        <v>120</v>
      </c>
      <c r="DH2424" s="160" t="s">
        <v>1182</v>
      </c>
      <c r="DI2424" s="160" t="s">
        <v>3682</v>
      </c>
      <c r="DJ2424" s="160" t="s">
        <v>3682</v>
      </c>
      <c r="DK2424" s="160" t="s">
        <v>588</v>
      </c>
      <c r="DL2424" s="160" t="s">
        <v>3673</v>
      </c>
      <c r="DM2424" s="160" t="s">
        <v>590</v>
      </c>
      <c r="DN2424" s="161" t="s">
        <v>591</v>
      </c>
      <c r="DP2424" s="130">
        <v>1</v>
      </c>
    </row>
    <row r="2425" spans="109:120" ht="15">
      <c r="DE2425" s="152"/>
      <c r="DF2425" s="160" t="s">
        <v>5652</v>
      </c>
      <c r="DG2425" s="160" t="s">
        <v>120</v>
      </c>
      <c r="DH2425" s="160" t="s">
        <v>1182</v>
      </c>
      <c r="DI2425" s="160" t="s">
        <v>5653</v>
      </c>
      <c r="DJ2425" s="160" t="s">
        <v>5654</v>
      </c>
      <c r="DK2425" s="160" t="s">
        <v>588</v>
      </c>
      <c r="DL2425" s="160" t="s">
        <v>3673</v>
      </c>
      <c r="DM2425" s="160" t="s">
        <v>590</v>
      </c>
      <c r="DN2425" s="161" t="s">
        <v>591</v>
      </c>
      <c r="DP2425" s="130">
        <v>1</v>
      </c>
    </row>
    <row r="2426" spans="109:120" ht="15">
      <c r="DE2426" s="152"/>
      <c r="DF2426" s="160" t="s">
        <v>5655</v>
      </c>
      <c r="DG2426" s="160" t="s">
        <v>120</v>
      </c>
      <c r="DH2426" s="160" t="s">
        <v>1182</v>
      </c>
      <c r="DI2426" s="160" t="s">
        <v>5656</v>
      </c>
      <c r="DJ2426" s="160" t="s">
        <v>5657</v>
      </c>
      <c r="DK2426" s="160" t="s">
        <v>588</v>
      </c>
      <c r="DL2426" s="160" t="s">
        <v>3673</v>
      </c>
      <c r="DM2426" s="160" t="s">
        <v>590</v>
      </c>
      <c r="DN2426" s="161" t="s">
        <v>591</v>
      </c>
      <c r="DP2426" s="130">
        <v>1</v>
      </c>
    </row>
    <row r="2427" spans="109:120" ht="15">
      <c r="DE2427" s="152"/>
      <c r="DF2427" s="160" t="s">
        <v>5658</v>
      </c>
      <c r="DG2427" s="160" t="s">
        <v>120</v>
      </c>
      <c r="DH2427" s="160" t="s">
        <v>1182</v>
      </c>
      <c r="DI2427" s="160" t="s">
        <v>526</v>
      </c>
      <c r="DJ2427" s="160" t="s">
        <v>526</v>
      </c>
      <c r="DK2427" s="160" t="s">
        <v>588</v>
      </c>
      <c r="DL2427" s="160" t="s">
        <v>3673</v>
      </c>
      <c r="DM2427" s="160" t="s">
        <v>590</v>
      </c>
      <c r="DN2427" s="161" t="s">
        <v>591</v>
      </c>
      <c r="DP2427" s="130">
        <v>1</v>
      </c>
    </row>
    <row r="2428" spans="109:120" ht="15">
      <c r="DF2428" s="160" t="s">
        <v>5659</v>
      </c>
      <c r="DG2428" s="160" t="s">
        <v>584</v>
      </c>
      <c r="DH2428" s="160" t="s">
        <v>126</v>
      </c>
      <c r="DI2428" s="160" t="s">
        <v>5660</v>
      </c>
      <c r="DJ2428" s="160" t="s">
        <v>5660</v>
      </c>
      <c r="DK2428" s="160" t="s">
        <v>588</v>
      </c>
      <c r="DL2428" s="160" t="s">
        <v>5661</v>
      </c>
      <c r="DM2428" s="160" t="s">
        <v>590</v>
      </c>
      <c r="DN2428" s="161" t="s">
        <v>668</v>
      </c>
      <c r="DP2428" s="130">
        <v>1</v>
      </c>
    </row>
    <row r="2429" spans="109:120" ht="15">
      <c r="DF2429" s="160" t="s">
        <v>5662</v>
      </c>
      <c r="DG2429" s="160" t="s">
        <v>584</v>
      </c>
      <c r="DH2429" s="160" t="s">
        <v>125</v>
      </c>
      <c r="DI2429" s="160" t="s">
        <v>5663</v>
      </c>
      <c r="DJ2429" s="160" t="s">
        <v>5663</v>
      </c>
      <c r="DK2429" s="160" t="s">
        <v>5664</v>
      </c>
      <c r="DL2429" s="160" t="s">
        <v>5665</v>
      </c>
      <c r="DM2429" s="160" t="s">
        <v>590</v>
      </c>
      <c r="DN2429" s="161" t="s">
        <v>668</v>
      </c>
      <c r="DP2429" s="130">
        <v>1</v>
      </c>
    </row>
    <row r="2430" spans="109:120" ht="15">
      <c r="DF2430" s="160" t="s">
        <v>5666</v>
      </c>
      <c r="DG2430" s="160" t="s">
        <v>584</v>
      </c>
      <c r="DH2430" s="160" t="s">
        <v>125</v>
      </c>
      <c r="DI2430" s="160" t="s">
        <v>5667</v>
      </c>
      <c r="DJ2430" s="160" t="s">
        <v>5667</v>
      </c>
      <c r="DK2430" s="160" t="s">
        <v>5664</v>
      </c>
      <c r="DL2430" s="160" t="s">
        <v>5668</v>
      </c>
      <c r="DM2430" s="160" t="s">
        <v>590</v>
      </c>
      <c r="DN2430" s="161" t="s">
        <v>668</v>
      </c>
      <c r="DP2430" s="130">
        <v>1</v>
      </c>
    </row>
    <row r="2431" spans="109:120" ht="15">
      <c r="DF2431" s="160" t="s">
        <v>5669</v>
      </c>
      <c r="DG2431" s="160" t="s">
        <v>584</v>
      </c>
      <c r="DH2431" s="160" t="s">
        <v>125</v>
      </c>
      <c r="DI2431" s="160" t="s">
        <v>5670</v>
      </c>
      <c r="DJ2431" s="160" t="s">
        <v>5670</v>
      </c>
      <c r="DK2431" s="160" t="s">
        <v>5664</v>
      </c>
      <c r="DL2431" s="160" t="s">
        <v>5671</v>
      </c>
      <c r="DM2431" s="160" t="s">
        <v>590</v>
      </c>
      <c r="DN2431" s="161" t="s">
        <v>668</v>
      </c>
      <c r="DP2431" s="130">
        <v>1</v>
      </c>
    </row>
    <row r="2432" spans="109:120" ht="15">
      <c r="DF2432" s="160" t="s">
        <v>5672</v>
      </c>
      <c r="DG2432" s="160" t="s">
        <v>122</v>
      </c>
      <c r="DH2432" s="160" t="s">
        <v>125</v>
      </c>
      <c r="DI2432" s="160" t="s">
        <v>301</v>
      </c>
      <c r="DJ2432" s="160" t="s">
        <v>301</v>
      </c>
      <c r="DK2432" s="160" t="s">
        <v>5664</v>
      </c>
      <c r="DL2432" s="160" t="s">
        <v>5673</v>
      </c>
      <c r="DM2432" s="160" t="s">
        <v>590</v>
      </c>
      <c r="DN2432" s="161" t="s">
        <v>668</v>
      </c>
      <c r="DP2432" s="130">
        <v>1</v>
      </c>
    </row>
    <row r="2433" spans="110:120" ht="15">
      <c r="DF2433" s="160" t="s">
        <v>5674</v>
      </c>
      <c r="DG2433" s="160" t="s">
        <v>122</v>
      </c>
      <c r="DH2433" s="160" t="s">
        <v>125</v>
      </c>
      <c r="DI2433" s="160" t="s">
        <v>5675</v>
      </c>
      <c r="DJ2433" s="160" t="s">
        <v>5675</v>
      </c>
      <c r="DK2433" s="160" t="s">
        <v>5664</v>
      </c>
      <c r="DL2433" s="160" t="s">
        <v>5676</v>
      </c>
      <c r="DM2433" s="160" t="s">
        <v>590</v>
      </c>
      <c r="DN2433" s="161" t="s">
        <v>668</v>
      </c>
      <c r="DP2433" s="130">
        <v>1</v>
      </c>
    </row>
    <row r="2434" spans="110:120" ht="15">
      <c r="DF2434" s="160" t="s">
        <v>5677</v>
      </c>
      <c r="DG2434" s="160" t="s">
        <v>118</v>
      </c>
      <c r="DH2434" s="160" t="s">
        <v>125</v>
      </c>
      <c r="DI2434" s="160" t="s">
        <v>5678</v>
      </c>
      <c r="DJ2434" s="160" t="s">
        <v>5678</v>
      </c>
      <c r="DK2434" s="160" t="s">
        <v>5679</v>
      </c>
      <c r="DL2434" s="160" t="s">
        <v>5680</v>
      </c>
      <c r="DM2434" s="160" t="s">
        <v>590</v>
      </c>
      <c r="DN2434" s="161" t="s">
        <v>668</v>
      </c>
      <c r="DP2434" s="130">
        <v>1</v>
      </c>
    </row>
    <row r="2435" spans="110:120" ht="15">
      <c r="DF2435" s="160" t="s">
        <v>5681</v>
      </c>
      <c r="DG2435" s="160" t="s">
        <v>118</v>
      </c>
      <c r="DH2435" s="160" t="s">
        <v>125</v>
      </c>
      <c r="DI2435" s="160" t="s">
        <v>5682</v>
      </c>
      <c r="DJ2435" s="160" t="s">
        <v>5682</v>
      </c>
      <c r="DK2435" s="160" t="s">
        <v>5679</v>
      </c>
      <c r="DL2435" s="160" t="s">
        <v>5683</v>
      </c>
      <c r="DM2435" s="160" t="s">
        <v>590</v>
      </c>
      <c r="DN2435" s="161" t="s">
        <v>668</v>
      </c>
      <c r="DP2435" s="130">
        <v>1</v>
      </c>
    </row>
    <row r="2436" spans="110:120" ht="15">
      <c r="DF2436" s="160"/>
      <c r="DG2436" s="160"/>
      <c r="DH2436" s="160"/>
      <c r="DI2436" s="160" t="s">
        <v>5684</v>
      </c>
      <c r="DJ2436" s="160" t="s">
        <v>5685</v>
      </c>
      <c r="DK2436" s="160" t="s">
        <v>588</v>
      </c>
      <c r="DL2436" s="160" t="s">
        <v>5686</v>
      </c>
      <c r="DM2436" s="160" t="s">
        <v>821</v>
      </c>
      <c r="DN2436" s="161" t="s">
        <v>668</v>
      </c>
      <c r="DP2436" s="130">
        <v>1</v>
      </c>
    </row>
    <row r="2437" spans="110:120" ht="15">
      <c r="DF2437" s="160"/>
      <c r="DG2437" s="160"/>
      <c r="DH2437" s="160"/>
      <c r="DI2437" s="160" t="s">
        <v>5687</v>
      </c>
      <c r="DJ2437" s="160" t="s">
        <v>367</v>
      </c>
      <c r="DK2437" s="160" t="s">
        <v>588</v>
      </c>
      <c r="DL2437" s="160" t="s">
        <v>5688</v>
      </c>
      <c r="DM2437" s="160" t="s">
        <v>821</v>
      </c>
      <c r="DN2437" s="161" t="s">
        <v>668</v>
      </c>
      <c r="DP2437" s="130">
        <v>1</v>
      </c>
    </row>
    <row r="2438" spans="110:120" ht="15">
      <c r="DF2438" s="160"/>
      <c r="DG2438" s="160"/>
      <c r="DH2438" s="160"/>
      <c r="DI2438" s="160" t="s">
        <v>5689</v>
      </c>
      <c r="DJ2438" s="160" t="s">
        <v>366</v>
      </c>
      <c r="DK2438" s="160" t="s">
        <v>588</v>
      </c>
      <c r="DL2438" s="160" t="s">
        <v>5690</v>
      </c>
      <c r="DM2438" s="160" t="s">
        <v>821</v>
      </c>
      <c r="DN2438" s="161" t="s">
        <v>668</v>
      </c>
      <c r="DP2438" s="130">
        <v>1</v>
      </c>
    </row>
    <row r="2439" spans="110:120" ht="15">
      <c r="DF2439" s="160"/>
      <c r="DG2439" s="160"/>
      <c r="DH2439" s="160"/>
      <c r="DI2439" s="160" t="s">
        <v>5691</v>
      </c>
      <c r="DJ2439" s="160" t="s">
        <v>5692</v>
      </c>
      <c r="DK2439" s="160" t="s">
        <v>588</v>
      </c>
      <c r="DL2439" s="160" t="s">
        <v>5688</v>
      </c>
      <c r="DM2439" s="160" t="s">
        <v>821</v>
      </c>
      <c r="DN2439" s="161" t="s">
        <v>668</v>
      </c>
      <c r="DP2439" s="130">
        <v>1</v>
      </c>
    </row>
    <row r="2440" spans="110:120" ht="15">
      <c r="DF2440" s="160"/>
      <c r="DG2440" s="160"/>
      <c r="DH2440" s="160"/>
      <c r="DI2440" s="160" t="s">
        <v>5693</v>
      </c>
      <c r="DJ2440" s="160" t="s">
        <v>5694</v>
      </c>
      <c r="DK2440" s="160" t="s">
        <v>588</v>
      </c>
      <c r="DL2440" s="160" t="s">
        <v>5695</v>
      </c>
      <c r="DM2440" s="160" t="s">
        <v>821</v>
      </c>
      <c r="DN2440" s="161" t="s">
        <v>668</v>
      </c>
      <c r="DP2440" s="130">
        <v>1</v>
      </c>
    </row>
    <row r="2441" spans="110:120" ht="15">
      <c r="DF2441" s="160"/>
      <c r="DG2441" s="160"/>
      <c r="DH2441" s="160"/>
      <c r="DI2441" s="160" t="s">
        <v>818</v>
      </c>
      <c r="DJ2441" s="160" t="s">
        <v>5696</v>
      </c>
      <c r="DK2441" s="160" t="s">
        <v>588</v>
      </c>
      <c r="DL2441" s="160" t="s">
        <v>5686</v>
      </c>
      <c r="DM2441" s="160" t="s">
        <v>821</v>
      </c>
      <c r="DN2441" s="161" t="s">
        <v>668</v>
      </c>
      <c r="DP2441" s="130">
        <v>1</v>
      </c>
    </row>
    <row r="2442" spans="110:120" ht="15">
      <c r="DF2442" s="160"/>
      <c r="DG2442" s="160"/>
      <c r="DH2442" s="160"/>
      <c r="DI2442" s="160" t="s">
        <v>5697</v>
      </c>
      <c r="DJ2442" s="160" t="s">
        <v>365</v>
      </c>
      <c r="DK2442" s="160" t="s">
        <v>588</v>
      </c>
      <c r="DL2442" s="160" t="s">
        <v>5688</v>
      </c>
      <c r="DM2442" s="160" t="s">
        <v>821</v>
      </c>
      <c r="DN2442" s="161" t="s">
        <v>668</v>
      </c>
      <c r="DP2442" s="130">
        <v>1</v>
      </c>
    </row>
    <row r="2443" spans="110:120" ht="15">
      <c r="DF2443" s="160"/>
      <c r="DG2443" s="160"/>
      <c r="DH2443" s="160"/>
      <c r="DI2443" s="160" t="s">
        <v>5698</v>
      </c>
      <c r="DJ2443" s="160" t="s">
        <v>5699</v>
      </c>
      <c r="DK2443" s="160" t="s">
        <v>588</v>
      </c>
      <c r="DL2443" s="160" t="s">
        <v>5690</v>
      </c>
      <c r="DM2443" s="160" t="s">
        <v>821</v>
      </c>
      <c r="DN2443" s="161" t="s">
        <v>668</v>
      </c>
      <c r="DP2443" s="130">
        <v>1</v>
      </c>
    </row>
    <row r="2444" spans="110:120" ht="15">
      <c r="DF2444" s="160"/>
      <c r="DG2444" s="160"/>
      <c r="DH2444" s="160"/>
      <c r="DI2444" s="160" t="s">
        <v>5700</v>
      </c>
      <c r="DJ2444" s="160" t="s">
        <v>364</v>
      </c>
      <c r="DK2444" s="160" t="s">
        <v>588</v>
      </c>
      <c r="DL2444" s="160" t="s">
        <v>5688</v>
      </c>
      <c r="DM2444" s="160" t="s">
        <v>821</v>
      </c>
      <c r="DN2444" s="161" t="s">
        <v>668</v>
      </c>
      <c r="DP2444" s="130">
        <v>1</v>
      </c>
    </row>
    <row r="2445" spans="110:120" ht="15">
      <c r="DF2445" s="160"/>
      <c r="DG2445" s="160"/>
      <c r="DH2445" s="160"/>
      <c r="DI2445" s="160" t="s">
        <v>5701</v>
      </c>
      <c r="DJ2445" s="160" t="s">
        <v>5702</v>
      </c>
      <c r="DK2445" s="160" t="s">
        <v>588</v>
      </c>
      <c r="DL2445" s="160" t="s">
        <v>5686</v>
      </c>
      <c r="DM2445" s="160" t="s">
        <v>821</v>
      </c>
      <c r="DN2445" s="161" t="s">
        <v>668</v>
      </c>
      <c r="DP2445" s="130">
        <v>1</v>
      </c>
    </row>
    <row r="2446" spans="110:120" ht="15">
      <c r="DF2446" s="160"/>
      <c r="DG2446" s="160"/>
      <c r="DH2446" s="160"/>
      <c r="DI2446" s="160" t="s">
        <v>5703</v>
      </c>
      <c r="DJ2446" s="160" t="s">
        <v>5704</v>
      </c>
      <c r="DK2446" s="160" t="s">
        <v>588</v>
      </c>
      <c r="DL2446" s="160" t="s">
        <v>5688</v>
      </c>
      <c r="DM2446" s="160" t="s">
        <v>821</v>
      </c>
      <c r="DN2446" s="161" t="s">
        <v>668</v>
      </c>
      <c r="DP2446" s="130">
        <v>1</v>
      </c>
    </row>
    <row r="2447" spans="110:120" ht="15">
      <c r="DF2447" s="160"/>
      <c r="DG2447" s="160"/>
      <c r="DH2447" s="160"/>
      <c r="DI2447" s="160" t="s">
        <v>5705</v>
      </c>
      <c r="DJ2447" s="160" t="s">
        <v>556</v>
      </c>
      <c r="DK2447" s="160" t="s">
        <v>588</v>
      </c>
      <c r="DL2447" s="160" t="s">
        <v>5690</v>
      </c>
      <c r="DM2447" s="160" t="s">
        <v>821</v>
      </c>
      <c r="DN2447" s="161" t="s">
        <v>668</v>
      </c>
      <c r="DP2447" s="130">
        <v>1</v>
      </c>
    </row>
    <row r="2448" spans="110:120" ht="15">
      <c r="DF2448" s="160"/>
      <c r="DG2448" s="160"/>
      <c r="DH2448" s="160"/>
      <c r="DI2448" s="160" t="s">
        <v>5706</v>
      </c>
      <c r="DJ2448" s="160" t="s">
        <v>557</v>
      </c>
      <c r="DK2448" s="160" t="s">
        <v>588</v>
      </c>
      <c r="DL2448" s="160" t="s">
        <v>5688</v>
      </c>
      <c r="DM2448" s="160" t="s">
        <v>821</v>
      </c>
      <c r="DN2448" s="161" t="s">
        <v>668</v>
      </c>
      <c r="DP2448" s="130">
        <v>1</v>
      </c>
    </row>
    <row r="2449" spans="110:120" ht="15">
      <c r="DF2449" s="160"/>
      <c r="DG2449" s="160"/>
      <c r="DH2449" s="160"/>
      <c r="DI2449" s="160" t="s">
        <v>565</v>
      </c>
      <c r="DJ2449" s="160" t="s">
        <v>565</v>
      </c>
      <c r="DK2449" s="160" t="s">
        <v>588</v>
      </c>
      <c r="DL2449" s="160" t="s">
        <v>5707</v>
      </c>
      <c r="DM2449" s="160" t="s">
        <v>958</v>
      </c>
      <c r="DN2449" s="161" t="s">
        <v>668</v>
      </c>
      <c r="DP2449" s="130">
        <v>1</v>
      </c>
    </row>
    <row r="2450" spans="110:120" ht="15">
      <c r="DF2450" s="160"/>
      <c r="DG2450" s="160"/>
      <c r="DH2450" s="160"/>
      <c r="DI2450" s="160" t="s">
        <v>5708</v>
      </c>
      <c r="DJ2450" s="160" t="s">
        <v>5708</v>
      </c>
      <c r="DK2450" s="160" t="s">
        <v>588</v>
      </c>
      <c r="DL2450" s="160" t="s">
        <v>5707</v>
      </c>
      <c r="DM2450" s="160" t="s">
        <v>958</v>
      </c>
      <c r="DN2450" s="161" t="s">
        <v>668</v>
      </c>
      <c r="DP2450" s="130">
        <v>1</v>
      </c>
    </row>
    <row r="2451" spans="110:120" ht="15">
      <c r="DF2451" s="160"/>
      <c r="DG2451" s="160"/>
      <c r="DH2451" s="160"/>
      <c r="DI2451" s="160" t="s">
        <v>5122</v>
      </c>
      <c r="DJ2451" s="160" t="s">
        <v>5122</v>
      </c>
      <c r="DK2451" s="160" t="s">
        <v>588</v>
      </c>
      <c r="DL2451" s="160" t="s">
        <v>5709</v>
      </c>
      <c r="DM2451" s="160" t="s">
        <v>958</v>
      </c>
      <c r="DN2451" s="161" t="s">
        <v>668</v>
      </c>
      <c r="DP2451" s="130">
        <v>1</v>
      </c>
    </row>
    <row r="2452" spans="110:120" ht="15">
      <c r="DF2452" s="160"/>
      <c r="DG2452" s="160"/>
      <c r="DH2452" s="160"/>
      <c r="DI2452" s="160" t="s">
        <v>5062</v>
      </c>
      <c r="DJ2452" s="160" t="s">
        <v>5062</v>
      </c>
      <c r="DK2452" s="160" t="s">
        <v>588</v>
      </c>
      <c r="DL2452" s="160" t="s">
        <v>5709</v>
      </c>
      <c r="DM2452" s="160" t="s">
        <v>958</v>
      </c>
      <c r="DN2452" s="161" t="s">
        <v>668</v>
      </c>
      <c r="DP2452" s="130">
        <v>1</v>
      </c>
    </row>
    <row r="2453" spans="110:120" ht="15">
      <c r="DF2453" s="160"/>
      <c r="DG2453" s="160"/>
      <c r="DH2453" s="160"/>
      <c r="DI2453" s="160" t="s">
        <v>5069</v>
      </c>
      <c r="DJ2453" s="160" t="s">
        <v>5070</v>
      </c>
      <c r="DK2453" s="160" t="s">
        <v>588</v>
      </c>
      <c r="DL2453" s="160" t="s">
        <v>5709</v>
      </c>
      <c r="DM2453" s="160" t="s">
        <v>958</v>
      </c>
      <c r="DN2453" s="161" t="s">
        <v>668</v>
      </c>
      <c r="DP2453" s="130">
        <v>1</v>
      </c>
    </row>
    <row r="2454" spans="110:120" ht="15">
      <c r="DF2454" s="160"/>
      <c r="DG2454" s="160"/>
      <c r="DH2454" s="160"/>
      <c r="DI2454" s="160" t="s">
        <v>5058</v>
      </c>
      <c r="DJ2454" s="160" t="s">
        <v>5058</v>
      </c>
      <c r="DK2454" s="160" t="s">
        <v>588</v>
      </c>
      <c r="DL2454" s="160" t="s">
        <v>5709</v>
      </c>
      <c r="DM2454" s="160" t="s">
        <v>958</v>
      </c>
      <c r="DN2454" s="161" t="s">
        <v>668</v>
      </c>
      <c r="DP2454" s="130">
        <v>1</v>
      </c>
    </row>
    <row r="2455" spans="110:120" ht="15">
      <c r="DF2455" s="160"/>
      <c r="DG2455" s="160"/>
      <c r="DH2455" s="160"/>
      <c r="DI2455" s="160" t="s">
        <v>5103</v>
      </c>
      <c r="DJ2455" s="160" t="s">
        <v>5103</v>
      </c>
      <c r="DK2455" s="160" t="s">
        <v>588</v>
      </c>
      <c r="DL2455" s="160" t="s">
        <v>5709</v>
      </c>
      <c r="DM2455" s="160" t="s">
        <v>958</v>
      </c>
      <c r="DN2455" s="161" t="s">
        <v>668</v>
      </c>
      <c r="DP2455" s="130">
        <v>1</v>
      </c>
    </row>
    <row r="2456" spans="110:120" ht="15">
      <c r="DF2456" s="160"/>
      <c r="DG2456" s="160"/>
      <c r="DH2456" s="160"/>
      <c r="DI2456" s="160" t="s">
        <v>560</v>
      </c>
      <c r="DJ2456" s="160" t="s">
        <v>560</v>
      </c>
      <c r="DK2456" s="160" t="s">
        <v>588</v>
      </c>
      <c r="DL2456" s="160" t="s">
        <v>5709</v>
      </c>
      <c r="DM2456" s="160" t="s">
        <v>958</v>
      </c>
      <c r="DN2456" s="161" t="s">
        <v>668</v>
      </c>
      <c r="DP2456" s="130">
        <v>1</v>
      </c>
    </row>
    <row r="2457" spans="110:120" ht="15">
      <c r="DF2457" s="160"/>
      <c r="DG2457" s="160"/>
      <c r="DH2457" s="160"/>
      <c r="DI2457" s="160" t="s">
        <v>5114</v>
      </c>
      <c r="DJ2457" s="160" t="s">
        <v>5114</v>
      </c>
      <c r="DK2457" s="160" t="s">
        <v>588</v>
      </c>
      <c r="DL2457" s="160" t="s">
        <v>5709</v>
      </c>
      <c r="DM2457" s="160" t="s">
        <v>958</v>
      </c>
      <c r="DN2457" s="161" t="s">
        <v>668</v>
      </c>
      <c r="DP2457" s="130">
        <v>1</v>
      </c>
    </row>
    <row r="2458" spans="110:120" ht="15">
      <c r="DF2458" s="160"/>
      <c r="DG2458" s="160"/>
      <c r="DH2458" s="160"/>
      <c r="DI2458" s="160" t="s">
        <v>5135</v>
      </c>
      <c r="DJ2458" s="160" t="s">
        <v>5136</v>
      </c>
      <c r="DK2458" s="160" t="s">
        <v>588</v>
      </c>
      <c r="DL2458" s="160" t="s">
        <v>5709</v>
      </c>
      <c r="DM2458" s="160" t="s">
        <v>958</v>
      </c>
      <c r="DN2458" s="161" t="s">
        <v>668</v>
      </c>
      <c r="DP2458" s="130">
        <v>1</v>
      </c>
    </row>
    <row r="2459" spans="110:120" ht="15">
      <c r="DF2459" s="160"/>
      <c r="DG2459" s="160"/>
      <c r="DH2459" s="160"/>
      <c r="DI2459" s="160" t="s">
        <v>5090</v>
      </c>
      <c r="DJ2459" s="160" t="s">
        <v>559</v>
      </c>
      <c r="DK2459" s="160" t="s">
        <v>588</v>
      </c>
      <c r="DL2459" s="160" t="s">
        <v>5709</v>
      </c>
      <c r="DM2459" s="160" t="s">
        <v>958</v>
      </c>
      <c r="DN2459" s="161" t="s">
        <v>668</v>
      </c>
      <c r="DP2459" s="130">
        <v>1</v>
      </c>
    </row>
    <row r="2460" spans="110:120" ht="15">
      <c r="DF2460" s="160"/>
      <c r="DG2460" s="160"/>
      <c r="DH2460" s="160"/>
      <c r="DI2460" s="160" t="s">
        <v>5120</v>
      </c>
      <c r="DJ2460" s="160" t="s">
        <v>5120</v>
      </c>
      <c r="DK2460" s="160" t="s">
        <v>588</v>
      </c>
      <c r="DL2460" s="160" t="s">
        <v>5709</v>
      </c>
      <c r="DM2460" s="160" t="s">
        <v>958</v>
      </c>
      <c r="DN2460" s="161" t="s">
        <v>668</v>
      </c>
      <c r="DP2460" s="130">
        <v>1</v>
      </c>
    </row>
    <row r="2461" spans="110:120" ht="15">
      <c r="DF2461" s="160"/>
      <c r="DG2461" s="160"/>
      <c r="DH2461" s="160"/>
      <c r="DI2461" s="160" t="s">
        <v>5086</v>
      </c>
      <c r="DJ2461" s="160" t="s">
        <v>5086</v>
      </c>
      <c r="DK2461" s="160" t="s">
        <v>588</v>
      </c>
      <c r="DL2461" s="160" t="s">
        <v>5709</v>
      </c>
      <c r="DM2461" s="160" t="s">
        <v>958</v>
      </c>
      <c r="DN2461" s="161" t="s">
        <v>668</v>
      </c>
      <c r="DP2461" s="130">
        <v>1</v>
      </c>
    </row>
    <row r="2462" spans="110:120" ht="15">
      <c r="DF2462" s="160"/>
      <c r="DG2462" s="160"/>
      <c r="DH2462" s="160"/>
      <c r="DI2462" s="160" t="s">
        <v>5112</v>
      </c>
      <c r="DJ2462" s="160" t="s">
        <v>5112</v>
      </c>
      <c r="DK2462" s="160" t="s">
        <v>588</v>
      </c>
      <c r="DL2462" s="160" t="s">
        <v>5709</v>
      </c>
      <c r="DM2462" s="160" t="s">
        <v>958</v>
      </c>
      <c r="DN2462" s="161" t="s">
        <v>668</v>
      </c>
      <c r="DP2462" s="130">
        <v>1</v>
      </c>
    </row>
    <row r="2463" spans="110:120" ht="15">
      <c r="DF2463" s="160"/>
      <c r="DG2463" s="160"/>
      <c r="DH2463" s="160"/>
      <c r="DI2463" s="160" t="s">
        <v>5118</v>
      </c>
      <c r="DJ2463" s="160" t="s">
        <v>5118</v>
      </c>
      <c r="DK2463" s="160" t="s">
        <v>588</v>
      </c>
      <c r="DL2463" s="160" t="s">
        <v>5709</v>
      </c>
      <c r="DM2463" s="160" t="s">
        <v>958</v>
      </c>
      <c r="DN2463" s="161" t="s">
        <v>668</v>
      </c>
      <c r="DP2463" s="130">
        <v>1</v>
      </c>
    </row>
    <row r="2464" spans="110:120" ht="15">
      <c r="DF2464" s="243"/>
      <c r="DG2464" s="243"/>
      <c r="DH2464" s="243"/>
      <c r="DI2464" s="243" t="s">
        <v>5133</v>
      </c>
      <c r="DJ2464" s="243" t="s">
        <v>5133</v>
      </c>
      <c r="DK2464" s="243" t="s">
        <v>588</v>
      </c>
      <c r="DL2464" s="243" t="s">
        <v>5709</v>
      </c>
      <c r="DM2464" s="243" t="s">
        <v>958</v>
      </c>
      <c r="DN2464" s="244" t="s">
        <v>668</v>
      </c>
      <c r="DP2464" s="130">
        <v>1</v>
      </c>
    </row>
    <row r="2465" spans="19:120" ht="15">
      <c r="DH2465" s="68" t="s">
        <v>1182</v>
      </c>
      <c r="DI2465" s="68" t="s">
        <v>184</v>
      </c>
      <c r="DJ2465" s="68" t="s">
        <v>184</v>
      </c>
      <c r="DK2465" s="68" t="s">
        <v>588</v>
      </c>
      <c r="DL2465" s="68" t="s">
        <v>5710</v>
      </c>
      <c r="DM2465" s="68" t="s">
        <v>590</v>
      </c>
      <c r="DN2465" s="68" t="s">
        <v>591</v>
      </c>
      <c r="DP2465" s="130">
        <v>1</v>
      </c>
    </row>
    <row r="2466" spans="19:120" ht="15">
      <c r="DG2466" s="68"/>
      <c r="DH2466" s="68" t="s">
        <v>1791</v>
      </c>
      <c r="DI2466" s="68" t="s">
        <v>5711</v>
      </c>
      <c r="DJ2466" s="68" t="s">
        <v>5711</v>
      </c>
      <c r="DK2466" s="68" t="s">
        <v>588</v>
      </c>
      <c r="DL2466" s="68" t="s">
        <v>5712</v>
      </c>
      <c r="DM2466" s="68" t="s">
        <v>821</v>
      </c>
      <c r="DN2466" s="68" t="s">
        <v>5713</v>
      </c>
      <c r="DP2466" s="130">
        <v>1</v>
      </c>
    </row>
    <row r="2467" spans="19:120" ht="15">
      <c r="DP2467" s="130">
        <v>1</v>
      </c>
    </row>
    <row r="2468" spans="19:120" ht="15">
      <c r="DP2468" s="130">
        <v>1</v>
      </c>
    </row>
    <row r="2469" spans="19:120">
      <c r="DP2469" s="245" t="s">
        <v>5</v>
      </c>
    </row>
    <row r="2470" spans="19:120" ht="15">
      <c r="S2470" s="130">
        <v>1</v>
      </c>
      <c r="T2470" s="130">
        <v>1</v>
      </c>
      <c r="U2470" s="130">
        <v>1</v>
      </c>
      <c r="V2470" s="130">
        <v>1</v>
      </c>
      <c r="W2470" s="130">
        <v>1</v>
      </c>
      <c r="X2470" s="130">
        <v>1</v>
      </c>
      <c r="Y2470" s="130">
        <v>1</v>
      </c>
      <c r="Z2470" s="130">
        <v>1</v>
      </c>
      <c r="AA2470" s="130">
        <v>1</v>
      </c>
      <c r="AB2470" s="130">
        <v>1</v>
      </c>
      <c r="AC2470" s="130">
        <v>1</v>
      </c>
      <c r="AD2470" s="130">
        <v>1</v>
      </c>
      <c r="AE2470" s="130">
        <v>1</v>
      </c>
      <c r="AF2470" s="130">
        <v>1</v>
      </c>
      <c r="AG2470" s="130">
        <v>1</v>
      </c>
      <c r="AH2470" s="130">
        <v>1</v>
      </c>
      <c r="AI2470" s="130">
        <v>1</v>
      </c>
      <c r="AJ2470" s="130">
        <v>1</v>
      </c>
      <c r="AK2470" s="130">
        <v>1</v>
      </c>
      <c r="AL2470" s="130">
        <v>1</v>
      </c>
      <c r="AM2470" s="130">
        <v>1</v>
      </c>
      <c r="AN2470" s="130">
        <v>1</v>
      </c>
      <c r="AO2470" s="130">
        <v>1</v>
      </c>
      <c r="AP2470" s="130">
        <v>1</v>
      </c>
      <c r="AQ2470" s="130">
        <v>1</v>
      </c>
      <c r="AR2470" s="130">
        <v>1</v>
      </c>
      <c r="AS2470" s="130">
        <v>1</v>
      </c>
      <c r="AT2470" s="130">
        <v>1</v>
      </c>
      <c r="AU2470" s="130">
        <v>1</v>
      </c>
      <c r="AV2470" s="130">
        <v>1</v>
      </c>
      <c r="AW2470" s="130">
        <v>1</v>
      </c>
      <c r="AX2470" s="130">
        <v>1</v>
      </c>
      <c r="AY2470" s="130">
        <v>1</v>
      </c>
      <c r="AZ2470" s="130">
        <v>1</v>
      </c>
      <c r="BA2470" s="130">
        <v>1</v>
      </c>
      <c r="BB2470" s="130">
        <v>1</v>
      </c>
      <c r="BC2470" s="130">
        <v>1</v>
      </c>
      <c r="BD2470" s="130">
        <v>1</v>
      </c>
      <c r="BE2470" s="130">
        <v>1</v>
      </c>
      <c r="BF2470" s="130">
        <v>1</v>
      </c>
      <c r="BG2470" s="130">
        <v>1</v>
      </c>
      <c r="BH2470" s="130">
        <v>1</v>
      </c>
      <c r="BI2470" s="130">
        <v>1</v>
      </c>
      <c r="BJ2470" s="130">
        <v>1</v>
      </c>
      <c r="BK2470" s="130">
        <v>1</v>
      </c>
      <c r="BL2470" s="130">
        <v>1</v>
      </c>
      <c r="BM2470" s="130">
        <v>1</v>
      </c>
      <c r="BN2470" s="130">
        <v>1</v>
      </c>
      <c r="BO2470" s="130">
        <v>1</v>
      </c>
      <c r="BP2470" s="130">
        <v>1</v>
      </c>
      <c r="BQ2470" s="130">
        <v>1</v>
      </c>
      <c r="BR2470" s="130">
        <v>1</v>
      </c>
      <c r="BS2470" s="130">
        <v>1</v>
      </c>
      <c r="BT2470" s="130">
        <v>1</v>
      </c>
      <c r="BU2470" s="130">
        <v>1</v>
      </c>
      <c r="BV2470" s="130">
        <v>1</v>
      </c>
      <c r="BW2470" s="130">
        <v>1</v>
      </c>
      <c r="BX2470" s="130">
        <v>1</v>
      </c>
      <c r="BY2470" s="130">
        <v>1</v>
      </c>
      <c r="BZ2470" s="130">
        <v>1</v>
      </c>
      <c r="CA2470" s="130">
        <v>1</v>
      </c>
      <c r="CB2470" s="130">
        <v>1</v>
      </c>
      <c r="CC2470" s="130">
        <v>1</v>
      </c>
      <c r="CD2470" s="130">
        <v>1</v>
      </c>
      <c r="CE2470" s="130">
        <v>1</v>
      </c>
      <c r="CF2470" s="130">
        <v>1</v>
      </c>
      <c r="CG2470" s="130">
        <v>1</v>
      </c>
      <c r="CH2470" s="130">
        <v>1</v>
      </c>
      <c r="CI2470" s="130">
        <v>1</v>
      </c>
      <c r="CJ2470" s="130">
        <v>1</v>
      </c>
      <c r="CK2470" s="130">
        <v>1</v>
      </c>
      <c r="CL2470" s="130">
        <v>1</v>
      </c>
      <c r="CM2470" s="130">
        <v>1</v>
      </c>
      <c r="CN2470" s="130">
        <v>1</v>
      </c>
      <c r="CO2470" s="130">
        <v>1</v>
      </c>
      <c r="CP2470" s="130">
        <v>1</v>
      </c>
      <c r="CQ2470" s="130">
        <v>1</v>
      </c>
      <c r="CR2470" s="130">
        <v>1</v>
      </c>
      <c r="CS2470" s="130">
        <v>1</v>
      </c>
      <c r="CT2470" s="130">
        <v>1</v>
      </c>
      <c r="CU2470" s="130">
        <v>1</v>
      </c>
      <c r="CV2470" s="130">
        <v>1</v>
      </c>
      <c r="CW2470" s="130">
        <v>1</v>
      </c>
      <c r="CX2470" s="130">
        <v>1</v>
      </c>
      <c r="CY2470" s="130">
        <v>1</v>
      </c>
      <c r="CZ2470" s="130">
        <v>1</v>
      </c>
      <c r="DA2470" s="130">
        <v>1</v>
      </c>
      <c r="DB2470" s="130">
        <v>1</v>
      </c>
      <c r="DC2470" s="130">
        <v>1</v>
      </c>
      <c r="DD2470" s="130">
        <v>1</v>
      </c>
      <c r="DE2470" s="130">
        <v>1</v>
      </c>
      <c r="DF2470" s="130">
        <v>1</v>
      </c>
      <c r="DG2470" s="130">
        <v>1</v>
      </c>
      <c r="DH2470" s="130">
        <v>1</v>
      </c>
      <c r="DI2470" s="130">
        <v>1</v>
      </c>
      <c r="DJ2470" s="130">
        <v>1</v>
      </c>
      <c r="DK2470" s="130">
        <v>1</v>
      </c>
      <c r="DL2470" s="130">
        <v>1</v>
      </c>
      <c r="DM2470" s="130">
        <v>1</v>
      </c>
      <c r="DN2470" s="130">
        <v>1</v>
      </c>
      <c r="DO2470" s="130">
        <v>1</v>
      </c>
      <c r="DP2470" s="159" t="str">
        <f>ADDRESS(ROW(),COLUMN(),4)</f>
        <v>DP2470</v>
      </c>
    </row>
  </sheetData>
  <mergeCells count="36">
    <mergeCell ref="AK16:AK17"/>
    <mergeCell ref="S81:AK81"/>
    <mergeCell ref="S91:AK91"/>
    <mergeCell ref="S105:AK105"/>
    <mergeCell ref="AC16:AC17"/>
    <mergeCell ref="AD16:AD17"/>
    <mergeCell ref="AE16:AE17"/>
    <mergeCell ref="AF16:AF17"/>
    <mergeCell ref="AG16:AG17"/>
    <mergeCell ref="AH16:AH17"/>
    <mergeCell ref="W16:W17"/>
    <mergeCell ref="X16:X17"/>
    <mergeCell ref="Y16:Y17"/>
    <mergeCell ref="Z16:Z17"/>
    <mergeCell ref="AA16:AA17"/>
    <mergeCell ref="AB16:AB17"/>
    <mergeCell ref="V16:V17"/>
    <mergeCell ref="AI16:AI17"/>
    <mergeCell ref="AJ16:AJ17"/>
    <mergeCell ref="K16:K17"/>
    <mergeCell ref="O16:O17"/>
    <mergeCell ref="S16:S17"/>
    <mergeCell ref="T16:T17"/>
    <mergeCell ref="U16:U17"/>
    <mergeCell ref="N12:Q13"/>
    <mergeCell ref="S12:AK12"/>
    <mergeCell ref="B14:I14"/>
    <mergeCell ref="J14:L14"/>
    <mergeCell ref="N14:Q14"/>
    <mergeCell ref="T14:V14"/>
    <mergeCell ref="S10:AK11"/>
    <mergeCell ref="J1:Q2"/>
    <mergeCell ref="A2:A3"/>
    <mergeCell ref="J4:Q4"/>
    <mergeCell ref="N7:Q7"/>
    <mergeCell ref="S8:AK9"/>
  </mergeCells>
  <conditionalFormatting sqref="W18:AJ77">
    <cfRule type="expression" dxfId="1" priority="1">
      <formula>W18="X"</formula>
    </cfRule>
    <cfRule type="expression" dxfId="0" priority="2">
      <formula>W18="?"</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D1BD-EF29-45FD-82DC-AFB7CAC243D4}">
  <dimension ref="A1:X160"/>
  <sheetViews>
    <sheetView zoomScaleNormal="100" workbookViewId="0">
      <selection activeCell="I13" sqref="I13"/>
    </sheetView>
  </sheetViews>
  <sheetFormatPr baseColWidth="10" defaultRowHeight="15"/>
  <cols>
    <col min="1" max="1" width="7.42578125" customWidth="1"/>
    <col min="2" max="2" width="5.7109375" customWidth="1"/>
    <col min="3" max="3" width="30.7109375" customWidth="1"/>
    <col min="4" max="6" width="5.7109375" customWidth="1"/>
    <col min="7" max="7" width="80.85546875" customWidth="1"/>
    <col min="8" max="8" width="5.7109375" customWidth="1"/>
    <col min="10" max="10" width="5.7109375" customWidth="1"/>
    <col min="11" max="11" width="18.7109375" customWidth="1"/>
    <col min="12" max="13" width="5.7109375" customWidth="1"/>
    <col min="14" max="15" width="18.7109375" customWidth="1"/>
    <col min="16" max="19" width="5.7109375" customWidth="1"/>
    <col min="20" max="20" width="18.7109375" customWidth="1"/>
    <col min="22" max="23" width="11.42578125" style="6"/>
    <col min="24" max="24" width="79.28515625" style="6" customWidth="1"/>
  </cols>
  <sheetData>
    <row r="1" spans="1:24">
      <c r="A1" s="1" t="str">
        <f>ADDRESS(ROW(),COLUMN(),4)</f>
        <v>A1</v>
      </c>
      <c r="B1" s="21"/>
      <c r="C1" s="19" t="s">
        <v>68</v>
      </c>
      <c r="D1" s="21" t="s">
        <v>379</v>
      </c>
      <c r="E1" s="21"/>
      <c r="F1" s="21"/>
      <c r="G1" s="21"/>
      <c r="H1" s="21"/>
      <c r="I1" s="21"/>
      <c r="J1" s="21"/>
      <c r="K1" s="21"/>
      <c r="L1" s="21"/>
      <c r="M1" s="21"/>
      <c r="N1" s="21"/>
      <c r="O1" s="21"/>
      <c r="P1" s="21"/>
      <c r="Q1" s="21"/>
      <c r="R1" s="21"/>
      <c r="S1" s="21"/>
      <c r="T1" s="21"/>
      <c r="U1" s="21"/>
      <c r="V1" s="3">
        <v>1</v>
      </c>
      <c r="W1" s="4" t="str">
        <f>SUBSTITUTE(ADDRESS(1,COLUMN(),4),"1","")</f>
        <v>W</v>
      </c>
      <c r="X1" s="5" t="str">
        <f>SUBSTITUTE(ADDRESS(1,COLUMN(),4),"1","")</f>
        <v>X</v>
      </c>
    </row>
    <row r="2" spans="1:24" ht="15.75" customHeight="1">
      <c r="A2" s="21"/>
      <c r="B2" s="21"/>
      <c r="C2" s="303" t="s">
        <v>98</v>
      </c>
      <c r="D2" s="303"/>
      <c r="E2" s="21"/>
      <c r="F2" s="21"/>
      <c r="G2" s="21"/>
      <c r="H2" s="21"/>
      <c r="I2" s="21"/>
      <c r="J2" s="21"/>
      <c r="K2" s="21"/>
      <c r="L2" s="21"/>
      <c r="M2" s="21"/>
      <c r="N2" s="21"/>
      <c r="O2" s="21"/>
      <c r="P2" s="21"/>
      <c r="Q2" s="21"/>
      <c r="R2" s="21"/>
      <c r="S2" s="21"/>
      <c r="T2" s="21"/>
      <c r="U2" s="21"/>
      <c r="V2" s="3">
        <v>1</v>
      </c>
      <c r="W2" s="7" t="s">
        <v>0</v>
      </c>
      <c r="X2" s="8"/>
    </row>
    <row r="3" spans="1:24" ht="21" customHeight="1">
      <c r="A3" s="21"/>
      <c r="B3" s="21"/>
      <c r="C3" s="303"/>
      <c r="D3" s="303"/>
      <c r="E3" s="21"/>
      <c r="F3" s="21"/>
      <c r="G3" s="46" t="s">
        <v>77</v>
      </c>
      <c r="H3" s="46"/>
      <c r="I3" s="46"/>
      <c r="J3" s="46"/>
      <c r="K3" s="46"/>
      <c r="L3" s="120" t="s">
        <v>566</v>
      </c>
      <c r="M3" s="21"/>
      <c r="N3" s="21"/>
      <c r="O3" s="21"/>
      <c r="P3" s="21"/>
      <c r="Q3" s="21"/>
      <c r="R3" s="21"/>
      <c r="S3" s="21"/>
      <c r="T3" s="21"/>
      <c r="U3" s="21"/>
      <c r="V3" s="3">
        <v>1</v>
      </c>
      <c r="W3" s="9" cm="1">
        <f t="array" aca="1" ref="W3" ca="1">COUNTA(A1:V160+COUNTBLANK(A1:V160))</f>
        <v>3520</v>
      </c>
      <c r="X3" s="10" t="e">
        <f>"cellules entre -cells -celdas  "&amp;" " &amp;#REF!&amp;" et  "&amp;V160</f>
        <v>#REF!</v>
      </c>
    </row>
    <row r="4" spans="1:24" ht="21" customHeight="1">
      <c r="A4" s="21"/>
      <c r="B4" s="21"/>
      <c r="C4" s="303"/>
      <c r="D4" s="303"/>
      <c r="E4" s="41"/>
      <c r="F4" s="41"/>
      <c r="G4" s="46"/>
      <c r="H4" s="46"/>
      <c r="I4" s="46"/>
      <c r="J4" s="46"/>
      <c r="K4" s="46"/>
      <c r="L4" s="46"/>
      <c r="M4" s="21"/>
      <c r="N4" s="21"/>
      <c r="O4" s="21"/>
      <c r="P4" s="21"/>
      <c r="Q4" s="21"/>
      <c r="R4" s="21"/>
      <c r="S4" s="21"/>
      <c r="T4" s="21"/>
      <c r="U4" s="21"/>
      <c r="V4" s="3">
        <v>1</v>
      </c>
      <c r="W4" s="9">
        <f ca="1">COUNTA(A1:V160)</f>
        <v>462</v>
      </c>
      <c r="X4" s="10" t="s">
        <v>1</v>
      </c>
    </row>
    <row r="5" spans="1:24" ht="21" customHeight="1">
      <c r="A5" s="21"/>
      <c r="B5" s="21"/>
      <c r="C5" s="303"/>
      <c r="D5" s="303"/>
      <c r="E5" s="41"/>
      <c r="F5" s="41"/>
      <c r="G5" s="47" t="s">
        <v>78</v>
      </c>
      <c r="H5" s="47"/>
      <c r="I5" s="47"/>
      <c r="J5" s="21"/>
      <c r="K5" s="21"/>
      <c r="L5" s="21"/>
      <c r="M5" s="21"/>
      <c r="N5" s="21"/>
      <c r="O5" s="21"/>
      <c r="P5" s="21"/>
      <c r="Q5" s="21"/>
      <c r="R5" s="21"/>
      <c r="S5" s="21"/>
      <c r="T5" s="21"/>
      <c r="U5" s="21"/>
      <c r="V5" s="3">
        <v>1</v>
      </c>
      <c r="W5" s="9">
        <f ca="1">COUNTBLANK(A1:V160)</f>
        <v>3238</v>
      </c>
      <c r="X5" s="10" t="s">
        <v>2</v>
      </c>
    </row>
    <row r="6" spans="1:24" ht="21" customHeight="1">
      <c r="A6" s="21"/>
      <c r="B6" s="21"/>
      <c r="C6" s="303"/>
      <c r="D6" s="303"/>
      <c r="E6" s="41"/>
      <c r="F6" s="41"/>
      <c r="G6" s="21"/>
      <c r="H6" s="21"/>
      <c r="I6" s="21"/>
      <c r="J6" s="21"/>
      <c r="K6" s="21"/>
      <c r="L6" s="21"/>
      <c r="M6" s="21"/>
      <c r="N6" s="21"/>
      <c r="O6" s="21"/>
      <c r="P6" s="21"/>
      <c r="Q6" s="21"/>
      <c r="R6" s="21"/>
      <c r="S6" s="21"/>
      <c r="T6" s="21"/>
      <c r="U6" s="21"/>
      <c r="V6" s="3">
        <v>1</v>
      </c>
      <c r="W6" s="9">
        <f>SUM(V1:V158)+2</f>
        <v>160</v>
      </c>
      <c r="X6" s="10" t="s">
        <v>3</v>
      </c>
    </row>
    <row r="7" spans="1:24" ht="21" customHeight="1">
      <c r="A7" s="21"/>
      <c r="B7" s="21"/>
      <c r="C7" s="303"/>
      <c r="D7" s="303"/>
      <c r="E7" s="41"/>
      <c r="F7" s="41"/>
      <c r="G7" s="21"/>
      <c r="H7" s="21"/>
      <c r="I7" s="21"/>
      <c r="J7" s="21"/>
      <c r="K7" s="21"/>
      <c r="L7" s="21"/>
      <c r="M7" s="21"/>
      <c r="N7" s="21"/>
      <c r="O7" s="21"/>
      <c r="P7" s="21"/>
      <c r="Q7" s="21"/>
      <c r="R7" s="21"/>
      <c r="S7" s="21"/>
      <c r="T7" s="21"/>
      <c r="U7" s="21"/>
      <c r="V7" s="3">
        <v>1</v>
      </c>
      <c r="W7" s="9" cm="1">
        <f t="array" ref="W7">SUM(A160:U160+1)</f>
        <v>40</v>
      </c>
      <c r="X7" s="10" t="s">
        <v>4</v>
      </c>
    </row>
    <row r="8" spans="1:24" ht="21" customHeight="1">
      <c r="A8" s="21"/>
      <c r="B8" s="21"/>
      <c r="C8" s="21"/>
      <c r="D8" s="21"/>
      <c r="E8" s="21"/>
      <c r="F8" s="21"/>
      <c r="G8" s="21"/>
      <c r="H8" s="21"/>
      <c r="I8" s="21"/>
      <c r="J8" s="21"/>
      <c r="K8" s="21"/>
      <c r="L8" s="21"/>
      <c r="M8" s="21"/>
      <c r="N8" s="21"/>
      <c r="O8" s="21"/>
      <c r="P8" s="21"/>
      <c r="Q8" s="21"/>
      <c r="R8" s="21"/>
      <c r="S8" s="21"/>
      <c r="T8" s="21"/>
      <c r="U8" s="21"/>
      <c r="V8" s="3">
        <v>1</v>
      </c>
      <c r="W8" s="9"/>
      <c r="X8" s="10"/>
    </row>
    <row r="9" spans="1:24" ht="21" customHeight="1">
      <c r="A9" s="21"/>
      <c r="B9" s="21"/>
      <c r="C9" s="25" t="s">
        <v>46</v>
      </c>
      <c r="D9" s="21"/>
      <c r="E9" s="21"/>
      <c r="F9" s="21"/>
      <c r="G9" s="21"/>
      <c r="H9" s="21"/>
      <c r="I9" s="21"/>
      <c r="J9" s="48" t="s">
        <v>71</v>
      </c>
      <c r="K9" s="21"/>
      <c r="L9" s="21"/>
      <c r="M9" s="21"/>
      <c r="N9" s="21"/>
      <c r="O9" s="21"/>
      <c r="P9" s="21"/>
      <c r="Q9" s="21"/>
      <c r="R9" s="21"/>
      <c r="S9" s="21"/>
      <c r="T9" s="21"/>
      <c r="U9" s="21"/>
      <c r="V9" s="3">
        <v>1</v>
      </c>
    </row>
    <row r="10" spans="1:24" ht="21" customHeight="1">
      <c r="A10" s="21"/>
      <c r="B10" s="21"/>
      <c r="C10" s="21"/>
      <c r="D10" s="21"/>
      <c r="E10" s="21"/>
      <c r="F10" s="21"/>
      <c r="G10" s="21"/>
      <c r="H10" s="21"/>
      <c r="I10" s="21"/>
      <c r="J10" s="48" t="s">
        <v>72</v>
      </c>
      <c r="K10" s="21"/>
      <c r="L10" s="21"/>
      <c r="M10" s="21"/>
      <c r="N10" s="21"/>
      <c r="O10" s="21"/>
      <c r="P10" s="21"/>
      <c r="Q10" s="21"/>
      <c r="R10" s="21"/>
      <c r="S10" s="21"/>
      <c r="T10" s="21"/>
      <c r="U10" s="21"/>
      <c r="V10" s="3">
        <v>1</v>
      </c>
      <c r="W10" s="18" t="s">
        <v>7</v>
      </c>
    </row>
    <row r="11" spans="1:24" ht="21" customHeight="1">
      <c r="A11" s="21"/>
      <c r="B11" s="21"/>
      <c r="C11" s="25" t="s">
        <v>47</v>
      </c>
      <c r="D11" s="2"/>
      <c r="E11" s="2"/>
      <c r="F11" s="2"/>
      <c r="G11" s="21"/>
      <c r="H11" s="21"/>
      <c r="I11" s="21"/>
      <c r="J11" s="48" t="s">
        <v>73</v>
      </c>
      <c r="K11" s="21"/>
      <c r="L11" s="21"/>
      <c r="M11" s="21"/>
      <c r="N11" s="21"/>
      <c r="O11" s="21"/>
      <c r="P11" s="21"/>
      <c r="Q11" s="21"/>
      <c r="R11" s="21"/>
      <c r="S11" s="21"/>
      <c r="T11" s="21"/>
      <c r="U11" s="21"/>
      <c r="V11" s="3">
        <v>1</v>
      </c>
      <c r="W11" s="18" t="s">
        <v>8</v>
      </c>
    </row>
    <row r="12" spans="1:24" ht="21" customHeight="1">
      <c r="A12" s="21"/>
      <c r="B12" s="21"/>
      <c r="C12" s="25"/>
      <c r="D12" s="2"/>
      <c r="E12" s="2"/>
      <c r="F12" s="2"/>
      <c r="G12" s="21"/>
      <c r="H12" s="21"/>
      <c r="I12" s="21"/>
      <c r="J12" s="48" t="s">
        <v>74</v>
      </c>
      <c r="K12" s="21"/>
      <c r="L12" s="21"/>
      <c r="M12" s="21"/>
      <c r="N12" s="21"/>
      <c r="O12" s="21"/>
      <c r="P12" s="21"/>
      <c r="Q12" s="21"/>
      <c r="R12" s="21"/>
      <c r="S12" s="21"/>
      <c r="T12" s="21"/>
      <c r="U12" s="21"/>
      <c r="V12" s="3">
        <v>1</v>
      </c>
      <c r="W12" s="18" t="s">
        <v>9</v>
      </c>
    </row>
    <row r="13" spans="1:24" ht="21" customHeight="1">
      <c r="A13" s="21"/>
      <c r="B13" s="21"/>
      <c r="C13" s="25" t="s">
        <v>43</v>
      </c>
      <c r="D13" s="2"/>
      <c r="E13" s="2"/>
      <c r="F13" s="2"/>
      <c r="G13" s="21"/>
      <c r="H13" s="21"/>
      <c r="I13" s="21"/>
      <c r="J13" s="48" t="s">
        <v>75</v>
      </c>
      <c r="K13" s="21"/>
      <c r="L13" s="21"/>
      <c r="M13" s="21"/>
      <c r="N13" s="21"/>
      <c r="O13" s="21"/>
      <c r="P13" s="21"/>
      <c r="Q13" s="21"/>
      <c r="R13" s="21"/>
      <c r="S13" s="21"/>
      <c r="T13" s="21"/>
      <c r="U13" s="21"/>
      <c r="V13" s="3">
        <v>1</v>
      </c>
      <c r="W13" s="18"/>
    </row>
    <row r="14" spans="1:24" ht="21" customHeight="1">
      <c r="A14" s="21"/>
      <c r="B14" s="21"/>
      <c r="C14" s="25"/>
      <c r="D14" s="2"/>
      <c r="E14" s="2"/>
      <c r="F14" s="2"/>
      <c r="G14" s="21"/>
      <c r="H14" s="21"/>
      <c r="I14" s="21"/>
      <c r="J14" s="21"/>
      <c r="K14" s="21"/>
      <c r="L14" s="21"/>
      <c r="M14" s="21"/>
      <c r="N14" s="21"/>
      <c r="O14" s="21"/>
      <c r="P14" s="21"/>
      <c r="Q14" s="21"/>
      <c r="R14" s="21"/>
      <c r="S14" s="21"/>
      <c r="T14" s="21"/>
      <c r="U14" s="21"/>
      <c r="V14" s="3">
        <v>1</v>
      </c>
      <c r="W14" s="18" t="s">
        <v>10</v>
      </c>
    </row>
    <row r="15" spans="1:24" ht="21" customHeight="1">
      <c r="A15" s="21"/>
      <c r="B15" s="21"/>
      <c r="C15" s="25" t="s">
        <v>41</v>
      </c>
      <c r="D15" s="2"/>
      <c r="E15" s="2"/>
      <c r="F15" s="2"/>
      <c r="G15" s="21"/>
      <c r="H15" s="21"/>
      <c r="I15" s="21"/>
      <c r="J15" s="49" t="s">
        <v>83</v>
      </c>
      <c r="K15" s="21"/>
      <c r="L15" s="21"/>
      <c r="M15" s="21"/>
      <c r="N15" s="21"/>
      <c r="O15" s="21"/>
      <c r="P15" s="21"/>
      <c r="Q15" s="21"/>
      <c r="R15" s="21"/>
      <c r="S15" s="21"/>
      <c r="T15" s="21"/>
      <c r="U15" s="21"/>
      <c r="V15" s="3">
        <v>1</v>
      </c>
      <c r="W15" s="18" t="s">
        <v>11</v>
      </c>
    </row>
    <row r="16" spans="1:24" ht="21" customHeight="1">
      <c r="A16" s="21"/>
      <c r="B16" s="21"/>
      <c r="C16" s="25"/>
      <c r="D16" s="2"/>
      <c r="E16" s="2"/>
      <c r="F16" s="2"/>
      <c r="G16" s="21"/>
      <c r="H16" s="21"/>
      <c r="I16" s="21"/>
      <c r="J16" s="49" t="s">
        <v>82</v>
      </c>
      <c r="K16" s="21"/>
      <c r="L16" s="21"/>
      <c r="M16" s="21"/>
      <c r="N16" s="21"/>
      <c r="O16" s="21"/>
      <c r="P16" s="21"/>
      <c r="Q16" s="21"/>
      <c r="R16" s="21"/>
      <c r="S16" s="21"/>
      <c r="T16" s="21"/>
      <c r="U16" s="21"/>
      <c r="V16" s="3">
        <v>1</v>
      </c>
      <c r="W16" s="18" t="s">
        <v>12</v>
      </c>
    </row>
    <row r="17" spans="1:23" ht="21" customHeight="1" thickBot="1">
      <c r="A17" s="21"/>
      <c r="B17" s="21"/>
      <c r="C17" s="22"/>
      <c r="D17" s="2"/>
      <c r="E17" s="2"/>
      <c r="F17" s="2"/>
      <c r="G17" s="21"/>
      <c r="H17" s="21"/>
      <c r="I17" s="21"/>
      <c r="J17" s="21"/>
      <c r="K17" s="21"/>
      <c r="L17" s="21"/>
      <c r="M17" s="21"/>
      <c r="N17" s="21"/>
      <c r="O17" s="21"/>
      <c r="P17" s="21"/>
      <c r="Q17" s="21"/>
      <c r="R17" s="21"/>
      <c r="S17" s="21"/>
      <c r="T17" s="21"/>
      <c r="U17" s="21"/>
      <c r="V17" s="3">
        <v>1</v>
      </c>
      <c r="W17" s="18"/>
    </row>
    <row r="18" spans="1:23" ht="21" customHeight="1">
      <c r="B18" s="33" t="s">
        <v>6</v>
      </c>
      <c r="C18" s="55" t="str">
        <f>SUBSTITUTE(ADDRESS(1,COLUMN(),4),"1","")</f>
        <v>C</v>
      </c>
      <c r="D18" s="55" t="str">
        <f t="shared" ref="D18:G18" si="0">SUBSTITUTE(ADDRESS(1,COLUMN(),4),"1","")</f>
        <v>D</v>
      </c>
      <c r="E18" s="55"/>
      <c r="F18" s="55"/>
      <c r="G18" s="55" t="str">
        <f t="shared" si="0"/>
        <v>G</v>
      </c>
      <c r="H18" s="300"/>
      <c r="J18" s="33" t="s">
        <v>6</v>
      </c>
      <c r="K18" s="306" t="s">
        <v>81</v>
      </c>
      <c r="L18" s="306"/>
      <c r="M18" s="306"/>
      <c r="N18" s="306"/>
      <c r="O18" s="306"/>
      <c r="P18" s="307"/>
      <c r="Q18" s="21"/>
      <c r="R18" s="21"/>
      <c r="S18" s="21"/>
      <c r="T18" s="21"/>
      <c r="U18" s="21"/>
      <c r="V18" s="3">
        <v>1</v>
      </c>
      <c r="W18" s="18" t="s">
        <v>13</v>
      </c>
    </row>
    <row r="19" spans="1:23" ht="21" customHeight="1">
      <c r="B19" s="297"/>
      <c r="C19" s="15">
        <f t="shared" ref="C19:G19" ca="1" si="1">INDEX(CELL("largeur",C19),1,1)</f>
        <v>30</v>
      </c>
      <c r="D19" s="15">
        <f t="shared" ca="1" si="1"/>
        <v>5</v>
      </c>
      <c r="E19" s="15">
        <f t="shared" ca="1" si="1"/>
        <v>5</v>
      </c>
      <c r="F19" s="15">
        <f t="shared" ca="1" si="1"/>
        <v>5</v>
      </c>
      <c r="G19" s="15">
        <f t="shared" ca="1" si="1"/>
        <v>80</v>
      </c>
      <c r="H19" s="301"/>
      <c r="J19" s="311"/>
      <c r="K19" s="53" t="s">
        <v>79</v>
      </c>
      <c r="L19" s="64"/>
      <c r="M19" s="65"/>
      <c r="N19" s="65"/>
      <c r="O19" s="54" t="s">
        <v>80</v>
      </c>
      <c r="P19" s="305"/>
      <c r="Q19" s="21"/>
      <c r="R19" s="21"/>
      <c r="S19" s="21"/>
      <c r="T19" s="21"/>
      <c r="U19" s="21"/>
      <c r="V19" s="3">
        <v>1</v>
      </c>
      <c r="W19" s="18" t="s">
        <v>14</v>
      </c>
    </row>
    <row r="20" spans="1:23" ht="21" customHeight="1">
      <c r="B20" s="297"/>
      <c r="C20" s="36">
        <v>30</v>
      </c>
      <c r="D20" s="36">
        <v>45</v>
      </c>
      <c r="E20" s="36">
        <v>46</v>
      </c>
      <c r="F20" s="36">
        <v>47</v>
      </c>
      <c r="G20" s="36">
        <f ca="1">G19</f>
        <v>80</v>
      </c>
      <c r="H20" s="301"/>
      <c r="J20" s="311"/>
      <c r="K20" s="69" t="s">
        <v>76</v>
      </c>
      <c r="L20" s="66" t="str">
        <f>IFERROR(IF(K20="","",SUBSTITUTE(SUBSTITUTE(SUBSTITUTE(SUBSTITUTE(SUBSTITUTE(SUBSTITUTE(SUBSTITUTE(SUBSTITUTE(SUBSTITUTE(SUBSTITUTE(K20,"œ","oe"),"Œ","oe"),CHAR(160)," "),CHAR(9)," "),CHAR(10)," "),CHAR(13)," "),"’","'"),"."," "),","," "),":"," ")),"")</f>
        <v xml:space="preserve">Si vous récupérez du texte sur internet  collez-le d'abord dans la colonne A pour le “nettoyer”   cela supprime les espaces insécables  tabulations invisibles et autres “pollutions” </v>
      </c>
      <c r="M20" s="66" t="str">
        <f t="shared" ref="M20:M24" si="2">IF(L20="","",SUBSTITUTE(SUBSTITUTE(SUBSTITUTE(SUBSTITUTE(SUBSTITUTE(SUBSTITUTE(SUBSTITUTE(SUBSTITUTE(SUBSTITUTE(L20,","," "),"!"," "),"?"," "),"«"," "),"»"," "),"("," "),")"," "),"-"," "),"="," "))</f>
        <v xml:space="preserve">Si vous récupérez du texte sur internet  collez le d'abord dans la colonne A pour le “nettoyer”   cela supprime les espaces insécables  tabulations invisibles et autres “pollutions” </v>
      </c>
      <c r="N20" s="67" t="str">
        <f t="shared" ref="N20:N24" si="3">IF(M20="","",SUBSTITUTE(SUBSTITUTE(SUBSTITUTE(SUBSTITUTE(SUBSTITUTE(SUBSTITUTE(SUBSTITUTE(SUBSTITUTE(SUBSTITUTE(SUBSTITUTE(SUBSTITUTE(SUBSTITUTE(SUBSTITUTE(SUBSTITUTE(SUBSTITUTE(SUBSTITUTE(SUBSTITUTE(SUBSTITUTE(SUBSTITUTE(SUBSTITUTE(SUBSTITUTE(M20,"/"," "),"+"," "),"→"," "),"≤"," "),"≥"," ")," t°c"," tdegc"),"t°c","tdegc")," t°"," tdeg"),"t°","tdeg"),"°C","degc"),"°c","degc"),"° C","degc"),"° c","degc")," °C","degc")," °c","degc")," ° C","degc")," ° c","degc"),"°F","degf"),"°f","degf"),"°",""),CHAR(176),""))</f>
        <v xml:space="preserve">Si vous récupérez du texte sur internet  collez le d'abord dans la colonne A pour le “nettoyer”   cela supprime les espaces insécables  tabulations invisibles et autres “pollutions” </v>
      </c>
      <c r="O20" s="12" t="str" cm="1">
        <f t="array" ref="O20:O21">_xlfn._xlws.FILTER(N20:N24,TRIM(SUBSTITUTE(N20:N24,CHAR(160),""))&lt;&gt;"")</f>
        <v xml:space="preserve">Si vous récupérez du texte sur internet  collez le d'abord dans la colonne A pour le “nettoyer”   cela supprime les espaces insécables  tabulations invisibles et autres “pollutions” </v>
      </c>
      <c r="P20" s="305"/>
      <c r="Q20" s="21"/>
      <c r="R20" s="21"/>
      <c r="S20" s="21"/>
      <c r="T20" s="21"/>
      <c r="U20" s="21"/>
      <c r="V20" s="3">
        <v>1</v>
      </c>
      <c r="W20" s="18"/>
    </row>
    <row r="21" spans="1:23" ht="21" customHeight="1">
      <c r="B21" s="297"/>
      <c r="C21" s="299" t="s">
        <v>51</v>
      </c>
      <c r="D21" s="299"/>
      <c r="E21" s="299"/>
      <c r="F21" s="299"/>
      <c r="G21" s="299"/>
      <c r="H21" s="301"/>
      <c r="J21" s="311"/>
      <c r="K21" s="69"/>
      <c r="L21" s="66" t="str">
        <f t="shared" ref="L21:L24" si="4">IFERROR(IF(K21="","",SUBSTITUTE(SUBSTITUTE(SUBSTITUTE(SUBSTITUTE(SUBSTITUTE(SUBSTITUTE(SUBSTITUTE(SUBSTITUTE(SUBSTITUTE(SUBSTITUTE(K21,"œ","oe"),"Œ","oe"),CHAR(160)," "),CHAR(9)," "),CHAR(10)," "),CHAR(13)," "),"’","'"),"."," "),","," "),":"," ")),"")</f>
        <v/>
      </c>
      <c r="M21" s="66" t="str">
        <f t="shared" si="2"/>
        <v/>
      </c>
      <c r="N21" s="67" t="str">
        <f t="shared" si="3"/>
        <v/>
      </c>
      <c r="O21" s="21" t="str">
        <v>Ensuite  dans la colonne B copiez le texte nettoyé</v>
      </c>
      <c r="P21" s="305"/>
      <c r="Q21" s="21"/>
      <c r="R21" s="21"/>
      <c r="S21" s="21"/>
      <c r="T21" s="21"/>
      <c r="U21" s="21"/>
      <c r="V21" s="3">
        <v>1</v>
      </c>
      <c r="W21" s="18"/>
    </row>
    <row r="22" spans="1:23" ht="21" customHeight="1">
      <c r="B22" s="297"/>
      <c r="C22" s="56" t="s">
        <v>44</v>
      </c>
      <c r="D22" s="63"/>
      <c r="E22" s="63"/>
      <c r="F22" s="63"/>
      <c r="G22" s="57" t="s">
        <v>42</v>
      </c>
      <c r="H22" s="301"/>
      <c r="J22" s="311"/>
      <c r="K22" s="69" t="s">
        <v>45</v>
      </c>
      <c r="L22" s="66" t="str">
        <f t="shared" si="4"/>
        <v>Ensuite  dans la colonne B copiez le texte nettoyé</v>
      </c>
      <c r="M22" s="66" t="str">
        <f t="shared" si="2"/>
        <v>Ensuite  dans la colonne B copiez le texte nettoyé</v>
      </c>
      <c r="N22" s="67" t="str">
        <f t="shared" si="3"/>
        <v>Ensuite  dans la colonne B copiez le texte nettoyé</v>
      </c>
      <c r="O22" s="21"/>
      <c r="P22" s="305"/>
      <c r="Q22" s="21"/>
      <c r="R22" s="21"/>
      <c r="S22" s="21"/>
      <c r="T22" s="21"/>
      <c r="U22" s="21"/>
      <c r="V22" s="3">
        <v>1</v>
      </c>
      <c r="W22" s="18"/>
    </row>
    <row r="23" spans="1:23" ht="21" customHeight="1">
      <c r="B23" s="297"/>
      <c r="C23" s="58" t="s">
        <v>48</v>
      </c>
      <c r="D23" s="58"/>
      <c r="E23" s="58"/>
      <c r="F23" s="58"/>
      <c r="G23" s="58" t="s">
        <v>52</v>
      </c>
      <c r="H23" s="301"/>
      <c r="J23" s="311"/>
      <c r="K23" s="69"/>
      <c r="L23" s="66" t="str">
        <f t="shared" si="4"/>
        <v/>
      </c>
      <c r="M23" s="66" t="str">
        <f t="shared" si="2"/>
        <v/>
      </c>
      <c r="N23" s="67" t="str">
        <f t="shared" si="3"/>
        <v/>
      </c>
      <c r="O23" s="21"/>
      <c r="P23" s="305"/>
      <c r="Q23" s="21"/>
      <c r="R23" s="21"/>
      <c r="S23" s="21"/>
      <c r="T23" s="21"/>
      <c r="U23" s="21"/>
      <c r="V23" s="3">
        <v>1</v>
      </c>
      <c r="W23" s="18"/>
    </row>
    <row r="24" spans="1:23" ht="30" customHeight="1">
      <c r="B24" s="297"/>
      <c r="C24" s="69"/>
      <c r="D24" s="59" t="str">
        <f>IFERROR(IF(C24="","",SUBSTITUTE(SUBSTITUTE(SUBSTITUTE(SUBSTITUTE(SUBSTITUTE(SUBSTITUTE(SUBSTITUTE(SUBSTITUTE(SUBSTITUTE(SUBSTITUTE(C24,"œ","oe"),"Œ","oe"),CHAR(160)," "),CHAR(9)," "),CHAR(10)," "),CHAR(13)," "),"’","'"),"."," "),","," "),":"," ")),"")</f>
        <v/>
      </c>
      <c r="E24" s="59" t="str">
        <f>IF(D24="","",SUBSTITUTE(SUBSTITUTE(SUBSTITUTE(SUBSTITUTE(SUBSTITUTE(SUBSTITUTE(SUBSTITUTE(SUBSTITUTE(SUBSTITUTE(D24,","," "),"!"," "),"?"," "),"«"," "),"»"," "),"("," "),")"," "),"-"," "),"="," "))</f>
        <v/>
      </c>
      <c r="F24" s="60" t="str">
        <f>IF(E24="","",SUBSTITUTE(SUBSTITUTE(SUBSTITUTE(SUBSTITUTE(SUBSTITUTE(SUBSTITUTE(SUBSTITUTE(SUBSTITUTE(SUBSTITUTE(SUBSTITUTE(SUBSTITUTE(SUBSTITUTE(SUBSTITUTE(SUBSTITUTE(SUBSTITUTE(SUBSTITUTE(SUBSTITUTE(SUBSTITUTE(SUBSTITUTE(SUBSTITUTE(SUBSTITUTE(E24,"/"," "),"+"," "),"→"," "),"≤"," "),"≥"," ")," t°c"," tdegc"),"t°c","tdegc")," t°"," tdeg"),"t°","tdeg"),"°C","degc"),"°c","degc"),"° C","degc"),"° c","degc")," °C","degc")," °c","degc")," ° C","degc")," ° c","degc"),"°F","degf"),"°f","degf"),"°",""),CHAR(176),""))</f>
        <v/>
      </c>
      <c r="G24" s="71" t="str" cm="1">
        <f t="array" ref="G24:G27">_xlfn._xlws.FILTER(F24:F84,TRIM(SUBSTITUTE(F24:F84,CHAR(160),""))&lt;&gt;"")</f>
        <v xml:space="preserve">Si vous récupérez du texte sur internet  collez le d'abord dans la colonne A pour le “nettoyer”   cela supprime les espaces insécables  tabulations invisibles et autres “pollutions” </v>
      </c>
      <c r="H24" s="301"/>
      <c r="J24" s="311"/>
      <c r="K24" s="69"/>
      <c r="L24" s="66" t="str">
        <f t="shared" si="4"/>
        <v/>
      </c>
      <c r="M24" s="66" t="str">
        <f t="shared" si="2"/>
        <v/>
      </c>
      <c r="N24" s="67" t="str">
        <f t="shared" si="3"/>
        <v/>
      </c>
      <c r="O24" s="21"/>
      <c r="P24" s="305"/>
      <c r="Q24" s="21"/>
      <c r="R24" s="21"/>
      <c r="S24" s="21"/>
      <c r="T24" s="21"/>
      <c r="U24" s="21"/>
      <c r="V24" s="3">
        <v>1</v>
      </c>
      <c r="W24" s="18"/>
    </row>
    <row r="25" spans="1:23" ht="30" customHeight="1">
      <c r="B25" s="297"/>
      <c r="C25" s="69" t="s">
        <v>99</v>
      </c>
      <c r="D25" s="59" t="str">
        <f>IFERROR(IF(C25="","",SUBSTITUTE(SUBSTITUTE(SUBSTITUTE(SUBSTITUTE(SUBSTITUTE(SUBSTITUTE(SUBSTITUTE(SUBSTITUTE(SUBSTITUTE(SUBSTITUTE(C25,"œ","oe"),"Œ","oe"),CHAR(160)," "),CHAR(9)," "),CHAR(10)," "),CHAR(13)," "),"’","'"),"."," "),","," "),":"," ")),"")</f>
        <v xml:space="preserve">Si vous récupérez du texte sur internet  collez-le d'abord dans la colonne A pour le “nettoyer”   cela supprime les espaces insécables  tabulations invisibles et autres “pollutions” </v>
      </c>
      <c r="E25" s="59" t="str">
        <f t="shared" ref="E25" si="5">IF(D25="","",SUBSTITUTE(SUBSTITUTE(SUBSTITUTE(SUBSTITUTE(SUBSTITUTE(SUBSTITUTE(SUBSTITUTE(SUBSTITUTE(SUBSTITUTE(D25,","," "),"!"," "),"?"," "),"«"," "),"»"," "),"("," "),")"," "),"-"," "),"="," "))</f>
        <v xml:space="preserve">Si vous récupérez du texte sur internet  collez le d'abord dans la colonne A pour le “nettoyer”   cela supprime les espaces insécables  tabulations invisibles et autres “pollutions” </v>
      </c>
      <c r="F25" s="60" t="str">
        <f t="shared" ref="F25" si="6">IF(E25="","",SUBSTITUTE(SUBSTITUTE(SUBSTITUTE(SUBSTITUTE(SUBSTITUTE(SUBSTITUTE(SUBSTITUTE(SUBSTITUTE(SUBSTITUTE(SUBSTITUTE(SUBSTITUTE(SUBSTITUTE(SUBSTITUTE(SUBSTITUTE(SUBSTITUTE(SUBSTITUTE(SUBSTITUTE(SUBSTITUTE(SUBSTITUTE(SUBSTITUTE(SUBSTITUTE(E25,"/"," "),"+"," "),"→"," "),"≤"," "),"≥"," ")," t°c"," tdegc"),"t°c","tdegc")," t°"," tdeg"),"t°","tdeg"),"°C","degc"),"°c","degc"),"° C","degc"),"° c","degc")," °C","degc")," °c","degc")," ° C","degc")," ° c","degc"),"°F","degf"),"°f","degf"),"°",""),CHAR(176),""))</f>
        <v xml:space="preserve">Si vous récupérez du texte sur internet  collez le d'abord dans la colonne A pour le “nettoyer”   cela supprime les espaces insécables  tabulations invisibles et autres “pollutions” </v>
      </c>
      <c r="G25" s="71" t="str">
        <v>Ensuite  dans la colonne B copiez le texte nettoyé</v>
      </c>
      <c r="H25" s="301"/>
      <c r="J25" s="311"/>
      <c r="K25" s="51">
        <f t="shared" ref="K25:P25" ca="1" si="7">INDEX(CELL("largeur",K25),1,1)</f>
        <v>18</v>
      </c>
      <c r="L25" s="39">
        <f t="shared" ca="1" si="7"/>
        <v>5</v>
      </c>
      <c r="M25" s="39">
        <f t="shared" ca="1" si="7"/>
        <v>5</v>
      </c>
      <c r="N25" s="39">
        <f t="shared" ca="1" si="7"/>
        <v>18</v>
      </c>
      <c r="O25" s="39">
        <f t="shared" ca="1" si="7"/>
        <v>18</v>
      </c>
      <c r="P25" s="40">
        <f t="shared" ca="1" si="7"/>
        <v>5</v>
      </c>
      <c r="Q25" s="38" t="s">
        <v>70</v>
      </c>
      <c r="R25" s="21"/>
      <c r="S25" s="21"/>
      <c r="T25" s="21"/>
      <c r="U25" s="21"/>
      <c r="V25" s="3">
        <v>1</v>
      </c>
      <c r="W25" s="18"/>
    </row>
    <row r="26" spans="1:23" ht="30" customHeight="1">
      <c r="B26" s="297"/>
      <c r="C26" s="69"/>
      <c r="D26" s="59" t="str">
        <f t="shared" ref="D26:D55" si="8">TRIM(SUBSTITUTE(SUBSTITUTE(SUBSTITUTE(SUBSTITUTE(SUBSTITUTE(SUBSTITUTE(SUBSTITUTE(SUBSTITUTE(SUBSTITUTE(CLEAN(IF(OR(LEFT(C26,1)="-",LEFT(C26,1)="="),MID(C26,2,99999),C26)),"—","-"),"–","-"),CHAR(160)," "),CHAR(9)," "),CHAR(13)," "),CHAR(10)," ")," "," ")," "," ")," "," "))</f>
        <v/>
      </c>
      <c r="E26" s="59" t="str">
        <f t="shared" ref="E26:E84" si="9">IF(D26="","",SUBSTITUTE(SUBSTITUTE(SUBSTITUTE(SUBSTITUTE(SUBSTITUTE(SUBSTITUTE(SUBSTITUTE(SUBSTITUTE(SUBSTITUTE(D26,","," "),"!"," "),"?"," "),"«"," "),"»"," "),"("," "),")"," "),"-"," "),"="," "))</f>
        <v/>
      </c>
      <c r="F26" s="60" t="str">
        <f t="shared" ref="F26:F84" si="10">IF(E26="","",SUBSTITUTE(SUBSTITUTE(SUBSTITUTE(SUBSTITUTE(SUBSTITUTE(SUBSTITUTE(SUBSTITUTE(SUBSTITUTE(SUBSTITUTE(SUBSTITUTE(SUBSTITUTE(SUBSTITUTE(SUBSTITUTE(SUBSTITUTE(SUBSTITUTE(SUBSTITUTE(SUBSTITUTE(SUBSTITUTE(SUBSTITUTE(SUBSTITUTE(SUBSTITUTE(E26,"/"," "),"+"," "),"→"," "),"≤"," "),"≥"," ")," t°c"," tdegc"),"t°c","tdegc")," t°"," tdeg"),"t°","tdeg"),"°C","degc"),"°c","degc"),"° C","degc"),"° c","degc")," °C","degc")," °c","degc")," ° C","degc")," ° c","degc"),"°F","degf"),"°f","degf"),"°",""),CHAR(176),""))</f>
        <v/>
      </c>
      <c r="G26" s="71" t="str">
        <v>puis dans votre document faites</v>
      </c>
      <c r="H26" s="301"/>
      <c r="J26" s="311"/>
      <c r="K26" s="16">
        <v>18</v>
      </c>
      <c r="L26" s="16">
        <v>5</v>
      </c>
      <c r="M26" s="16">
        <v>5</v>
      </c>
      <c r="N26" s="16">
        <v>18</v>
      </c>
      <c r="O26" s="16">
        <v>18</v>
      </c>
      <c r="P26" s="17">
        <v>5</v>
      </c>
      <c r="Q26" s="37" t="s">
        <v>69</v>
      </c>
      <c r="R26" s="21"/>
      <c r="S26" s="21"/>
      <c r="T26" s="21"/>
      <c r="U26" s="21"/>
      <c r="V26" s="3">
        <v>1</v>
      </c>
      <c r="W26" s="18"/>
    </row>
    <row r="27" spans="1:23" ht="30" customHeight="1" thickBot="1">
      <c r="B27" s="297"/>
      <c r="C27" s="69" t="s">
        <v>45</v>
      </c>
      <c r="D27" s="59" t="str">
        <f t="shared" si="8"/>
        <v>Ensuite, dans la colonne B copiez le texte nettoyé</v>
      </c>
      <c r="E27" s="59" t="str">
        <f t="shared" si="9"/>
        <v>Ensuite  dans la colonne B copiez le texte nettoyé</v>
      </c>
      <c r="F27" s="60" t="str">
        <f t="shared" si="10"/>
        <v>Ensuite  dans la colonne B copiez le texte nettoyé</v>
      </c>
      <c r="G27" s="71" t="str">
        <v>Collage spécial &gt; 1.2.3 Valeurs pour ne coller que le texte  sans formules.</v>
      </c>
      <c r="H27" s="301"/>
      <c r="J27" s="312"/>
      <c r="K27" s="52"/>
      <c r="L27" s="52"/>
      <c r="M27" s="52"/>
      <c r="N27" s="52"/>
      <c r="O27" s="52"/>
      <c r="P27" s="34" t="s">
        <v>50</v>
      </c>
      <c r="Q27" s="21"/>
      <c r="R27" s="21"/>
      <c r="S27" s="21"/>
      <c r="T27" s="21"/>
      <c r="U27" s="21"/>
      <c r="V27" s="3">
        <v>1</v>
      </c>
    </row>
    <row r="28" spans="1:23" ht="30" customHeight="1">
      <c r="B28" s="297"/>
      <c r="C28" s="69"/>
      <c r="D28" s="59" t="str">
        <f t="shared" si="8"/>
        <v/>
      </c>
      <c r="E28" s="59" t="str">
        <f t="shared" si="9"/>
        <v/>
      </c>
      <c r="F28" s="60" t="str">
        <f t="shared" si="10"/>
        <v/>
      </c>
      <c r="G28" s="71"/>
      <c r="H28" s="301"/>
      <c r="I28" s="50"/>
      <c r="J28" s="21"/>
      <c r="K28" s="21"/>
      <c r="L28" s="21"/>
      <c r="M28" s="21"/>
      <c r="N28" s="21"/>
      <c r="O28" s="21"/>
      <c r="P28" s="21"/>
      <c r="Q28" s="21"/>
      <c r="R28" s="21"/>
      <c r="S28" s="21"/>
      <c r="T28" s="21"/>
      <c r="U28" s="21"/>
      <c r="V28" s="3">
        <v>1</v>
      </c>
    </row>
    <row r="29" spans="1:23" ht="30" customHeight="1">
      <c r="B29" s="297"/>
      <c r="C29" s="69"/>
      <c r="D29" s="59" t="str">
        <f t="shared" si="8"/>
        <v/>
      </c>
      <c r="E29" s="59" t="str">
        <f t="shared" si="9"/>
        <v/>
      </c>
      <c r="F29" s="60" t="str">
        <f t="shared" si="10"/>
        <v/>
      </c>
      <c r="G29" s="71"/>
      <c r="H29" s="301"/>
      <c r="I29" s="21"/>
      <c r="J29" s="21"/>
      <c r="K29" s="21"/>
      <c r="L29" s="21"/>
      <c r="M29" s="21"/>
      <c r="N29" s="21"/>
      <c r="O29" s="21"/>
      <c r="P29" s="21"/>
      <c r="Q29" s="21"/>
      <c r="R29" s="21"/>
      <c r="S29" s="21"/>
      <c r="T29" s="21"/>
      <c r="U29" s="21"/>
      <c r="V29" s="3">
        <v>1</v>
      </c>
    </row>
    <row r="30" spans="1:23" ht="30" customHeight="1">
      <c r="B30" s="297"/>
      <c r="C30" s="69"/>
      <c r="D30" s="59" t="str">
        <f t="shared" si="8"/>
        <v/>
      </c>
      <c r="E30" s="59" t="str">
        <f t="shared" si="9"/>
        <v/>
      </c>
      <c r="F30" s="60" t="str">
        <f t="shared" si="10"/>
        <v/>
      </c>
      <c r="G30" s="71"/>
      <c r="H30" s="301"/>
      <c r="I30" s="21"/>
      <c r="J30" s="21"/>
      <c r="K30" s="21"/>
      <c r="L30" s="21"/>
      <c r="M30" s="21"/>
      <c r="N30" s="21"/>
      <c r="O30" s="21"/>
      <c r="P30" s="21"/>
      <c r="Q30" s="21"/>
      <c r="R30" s="21"/>
      <c r="S30" s="21"/>
      <c r="T30" s="21"/>
      <c r="U30" s="21"/>
      <c r="V30" s="3">
        <v>1</v>
      </c>
    </row>
    <row r="31" spans="1:23" ht="30" customHeight="1">
      <c r="B31" s="297"/>
      <c r="C31" s="69"/>
      <c r="D31" s="59" t="str">
        <f t="shared" si="8"/>
        <v/>
      </c>
      <c r="E31" s="59" t="str">
        <f t="shared" si="9"/>
        <v/>
      </c>
      <c r="F31" s="60" t="str">
        <f t="shared" si="10"/>
        <v/>
      </c>
      <c r="G31" s="71"/>
      <c r="H31" s="301"/>
      <c r="I31" s="21"/>
      <c r="J31" s="21"/>
      <c r="K31" s="21"/>
      <c r="L31" s="21"/>
      <c r="M31" s="21"/>
      <c r="N31" s="21"/>
      <c r="O31" s="21"/>
      <c r="P31" s="21"/>
      <c r="Q31" s="21"/>
      <c r="R31" s="21"/>
      <c r="S31" s="21"/>
      <c r="T31" s="21"/>
      <c r="U31" s="21"/>
      <c r="V31" s="3">
        <v>1</v>
      </c>
    </row>
    <row r="32" spans="1:23" ht="30" customHeight="1">
      <c r="B32" s="297"/>
      <c r="C32" s="69"/>
      <c r="D32" s="59" t="str">
        <f t="shared" si="8"/>
        <v/>
      </c>
      <c r="E32" s="59" t="str">
        <f t="shared" si="9"/>
        <v/>
      </c>
      <c r="F32" s="60" t="str">
        <f t="shared" si="10"/>
        <v/>
      </c>
      <c r="G32" s="71"/>
      <c r="H32" s="301"/>
      <c r="I32" s="21"/>
      <c r="J32" s="21"/>
      <c r="K32" s="21"/>
      <c r="L32" s="21"/>
      <c r="M32" s="21"/>
      <c r="N32" s="21"/>
      <c r="O32" s="21"/>
      <c r="P32" s="21"/>
      <c r="Q32" s="21"/>
      <c r="R32" s="21"/>
      <c r="S32" s="21"/>
      <c r="T32" s="21"/>
      <c r="U32" s="21"/>
      <c r="V32" s="3">
        <v>1</v>
      </c>
    </row>
    <row r="33" spans="2:22" ht="30" customHeight="1">
      <c r="B33" s="297"/>
      <c r="C33" s="69"/>
      <c r="D33" s="59" t="str">
        <f t="shared" si="8"/>
        <v/>
      </c>
      <c r="E33" s="59" t="str">
        <f t="shared" si="9"/>
        <v/>
      </c>
      <c r="F33" s="60" t="str">
        <f t="shared" si="10"/>
        <v/>
      </c>
      <c r="G33" s="71"/>
      <c r="H33" s="301"/>
      <c r="I33" s="21"/>
      <c r="J33" s="21"/>
      <c r="K33" s="21"/>
      <c r="L33" s="21"/>
      <c r="M33" s="21"/>
      <c r="N33" s="21"/>
      <c r="O33" s="21"/>
      <c r="P33" s="21"/>
      <c r="Q33" s="21"/>
      <c r="R33" s="21"/>
      <c r="S33" s="21"/>
      <c r="T33" s="21"/>
      <c r="U33" s="21"/>
      <c r="V33" s="3">
        <v>1</v>
      </c>
    </row>
    <row r="34" spans="2:22" ht="30" customHeight="1">
      <c r="B34" s="297"/>
      <c r="C34" s="69"/>
      <c r="D34" s="59" t="str">
        <f t="shared" si="8"/>
        <v/>
      </c>
      <c r="E34" s="59" t="str">
        <f t="shared" si="9"/>
        <v/>
      </c>
      <c r="F34" s="60" t="str">
        <f t="shared" si="10"/>
        <v/>
      </c>
      <c r="G34" s="71"/>
      <c r="H34" s="301"/>
      <c r="I34" s="21"/>
      <c r="J34" s="21"/>
      <c r="K34" s="21"/>
      <c r="L34" s="21"/>
      <c r="M34" s="21"/>
      <c r="N34" s="21"/>
      <c r="O34" s="21"/>
      <c r="P34" s="21"/>
      <c r="Q34" s="21"/>
      <c r="R34" s="21"/>
      <c r="S34" s="21"/>
      <c r="T34" s="21"/>
      <c r="U34" s="21"/>
      <c r="V34" s="3">
        <v>1</v>
      </c>
    </row>
    <row r="35" spans="2:22" ht="30" customHeight="1">
      <c r="B35" s="297"/>
      <c r="C35" s="69" t="s">
        <v>43</v>
      </c>
      <c r="D35" s="59" t="str">
        <f t="shared" si="8"/>
        <v>puis dans votre document faites</v>
      </c>
      <c r="E35" s="59" t="str">
        <f t="shared" si="9"/>
        <v>puis dans votre document faites</v>
      </c>
      <c r="F35" s="60" t="str">
        <f t="shared" si="10"/>
        <v>puis dans votre document faites</v>
      </c>
      <c r="G35" s="71"/>
      <c r="H35" s="301"/>
      <c r="I35" s="21"/>
      <c r="J35" s="21"/>
      <c r="K35" s="21"/>
      <c r="L35" s="21"/>
      <c r="M35" s="21"/>
      <c r="N35" s="21"/>
      <c r="O35" s="21"/>
      <c r="P35" s="21"/>
      <c r="Q35" s="21"/>
      <c r="R35" s="21"/>
      <c r="S35" s="21"/>
      <c r="T35" s="21"/>
      <c r="U35" s="21"/>
      <c r="V35" s="3">
        <v>1</v>
      </c>
    </row>
    <row r="36" spans="2:22" ht="30" customHeight="1">
      <c r="B36" s="297"/>
      <c r="C36" s="69"/>
      <c r="D36" s="59" t="str">
        <f t="shared" si="8"/>
        <v/>
      </c>
      <c r="E36" s="59" t="str">
        <f t="shared" si="9"/>
        <v/>
      </c>
      <c r="F36" s="60" t="str">
        <f t="shared" si="10"/>
        <v/>
      </c>
      <c r="G36" s="71"/>
      <c r="H36" s="301"/>
      <c r="I36" s="21"/>
      <c r="J36" s="21"/>
      <c r="K36" s="21"/>
      <c r="L36" s="21"/>
      <c r="M36" s="21"/>
      <c r="N36" s="21"/>
      <c r="O36" s="21"/>
      <c r="P36" s="21"/>
      <c r="Q36" s="21"/>
      <c r="R36" s="21"/>
      <c r="S36" s="21"/>
      <c r="T36" s="21"/>
      <c r="U36" s="21"/>
      <c r="V36" s="3">
        <v>1</v>
      </c>
    </row>
    <row r="37" spans="2:22" ht="30" customHeight="1">
      <c r="B37" s="297"/>
      <c r="C37" s="69"/>
      <c r="D37" s="59" t="str">
        <f t="shared" si="8"/>
        <v/>
      </c>
      <c r="E37" s="59" t="str">
        <f t="shared" si="9"/>
        <v/>
      </c>
      <c r="F37" s="60" t="str">
        <f t="shared" si="10"/>
        <v/>
      </c>
      <c r="G37" s="71"/>
      <c r="H37" s="301"/>
      <c r="I37" s="21"/>
      <c r="J37" s="21"/>
      <c r="K37" s="21"/>
      <c r="L37" s="21"/>
      <c r="M37" s="21"/>
      <c r="N37" s="21"/>
      <c r="O37" s="21"/>
      <c r="P37" s="21"/>
      <c r="Q37" s="21"/>
      <c r="R37" s="21"/>
      <c r="S37" s="21"/>
      <c r="T37" s="21"/>
      <c r="U37" s="21"/>
      <c r="V37" s="3">
        <v>1</v>
      </c>
    </row>
    <row r="38" spans="2:22" ht="30" customHeight="1">
      <c r="B38" s="297"/>
      <c r="C38" s="69"/>
      <c r="D38" s="59" t="str">
        <f t="shared" si="8"/>
        <v/>
      </c>
      <c r="E38" s="59" t="str">
        <f t="shared" si="9"/>
        <v/>
      </c>
      <c r="F38" s="60" t="str">
        <f t="shared" si="10"/>
        <v/>
      </c>
      <c r="G38" s="71"/>
      <c r="H38" s="301"/>
      <c r="I38" s="21"/>
      <c r="J38" s="21"/>
      <c r="K38" s="21"/>
      <c r="L38" s="21"/>
      <c r="M38" s="21"/>
      <c r="N38" s="21"/>
      <c r="O38" s="21"/>
      <c r="P38" s="21"/>
      <c r="Q38" s="21"/>
      <c r="R38" s="21"/>
      <c r="S38" s="21"/>
      <c r="T38" s="21"/>
      <c r="U38" s="21"/>
      <c r="V38" s="3">
        <v>1</v>
      </c>
    </row>
    <row r="39" spans="2:22" ht="30" customHeight="1">
      <c r="B39" s="297"/>
      <c r="C39" s="69"/>
      <c r="D39" s="59" t="str">
        <f t="shared" si="8"/>
        <v/>
      </c>
      <c r="E39" s="59" t="str">
        <f t="shared" si="9"/>
        <v/>
      </c>
      <c r="F39" s="60" t="str">
        <f t="shared" si="10"/>
        <v/>
      </c>
      <c r="G39" s="71"/>
      <c r="H39" s="301"/>
      <c r="I39" s="21"/>
      <c r="J39" s="21"/>
      <c r="K39" s="21"/>
      <c r="L39" s="21"/>
      <c r="M39" s="21"/>
      <c r="N39" s="21"/>
      <c r="O39" s="21"/>
      <c r="P39" s="21"/>
      <c r="Q39" s="21"/>
      <c r="R39" s="21"/>
      <c r="S39" s="21"/>
      <c r="T39" s="21"/>
      <c r="U39" s="21"/>
      <c r="V39" s="3">
        <v>1</v>
      </c>
    </row>
    <row r="40" spans="2:22" ht="30" customHeight="1">
      <c r="B40" s="297"/>
      <c r="C40" s="69"/>
      <c r="D40" s="59" t="str">
        <f t="shared" si="8"/>
        <v/>
      </c>
      <c r="E40" s="59" t="str">
        <f t="shared" si="9"/>
        <v/>
      </c>
      <c r="F40" s="60" t="str">
        <f t="shared" si="10"/>
        <v/>
      </c>
      <c r="G40" s="71"/>
      <c r="H40" s="301"/>
      <c r="I40" s="21"/>
      <c r="J40" s="21"/>
      <c r="K40" s="21"/>
      <c r="L40" s="21"/>
      <c r="M40" s="21"/>
      <c r="N40" s="21"/>
      <c r="O40" s="21"/>
      <c r="P40" s="21"/>
      <c r="Q40" s="21"/>
      <c r="R40" s="21"/>
      <c r="S40" s="21"/>
      <c r="T40" s="21"/>
      <c r="U40" s="21"/>
      <c r="V40" s="3">
        <v>1</v>
      </c>
    </row>
    <row r="41" spans="2:22" ht="30" customHeight="1">
      <c r="B41" s="297"/>
      <c r="C41" s="69"/>
      <c r="D41" s="59" t="str">
        <f t="shared" si="8"/>
        <v/>
      </c>
      <c r="E41" s="59" t="str">
        <f t="shared" si="9"/>
        <v/>
      </c>
      <c r="F41" s="60" t="str">
        <f t="shared" si="10"/>
        <v/>
      </c>
      <c r="G41" s="71"/>
      <c r="H41" s="301"/>
      <c r="I41" s="21"/>
      <c r="J41" s="21"/>
      <c r="K41" s="21"/>
      <c r="L41" s="21"/>
      <c r="M41" s="21"/>
      <c r="N41" s="21"/>
      <c r="O41" s="21"/>
      <c r="P41" s="21"/>
      <c r="Q41" s="21"/>
      <c r="R41" s="21"/>
      <c r="S41" s="21"/>
      <c r="T41" s="21"/>
      <c r="U41" s="21"/>
      <c r="V41" s="3">
        <v>1</v>
      </c>
    </row>
    <row r="42" spans="2:22" ht="30" customHeight="1">
      <c r="B42" s="297"/>
      <c r="C42" s="69"/>
      <c r="D42" s="59" t="str">
        <f t="shared" si="8"/>
        <v/>
      </c>
      <c r="E42" s="59" t="str">
        <f t="shared" si="9"/>
        <v/>
      </c>
      <c r="F42" s="60" t="str">
        <f t="shared" si="10"/>
        <v/>
      </c>
      <c r="G42" s="71"/>
      <c r="H42" s="301"/>
      <c r="I42" s="21"/>
      <c r="J42" s="21"/>
      <c r="K42" s="21"/>
      <c r="L42" s="21"/>
      <c r="M42" s="21"/>
      <c r="N42" s="21"/>
      <c r="O42" s="21"/>
      <c r="P42" s="21"/>
      <c r="Q42" s="21"/>
      <c r="R42" s="21"/>
      <c r="S42" s="21"/>
      <c r="T42" s="21"/>
      <c r="U42" s="21"/>
      <c r="V42" s="3">
        <v>1</v>
      </c>
    </row>
    <row r="43" spans="2:22" ht="30" customHeight="1">
      <c r="B43" s="297"/>
      <c r="C43" s="69" t="s">
        <v>100</v>
      </c>
      <c r="D43" s="59" t="str">
        <f t="shared" si="8"/>
        <v>Collage spécial &gt; 1.2.3 Valeurs pour ne coller que le texte, sans formules.</v>
      </c>
      <c r="E43" s="59" t="str">
        <f t="shared" si="9"/>
        <v>Collage spécial &gt; 1.2.3 Valeurs pour ne coller que le texte  sans formules.</v>
      </c>
      <c r="F43" s="60" t="str">
        <f t="shared" si="10"/>
        <v>Collage spécial &gt; 1.2.3 Valeurs pour ne coller que le texte  sans formules.</v>
      </c>
      <c r="G43" s="71"/>
      <c r="H43" s="301"/>
      <c r="I43" s="21"/>
      <c r="J43" s="21"/>
      <c r="K43" s="21"/>
      <c r="L43" s="21"/>
      <c r="M43" s="21"/>
      <c r="N43" s="21"/>
      <c r="O43" s="21"/>
      <c r="P43" s="21"/>
      <c r="Q43" s="21"/>
      <c r="R43" s="21"/>
      <c r="S43" s="21"/>
      <c r="T43" s="21"/>
      <c r="U43" s="21"/>
      <c r="V43" s="3">
        <v>1</v>
      </c>
    </row>
    <row r="44" spans="2:22" ht="30" customHeight="1">
      <c r="B44" s="297"/>
      <c r="C44" s="69"/>
      <c r="D44" s="59" t="str">
        <f t="shared" si="8"/>
        <v/>
      </c>
      <c r="E44" s="59" t="str">
        <f t="shared" si="9"/>
        <v/>
      </c>
      <c r="F44" s="60" t="str">
        <f t="shared" si="10"/>
        <v/>
      </c>
      <c r="G44" s="71"/>
      <c r="H44" s="301"/>
      <c r="I44" s="21"/>
      <c r="J44" s="21"/>
      <c r="K44" s="21"/>
      <c r="L44" s="21"/>
      <c r="M44" s="21"/>
      <c r="N44" s="21"/>
      <c r="O44" s="21"/>
      <c r="P44" s="21"/>
      <c r="Q44" s="21"/>
      <c r="R44" s="21"/>
      <c r="S44" s="21"/>
      <c r="T44" s="21"/>
      <c r="U44" s="21"/>
      <c r="V44" s="3">
        <v>1</v>
      </c>
    </row>
    <row r="45" spans="2:22" ht="30" customHeight="1">
      <c r="B45" s="297"/>
      <c r="C45" s="69"/>
      <c r="D45" s="59" t="str">
        <f t="shared" si="8"/>
        <v/>
      </c>
      <c r="E45" s="59" t="str">
        <f t="shared" si="9"/>
        <v/>
      </c>
      <c r="F45" s="60" t="str">
        <f t="shared" si="10"/>
        <v/>
      </c>
      <c r="G45" s="71"/>
      <c r="H45" s="301"/>
      <c r="I45" s="21"/>
      <c r="J45" s="21"/>
      <c r="K45" s="21"/>
      <c r="L45" s="21"/>
      <c r="M45" s="21"/>
      <c r="N45" s="21"/>
      <c r="O45" s="21"/>
      <c r="P45" s="21"/>
      <c r="Q45" s="21"/>
      <c r="R45" s="21"/>
      <c r="S45" s="21"/>
      <c r="T45" s="21"/>
      <c r="U45" s="21"/>
      <c r="V45" s="3">
        <v>1</v>
      </c>
    </row>
    <row r="46" spans="2:22" ht="30" customHeight="1">
      <c r="B46" s="297"/>
      <c r="C46" s="69"/>
      <c r="D46" s="59" t="str">
        <f t="shared" si="8"/>
        <v/>
      </c>
      <c r="E46" s="59" t="str">
        <f t="shared" si="9"/>
        <v/>
      </c>
      <c r="F46" s="60" t="str">
        <f t="shared" si="10"/>
        <v/>
      </c>
      <c r="G46" s="71"/>
      <c r="H46" s="301"/>
      <c r="I46" s="21"/>
      <c r="J46" s="21"/>
      <c r="K46" s="21"/>
      <c r="L46" s="21"/>
      <c r="M46" s="21"/>
      <c r="N46" s="21"/>
      <c r="O46" s="21"/>
      <c r="P46" s="21"/>
      <c r="Q46" s="21"/>
      <c r="R46" s="21"/>
      <c r="S46" s="21"/>
      <c r="T46" s="21"/>
      <c r="U46" s="21"/>
      <c r="V46" s="3">
        <v>1</v>
      </c>
    </row>
    <row r="47" spans="2:22" ht="30" customHeight="1">
      <c r="B47" s="297"/>
      <c r="C47" s="69"/>
      <c r="D47" s="59" t="str">
        <f t="shared" si="8"/>
        <v/>
      </c>
      <c r="E47" s="59" t="str">
        <f t="shared" si="9"/>
        <v/>
      </c>
      <c r="F47" s="60" t="str">
        <f t="shared" si="10"/>
        <v/>
      </c>
      <c r="G47" s="71"/>
      <c r="H47" s="301"/>
      <c r="I47" s="21"/>
      <c r="J47" s="21"/>
      <c r="K47" s="21"/>
      <c r="L47" s="21"/>
      <c r="M47" s="21"/>
      <c r="N47" s="21"/>
      <c r="O47" s="21"/>
      <c r="P47" s="21"/>
      <c r="Q47" s="21"/>
      <c r="R47" s="21"/>
      <c r="S47" s="21"/>
      <c r="T47" s="21"/>
      <c r="U47" s="21"/>
      <c r="V47" s="3">
        <v>1</v>
      </c>
    </row>
    <row r="48" spans="2:22" ht="30" customHeight="1">
      <c r="B48" s="297"/>
      <c r="C48" s="69"/>
      <c r="D48" s="59" t="str">
        <f t="shared" si="8"/>
        <v/>
      </c>
      <c r="E48" s="59" t="str">
        <f t="shared" si="9"/>
        <v/>
      </c>
      <c r="F48" s="60" t="str">
        <f t="shared" si="10"/>
        <v/>
      </c>
      <c r="G48" s="71"/>
      <c r="H48" s="301"/>
      <c r="I48" s="21"/>
      <c r="J48" s="21"/>
      <c r="K48" s="21"/>
      <c r="L48" s="21"/>
      <c r="M48" s="21"/>
      <c r="N48" s="21"/>
      <c r="O48" s="21"/>
      <c r="P48" s="21"/>
      <c r="Q48" s="21"/>
      <c r="R48" s="21"/>
      <c r="S48" s="21"/>
      <c r="T48" s="21"/>
      <c r="U48" s="21"/>
      <c r="V48" s="3">
        <v>1</v>
      </c>
    </row>
    <row r="49" spans="2:22" ht="30" customHeight="1">
      <c r="B49" s="297"/>
      <c r="C49" s="69"/>
      <c r="D49" s="59" t="str">
        <f t="shared" si="8"/>
        <v/>
      </c>
      <c r="E49" s="59" t="str">
        <f t="shared" si="9"/>
        <v/>
      </c>
      <c r="F49" s="60" t="str">
        <f t="shared" si="10"/>
        <v/>
      </c>
      <c r="G49" s="71"/>
      <c r="H49" s="301"/>
      <c r="I49" s="21"/>
      <c r="J49" s="21"/>
      <c r="K49" s="21"/>
      <c r="L49" s="21"/>
      <c r="M49" s="21"/>
      <c r="N49" s="21"/>
      <c r="O49" s="21"/>
      <c r="P49" s="21"/>
      <c r="Q49" s="21"/>
      <c r="R49" s="21"/>
      <c r="S49" s="21"/>
      <c r="T49" s="21"/>
      <c r="U49" s="21"/>
      <c r="V49" s="3">
        <v>1</v>
      </c>
    </row>
    <row r="50" spans="2:22" ht="30" customHeight="1">
      <c r="B50" s="297"/>
      <c r="C50" s="69"/>
      <c r="D50" s="59" t="str">
        <f t="shared" si="8"/>
        <v/>
      </c>
      <c r="E50" s="59" t="str">
        <f t="shared" si="9"/>
        <v/>
      </c>
      <c r="F50" s="60" t="str">
        <f t="shared" si="10"/>
        <v/>
      </c>
      <c r="G50" s="71"/>
      <c r="H50" s="301"/>
      <c r="I50" s="21"/>
      <c r="J50" s="21"/>
      <c r="K50" s="21"/>
      <c r="L50" s="21"/>
      <c r="M50" s="21"/>
      <c r="N50" s="21"/>
      <c r="O50" s="21"/>
      <c r="P50" s="21"/>
      <c r="Q50" s="21"/>
      <c r="R50" s="21"/>
      <c r="S50" s="21"/>
      <c r="T50" s="21"/>
      <c r="U50" s="21"/>
      <c r="V50" s="3">
        <v>1</v>
      </c>
    </row>
    <row r="51" spans="2:22" ht="30" customHeight="1">
      <c r="B51" s="297"/>
      <c r="C51" s="69"/>
      <c r="D51" s="59" t="str">
        <f t="shared" si="8"/>
        <v/>
      </c>
      <c r="E51" s="59" t="str">
        <f t="shared" si="9"/>
        <v/>
      </c>
      <c r="F51" s="60" t="str">
        <f t="shared" si="10"/>
        <v/>
      </c>
      <c r="G51" s="71"/>
      <c r="H51" s="301"/>
      <c r="I51" s="21"/>
      <c r="J51" s="21"/>
      <c r="K51" s="21"/>
      <c r="L51" s="21"/>
      <c r="M51" s="21"/>
      <c r="N51" s="21"/>
      <c r="O51" s="21"/>
      <c r="P51" s="21"/>
      <c r="Q51" s="21"/>
      <c r="R51" s="21"/>
      <c r="S51" s="21"/>
      <c r="T51" s="21"/>
      <c r="U51" s="21"/>
      <c r="V51" s="3">
        <v>1</v>
      </c>
    </row>
    <row r="52" spans="2:22" ht="30" customHeight="1">
      <c r="B52" s="297"/>
      <c r="C52" s="69"/>
      <c r="D52" s="59" t="str">
        <f t="shared" si="8"/>
        <v/>
      </c>
      <c r="E52" s="59" t="str">
        <f t="shared" si="9"/>
        <v/>
      </c>
      <c r="F52" s="60" t="str">
        <f t="shared" si="10"/>
        <v/>
      </c>
      <c r="G52" s="71"/>
      <c r="H52" s="301"/>
      <c r="I52" s="21"/>
      <c r="J52" s="21"/>
      <c r="K52" s="21"/>
      <c r="L52" s="21"/>
      <c r="M52" s="21"/>
      <c r="N52" s="21"/>
      <c r="O52" s="21"/>
      <c r="P52" s="21"/>
      <c r="Q52" s="21"/>
      <c r="R52" s="21"/>
      <c r="S52" s="21"/>
      <c r="T52" s="21"/>
      <c r="U52" s="21"/>
      <c r="V52" s="3">
        <v>1</v>
      </c>
    </row>
    <row r="53" spans="2:22" ht="30" customHeight="1">
      <c r="B53" s="297"/>
      <c r="C53" s="69"/>
      <c r="D53" s="59" t="str">
        <f t="shared" si="8"/>
        <v/>
      </c>
      <c r="E53" s="59" t="str">
        <f t="shared" si="9"/>
        <v/>
      </c>
      <c r="F53" s="60" t="str">
        <f t="shared" si="10"/>
        <v/>
      </c>
      <c r="G53" s="71"/>
      <c r="H53" s="301"/>
      <c r="I53" s="21"/>
      <c r="J53" s="21"/>
      <c r="K53" s="21"/>
      <c r="L53" s="21"/>
      <c r="M53" s="21"/>
      <c r="N53" s="21"/>
      <c r="O53" s="21"/>
      <c r="P53" s="21"/>
      <c r="Q53" s="21"/>
      <c r="R53" s="21"/>
      <c r="S53" s="21"/>
      <c r="T53" s="50"/>
      <c r="U53" s="21"/>
      <c r="V53" s="3">
        <v>1</v>
      </c>
    </row>
    <row r="54" spans="2:22" ht="30" customHeight="1">
      <c r="B54" s="297"/>
      <c r="C54" s="69"/>
      <c r="D54" s="59" t="str">
        <f t="shared" si="8"/>
        <v/>
      </c>
      <c r="E54" s="59" t="str">
        <f t="shared" si="9"/>
        <v/>
      </c>
      <c r="F54" s="60" t="str">
        <f t="shared" si="10"/>
        <v/>
      </c>
      <c r="G54" s="71"/>
      <c r="H54" s="301"/>
      <c r="I54" s="21"/>
      <c r="J54" s="21"/>
      <c r="K54" s="21"/>
      <c r="L54" s="21"/>
      <c r="M54" s="21"/>
      <c r="N54" s="21"/>
      <c r="O54" s="21"/>
      <c r="P54" s="21"/>
      <c r="Q54" s="21"/>
      <c r="R54" s="21"/>
      <c r="S54" s="21"/>
      <c r="T54" s="21"/>
      <c r="U54" s="21"/>
      <c r="V54" s="3">
        <v>1</v>
      </c>
    </row>
    <row r="55" spans="2:22" ht="30" customHeight="1">
      <c r="B55" s="297"/>
      <c r="C55" s="69"/>
      <c r="D55" s="59" t="str">
        <f t="shared" si="8"/>
        <v/>
      </c>
      <c r="E55" s="59" t="str">
        <f t="shared" si="9"/>
        <v/>
      </c>
      <c r="F55" s="60" t="str">
        <f t="shared" si="10"/>
        <v/>
      </c>
      <c r="G55" s="71"/>
      <c r="H55" s="301"/>
      <c r="I55" s="21"/>
      <c r="J55" s="21"/>
      <c r="K55" s="21"/>
      <c r="L55" s="21"/>
      <c r="M55" s="21"/>
      <c r="N55" s="21"/>
      <c r="O55" s="21"/>
      <c r="P55" s="21"/>
      <c r="Q55" s="21"/>
      <c r="R55" s="21"/>
      <c r="S55" s="21"/>
      <c r="T55" s="21"/>
      <c r="U55" s="21"/>
      <c r="V55" s="3">
        <v>1</v>
      </c>
    </row>
    <row r="56" spans="2:22" ht="30" customHeight="1">
      <c r="B56" s="297"/>
      <c r="C56" s="69"/>
      <c r="D56" s="59" t="str">
        <f t="shared" ref="D56:D84" si="11">TRIM(SUBSTITUTE(SUBSTITUTE(SUBSTITUTE(SUBSTITUTE(SUBSTITUTE(SUBSTITUTE(SUBSTITUTE(SUBSTITUTE(SUBSTITUTE(CLEAN(IF(OR(LEFT(C56,1)="-",LEFT(C56,1)="="),MID(C56,2,99999),C56)),"—","-"),"–","-"),CHAR(160)," "),CHAR(9)," "),CHAR(13)," "),CHAR(10)," ")," "," ")," "," ")," "," "))</f>
        <v/>
      </c>
      <c r="E56" s="59" t="str">
        <f t="shared" si="9"/>
        <v/>
      </c>
      <c r="F56" s="60" t="str">
        <f t="shared" si="10"/>
        <v/>
      </c>
      <c r="G56" s="71"/>
      <c r="H56" s="301"/>
      <c r="I56" s="21"/>
      <c r="J56" s="21"/>
      <c r="K56" s="21"/>
      <c r="L56" s="21"/>
      <c r="M56" s="21"/>
      <c r="N56" s="21"/>
      <c r="O56" s="21"/>
      <c r="P56" s="21"/>
      <c r="Q56" s="21"/>
      <c r="R56" s="21"/>
      <c r="S56" s="21"/>
      <c r="T56" s="21"/>
      <c r="U56" s="21"/>
      <c r="V56" s="3">
        <v>1</v>
      </c>
    </row>
    <row r="57" spans="2:22" ht="30" customHeight="1">
      <c r="B57" s="297"/>
      <c r="C57" s="69"/>
      <c r="D57" s="59" t="str">
        <f t="shared" si="11"/>
        <v/>
      </c>
      <c r="E57" s="59" t="str">
        <f t="shared" si="9"/>
        <v/>
      </c>
      <c r="F57" s="60" t="str">
        <f t="shared" si="10"/>
        <v/>
      </c>
      <c r="G57" s="71"/>
      <c r="H57" s="301"/>
      <c r="I57" s="21"/>
      <c r="J57" s="21"/>
      <c r="K57" s="21"/>
      <c r="L57" s="21"/>
      <c r="M57" s="21"/>
      <c r="N57" s="21"/>
      <c r="O57" s="21"/>
      <c r="P57" s="21"/>
      <c r="Q57" s="21"/>
      <c r="R57" s="21"/>
      <c r="S57" s="21"/>
      <c r="T57" s="21"/>
      <c r="U57" s="21"/>
      <c r="V57" s="3">
        <v>1</v>
      </c>
    </row>
    <row r="58" spans="2:22" ht="30" customHeight="1">
      <c r="B58" s="297"/>
      <c r="C58" s="69"/>
      <c r="D58" s="59" t="str">
        <f t="shared" si="11"/>
        <v/>
      </c>
      <c r="E58" s="59" t="str">
        <f t="shared" si="9"/>
        <v/>
      </c>
      <c r="F58" s="60" t="str">
        <f t="shared" si="10"/>
        <v/>
      </c>
      <c r="G58" s="71"/>
      <c r="H58" s="301"/>
      <c r="I58" s="21"/>
      <c r="J58" s="21"/>
      <c r="K58" s="21"/>
      <c r="L58" s="21"/>
      <c r="M58" s="21"/>
      <c r="N58" s="21"/>
      <c r="O58" s="21"/>
      <c r="P58" s="21"/>
      <c r="Q58" s="21"/>
      <c r="R58" s="21"/>
      <c r="S58" s="21"/>
      <c r="T58" s="21"/>
      <c r="U58" s="21"/>
      <c r="V58" s="3">
        <v>1</v>
      </c>
    </row>
    <row r="59" spans="2:22" ht="30" customHeight="1">
      <c r="B59" s="297"/>
      <c r="C59" s="69"/>
      <c r="D59" s="59" t="str">
        <f t="shared" si="11"/>
        <v/>
      </c>
      <c r="E59" s="59" t="str">
        <f t="shared" si="9"/>
        <v/>
      </c>
      <c r="F59" s="60" t="str">
        <f t="shared" si="10"/>
        <v/>
      </c>
      <c r="G59" s="71"/>
      <c r="H59" s="301"/>
      <c r="I59" s="21"/>
      <c r="J59" s="21"/>
      <c r="K59" s="21"/>
      <c r="L59" s="21"/>
      <c r="M59" s="21"/>
      <c r="N59" s="21"/>
      <c r="O59" s="21"/>
      <c r="P59" s="21"/>
      <c r="Q59" s="21"/>
      <c r="R59" s="21"/>
      <c r="S59" s="21"/>
      <c r="T59" s="21"/>
      <c r="U59" s="21"/>
      <c r="V59" s="3">
        <v>1</v>
      </c>
    </row>
    <row r="60" spans="2:22" ht="30" customHeight="1">
      <c r="B60" s="297"/>
      <c r="C60" s="69"/>
      <c r="D60" s="59" t="str">
        <f t="shared" si="11"/>
        <v/>
      </c>
      <c r="E60" s="59" t="str">
        <f t="shared" si="9"/>
        <v/>
      </c>
      <c r="F60" s="60" t="str">
        <f t="shared" si="10"/>
        <v/>
      </c>
      <c r="G60" s="71"/>
      <c r="H60" s="301"/>
      <c r="I60" s="21"/>
      <c r="J60" s="21"/>
      <c r="K60" s="21"/>
      <c r="L60" s="21"/>
      <c r="M60" s="21"/>
      <c r="N60" s="21"/>
      <c r="O60" s="21"/>
      <c r="P60" s="21"/>
      <c r="Q60" s="21"/>
      <c r="R60" s="21"/>
      <c r="S60" s="21"/>
      <c r="T60" s="21"/>
      <c r="U60" s="21"/>
      <c r="V60" s="3">
        <v>1</v>
      </c>
    </row>
    <row r="61" spans="2:22" ht="30" customHeight="1">
      <c r="B61" s="297"/>
      <c r="C61" s="69"/>
      <c r="D61" s="59" t="str">
        <f t="shared" si="11"/>
        <v/>
      </c>
      <c r="E61" s="59" t="str">
        <f t="shared" si="9"/>
        <v/>
      </c>
      <c r="F61" s="60" t="str">
        <f t="shared" si="10"/>
        <v/>
      </c>
      <c r="G61" s="71"/>
      <c r="H61" s="301"/>
      <c r="I61" s="21"/>
      <c r="J61" s="21"/>
      <c r="K61" s="21"/>
      <c r="L61" s="21"/>
      <c r="M61" s="21"/>
      <c r="N61" s="21"/>
      <c r="O61" s="21"/>
      <c r="P61" s="21"/>
      <c r="Q61" s="21"/>
      <c r="R61" s="21"/>
      <c r="S61" s="21"/>
      <c r="T61" s="21"/>
      <c r="U61" s="21"/>
      <c r="V61" s="3">
        <v>1</v>
      </c>
    </row>
    <row r="62" spans="2:22" ht="30" customHeight="1">
      <c r="B62" s="297"/>
      <c r="C62" s="69"/>
      <c r="D62" s="59" t="str">
        <f t="shared" si="11"/>
        <v/>
      </c>
      <c r="E62" s="59" t="str">
        <f t="shared" si="9"/>
        <v/>
      </c>
      <c r="F62" s="60" t="str">
        <f t="shared" si="10"/>
        <v/>
      </c>
      <c r="G62" s="71"/>
      <c r="H62" s="301"/>
      <c r="I62" s="21"/>
      <c r="J62" s="21"/>
      <c r="K62" s="21"/>
      <c r="L62" s="21"/>
      <c r="M62" s="21"/>
      <c r="N62" s="21"/>
      <c r="O62" s="21"/>
      <c r="P62" s="21"/>
      <c r="Q62" s="21"/>
      <c r="R62" s="21"/>
      <c r="S62" s="21"/>
      <c r="T62" s="21"/>
      <c r="U62" s="21"/>
      <c r="V62" s="3">
        <v>1</v>
      </c>
    </row>
    <row r="63" spans="2:22" ht="30" customHeight="1">
      <c r="B63" s="297"/>
      <c r="C63" s="69"/>
      <c r="D63" s="59" t="str">
        <f t="shared" si="11"/>
        <v/>
      </c>
      <c r="E63" s="59" t="str">
        <f t="shared" si="9"/>
        <v/>
      </c>
      <c r="F63" s="60" t="str">
        <f t="shared" si="10"/>
        <v/>
      </c>
      <c r="G63" s="71"/>
      <c r="H63" s="301"/>
      <c r="I63" s="21"/>
      <c r="J63" s="21"/>
      <c r="K63" s="21"/>
      <c r="L63" s="21"/>
      <c r="M63" s="21"/>
      <c r="N63" s="21"/>
      <c r="O63" s="21"/>
      <c r="P63" s="21"/>
      <c r="Q63" s="21"/>
      <c r="R63" s="21"/>
      <c r="S63" s="21"/>
      <c r="T63" s="21"/>
      <c r="U63" s="21"/>
      <c r="V63" s="3">
        <v>1</v>
      </c>
    </row>
    <row r="64" spans="2:22" ht="30" customHeight="1">
      <c r="B64" s="297"/>
      <c r="C64" s="69"/>
      <c r="D64" s="59" t="str">
        <f t="shared" si="11"/>
        <v/>
      </c>
      <c r="E64" s="59" t="str">
        <f t="shared" si="9"/>
        <v/>
      </c>
      <c r="F64" s="60" t="str">
        <f t="shared" si="10"/>
        <v/>
      </c>
      <c r="G64" s="71"/>
      <c r="H64" s="301"/>
      <c r="I64" s="21"/>
      <c r="J64" s="21"/>
      <c r="K64" s="21"/>
      <c r="L64" s="21"/>
      <c r="M64" s="21"/>
      <c r="N64" s="21"/>
      <c r="O64" s="21"/>
      <c r="P64" s="21"/>
      <c r="Q64" s="21"/>
      <c r="R64" s="21"/>
      <c r="S64" s="21"/>
      <c r="T64" s="21"/>
      <c r="U64" s="21"/>
      <c r="V64" s="3">
        <v>1</v>
      </c>
    </row>
    <row r="65" spans="2:22" ht="30" customHeight="1">
      <c r="B65" s="297"/>
      <c r="C65" s="69"/>
      <c r="D65" s="59" t="str">
        <f t="shared" si="11"/>
        <v/>
      </c>
      <c r="E65" s="59" t="str">
        <f t="shared" si="9"/>
        <v/>
      </c>
      <c r="F65" s="60" t="str">
        <f t="shared" si="10"/>
        <v/>
      </c>
      <c r="G65" s="71"/>
      <c r="H65" s="301"/>
      <c r="I65" s="21"/>
      <c r="J65" s="21"/>
      <c r="K65" s="21"/>
      <c r="L65" s="21"/>
      <c r="M65" s="21"/>
      <c r="N65" s="21"/>
      <c r="O65" s="21"/>
      <c r="P65" s="21"/>
      <c r="Q65" s="21"/>
      <c r="R65" s="21"/>
      <c r="S65" s="21"/>
      <c r="T65" s="21"/>
      <c r="U65" s="21"/>
      <c r="V65" s="3">
        <v>1</v>
      </c>
    </row>
    <row r="66" spans="2:22" ht="30" customHeight="1">
      <c r="B66" s="297"/>
      <c r="C66" s="69"/>
      <c r="D66" s="59" t="str">
        <f t="shared" si="11"/>
        <v/>
      </c>
      <c r="E66" s="59" t="str">
        <f t="shared" si="9"/>
        <v/>
      </c>
      <c r="F66" s="60" t="str">
        <f t="shared" si="10"/>
        <v/>
      </c>
      <c r="G66" s="71"/>
      <c r="H66" s="301"/>
      <c r="I66" s="21"/>
      <c r="J66" s="21"/>
      <c r="K66" s="21"/>
      <c r="L66" s="21"/>
      <c r="M66" s="21"/>
      <c r="N66" s="21"/>
      <c r="O66" s="21"/>
      <c r="P66" s="21"/>
      <c r="Q66" s="21"/>
      <c r="R66" s="21"/>
      <c r="S66" s="21"/>
      <c r="T66" s="21"/>
      <c r="U66" s="21"/>
      <c r="V66" s="3">
        <v>1</v>
      </c>
    </row>
    <row r="67" spans="2:22" ht="30" customHeight="1">
      <c r="B67" s="297"/>
      <c r="C67" s="69"/>
      <c r="D67" s="59" t="str">
        <f t="shared" si="11"/>
        <v/>
      </c>
      <c r="E67" s="59" t="str">
        <f t="shared" si="9"/>
        <v/>
      </c>
      <c r="F67" s="60" t="str">
        <f t="shared" si="10"/>
        <v/>
      </c>
      <c r="G67" s="71"/>
      <c r="H67" s="301"/>
      <c r="I67" s="21"/>
      <c r="J67" s="21"/>
      <c r="K67" s="21"/>
      <c r="L67" s="21"/>
      <c r="M67" s="21"/>
      <c r="N67" s="21"/>
      <c r="O67" s="21"/>
      <c r="P67" s="21"/>
      <c r="Q67" s="21"/>
      <c r="R67" s="21"/>
      <c r="S67" s="21"/>
      <c r="T67" s="21"/>
      <c r="U67" s="21"/>
      <c r="V67" s="3">
        <v>1</v>
      </c>
    </row>
    <row r="68" spans="2:22" ht="30" customHeight="1">
      <c r="B68" s="297"/>
      <c r="C68" s="69"/>
      <c r="D68" s="59" t="str">
        <f t="shared" si="11"/>
        <v/>
      </c>
      <c r="E68" s="59" t="str">
        <f t="shared" si="9"/>
        <v/>
      </c>
      <c r="F68" s="60" t="str">
        <f t="shared" si="10"/>
        <v/>
      </c>
      <c r="G68" s="71"/>
      <c r="H68" s="301"/>
      <c r="I68" s="21"/>
      <c r="J68" s="21"/>
      <c r="K68" s="21"/>
      <c r="L68" s="21"/>
      <c r="M68" s="21"/>
      <c r="N68" s="21"/>
      <c r="O68" s="21"/>
      <c r="P68" s="21"/>
      <c r="Q68" s="21"/>
      <c r="R68" s="21"/>
      <c r="S68" s="21"/>
      <c r="T68" s="21"/>
      <c r="U68" s="21"/>
      <c r="V68" s="3">
        <v>1</v>
      </c>
    </row>
    <row r="69" spans="2:22" ht="30" customHeight="1">
      <c r="B69" s="297"/>
      <c r="C69" s="69"/>
      <c r="D69" s="59" t="str">
        <f t="shared" si="11"/>
        <v/>
      </c>
      <c r="E69" s="59" t="str">
        <f t="shared" si="9"/>
        <v/>
      </c>
      <c r="F69" s="60" t="str">
        <f t="shared" si="10"/>
        <v/>
      </c>
      <c r="G69" s="71"/>
      <c r="H69" s="301"/>
      <c r="I69" s="21"/>
      <c r="J69" s="21"/>
      <c r="K69" s="21"/>
      <c r="L69" s="21"/>
      <c r="M69" s="21"/>
      <c r="N69" s="21"/>
      <c r="O69" s="21"/>
      <c r="P69" s="21"/>
      <c r="Q69" s="21"/>
      <c r="R69" s="21"/>
      <c r="S69" s="21"/>
      <c r="T69" s="21"/>
      <c r="U69" s="21"/>
      <c r="V69" s="3">
        <v>1</v>
      </c>
    </row>
    <row r="70" spans="2:22" ht="30" customHeight="1">
      <c r="B70" s="297"/>
      <c r="C70" s="69"/>
      <c r="D70" s="59" t="str">
        <f t="shared" si="11"/>
        <v/>
      </c>
      <c r="E70" s="59" t="str">
        <f t="shared" si="9"/>
        <v/>
      </c>
      <c r="F70" s="60" t="str">
        <f t="shared" si="10"/>
        <v/>
      </c>
      <c r="G70" s="71"/>
      <c r="H70" s="301"/>
      <c r="I70" s="21"/>
      <c r="J70" s="21"/>
      <c r="K70" s="21"/>
      <c r="L70" s="21"/>
      <c r="M70" s="21"/>
      <c r="N70" s="21"/>
      <c r="O70" s="21"/>
      <c r="P70" s="21"/>
      <c r="Q70" s="21"/>
      <c r="R70" s="21"/>
      <c r="S70" s="21"/>
      <c r="T70" s="21"/>
      <c r="U70" s="21"/>
      <c r="V70" s="3">
        <v>1</v>
      </c>
    </row>
    <row r="71" spans="2:22" ht="30" customHeight="1">
      <c r="B71" s="297"/>
      <c r="C71" s="69"/>
      <c r="D71" s="59" t="str">
        <f t="shared" si="11"/>
        <v/>
      </c>
      <c r="E71" s="59" t="str">
        <f t="shared" si="9"/>
        <v/>
      </c>
      <c r="F71" s="60" t="str">
        <f t="shared" si="10"/>
        <v/>
      </c>
      <c r="G71" s="71"/>
      <c r="H71" s="301"/>
      <c r="I71" s="21"/>
      <c r="J71" s="21"/>
      <c r="K71" s="21"/>
      <c r="L71" s="21"/>
      <c r="M71" s="21"/>
      <c r="N71" s="21"/>
      <c r="O71" s="21"/>
      <c r="P71" s="21"/>
      <c r="Q71" s="21"/>
      <c r="R71" s="21"/>
      <c r="S71" s="21"/>
      <c r="T71" s="21"/>
      <c r="U71" s="21"/>
      <c r="V71" s="3">
        <v>1</v>
      </c>
    </row>
    <row r="72" spans="2:22" ht="30" customHeight="1">
      <c r="B72" s="297"/>
      <c r="C72" s="69"/>
      <c r="D72" s="59" t="str">
        <f t="shared" si="11"/>
        <v/>
      </c>
      <c r="E72" s="59" t="str">
        <f t="shared" si="9"/>
        <v/>
      </c>
      <c r="F72" s="60" t="str">
        <f t="shared" si="10"/>
        <v/>
      </c>
      <c r="G72" s="71"/>
      <c r="H72" s="301"/>
      <c r="I72" s="21"/>
      <c r="J72" s="21"/>
      <c r="K72" s="21"/>
      <c r="L72" s="21"/>
      <c r="M72" s="21"/>
      <c r="N72" s="21"/>
      <c r="O72" s="21"/>
      <c r="P72" s="21"/>
      <c r="Q72" s="21"/>
      <c r="R72" s="21"/>
      <c r="S72" s="21"/>
      <c r="T72" s="21"/>
      <c r="U72" s="21"/>
      <c r="V72" s="3">
        <v>1</v>
      </c>
    </row>
    <row r="73" spans="2:22" ht="30" customHeight="1">
      <c r="B73" s="297"/>
      <c r="C73" s="69"/>
      <c r="D73" s="59" t="str">
        <f t="shared" si="11"/>
        <v/>
      </c>
      <c r="E73" s="59" t="str">
        <f t="shared" si="9"/>
        <v/>
      </c>
      <c r="F73" s="60" t="str">
        <f t="shared" si="10"/>
        <v/>
      </c>
      <c r="G73" s="71"/>
      <c r="H73" s="301"/>
      <c r="I73" s="21"/>
      <c r="J73" s="21"/>
      <c r="K73" s="21"/>
      <c r="L73" s="21"/>
      <c r="M73" s="21"/>
      <c r="N73" s="21"/>
      <c r="O73" s="21"/>
      <c r="P73" s="21"/>
      <c r="Q73" s="21"/>
      <c r="R73" s="21"/>
      <c r="S73" s="21"/>
      <c r="T73" s="21"/>
      <c r="U73" s="21"/>
      <c r="V73" s="3">
        <v>1</v>
      </c>
    </row>
    <row r="74" spans="2:22" ht="30" customHeight="1">
      <c r="B74" s="297"/>
      <c r="C74" s="69"/>
      <c r="D74" s="59" t="str">
        <f t="shared" si="11"/>
        <v/>
      </c>
      <c r="E74" s="59" t="str">
        <f t="shared" si="9"/>
        <v/>
      </c>
      <c r="F74" s="60" t="str">
        <f t="shared" si="10"/>
        <v/>
      </c>
      <c r="G74" s="71"/>
      <c r="H74" s="301"/>
      <c r="I74" s="21"/>
      <c r="J74" s="21"/>
      <c r="K74" s="21"/>
      <c r="L74" s="21"/>
      <c r="M74" s="21"/>
      <c r="N74" s="21"/>
      <c r="O74" s="21"/>
      <c r="P74" s="21"/>
      <c r="Q74" s="21"/>
      <c r="R74" s="21"/>
      <c r="S74" s="21"/>
      <c r="T74" s="21"/>
      <c r="U74" s="21"/>
      <c r="V74" s="3">
        <v>1</v>
      </c>
    </row>
    <row r="75" spans="2:22" ht="30" customHeight="1">
      <c r="B75" s="297"/>
      <c r="C75" s="69"/>
      <c r="D75" s="59" t="str">
        <f t="shared" si="11"/>
        <v/>
      </c>
      <c r="E75" s="59" t="str">
        <f t="shared" si="9"/>
        <v/>
      </c>
      <c r="F75" s="60" t="str">
        <f t="shared" si="10"/>
        <v/>
      </c>
      <c r="G75" s="71"/>
      <c r="H75" s="301"/>
      <c r="I75" s="21"/>
      <c r="J75" s="21"/>
      <c r="K75" s="21"/>
      <c r="L75" s="21"/>
      <c r="M75" s="21"/>
      <c r="N75" s="21"/>
      <c r="O75" s="21"/>
      <c r="P75" s="21"/>
      <c r="Q75" s="21"/>
      <c r="R75" s="21"/>
      <c r="S75" s="21"/>
      <c r="T75" s="21"/>
      <c r="U75" s="21"/>
      <c r="V75" s="3">
        <v>1</v>
      </c>
    </row>
    <row r="76" spans="2:22" ht="30" customHeight="1">
      <c r="B76" s="297"/>
      <c r="C76" s="69"/>
      <c r="D76" s="59" t="str">
        <f t="shared" si="11"/>
        <v/>
      </c>
      <c r="E76" s="59" t="str">
        <f t="shared" si="9"/>
        <v/>
      </c>
      <c r="F76" s="60" t="str">
        <f t="shared" si="10"/>
        <v/>
      </c>
      <c r="G76" s="71"/>
      <c r="H76" s="301"/>
      <c r="I76" s="21"/>
      <c r="J76" s="21"/>
      <c r="K76" s="21"/>
      <c r="L76" s="21"/>
      <c r="M76" s="21"/>
      <c r="N76" s="21"/>
      <c r="O76" s="21"/>
      <c r="P76" s="21"/>
      <c r="Q76" s="21"/>
      <c r="R76" s="21"/>
      <c r="S76" s="21"/>
      <c r="T76" s="21"/>
      <c r="U76" s="21"/>
      <c r="V76" s="3">
        <v>1</v>
      </c>
    </row>
    <row r="77" spans="2:22" ht="30" customHeight="1">
      <c r="B77" s="297"/>
      <c r="C77" s="69"/>
      <c r="D77" s="59" t="str">
        <f t="shared" si="11"/>
        <v/>
      </c>
      <c r="E77" s="59" t="str">
        <f t="shared" si="9"/>
        <v/>
      </c>
      <c r="F77" s="60" t="str">
        <f t="shared" si="10"/>
        <v/>
      </c>
      <c r="G77" s="71"/>
      <c r="H77" s="301"/>
      <c r="I77" s="21"/>
      <c r="J77" s="21"/>
      <c r="K77" s="21"/>
      <c r="L77" s="21"/>
      <c r="M77" s="21"/>
      <c r="N77" s="21"/>
      <c r="O77" s="21"/>
      <c r="P77" s="21"/>
      <c r="Q77" s="21"/>
      <c r="R77" s="21"/>
      <c r="S77" s="21"/>
      <c r="T77" s="21"/>
      <c r="U77" s="21"/>
      <c r="V77" s="3">
        <v>1</v>
      </c>
    </row>
    <row r="78" spans="2:22" ht="30" customHeight="1">
      <c r="B78" s="297"/>
      <c r="C78" s="69"/>
      <c r="D78" s="59" t="str">
        <f t="shared" si="11"/>
        <v/>
      </c>
      <c r="E78" s="59" t="str">
        <f t="shared" si="9"/>
        <v/>
      </c>
      <c r="F78" s="60" t="str">
        <f t="shared" si="10"/>
        <v/>
      </c>
      <c r="G78" s="71"/>
      <c r="H78" s="301"/>
      <c r="I78" s="21"/>
      <c r="J78" s="21"/>
      <c r="K78" s="21"/>
      <c r="L78" s="21"/>
      <c r="M78" s="21"/>
      <c r="N78" s="21"/>
      <c r="O78" s="21"/>
      <c r="P78" s="21"/>
      <c r="Q78" s="21"/>
      <c r="R78" s="21"/>
      <c r="S78" s="21"/>
      <c r="T78" s="21"/>
      <c r="U78" s="21"/>
      <c r="V78" s="3">
        <v>1</v>
      </c>
    </row>
    <row r="79" spans="2:22" ht="30" customHeight="1">
      <c r="B79" s="297"/>
      <c r="C79" s="69"/>
      <c r="D79" s="59" t="str">
        <f t="shared" si="11"/>
        <v/>
      </c>
      <c r="E79" s="59" t="str">
        <f t="shared" si="9"/>
        <v/>
      </c>
      <c r="F79" s="60" t="str">
        <f t="shared" si="10"/>
        <v/>
      </c>
      <c r="G79" s="71"/>
      <c r="H79" s="301"/>
      <c r="I79" s="21"/>
      <c r="J79" s="21"/>
      <c r="K79" s="21"/>
      <c r="L79" s="21"/>
      <c r="M79" s="21"/>
      <c r="N79" s="21"/>
      <c r="O79" s="21"/>
      <c r="P79" s="21"/>
      <c r="Q79" s="21"/>
      <c r="R79" s="21"/>
      <c r="S79" s="21"/>
      <c r="T79" s="21"/>
      <c r="U79" s="21"/>
      <c r="V79" s="3">
        <v>1</v>
      </c>
    </row>
    <row r="80" spans="2:22" ht="30" customHeight="1">
      <c r="B80" s="297"/>
      <c r="C80" s="69"/>
      <c r="D80" s="59" t="str">
        <f t="shared" si="11"/>
        <v/>
      </c>
      <c r="E80" s="59" t="str">
        <f t="shared" si="9"/>
        <v/>
      </c>
      <c r="F80" s="60" t="str">
        <f t="shared" si="10"/>
        <v/>
      </c>
      <c r="G80" s="71"/>
      <c r="H80" s="301"/>
      <c r="I80" s="21"/>
      <c r="J80" s="21"/>
      <c r="K80" s="21"/>
      <c r="L80" s="21"/>
      <c r="M80" s="21"/>
      <c r="N80" s="21"/>
      <c r="O80" s="21"/>
      <c r="P80" s="21"/>
      <c r="Q80" s="21"/>
      <c r="R80" s="21"/>
      <c r="S80" s="21"/>
      <c r="T80" s="21"/>
      <c r="U80" s="21"/>
      <c r="V80" s="3">
        <v>1</v>
      </c>
    </row>
    <row r="81" spans="2:22" ht="30" customHeight="1">
      <c r="B81" s="297"/>
      <c r="C81" s="69"/>
      <c r="D81" s="59" t="str">
        <f t="shared" si="11"/>
        <v/>
      </c>
      <c r="E81" s="59" t="str">
        <f t="shared" si="9"/>
        <v/>
      </c>
      <c r="F81" s="60" t="str">
        <f t="shared" si="10"/>
        <v/>
      </c>
      <c r="G81" s="71"/>
      <c r="H81" s="301"/>
      <c r="I81" s="21"/>
      <c r="J81" s="21"/>
      <c r="K81" s="21"/>
      <c r="L81" s="21"/>
      <c r="M81" s="21"/>
      <c r="N81" s="21"/>
      <c r="O81" s="21"/>
      <c r="P81" s="21"/>
      <c r="Q81" s="21"/>
      <c r="R81" s="21"/>
      <c r="S81" s="21"/>
      <c r="T81" s="21"/>
      <c r="U81" s="21"/>
      <c r="V81" s="3">
        <v>1</v>
      </c>
    </row>
    <row r="82" spans="2:22" ht="30" customHeight="1">
      <c r="B82" s="297"/>
      <c r="C82" s="69"/>
      <c r="D82" s="59" t="str">
        <f t="shared" si="11"/>
        <v/>
      </c>
      <c r="E82" s="59" t="str">
        <f t="shared" si="9"/>
        <v/>
      </c>
      <c r="F82" s="60" t="str">
        <f t="shared" si="10"/>
        <v/>
      </c>
      <c r="G82" s="71"/>
      <c r="H82" s="301"/>
      <c r="I82" s="21"/>
      <c r="J82" s="21"/>
      <c r="K82" s="21"/>
      <c r="L82" s="21"/>
      <c r="M82" s="21"/>
      <c r="N82" s="21"/>
      <c r="O82" s="21"/>
      <c r="P82" s="21"/>
      <c r="Q82" s="21"/>
      <c r="R82" s="21"/>
      <c r="S82" s="21"/>
      <c r="T82" s="21"/>
      <c r="U82" s="21"/>
      <c r="V82" s="3">
        <v>1</v>
      </c>
    </row>
    <row r="83" spans="2:22" ht="30" customHeight="1">
      <c r="B83" s="297"/>
      <c r="C83" s="69"/>
      <c r="D83" s="59" t="str">
        <f t="shared" si="11"/>
        <v/>
      </c>
      <c r="E83" s="59" t="str">
        <f t="shared" si="9"/>
        <v/>
      </c>
      <c r="F83" s="60" t="str">
        <f t="shared" si="10"/>
        <v/>
      </c>
      <c r="G83" s="71"/>
      <c r="H83" s="301"/>
      <c r="I83" s="21"/>
      <c r="J83" s="21"/>
      <c r="K83" s="21"/>
      <c r="L83" s="21"/>
      <c r="M83" s="21"/>
      <c r="N83" s="21"/>
      <c r="O83" s="21"/>
      <c r="P83" s="21"/>
      <c r="Q83" s="21"/>
      <c r="R83" s="21"/>
      <c r="S83" s="21"/>
      <c r="T83" s="21"/>
      <c r="U83" s="21"/>
      <c r="V83" s="3">
        <v>1</v>
      </c>
    </row>
    <row r="84" spans="2:22" ht="30" customHeight="1" thickBot="1">
      <c r="B84" s="298"/>
      <c r="C84" s="69"/>
      <c r="D84" s="61" t="str">
        <f t="shared" si="11"/>
        <v/>
      </c>
      <c r="E84" s="61" t="str">
        <f t="shared" si="9"/>
        <v/>
      </c>
      <c r="F84" s="62" t="str">
        <f t="shared" si="10"/>
        <v/>
      </c>
      <c r="G84" s="72"/>
      <c r="H84" s="34" t="s">
        <v>50</v>
      </c>
      <c r="I84" s="21"/>
      <c r="J84" s="21"/>
      <c r="K84" s="21"/>
      <c r="L84" s="21"/>
      <c r="M84" s="21"/>
      <c r="N84" s="21"/>
      <c r="O84" s="21"/>
      <c r="P84" s="21"/>
      <c r="Q84" s="21"/>
      <c r="R84" s="21"/>
      <c r="S84" s="21"/>
      <c r="T84" s="21"/>
      <c r="U84" s="21"/>
      <c r="V84" s="3">
        <v>1</v>
      </c>
    </row>
    <row r="85" spans="2:22" ht="21" customHeight="1">
      <c r="I85" s="21"/>
      <c r="J85" s="21"/>
      <c r="K85" s="21"/>
      <c r="L85" s="21"/>
      <c r="M85" s="21"/>
      <c r="N85" s="21"/>
      <c r="O85" s="21"/>
      <c r="P85" s="21"/>
      <c r="Q85" s="21"/>
      <c r="R85" s="21"/>
      <c r="S85" s="21"/>
      <c r="T85" s="21"/>
      <c r="U85" s="21"/>
      <c r="V85" s="3">
        <v>1</v>
      </c>
    </row>
    <row r="86" spans="2:22" ht="21" customHeight="1">
      <c r="E86" s="27"/>
      <c r="F86" s="27"/>
      <c r="G86" s="43" t="s">
        <v>84</v>
      </c>
      <c r="I86" s="21"/>
      <c r="J86" s="21"/>
      <c r="K86" s="21"/>
      <c r="L86" s="21"/>
      <c r="M86" s="21"/>
      <c r="N86" s="21"/>
      <c r="O86" s="21"/>
      <c r="P86" s="21"/>
      <c r="Q86" s="21"/>
      <c r="R86" s="21"/>
      <c r="S86" s="21"/>
      <c r="T86" s="21"/>
      <c r="U86" s="21"/>
      <c r="V86" s="3">
        <v>1</v>
      </c>
    </row>
    <row r="87" spans="2:22" ht="21" customHeight="1">
      <c r="G87" s="44" t="s">
        <v>97</v>
      </c>
      <c r="I87" s="21"/>
      <c r="J87" s="21"/>
      <c r="K87" s="21"/>
      <c r="L87" s="21"/>
      <c r="M87" s="21"/>
      <c r="N87" s="21"/>
      <c r="O87" s="21"/>
      <c r="P87" s="21"/>
      <c r="Q87" s="21"/>
      <c r="R87" s="21"/>
      <c r="S87" s="21"/>
      <c r="T87" s="21"/>
      <c r="U87" s="21"/>
      <c r="V87" s="3">
        <v>1</v>
      </c>
    </row>
    <row r="88" spans="2:22" ht="21" customHeight="1">
      <c r="G88" s="42" t="s">
        <v>87</v>
      </c>
      <c r="I88" s="21"/>
      <c r="J88" s="21"/>
      <c r="K88" s="21"/>
      <c r="L88" s="21"/>
      <c r="M88" s="21"/>
      <c r="N88" s="21"/>
      <c r="O88" s="21"/>
      <c r="P88" s="21"/>
      <c r="Q88" s="21"/>
      <c r="R88" s="21"/>
      <c r="S88" s="21"/>
      <c r="T88" s="21"/>
      <c r="U88" s="21"/>
      <c r="V88" s="3">
        <v>1</v>
      </c>
    </row>
    <row r="89" spans="2:22" ht="21" customHeight="1">
      <c r="I89" s="21"/>
      <c r="J89" s="21"/>
      <c r="K89" s="21"/>
      <c r="L89" s="21"/>
      <c r="M89" s="21"/>
      <c r="N89" s="21"/>
      <c r="O89" s="21"/>
      <c r="P89" s="21"/>
      <c r="Q89" s="21"/>
      <c r="R89" s="21"/>
      <c r="S89" s="21"/>
      <c r="T89" s="21"/>
      <c r="U89" s="21"/>
      <c r="V89" s="3">
        <v>1</v>
      </c>
    </row>
    <row r="90" spans="2:22" ht="21" customHeight="1">
      <c r="G90" s="45" t="s">
        <v>95</v>
      </c>
      <c r="I90" s="21"/>
      <c r="J90" s="21"/>
      <c r="K90" s="21"/>
      <c r="L90" s="21"/>
      <c r="M90" s="21"/>
      <c r="N90" s="21"/>
      <c r="O90" s="21"/>
      <c r="P90" s="21"/>
      <c r="Q90" s="21"/>
      <c r="R90" s="21"/>
      <c r="S90" s="21"/>
      <c r="T90" s="21"/>
      <c r="U90" s="21"/>
      <c r="V90" s="3">
        <v>1</v>
      </c>
    </row>
    <row r="91" spans="2:22" ht="21" customHeight="1">
      <c r="E91" s="24"/>
      <c r="F91" s="24"/>
      <c r="G91" s="308" t="s">
        <v>85</v>
      </c>
      <c r="I91" s="21"/>
      <c r="J91" s="21"/>
      <c r="K91" s="21"/>
      <c r="L91" s="21"/>
      <c r="M91" s="21"/>
      <c r="N91" s="21"/>
      <c r="O91" s="21"/>
      <c r="P91" s="21"/>
      <c r="Q91" s="21"/>
      <c r="R91" s="21"/>
      <c r="S91" s="21"/>
      <c r="T91" s="21"/>
      <c r="U91" s="21"/>
      <c r="V91" s="3">
        <v>1</v>
      </c>
    </row>
    <row r="92" spans="2:22" ht="21" customHeight="1">
      <c r="E92" s="26"/>
      <c r="F92" s="26"/>
      <c r="G92" s="309"/>
      <c r="I92" s="21"/>
      <c r="J92" s="21"/>
      <c r="K92" s="21"/>
      <c r="L92" s="21"/>
      <c r="M92" s="21"/>
      <c r="N92" s="21"/>
      <c r="O92" s="21"/>
      <c r="P92" s="21"/>
      <c r="Q92" s="21"/>
      <c r="R92" s="21"/>
      <c r="S92" s="21"/>
      <c r="T92" s="21"/>
      <c r="U92" s="21"/>
      <c r="V92" s="3">
        <v>1</v>
      </c>
    </row>
    <row r="93" spans="2:22" ht="21" customHeight="1">
      <c r="E93" s="24"/>
      <c r="F93" s="24"/>
      <c r="G93" s="309"/>
      <c r="I93" s="21"/>
      <c r="J93" s="21"/>
      <c r="K93" s="21"/>
      <c r="L93" s="21"/>
      <c r="M93" s="21"/>
      <c r="N93" s="21"/>
      <c r="O93" s="21"/>
      <c r="P93" s="21"/>
      <c r="Q93" s="21"/>
      <c r="R93" s="21"/>
      <c r="S93" s="21"/>
      <c r="T93" s="21"/>
      <c r="U93" s="21"/>
      <c r="V93" s="3">
        <v>1</v>
      </c>
    </row>
    <row r="94" spans="2:22" ht="21" customHeight="1">
      <c r="E94" s="24"/>
      <c r="F94" s="24"/>
      <c r="G94" s="310"/>
      <c r="I94" s="21"/>
      <c r="J94" s="21"/>
      <c r="K94" s="21"/>
      <c r="L94" s="21"/>
      <c r="M94" s="21"/>
      <c r="N94" s="21"/>
      <c r="O94" s="21"/>
      <c r="P94" s="21"/>
      <c r="Q94" s="21"/>
      <c r="R94" s="21"/>
      <c r="S94" s="21"/>
      <c r="T94" s="21"/>
      <c r="U94" s="21"/>
      <c r="V94" s="3">
        <v>1</v>
      </c>
    </row>
    <row r="95" spans="2:22" ht="21" customHeight="1">
      <c r="E95" s="26"/>
      <c r="F95" s="26"/>
      <c r="G95" s="42" t="s">
        <v>88</v>
      </c>
      <c r="I95" s="21"/>
      <c r="J95" s="21"/>
      <c r="K95" s="21"/>
      <c r="L95" s="21"/>
      <c r="M95" s="21"/>
      <c r="N95" s="21"/>
      <c r="O95" s="21"/>
      <c r="P95" s="21"/>
      <c r="Q95" s="21"/>
      <c r="R95" s="21"/>
      <c r="S95" s="21"/>
      <c r="T95" s="21"/>
      <c r="U95" s="21"/>
      <c r="V95" s="3">
        <v>1</v>
      </c>
    </row>
    <row r="96" spans="2:22" ht="21" customHeight="1">
      <c r="E96" s="24"/>
      <c r="F96" s="24"/>
      <c r="G96" s="42" t="s">
        <v>89</v>
      </c>
      <c r="I96" s="21"/>
      <c r="J96" s="21"/>
      <c r="K96" s="21"/>
      <c r="L96" s="21"/>
      <c r="M96" s="21"/>
      <c r="N96" s="21"/>
      <c r="O96" s="21"/>
      <c r="P96" s="21"/>
      <c r="Q96" s="21"/>
      <c r="R96" s="21"/>
      <c r="S96" s="21"/>
      <c r="T96" s="21"/>
      <c r="U96" s="21"/>
      <c r="V96" s="3">
        <v>1</v>
      </c>
    </row>
    <row r="97" spans="5:22" ht="21" customHeight="1">
      <c r="E97" s="24"/>
      <c r="F97" s="24"/>
      <c r="I97" s="21"/>
      <c r="J97" s="21"/>
      <c r="K97" s="21"/>
      <c r="L97" s="21"/>
      <c r="M97" s="21"/>
      <c r="N97" s="21"/>
      <c r="O97" s="21"/>
      <c r="P97" s="21"/>
      <c r="Q97" s="21"/>
      <c r="R97" s="21"/>
      <c r="S97" s="21"/>
      <c r="T97" s="21"/>
      <c r="U97" s="21"/>
      <c r="V97" s="3">
        <v>1</v>
      </c>
    </row>
    <row r="98" spans="5:22" ht="21" customHeight="1">
      <c r="E98" s="24"/>
      <c r="F98" s="24"/>
      <c r="G98" s="45" t="s">
        <v>95</v>
      </c>
      <c r="I98" s="21"/>
      <c r="J98" s="21"/>
      <c r="K98" s="21"/>
      <c r="L98" s="21"/>
      <c r="M98" s="21"/>
      <c r="N98" s="21"/>
      <c r="O98" s="21"/>
      <c r="P98" s="21"/>
      <c r="Q98" s="21"/>
      <c r="R98" s="21"/>
      <c r="S98" s="21"/>
      <c r="T98" s="21"/>
      <c r="U98" s="21"/>
      <c r="V98" s="3">
        <v>1</v>
      </c>
    </row>
    <row r="99" spans="5:22" ht="21" customHeight="1">
      <c r="E99" s="26"/>
      <c r="F99" s="26"/>
      <c r="G99" s="302" t="s">
        <v>86</v>
      </c>
      <c r="I99" s="21"/>
      <c r="J99" s="21"/>
      <c r="K99" s="21"/>
      <c r="L99" s="21"/>
      <c r="M99" s="21"/>
      <c r="N99" s="21"/>
      <c r="O99" s="21"/>
      <c r="P99" s="21"/>
      <c r="Q99" s="21"/>
      <c r="R99" s="21"/>
      <c r="S99" s="21"/>
      <c r="T99" s="21"/>
      <c r="U99" s="21"/>
      <c r="V99" s="3">
        <v>1</v>
      </c>
    </row>
    <row r="100" spans="5:22" ht="21" customHeight="1">
      <c r="E100" s="24"/>
      <c r="F100" s="24"/>
      <c r="G100" s="302"/>
      <c r="I100" s="21"/>
      <c r="J100" s="21"/>
      <c r="K100" s="21"/>
      <c r="L100" s="21"/>
      <c r="M100" s="21"/>
      <c r="N100" s="21"/>
      <c r="O100" s="21"/>
      <c r="P100" s="21"/>
      <c r="Q100" s="21"/>
      <c r="R100" s="21"/>
      <c r="S100" s="21"/>
      <c r="T100" s="21"/>
      <c r="U100" s="21"/>
      <c r="V100" s="3">
        <v>1</v>
      </c>
    </row>
    <row r="101" spans="5:22" ht="21" customHeight="1">
      <c r="E101" s="24"/>
      <c r="F101" s="24"/>
      <c r="G101" s="302"/>
      <c r="I101" s="21"/>
      <c r="J101" s="21"/>
      <c r="K101" s="21"/>
      <c r="L101" s="21"/>
      <c r="M101" s="21"/>
      <c r="N101" s="21"/>
      <c r="O101" s="21"/>
      <c r="P101" s="21"/>
      <c r="Q101" s="21"/>
      <c r="R101" s="21"/>
      <c r="S101" s="21"/>
      <c r="T101" s="21"/>
      <c r="U101" s="21"/>
      <c r="V101" s="3">
        <v>1</v>
      </c>
    </row>
    <row r="102" spans="5:22" ht="21" customHeight="1">
      <c r="E102" s="26"/>
      <c r="F102" s="26"/>
      <c r="G102" s="6" t="s">
        <v>90</v>
      </c>
      <c r="I102" s="21"/>
      <c r="J102" s="21"/>
      <c r="K102" s="21"/>
      <c r="L102" s="21"/>
      <c r="M102" s="21"/>
      <c r="N102" s="21"/>
      <c r="O102" s="21"/>
      <c r="P102" s="21"/>
      <c r="Q102" s="21"/>
      <c r="R102" s="21"/>
      <c r="S102" s="21"/>
      <c r="T102" s="21"/>
      <c r="U102" s="21"/>
      <c r="V102" s="3">
        <v>1</v>
      </c>
    </row>
    <row r="103" spans="5:22" ht="21" customHeight="1">
      <c r="E103" s="24"/>
      <c r="F103" s="24"/>
      <c r="G103" s="42" t="s">
        <v>91</v>
      </c>
      <c r="I103" s="21"/>
      <c r="J103" s="21"/>
      <c r="K103" s="21"/>
      <c r="L103" s="21"/>
      <c r="M103" s="21"/>
      <c r="N103" s="21"/>
      <c r="O103" s="21"/>
      <c r="P103" s="21"/>
      <c r="Q103" s="21"/>
      <c r="R103" s="21"/>
      <c r="S103" s="21"/>
      <c r="T103" s="21"/>
      <c r="U103" s="21"/>
      <c r="V103" s="3">
        <v>1</v>
      </c>
    </row>
    <row r="104" spans="5:22" ht="21" customHeight="1">
      <c r="E104" s="24"/>
      <c r="F104" s="24"/>
      <c r="I104" s="21"/>
      <c r="J104" s="21"/>
      <c r="K104" s="21"/>
      <c r="L104" s="21"/>
      <c r="M104" s="21"/>
      <c r="N104" s="21"/>
      <c r="O104" s="21"/>
      <c r="P104" s="21"/>
      <c r="Q104" s="21"/>
      <c r="R104" s="21"/>
      <c r="S104" s="21"/>
      <c r="T104" s="21"/>
      <c r="U104" s="21"/>
      <c r="V104" s="3">
        <v>1</v>
      </c>
    </row>
    <row r="105" spans="5:22" ht="21" customHeight="1">
      <c r="E105" s="24"/>
      <c r="F105" s="24"/>
      <c r="G105" s="45" t="s">
        <v>95</v>
      </c>
      <c r="I105" s="21"/>
      <c r="J105" s="21"/>
      <c r="K105" s="21"/>
      <c r="L105" s="21"/>
      <c r="M105" s="21"/>
      <c r="N105" s="21"/>
      <c r="O105" s="21"/>
      <c r="P105" s="21"/>
      <c r="Q105" s="21"/>
      <c r="R105" s="21"/>
      <c r="S105" s="21"/>
      <c r="T105" s="21"/>
      <c r="U105" s="21"/>
      <c r="V105" s="3">
        <v>1</v>
      </c>
    </row>
    <row r="106" spans="5:22" ht="21" customHeight="1">
      <c r="E106" s="11"/>
      <c r="F106" s="11"/>
      <c r="G106" s="304" t="s">
        <v>96</v>
      </c>
      <c r="I106" s="21"/>
      <c r="J106" s="21"/>
      <c r="K106" s="21"/>
      <c r="L106" s="21"/>
      <c r="M106" s="21"/>
      <c r="N106" s="21"/>
      <c r="O106" s="21"/>
      <c r="P106" s="21"/>
      <c r="Q106" s="21"/>
      <c r="R106" s="21"/>
      <c r="S106" s="21"/>
      <c r="T106" s="21"/>
      <c r="U106" s="21"/>
      <c r="V106" s="3">
        <v>1</v>
      </c>
    </row>
    <row r="107" spans="5:22" ht="21" customHeight="1">
      <c r="E107" s="2"/>
      <c r="F107" s="2"/>
      <c r="G107" s="304"/>
      <c r="I107" s="21"/>
      <c r="J107" s="21"/>
      <c r="K107" s="21"/>
      <c r="L107" s="21"/>
      <c r="M107" s="21"/>
      <c r="N107" s="21"/>
      <c r="O107" s="21"/>
      <c r="P107" s="21"/>
      <c r="Q107" s="21"/>
      <c r="R107" s="21"/>
      <c r="S107" s="21"/>
      <c r="T107" s="21"/>
      <c r="U107" s="21"/>
      <c r="V107" s="3">
        <v>1</v>
      </c>
    </row>
    <row r="108" spans="5:22" ht="21" customHeight="1">
      <c r="E108" s="21"/>
      <c r="F108" s="21"/>
      <c r="G108" s="304"/>
      <c r="I108" s="21"/>
      <c r="J108" s="21"/>
      <c r="K108" s="21"/>
      <c r="L108" s="21"/>
      <c r="M108" s="21"/>
      <c r="N108" s="21"/>
      <c r="O108" s="21"/>
      <c r="P108" s="21"/>
      <c r="Q108" s="21"/>
      <c r="R108" s="21"/>
      <c r="S108" s="21"/>
      <c r="T108" s="21"/>
      <c r="U108" s="21"/>
      <c r="V108" s="3">
        <v>1</v>
      </c>
    </row>
    <row r="109" spans="5:22" ht="21" customHeight="1">
      <c r="E109" s="21"/>
      <c r="F109" s="21"/>
      <c r="G109" s="304"/>
      <c r="I109" s="21"/>
      <c r="J109" s="21"/>
      <c r="K109" s="21"/>
      <c r="L109" s="21"/>
      <c r="M109" s="21"/>
      <c r="N109" s="21"/>
      <c r="O109" s="21"/>
      <c r="P109" s="21"/>
      <c r="Q109" s="21"/>
      <c r="R109" s="21"/>
      <c r="S109" s="21"/>
      <c r="T109" s="21"/>
      <c r="U109" s="21"/>
      <c r="V109" s="3">
        <v>1</v>
      </c>
    </row>
    <row r="110" spans="5:22" ht="21" customHeight="1">
      <c r="E110" s="21"/>
      <c r="F110" s="21"/>
      <c r="G110" s="304"/>
      <c r="I110" s="21"/>
      <c r="J110" s="21"/>
      <c r="K110" s="21"/>
      <c r="L110" s="21"/>
      <c r="M110" s="21"/>
      <c r="N110" s="21"/>
      <c r="O110" s="21"/>
      <c r="P110" s="21"/>
      <c r="Q110" s="21"/>
      <c r="R110" s="21"/>
      <c r="S110" s="21"/>
      <c r="T110" s="21"/>
      <c r="U110" s="21"/>
      <c r="V110" s="3">
        <v>1</v>
      </c>
    </row>
    <row r="111" spans="5:22" ht="21" customHeight="1">
      <c r="E111" s="21"/>
      <c r="F111" s="21"/>
      <c r="G111" s="304"/>
      <c r="I111" s="21"/>
      <c r="J111" s="21"/>
      <c r="K111" s="21"/>
      <c r="L111" s="21"/>
      <c r="M111" s="21"/>
      <c r="N111" s="21"/>
      <c r="O111" s="21"/>
      <c r="P111" s="21"/>
      <c r="Q111" s="21"/>
      <c r="R111" s="21"/>
      <c r="S111" s="21"/>
      <c r="T111" s="21"/>
      <c r="U111" s="21"/>
      <c r="V111" s="3">
        <v>1</v>
      </c>
    </row>
    <row r="112" spans="5:22" ht="21" customHeight="1">
      <c r="E112" s="21"/>
      <c r="F112" s="21"/>
      <c r="G112" s="6" t="s">
        <v>92</v>
      </c>
      <c r="I112" s="21"/>
      <c r="J112" s="21"/>
      <c r="K112" s="21"/>
      <c r="L112" s="21"/>
      <c r="M112" s="21"/>
      <c r="N112" s="21"/>
      <c r="O112" s="21"/>
      <c r="P112" s="21"/>
      <c r="Q112" s="21"/>
      <c r="R112" s="21"/>
      <c r="S112" s="21"/>
      <c r="T112" s="21"/>
      <c r="U112" s="21"/>
      <c r="V112" s="3">
        <v>1</v>
      </c>
    </row>
    <row r="113" spans="5:22" ht="21" customHeight="1">
      <c r="E113" s="28"/>
      <c r="F113" s="28"/>
      <c r="G113" s="6" t="s">
        <v>93</v>
      </c>
      <c r="I113" s="21"/>
      <c r="J113" s="21"/>
      <c r="K113" s="21"/>
      <c r="L113" s="21"/>
      <c r="M113" s="21"/>
      <c r="N113" s="21"/>
      <c r="O113" s="21"/>
      <c r="P113" s="21"/>
      <c r="Q113" s="21"/>
      <c r="R113" s="21"/>
      <c r="S113" s="21"/>
      <c r="T113" s="21"/>
      <c r="U113" s="21"/>
      <c r="V113" s="3">
        <v>1</v>
      </c>
    </row>
    <row r="114" spans="5:22" ht="21" customHeight="1">
      <c r="E114" s="2"/>
      <c r="F114" s="2"/>
      <c r="G114" s="6" t="s">
        <v>94</v>
      </c>
      <c r="I114" s="21"/>
      <c r="J114" s="21"/>
      <c r="K114" s="21"/>
      <c r="L114" s="21"/>
      <c r="M114" s="21"/>
      <c r="N114" s="21"/>
      <c r="O114" s="21"/>
      <c r="P114" s="21"/>
      <c r="Q114" s="21"/>
      <c r="R114" s="21"/>
      <c r="S114" s="21"/>
      <c r="T114" s="21"/>
      <c r="U114" s="21"/>
      <c r="V114" s="3">
        <v>1</v>
      </c>
    </row>
    <row r="115" spans="5:22" ht="21" customHeight="1">
      <c r="E115" s="29"/>
      <c r="F115" s="29"/>
      <c r="I115" s="21"/>
      <c r="J115" s="21"/>
      <c r="K115" s="21"/>
      <c r="L115" s="21"/>
      <c r="M115" s="21"/>
      <c r="N115" s="21"/>
      <c r="O115" s="21"/>
      <c r="P115" s="21"/>
      <c r="Q115" s="21"/>
      <c r="R115" s="21"/>
      <c r="S115" s="21"/>
      <c r="T115" s="21"/>
      <c r="U115" s="21"/>
      <c r="V115" s="3">
        <v>1</v>
      </c>
    </row>
    <row r="116" spans="5:22" ht="21" customHeight="1">
      <c r="E116" s="30"/>
      <c r="F116" s="30"/>
      <c r="I116" s="21"/>
      <c r="J116" s="21"/>
      <c r="K116" s="21"/>
      <c r="L116" s="21"/>
      <c r="M116" s="21"/>
      <c r="N116" s="21"/>
      <c r="O116" s="21"/>
      <c r="P116" s="21"/>
      <c r="Q116" s="21"/>
      <c r="R116" s="21"/>
      <c r="S116" s="21"/>
      <c r="T116" s="21"/>
      <c r="U116" s="21"/>
      <c r="V116" s="3">
        <v>1</v>
      </c>
    </row>
    <row r="117" spans="5:22" ht="21" customHeight="1">
      <c r="E117" s="30"/>
      <c r="F117" s="30"/>
      <c r="I117" s="21"/>
      <c r="J117" s="21"/>
      <c r="K117" s="21"/>
      <c r="L117" s="21"/>
      <c r="M117" s="21"/>
      <c r="N117" s="21"/>
      <c r="O117" s="21"/>
      <c r="P117" s="21"/>
      <c r="Q117" s="21"/>
      <c r="R117" s="21"/>
      <c r="S117" s="21"/>
      <c r="T117" s="21"/>
      <c r="U117" s="21"/>
      <c r="V117" s="3">
        <v>1</v>
      </c>
    </row>
    <row r="118" spans="5:22" ht="21" customHeight="1">
      <c r="E118" s="30"/>
      <c r="F118" s="30"/>
      <c r="I118" s="21"/>
      <c r="J118" s="21"/>
      <c r="K118" s="21"/>
      <c r="L118" s="21"/>
      <c r="M118" s="21"/>
      <c r="N118" s="21"/>
      <c r="O118" s="21"/>
      <c r="P118" s="21"/>
      <c r="Q118" s="21"/>
      <c r="R118" s="21"/>
      <c r="S118" s="21"/>
      <c r="T118" s="21"/>
      <c r="U118" s="21"/>
      <c r="V118" s="3">
        <v>1</v>
      </c>
    </row>
    <row r="119" spans="5:22" ht="21" customHeight="1">
      <c r="E119" s="28"/>
      <c r="F119" s="28"/>
      <c r="I119" s="21"/>
      <c r="J119" s="21"/>
      <c r="K119" s="21"/>
      <c r="L119" s="21"/>
      <c r="M119" s="21"/>
      <c r="N119" s="21"/>
      <c r="O119" s="21"/>
      <c r="P119" s="21"/>
      <c r="Q119" s="21"/>
      <c r="R119" s="21"/>
      <c r="S119" s="21"/>
      <c r="T119" s="21"/>
      <c r="U119" s="21"/>
      <c r="V119" s="3">
        <v>1</v>
      </c>
    </row>
    <row r="120" spans="5:22" ht="21" customHeight="1">
      <c r="E120" s="30"/>
      <c r="F120" s="30"/>
      <c r="I120" s="21"/>
      <c r="J120" s="21"/>
      <c r="K120" s="21"/>
      <c r="L120" s="21"/>
      <c r="M120" s="21"/>
      <c r="N120" s="21"/>
      <c r="O120" s="21"/>
      <c r="P120" s="21"/>
      <c r="Q120" s="21"/>
      <c r="R120" s="21"/>
      <c r="S120" s="21"/>
      <c r="T120" s="21"/>
      <c r="U120" s="21"/>
      <c r="V120" s="3">
        <v>1</v>
      </c>
    </row>
    <row r="121" spans="5:22" ht="21" customHeight="1">
      <c r="E121" s="21"/>
      <c r="F121" s="21"/>
      <c r="I121" s="21"/>
      <c r="J121" s="21"/>
      <c r="K121" s="21"/>
      <c r="L121" s="21"/>
      <c r="M121" s="21"/>
      <c r="N121" s="21"/>
      <c r="O121" s="21"/>
      <c r="P121" s="21"/>
      <c r="Q121" s="21"/>
      <c r="R121" s="21"/>
      <c r="S121" s="21"/>
      <c r="T121" s="21"/>
      <c r="U121" s="21"/>
      <c r="V121" s="3">
        <v>1</v>
      </c>
    </row>
    <row r="122" spans="5:22" ht="21" customHeight="1">
      <c r="E122" s="28"/>
      <c r="F122" s="28"/>
      <c r="I122" s="21"/>
      <c r="J122" s="21"/>
      <c r="K122" s="21"/>
      <c r="L122" s="21"/>
      <c r="M122" s="21"/>
      <c r="N122" s="21"/>
      <c r="O122" s="21"/>
      <c r="P122" s="21"/>
      <c r="Q122" s="21"/>
      <c r="R122" s="21"/>
      <c r="S122" s="21"/>
      <c r="T122" s="21"/>
      <c r="U122" s="21"/>
      <c r="V122" s="3">
        <v>1</v>
      </c>
    </row>
    <row r="123" spans="5:22" ht="21" customHeight="1">
      <c r="E123" s="29"/>
      <c r="F123" s="29"/>
      <c r="I123" s="21"/>
      <c r="J123" s="21"/>
      <c r="K123" s="21"/>
      <c r="L123" s="21"/>
      <c r="M123" s="21"/>
      <c r="N123" s="21"/>
      <c r="O123" s="21"/>
      <c r="P123" s="21"/>
      <c r="Q123" s="21"/>
      <c r="R123" s="21"/>
      <c r="S123" s="21"/>
      <c r="T123" s="21"/>
      <c r="U123" s="21"/>
      <c r="V123" s="3">
        <v>1</v>
      </c>
    </row>
    <row r="124" spans="5:22" ht="21" customHeight="1">
      <c r="E124" s="29"/>
      <c r="F124" s="29"/>
      <c r="I124" s="21"/>
      <c r="J124" s="21"/>
      <c r="K124" s="21"/>
      <c r="L124" s="21"/>
      <c r="M124" s="21"/>
      <c r="N124" s="21"/>
      <c r="O124" s="21"/>
      <c r="P124" s="21"/>
      <c r="Q124" s="21"/>
      <c r="R124" s="21"/>
      <c r="S124" s="21"/>
      <c r="T124" s="21"/>
      <c r="U124" s="21"/>
      <c r="V124" s="3">
        <v>1</v>
      </c>
    </row>
    <row r="125" spans="5:22" ht="21" customHeight="1">
      <c r="E125" s="30"/>
      <c r="F125" s="30"/>
      <c r="I125" s="21"/>
      <c r="J125" s="21"/>
      <c r="K125" s="21"/>
      <c r="L125" s="21"/>
      <c r="M125" s="21"/>
      <c r="N125" s="21"/>
      <c r="O125" s="21"/>
      <c r="P125" s="21"/>
      <c r="Q125" s="21"/>
      <c r="R125" s="21"/>
      <c r="S125" s="21"/>
      <c r="T125" s="21"/>
      <c r="U125" s="21"/>
      <c r="V125" s="3">
        <v>1</v>
      </c>
    </row>
    <row r="126" spans="5:22" ht="21" customHeight="1">
      <c r="E126" s="30"/>
      <c r="F126" s="30"/>
      <c r="I126" s="21"/>
      <c r="J126" s="21"/>
      <c r="K126" s="21"/>
      <c r="L126" s="21"/>
      <c r="M126" s="21"/>
      <c r="N126" s="21"/>
      <c r="O126" s="21"/>
      <c r="P126" s="21"/>
      <c r="Q126" s="21"/>
      <c r="R126" s="21"/>
      <c r="S126" s="21"/>
      <c r="T126" s="21"/>
      <c r="U126" s="21"/>
      <c r="V126" s="3">
        <v>1</v>
      </c>
    </row>
    <row r="127" spans="5:22" ht="21" customHeight="1">
      <c r="E127" s="21"/>
      <c r="F127" s="21"/>
      <c r="I127" s="21"/>
      <c r="J127" s="21"/>
      <c r="K127" s="21"/>
      <c r="L127" s="21"/>
      <c r="M127" s="21"/>
      <c r="N127" s="21"/>
      <c r="O127" s="21"/>
      <c r="P127" s="21"/>
      <c r="Q127" s="21"/>
      <c r="R127" s="21"/>
      <c r="S127" s="21"/>
      <c r="T127" s="21"/>
      <c r="U127" s="21"/>
      <c r="V127" s="3">
        <v>1</v>
      </c>
    </row>
    <row r="128" spans="5:22" ht="21" customHeight="1">
      <c r="E128" s="28"/>
      <c r="F128" s="28"/>
      <c r="I128" s="21"/>
      <c r="J128" s="21"/>
      <c r="K128" s="21"/>
      <c r="L128" s="21"/>
      <c r="M128" s="21"/>
      <c r="N128" s="21"/>
      <c r="O128" s="21"/>
      <c r="P128" s="21"/>
      <c r="Q128" s="21"/>
      <c r="R128" s="21"/>
      <c r="S128" s="21"/>
      <c r="T128" s="21"/>
      <c r="U128" s="21"/>
      <c r="V128" s="3">
        <v>1</v>
      </c>
    </row>
    <row r="129" spans="5:22" ht="21" customHeight="1">
      <c r="E129" s="29"/>
      <c r="F129" s="29"/>
      <c r="I129" s="21"/>
      <c r="J129" s="21"/>
      <c r="K129" s="21"/>
      <c r="L129" s="21"/>
      <c r="M129" s="21"/>
      <c r="N129" s="21"/>
      <c r="O129" s="21"/>
      <c r="P129" s="21"/>
      <c r="Q129" s="21"/>
      <c r="R129" s="21"/>
      <c r="S129" s="21"/>
      <c r="T129" s="21"/>
      <c r="U129" s="21"/>
      <c r="V129" s="3">
        <v>1</v>
      </c>
    </row>
    <row r="130" spans="5:22" ht="21" customHeight="1">
      <c r="E130" s="29"/>
      <c r="F130" s="29"/>
      <c r="I130" s="21"/>
      <c r="J130" s="21"/>
      <c r="K130" s="21"/>
      <c r="L130" s="21"/>
      <c r="M130" s="21"/>
      <c r="N130" s="21"/>
      <c r="O130" s="21"/>
      <c r="P130" s="21"/>
      <c r="Q130" s="21"/>
      <c r="R130" s="21"/>
      <c r="S130" s="21"/>
      <c r="T130" s="21"/>
      <c r="U130" s="21"/>
      <c r="V130" s="3">
        <v>1</v>
      </c>
    </row>
    <row r="131" spans="5:22" ht="21" customHeight="1">
      <c r="E131" s="29"/>
      <c r="F131" s="29"/>
      <c r="I131" s="21"/>
      <c r="J131" s="21"/>
      <c r="K131" s="21"/>
      <c r="L131" s="21"/>
      <c r="M131" s="21"/>
      <c r="N131" s="21"/>
      <c r="O131" s="21"/>
      <c r="P131" s="21"/>
      <c r="Q131" s="21"/>
      <c r="R131" s="21"/>
      <c r="S131" s="21"/>
      <c r="T131" s="21"/>
      <c r="U131" s="21"/>
      <c r="V131" s="3">
        <v>1</v>
      </c>
    </row>
    <row r="132" spans="5:22" ht="21" customHeight="1">
      <c r="E132" s="29"/>
      <c r="F132" s="29"/>
      <c r="I132" s="21"/>
      <c r="J132" s="21"/>
      <c r="K132" s="21"/>
      <c r="L132" s="21"/>
      <c r="M132" s="21"/>
      <c r="N132" s="21"/>
      <c r="O132" s="21"/>
      <c r="P132" s="21"/>
      <c r="Q132" s="21"/>
      <c r="R132" s="21"/>
      <c r="S132" s="21"/>
      <c r="T132" s="21"/>
      <c r="U132" s="21"/>
      <c r="V132" s="3">
        <v>1</v>
      </c>
    </row>
    <row r="133" spans="5:22" ht="21" customHeight="1">
      <c r="E133" s="29"/>
      <c r="F133" s="29"/>
      <c r="I133" s="21"/>
      <c r="J133" s="21"/>
      <c r="K133" s="21"/>
      <c r="L133" s="21"/>
      <c r="M133" s="21"/>
      <c r="N133" s="21"/>
      <c r="O133" s="21"/>
      <c r="P133" s="21"/>
      <c r="Q133" s="21"/>
      <c r="R133" s="21"/>
      <c r="S133" s="21"/>
      <c r="T133" s="21"/>
      <c r="U133" s="21"/>
      <c r="V133" s="3">
        <v>1</v>
      </c>
    </row>
    <row r="134" spans="5:22" ht="21" customHeight="1">
      <c r="E134" s="29"/>
      <c r="F134" s="29"/>
      <c r="I134" s="21"/>
      <c r="J134" s="21"/>
      <c r="K134" s="21"/>
      <c r="L134" s="21"/>
      <c r="M134" s="21"/>
      <c r="N134" s="21"/>
      <c r="O134" s="21"/>
      <c r="P134" s="21"/>
      <c r="Q134" s="21"/>
      <c r="R134" s="21"/>
      <c r="S134" s="21"/>
      <c r="T134" s="21"/>
      <c r="U134" s="21"/>
      <c r="V134" s="3">
        <v>1</v>
      </c>
    </row>
    <row r="135" spans="5:22" ht="21" customHeight="1">
      <c r="E135" s="29"/>
      <c r="F135" s="29"/>
      <c r="I135" s="21"/>
      <c r="J135" s="21"/>
      <c r="K135" s="21"/>
      <c r="L135" s="21"/>
      <c r="M135" s="21"/>
      <c r="N135" s="21"/>
      <c r="O135" s="21"/>
      <c r="P135" s="21"/>
      <c r="Q135" s="21"/>
      <c r="R135" s="21"/>
      <c r="S135" s="21"/>
      <c r="T135" s="21"/>
      <c r="U135" s="21"/>
      <c r="V135" s="3">
        <v>1</v>
      </c>
    </row>
    <row r="136" spans="5:22" ht="21" customHeight="1">
      <c r="E136" s="21"/>
      <c r="F136" s="21"/>
      <c r="I136" s="21"/>
      <c r="J136" s="21"/>
      <c r="K136" s="21"/>
      <c r="L136" s="21"/>
      <c r="M136" s="21"/>
      <c r="N136" s="21"/>
      <c r="O136" s="21"/>
      <c r="P136" s="21"/>
      <c r="Q136" s="21"/>
      <c r="R136" s="21"/>
      <c r="S136" s="21"/>
      <c r="T136" s="21"/>
      <c r="U136" s="21"/>
      <c r="V136" s="3">
        <v>1</v>
      </c>
    </row>
    <row r="137" spans="5:22" ht="21" customHeight="1">
      <c r="E137" s="31"/>
      <c r="F137" s="31"/>
      <c r="I137" s="21"/>
      <c r="J137" s="21"/>
      <c r="K137" s="21"/>
      <c r="L137" s="21"/>
      <c r="M137" s="21"/>
      <c r="N137" s="21"/>
      <c r="O137" s="21"/>
      <c r="P137" s="21"/>
      <c r="Q137" s="21"/>
      <c r="R137" s="21"/>
      <c r="S137" s="21"/>
      <c r="T137" s="21"/>
      <c r="U137" s="21"/>
      <c r="V137" s="3">
        <v>1</v>
      </c>
    </row>
    <row r="138" spans="5:22" ht="21" customHeight="1">
      <c r="E138" s="31"/>
      <c r="F138" s="31"/>
      <c r="I138" s="21"/>
      <c r="J138" s="21"/>
      <c r="K138" s="21"/>
      <c r="L138" s="21"/>
      <c r="M138" s="21"/>
      <c r="N138" s="21"/>
      <c r="O138" s="21"/>
      <c r="P138" s="21"/>
      <c r="Q138" s="21"/>
      <c r="R138" s="21"/>
      <c r="S138" s="21"/>
      <c r="T138" s="21"/>
      <c r="U138" s="21"/>
      <c r="V138" s="3">
        <v>1</v>
      </c>
    </row>
    <row r="139" spans="5:22" ht="21" customHeight="1">
      <c r="E139" s="31"/>
      <c r="F139" s="31"/>
      <c r="I139" s="21"/>
      <c r="J139" s="21"/>
      <c r="K139" s="21"/>
      <c r="L139" s="21"/>
      <c r="M139" s="21"/>
      <c r="N139" s="21"/>
      <c r="O139" s="21"/>
      <c r="P139" s="21"/>
      <c r="Q139" s="21"/>
      <c r="R139" s="21"/>
      <c r="S139" s="21"/>
      <c r="T139" s="21"/>
      <c r="U139" s="21"/>
      <c r="V139" s="3">
        <v>1</v>
      </c>
    </row>
    <row r="140" spans="5:22" ht="21" customHeight="1">
      <c r="E140" s="21"/>
      <c r="F140" s="21"/>
      <c r="I140" s="21"/>
      <c r="J140" s="21"/>
      <c r="K140" s="21"/>
      <c r="L140" s="21"/>
      <c r="M140" s="21"/>
      <c r="N140" s="21"/>
      <c r="O140" s="21"/>
      <c r="P140" s="21"/>
      <c r="Q140" s="21"/>
      <c r="R140" s="21"/>
      <c r="S140" s="21"/>
      <c r="T140" s="21"/>
      <c r="U140" s="21"/>
      <c r="V140" s="3">
        <v>1</v>
      </c>
    </row>
    <row r="141" spans="5:22" ht="21" customHeight="1">
      <c r="E141" s="31"/>
      <c r="F141" s="31"/>
      <c r="I141" s="21"/>
      <c r="J141" s="21"/>
      <c r="K141" s="21"/>
      <c r="L141" s="21"/>
      <c r="M141" s="21"/>
      <c r="N141" s="21"/>
      <c r="O141" s="21"/>
      <c r="P141" s="21"/>
      <c r="Q141" s="21"/>
      <c r="R141" s="21"/>
      <c r="S141" s="21"/>
      <c r="T141" s="21"/>
      <c r="U141" s="21"/>
      <c r="V141" s="3">
        <v>1</v>
      </c>
    </row>
    <row r="142" spans="5:22" ht="21" customHeight="1">
      <c r="E142" s="31"/>
      <c r="F142" s="31"/>
      <c r="I142" s="21"/>
      <c r="J142" s="21"/>
      <c r="K142" s="21"/>
      <c r="L142" s="21"/>
      <c r="M142" s="21"/>
      <c r="N142" s="21"/>
      <c r="O142" s="21"/>
      <c r="P142" s="21"/>
      <c r="Q142" s="21"/>
      <c r="R142" s="21"/>
      <c r="S142" s="21"/>
      <c r="T142" s="21"/>
      <c r="U142" s="21"/>
      <c r="V142" s="3">
        <v>1</v>
      </c>
    </row>
    <row r="143" spans="5:22" ht="21" customHeight="1">
      <c r="E143" s="31"/>
      <c r="F143" s="31"/>
      <c r="I143" s="21"/>
      <c r="J143" s="21"/>
      <c r="K143" s="21"/>
      <c r="L143" s="21"/>
      <c r="M143" s="21"/>
      <c r="N143" s="21"/>
      <c r="O143" s="21"/>
      <c r="P143" s="21"/>
      <c r="Q143" s="21"/>
      <c r="R143" s="21"/>
      <c r="S143" s="21"/>
      <c r="T143" s="21"/>
      <c r="U143" s="21"/>
      <c r="V143" s="3">
        <v>1</v>
      </c>
    </row>
    <row r="144" spans="5:22" ht="21" customHeight="1">
      <c r="E144" s="21"/>
      <c r="F144" s="21"/>
      <c r="I144" s="21"/>
      <c r="J144" s="21"/>
      <c r="K144" s="21"/>
      <c r="L144" s="21"/>
      <c r="M144" s="21"/>
      <c r="N144" s="21"/>
      <c r="O144" s="21"/>
      <c r="P144" s="21"/>
      <c r="Q144" s="21"/>
      <c r="R144" s="21"/>
      <c r="S144" s="21"/>
      <c r="T144" s="21"/>
      <c r="U144" s="21"/>
      <c r="V144" s="3">
        <v>1</v>
      </c>
    </row>
    <row r="145" spans="1:24" ht="21" customHeight="1">
      <c r="E145" s="30"/>
      <c r="F145" s="30"/>
      <c r="I145" s="21"/>
      <c r="J145" s="21"/>
      <c r="K145" s="21"/>
      <c r="L145" s="21"/>
      <c r="M145" s="21"/>
      <c r="N145" s="21"/>
      <c r="O145" s="21"/>
      <c r="P145" s="21"/>
      <c r="Q145" s="21"/>
      <c r="R145" s="21"/>
      <c r="S145" s="21"/>
      <c r="T145" s="21"/>
      <c r="U145" s="21"/>
      <c r="V145" s="3">
        <v>1</v>
      </c>
    </row>
    <row r="146" spans="1:24" ht="21" customHeight="1">
      <c r="E146" s="28"/>
      <c r="F146" s="28"/>
      <c r="I146" s="21"/>
      <c r="J146" s="21"/>
      <c r="K146" s="21"/>
      <c r="L146" s="21"/>
      <c r="M146" s="21"/>
      <c r="N146" s="21"/>
      <c r="O146" s="21"/>
      <c r="P146" s="21"/>
      <c r="Q146" s="21"/>
      <c r="R146" s="21"/>
      <c r="S146" s="21"/>
      <c r="T146" s="21"/>
      <c r="U146" s="21"/>
      <c r="V146" s="3">
        <v>1</v>
      </c>
    </row>
    <row r="147" spans="1:24" ht="21" customHeight="1">
      <c r="E147" s="30"/>
      <c r="F147" s="30"/>
      <c r="I147" s="21"/>
      <c r="J147" s="21"/>
      <c r="K147" s="21"/>
      <c r="L147" s="21"/>
      <c r="M147" s="21"/>
      <c r="N147" s="21"/>
      <c r="O147" s="21"/>
      <c r="P147" s="21"/>
      <c r="Q147" s="21"/>
      <c r="R147" s="21"/>
      <c r="S147" s="21"/>
      <c r="T147" s="21"/>
      <c r="U147" s="21"/>
      <c r="V147" s="3">
        <v>1</v>
      </c>
    </row>
    <row r="148" spans="1:24" ht="21" customHeight="1">
      <c r="E148" s="32"/>
      <c r="F148" s="32"/>
      <c r="I148" s="21"/>
      <c r="J148" s="21"/>
      <c r="K148" s="21"/>
      <c r="L148" s="21"/>
      <c r="M148" s="21"/>
      <c r="N148" s="21"/>
      <c r="O148" s="21"/>
      <c r="P148" s="21"/>
      <c r="Q148" s="21"/>
      <c r="R148" s="21"/>
      <c r="S148" s="21"/>
      <c r="T148" s="21"/>
      <c r="U148" s="21"/>
      <c r="V148" s="3">
        <v>1</v>
      </c>
    </row>
    <row r="149" spans="1:24" ht="21" customHeight="1">
      <c r="E149" s="32"/>
      <c r="F149" s="32"/>
      <c r="I149" s="21"/>
      <c r="J149" s="21"/>
      <c r="K149" s="21"/>
      <c r="L149" s="21"/>
      <c r="M149" s="21"/>
      <c r="N149" s="21"/>
      <c r="O149" s="21"/>
      <c r="P149" s="21"/>
      <c r="Q149" s="21"/>
      <c r="R149" s="21"/>
      <c r="S149" s="21"/>
      <c r="T149" s="21"/>
      <c r="U149" s="21"/>
      <c r="V149" s="3">
        <v>1</v>
      </c>
    </row>
    <row r="150" spans="1:24" ht="21" customHeight="1">
      <c r="E150" s="21"/>
      <c r="F150" s="21"/>
      <c r="I150" s="21"/>
      <c r="J150" s="21"/>
      <c r="K150" s="21"/>
      <c r="L150" s="21"/>
      <c r="M150" s="21"/>
      <c r="N150" s="21"/>
      <c r="O150" s="21"/>
      <c r="P150" s="21"/>
      <c r="Q150" s="21"/>
      <c r="R150" s="21"/>
      <c r="S150" s="21"/>
      <c r="T150" s="21"/>
      <c r="U150" s="21"/>
      <c r="V150" s="3">
        <v>1</v>
      </c>
    </row>
    <row r="151" spans="1:24" ht="21" customHeight="1">
      <c r="E151" s="11"/>
      <c r="F151" s="11"/>
      <c r="I151" s="21"/>
      <c r="J151" s="21"/>
      <c r="K151" s="21"/>
      <c r="L151" s="21"/>
      <c r="M151" s="21"/>
      <c r="N151" s="21"/>
      <c r="O151" s="21"/>
      <c r="P151" s="21"/>
      <c r="Q151" s="21"/>
      <c r="R151" s="21"/>
      <c r="S151" s="21"/>
      <c r="T151" s="21"/>
      <c r="U151" s="21"/>
      <c r="V151" s="3">
        <v>1</v>
      </c>
    </row>
    <row r="152" spans="1:24" ht="21" customHeight="1">
      <c r="E152" s="21"/>
      <c r="F152" s="21"/>
      <c r="I152" s="21"/>
      <c r="J152" s="21"/>
      <c r="K152" s="21"/>
      <c r="L152" s="21"/>
      <c r="M152" s="21"/>
      <c r="N152" s="21"/>
      <c r="O152" s="21"/>
      <c r="P152" s="21"/>
      <c r="Q152" s="21"/>
      <c r="R152" s="21"/>
      <c r="S152" s="21"/>
      <c r="T152" s="21"/>
      <c r="U152" s="21"/>
      <c r="V152" s="3">
        <v>1</v>
      </c>
    </row>
    <row r="153" spans="1:24" ht="21" customHeight="1">
      <c r="E153" s="30"/>
      <c r="F153" s="30"/>
      <c r="I153" s="21"/>
      <c r="J153" s="21"/>
      <c r="K153" s="21"/>
      <c r="L153" s="21"/>
      <c r="M153" s="21"/>
      <c r="N153" s="21"/>
      <c r="O153" s="21"/>
      <c r="P153" s="21"/>
      <c r="Q153" s="21"/>
      <c r="R153" s="21"/>
      <c r="S153" s="21"/>
      <c r="T153" s="21"/>
      <c r="U153" s="21"/>
      <c r="V153" s="3">
        <v>1</v>
      </c>
    </row>
    <row r="154" spans="1:24" ht="21" customHeight="1">
      <c r="E154" s="30"/>
      <c r="F154" s="30"/>
      <c r="I154" s="21"/>
      <c r="J154" s="21"/>
      <c r="K154" s="21"/>
      <c r="L154" s="21"/>
      <c r="M154" s="21"/>
      <c r="N154" s="21"/>
      <c r="O154" s="21"/>
      <c r="P154" s="21"/>
      <c r="Q154" s="21"/>
      <c r="R154" s="21"/>
      <c r="S154" s="21"/>
      <c r="T154" s="21"/>
      <c r="U154" s="21"/>
      <c r="V154" s="3">
        <v>1</v>
      </c>
    </row>
    <row r="155" spans="1:24">
      <c r="E155" s="30"/>
      <c r="F155" s="30"/>
      <c r="I155" s="21"/>
      <c r="J155" s="21"/>
      <c r="K155" s="21"/>
      <c r="L155" s="21"/>
      <c r="M155" s="21"/>
      <c r="N155" s="21"/>
      <c r="O155" s="21"/>
      <c r="P155" s="21"/>
      <c r="Q155" s="21"/>
      <c r="R155" s="21"/>
      <c r="S155" s="21"/>
      <c r="T155" s="21"/>
      <c r="U155" s="21"/>
      <c r="V155" s="3">
        <v>1</v>
      </c>
    </row>
    <row r="156" spans="1:24">
      <c r="E156" s="30"/>
      <c r="F156" s="30"/>
      <c r="I156" s="21"/>
      <c r="J156" s="21"/>
      <c r="K156" s="21"/>
      <c r="L156" s="21"/>
      <c r="M156" s="21"/>
      <c r="N156" s="21"/>
      <c r="O156" s="21"/>
      <c r="P156" s="21"/>
      <c r="Q156" s="21"/>
      <c r="R156" s="21"/>
      <c r="S156" s="21"/>
      <c r="T156" s="21"/>
      <c r="U156" s="21"/>
      <c r="V156" s="3">
        <v>1</v>
      </c>
    </row>
    <row r="157" spans="1:24">
      <c r="E157" s="30"/>
      <c r="F157" s="30"/>
      <c r="I157" s="21"/>
      <c r="J157" s="21"/>
      <c r="K157" s="21"/>
      <c r="L157" s="21"/>
      <c r="M157" s="21"/>
      <c r="N157" s="21"/>
      <c r="O157" s="21"/>
      <c r="P157" s="21"/>
      <c r="Q157" s="21"/>
      <c r="R157" s="21"/>
      <c r="S157" s="21"/>
      <c r="T157" s="21"/>
      <c r="U157" s="21"/>
      <c r="V157" s="3">
        <v>1</v>
      </c>
    </row>
    <row r="158" spans="1:24">
      <c r="E158" s="21"/>
      <c r="F158" s="21"/>
      <c r="I158" s="21"/>
      <c r="J158" s="21"/>
      <c r="K158" s="21"/>
      <c r="L158" s="21"/>
      <c r="M158" s="21"/>
      <c r="N158" s="21"/>
      <c r="O158" s="21"/>
      <c r="P158" s="21"/>
      <c r="Q158" s="21"/>
      <c r="R158" s="21"/>
      <c r="S158" s="21"/>
      <c r="T158" s="21"/>
      <c r="U158" s="21"/>
      <c r="V158" s="3">
        <v>1</v>
      </c>
    </row>
    <row r="159" spans="1:24">
      <c r="I159" s="21"/>
      <c r="J159" s="21"/>
      <c r="K159" s="21"/>
      <c r="L159" s="21"/>
      <c r="M159" s="21"/>
      <c r="N159" s="21"/>
      <c r="O159" s="21"/>
      <c r="P159" s="21"/>
      <c r="Q159" s="21"/>
      <c r="R159" s="21"/>
      <c r="S159" s="21"/>
      <c r="T159" s="21"/>
      <c r="U159" s="21"/>
      <c r="V159" s="20" t="s">
        <v>5</v>
      </c>
    </row>
    <row r="160" spans="1:24">
      <c r="A160" s="3">
        <v>1</v>
      </c>
      <c r="B160" s="3">
        <v>1</v>
      </c>
      <c r="C160" s="3">
        <v>1</v>
      </c>
      <c r="D160" s="3">
        <v>1</v>
      </c>
      <c r="E160" s="3"/>
      <c r="F160" s="3"/>
      <c r="G160" s="3">
        <v>1</v>
      </c>
      <c r="H160" s="3">
        <v>1</v>
      </c>
      <c r="I160" s="3">
        <v>1</v>
      </c>
      <c r="J160" s="3">
        <v>1</v>
      </c>
      <c r="K160" s="3">
        <v>1</v>
      </c>
      <c r="L160" s="3">
        <v>1</v>
      </c>
      <c r="M160" s="3">
        <v>1</v>
      </c>
      <c r="N160" s="3">
        <v>1</v>
      </c>
      <c r="O160" s="3">
        <v>1</v>
      </c>
      <c r="P160" s="3">
        <v>1</v>
      </c>
      <c r="Q160" s="3">
        <v>1</v>
      </c>
      <c r="R160" s="3">
        <v>1</v>
      </c>
      <c r="S160" s="3">
        <v>1</v>
      </c>
      <c r="T160" s="3">
        <v>1</v>
      </c>
      <c r="U160" s="3">
        <v>1</v>
      </c>
      <c r="V160" s="1" t="str">
        <f>ADDRESS(ROW(),COLUMN(),4)</f>
        <v>V160</v>
      </c>
      <c r="W160" s="13"/>
      <c r="X160" s="14" t="str">
        <f>ADDRESS(ROW(),COLUMN(),4)</f>
        <v>X160</v>
      </c>
    </row>
  </sheetData>
  <mergeCells count="10">
    <mergeCell ref="G106:G111"/>
    <mergeCell ref="P19:P24"/>
    <mergeCell ref="K18:P18"/>
    <mergeCell ref="G91:G94"/>
    <mergeCell ref="J19:J27"/>
    <mergeCell ref="B19:B84"/>
    <mergeCell ref="C21:G21"/>
    <mergeCell ref="H18:H83"/>
    <mergeCell ref="G99:G101"/>
    <mergeCell ref="C2:D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BD2F0-A9CC-4FCC-A66A-C071C57A69D0}">
  <dimension ref="A1:S1017"/>
  <sheetViews>
    <sheetView workbookViewId="0">
      <selection activeCell="K88" sqref="K88"/>
    </sheetView>
  </sheetViews>
  <sheetFormatPr baseColWidth="10" defaultColWidth="9.140625" defaultRowHeight="15"/>
  <cols>
    <col min="1" max="1" width="11.7109375" style="70" customWidth="1"/>
    <col min="2" max="8" width="5.7109375" style="70" hidden="1" customWidth="1"/>
    <col min="9" max="9" width="12.28515625" style="70" hidden="1" customWidth="1"/>
    <col min="10" max="10" width="14" style="70" customWidth="1"/>
    <col min="11" max="11" width="122.7109375" style="70" customWidth="1"/>
    <col min="12" max="12" width="9" style="70" customWidth="1"/>
    <col min="13" max="13" width="7.85546875" style="70" customWidth="1"/>
    <col min="14" max="14" width="8.5703125" style="70" customWidth="1"/>
    <col min="15" max="15" width="122.7109375" style="70" customWidth="1"/>
    <col min="16" max="17" width="9" style="70" customWidth="1"/>
    <col min="18" max="18" width="3" style="70" customWidth="1"/>
    <col min="19" max="16384" width="9.140625" style="70"/>
  </cols>
  <sheetData>
    <row r="1" spans="1:19" ht="24" customHeight="1">
      <c r="A1" s="73" t="str">
        <f>ADDRESS(ROW(),COLUMN(),4)</f>
        <v>A1</v>
      </c>
      <c r="B1" s="74"/>
      <c r="C1" s="75"/>
      <c r="D1" s="75"/>
      <c r="E1" s="75"/>
      <c r="F1" s="75"/>
      <c r="G1" s="75"/>
      <c r="H1" s="75"/>
      <c r="I1" s="75"/>
      <c r="J1" s="272" t="str">
        <f>"Dans ce document collez votre texte "&amp;K15&amp;" et récupérez le "&amp;O15&amp;" ou "&amp;V16</f>
        <v xml:space="preserve">Dans ce document collez votre texte COLONNE K et récupérez le COLONNE O ou </v>
      </c>
      <c r="K1" s="272"/>
      <c r="L1" s="272"/>
      <c r="M1" s="272"/>
      <c r="N1" s="272"/>
      <c r="O1" s="272"/>
      <c r="P1" s="272"/>
      <c r="Q1" s="272"/>
    </row>
    <row r="2" spans="1:19" ht="24" customHeight="1">
      <c r="A2" s="273" t="s">
        <v>390</v>
      </c>
      <c r="B2" s="74"/>
      <c r="C2" s="76"/>
      <c r="D2" s="76"/>
      <c r="E2" s="76"/>
      <c r="F2" s="76"/>
      <c r="G2" s="76"/>
      <c r="H2" s="76"/>
      <c r="I2" s="76"/>
      <c r="J2" s="272"/>
      <c r="K2" s="272"/>
      <c r="L2" s="272"/>
      <c r="M2" s="272"/>
      <c r="N2" s="272"/>
      <c r="O2" s="272"/>
      <c r="P2" s="272"/>
      <c r="Q2" s="272"/>
      <c r="S2" s="120" t="s">
        <v>566</v>
      </c>
    </row>
    <row r="3" spans="1:19" ht="24" customHeight="1">
      <c r="A3" s="273"/>
      <c r="B3" s="74" t="s">
        <v>391</v>
      </c>
      <c r="C3" s="76"/>
      <c r="D3" s="76"/>
      <c r="E3" s="76"/>
      <c r="F3" s="76"/>
      <c r="G3" s="76"/>
      <c r="H3" s="76"/>
      <c r="I3" s="76" t="s">
        <v>21</v>
      </c>
      <c r="J3" s="77" t="s">
        <v>21</v>
      </c>
      <c r="K3" s="78" t="s">
        <v>389</v>
      </c>
      <c r="L3" s="79"/>
      <c r="M3" s="79"/>
      <c r="N3" s="79"/>
      <c r="O3" s="79"/>
      <c r="P3" s="79"/>
      <c r="Q3" s="79"/>
    </row>
    <row r="4" spans="1:19" ht="30" customHeight="1">
      <c r="B4" s="80"/>
      <c r="C4" s="80"/>
      <c r="D4" s="80"/>
      <c r="E4" s="80"/>
      <c r="F4" s="80"/>
      <c r="G4" s="80"/>
      <c r="H4" s="80"/>
      <c r="I4" s="80"/>
      <c r="J4" s="274" t="str">
        <f>"Saisir le texte en "&amp;K15&amp;"  Régler la longueur en "&amp;ADDRESS(ROW(N10),COLUMN(N10),4)&amp;"    en option  Mettre un  X en  "&amp;ADDRESS(ROW(N11),COLUMN(N11),4)&amp;"  pour alléger une partie de la ponctuation."</f>
        <v>Saisir le texte en COLONNE K  Régler la longueur en N10    en option  Mettre un  X en  N11  pour alléger une partie de la ponctuation.</v>
      </c>
      <c r="K4" s="274"/>
      <c r="L4" s="274"/>
      <c r="M4" s="274"/>
      <c r="N4" s="274"/>
      <c r="O4" s="274"/>
      <c r="P4" s="274"/>
      <c r="Q4" s="274"/>
    </row>
    <row r="5" spans="1:19" ht="21" customHeight="1">
      <c r="B5" s="80"/>
      <c r="C5" s="80"/>
      <c r="D5" s="80"/>
      <c r="E5" s="80"/>
      <c r="F5" s="80"/>
      <c r="G5" s="80"/>
      <c r="H5" s="80"/>
      <c r="I5" s="81" t="s">
        <v>380</v>
      </c>
      <c r="J5" s="82">
        <f ca="1">INDEX(CELL("largeur",J5),1,1)</f>
        <v>13</v>
      </c>
      <c r="K5" s="82">
        <f ca="1">INDEX(CELL("largeur",K5),1,1)</f>
        <v>122</v>
      </c>
      <c r="L5" s="82">
        <f ca="1">INDEX(CELL("largeur",L5),1,1)</f>
        <v>8</v>
      </c>
      <c r="M5" s="80"/>
      <c r="N5" s="82">
        <f ca="1">INDEX(CELL("largeur",N5),1,1)</f>
        <v>8</v>
      </c>
      <c r="O5" s="82">
        <f ca="1">INDEX(CELL("largeur",O5),1,1)</f>
        <v>122</v>
      </c>
      <c r="P5" s="82">
        <f ca="1">INDEX(CELL("largeur",P5),1,1)</f>
        <v>8</v>
      </c>
      <c r="Q5" s="82">
        <f ca="1">INDEX(CELL("largeur",Q5),1,1)</f>
        <v>8</v>
      </c>
    </row>
    <row r="6" spans="1:19" ht="21" customHeight="1">
      <c r="B6" s="80"/>
      <c r="C6" s="80"/>
      <c r="D6" s="80"/>
      <c r="E6" s="80"/>
      <c r="F6" s="80"/>
      <c r="G6" s="80"/>
      <c r="H6" s="80"/>
      <c r="I6" s="80"/>
      <c r="J6" s="83"/>
      <c r="K6" s="84" t="str">
        <f ca="1">" Largeur de cette colonne : "&amp;INDEX(CELL("largeur",K6),1,1)</f>
        <v xml:space="preserve"> Largeur de cette colonne : 122</v>
      </c>
      <c r="L6" s="83"/>
      <c r="M6" s="80"/>
      <c r="N6" s="83"/>
      <c r="O6" s="85" t="str">
        <f ca="1">" Largeur de cette colonne : " &amp; O5 &amp; IF(O5 &gt; N9, " - Colonne trop large de " &amp; (O5 - N9), IF(O5 &lt; N9, " - Élargissez la colonne à " &amp; N9, " Largeur correcte"))</f>
        <v xml:space="preserve"> Largeur de cette colonne : 122 Largeur correcte</v>
      </c>
      <c r="P6" s="83"/>
      <c r="Q6" s="83"/>
    </row>
    <row r="7" spans="1:19" ht="21" customHeight="1">
      <c r="B7" s="80"/>
      <c r="C7" s="80"/>
      <c r="D7" s="80"/>
      <c r="E7" s="80"/>
      <c r="F7" s="80"/>
      <c r="G7" s="80"/>
      <c r="H7" s="80"/>
      <c r="I7" s="80"/>
      <c r="J7" s="86" t="s">
        <v>381</v>
      </c>
      <c r="K7" s="87"/>
      <c r="L7" s="87"/>
      <c r="M7" s="80"/>
      <c r="N7" s="275" t="s">
        <v>382</v>
      </c>
      <c r="O7" s="275"/>
      <c r="P7" s="275"/>
      <c r="Q7" s="275"/>
    </row>
    <row r="8" spans="1:19" ht="21" customHeight="1">
      <c r="B8" s="80"/>
      <c r="C8" s="80"/>
      <c r="D8" s="80"/>
      <c r="E8" s="80"/>
      <c r="F8" s="80"/>
      <c r="G8" s="80"/>
      <c r="H8" s="80"/>
      <c r="I8" s="80"/>
      <c r="J8" s="88">
        <f>COUNTIF(K18:K203,"&lt;&gt;")</f>
        <v>28</v>
      </c>
      <c r="K8" s="89" t="s">
        <v>101</v>
      </c>
      <c r="L8" s="80"/>
      <c r="N8" s="90"/>
      <c r="O8" s="91" t="str">
        <f>"1️⃣ saisissez ou collez votre texte "&amp;K15</f>
        <v>1️⃣ saisissez ou collez votre texte COLONNE K</v>
      </c>
      <c r="P8" s="80"/>
      <c r="Q8" s="80"/>
    </row>
    <row r="9" spans="1:19" ht="21" customHeight="1">
      <c r="B9" s="80"/>
      <c r="C9" s="80"/>
      <c r="D9" s="80"/>
      <c r="E9" s="80"/>
      <c r="F9" s="80"/>
      <c r="G9" s="80"/>
      <c r="H9" s="80"/>
      <c r="I9" s="80"/>
      <c r="J9" s="88">
        <f>SUM(L18:L203)</f>
        <v>1928</v>
      </c>
      <c r="K9" s="89" t="s">
        <v>111</v>
      </c>
      <c r="L9" s="80"/>
      <c r="M9" s="92" t="str">
        <f>ADDRESS(ROW(N10),COLUMN(N10),4)&amp;" ►"</f>
        <v>N10 ►</v>
      </c>
      <c r="N9" s="93">
        <v>122</v>
      </c>
      <c r="O9" s="94" t="s">
        <v>17</v>
      </c>
      <c r="P9" s="80"/>
      <c r="Q9" s="80"/>
    </row>
    <row r="10" spans="1:19" ht="21" customHeight="1">
      <c r="B10" s="80"/>
      <c r="C10" s="80"/>
      <c r="D10" s="80"/>
      <c r="E10" s="80"/>
      <c r="F10" s="80"/>
      <c r="G10" s="80"/>
      <c r="H10" s="80"/>
      <c r="I10" s="80"/>
      <c r="J10" s="88" cm="1">
        <f t="array" ref="J10">SUMPRODUCT((K18:K203&lt;&gt;"")*(LEN(TRIM(K18:K203))-LEN(SUBSTITUTE(TRIM(K18:K203)," ",""))+1))</f>
        <v>347</v>
      </c>
      <c r="K10" s="89" t="s">
        <v>112</v>
      </c>
      <c r="L10" s="80"/>
      <c r="M10" s="92" t="str">
        <f>ADDRESS(ROW(N11),COLUMN(N11),4)&amp;" ►"</f>
        <v>N11 ►</v>
      </c>
      <c r="N10" s="95">
        <v>80</v>
      </c>
      <c r="O10" s="94" t="s">
        <v>49</v>
      </c>
      <c r="P10" s="80"/>
      <c r="Q10" s="80"/>
    </row>
    <row r="11" spans="1:19" ht="21" customHeight="1">
      <c r="B11" s="80"/>
      <c r="C11" s="80"/>
      <c r="D11" s="80"/>
      <c r="E11" s="80"/>
      <c r="F11" s="80"/>
      <c r="G11" s="80"/>
      <c r="H11" s="80"/>
      <c r="I11" s="80"/>
      <c r="J11" s="88">
        <f>COUNTIF(O18:O1017,"&lt;&gt;")</f>
        <v>1000</v>
      </c>
      <c r="K11" s="89" t="s">
        <v>113</v>
      </c>
      <c r="L11" s="80"/>
      <c r="M11" s="92" t="str">
        <f>ADDRESS(ROW(N12),COLUMN(N12),4)&amp;" ►"</f>
        <v>N12 ►</v>
      </c>
      <c r="N11" s="96"/>
      <c r="O11" s="97" t="s">
        <v>18</v>
      </c>
      <c r="P11" s="80"/>
      <c r="Q11" s="80"/>
    </row>
    <row r="12" spans="1:19" ht="21" customHeight="1">
      <c r="B12" s="80"/>
      <c r="C12" s="80"/>
      <c r="D12" s="80"/>
      <c r="E12" s="80"/>
      <c r="F12" s="80"/>
      <c r="G12" s="80"/>
      <c r="H12" s="80"/>
      <c r="I12" s="80"/>
      <c r="J12" s="88" t="str">
        <f>IF(H1017&lt;&gt;"","Texte plus long que la zone de sortie","Prêt")</f>
        <v>Prêt</v>
      </c>
      <c r="K12" s="89" t="s">
        <v>114</v>
      </c>
      <c r="L12" s="80"/>
      <c r="M12" s="80"/>
      <c r="N12" s="276" t="s">
        <v>383</v>
      </c>
      <c r="O12" s="276"/>
      <c r="P12" s="276"/>
      <c r="Q12" s="276"/>
    </row>
    <row r="13" spans="1:19" ht="21" customHeight="1">
      <c r="B13" s="80"/>
      <c r="C13" s="80"/>
      <c r="D13" s="80"/>
      <c r="E13" s="80"/>
      <c r="F13" s="80"/>
      <c r="G13" s="80"/>
      <c r="H13" s="80"/>
      <c r="I13" s="80"/>
      <c r="J13" s="80"/>
      <c r="K13" s="88"/>
      <c r="L13" s="80"/>
      <c r="M13" s="80"/>
      <c r="N13" s="276"/>
      <c r="O13" s="276"/>
      <c r="P13" s="276"/>
      <c r="Q13" s="276"/>
    </row>
    <row r="14" spans="1:19" ht="21" customHeight="1">
      <c r="B14" s="269" t="s">
        <v>384</v>
      </c>
      <c r="C14" s="269"/>
      <c r="D14" s="269"/>
      <c r="E14" s="269"/>
      <c r="F14" s="269"/>
      <c r="G14" s="269"/>
      <c r="H14" s="269"/>
      <c r="I14" s="269"/>
      <c r="J14" s="269" t="s">
        <v>385</v>
      </c>
      <c r="K14" s="269"/>
      <c r="L14" s="269"/>
      <c r="M14" s="98"/>
      <c r="N14" s="269" t="s">
        <v>386</v>
      </c>
      <c r="O14" s="269"/>
      <c r="P14" s="269"/>
      <c r="Q14" s="269"/>
    </row>
    <row r="15" spans="1:19" ht="21" customHeight="1">
      <c r="B15" s="99"/>
      <c r="C15" s="99"/>
      <c r="D15" s="99"/>
      <c r="E15" s="99"/>
      <c r="F15" s="99"/>
      <c r="G15" s="99"/>
      <c r="H15" s="99"/>
      <c r="I15" s="99"/>
      <c r="J15" s="100"/>
      <c r="K15" s="101" t="str">
        <f>"COLONNE "&amp;SUBSTITUTE(ADDRESS(1,COLUMN(),4),"1","")</f>
        <v>COLONNE K</v>
      </c>
      <c r="L15" s="100"/>
      <c r="M15" s="80"/>
      <c r="N15" s="102"/>
      <c r="O15" s="103" t="str">
        <f>"COLONNE "&amp;SUBSTITUTE(ADDRESS(1,COLUMN(),4),"1","")</f>
        <v>COLONNE O</v>
      </c>
      <c r="P15" s="102"/>
      <c r="Q15" s="102"/>
    </row>
    <row r="16" spans="1:19" ht="21" customHeight="1">
      <c r="B16" s="104" t="s">
        <v>102</v>
      </c>
      <c r="C16" s="105" t="s">
        <v>387</v>
      </c>
      <c r="D16" s="105" t="s">
        <v>103</v>
      </c>
      <c r="E16" s="105" t="s">
        <v>104</v>
      </c>
      <c r="F16" s="105" t="s">
        <v>105</v>
      </c>
      <c r="G16" s="105" t="s">
        <v>106</v>
      </c>
      <c r="H16" s="105" t="s">
        <v>107</v>
      </c>
      <c r="I16" s="105" t="s">
        <v>108</v>
      </c>
      <c r="J16" s="106" t="s">
        <v>109</v>
      </c>
      <c r="K16" s="287" t="s">
        <v>19</v>
      </c>
      <c r="L16" s="106" t="s">
        <v>388</v>
      </c>
      <c r="M16" s="80"/>
      <c r="N16" s="107" t="s">
        <v>109</v>
      </c>
      <c r="O16" s="313" t="str">
        <f>"⚠️ COPIEZ / COLLEZ CE TEXTE SANS DÉTECTION D'ALLERGÈNES DANS VOTRE DOCUMENT (collage spécial 1.2.3 Valeur)"</f>
        <v>⚠️ COPIEZ / COLLEZ CE TEXTE SANS DÉTECTION D'ALLERGÈNES DANS VOTRE DOCUMENT (collage spécial 1.2.3 Valeur)</v>
      </c>
      <c r="P16" s="107" t="s">
        <v>110</v>
      </c>
      <c r="Q16" s="107" t="s">
        <v>388</v>
      </c>
    </row>
    <row r="17" spans="2:17" ht="20.100000000000001" customHeight="1">
      <c r="B17" s="99"/>
      <c r="C17" s="99"/>
      <c r="D17" s="99"/>
      <c r="E17" s="99"/>
      <c r="F17" s="99"/>
      <c r="G17" s="99"/>
      <c r="H17" s="99"/>
      <c r="I17" s="99"/>
      <c r="J17" s="106"/>
      <c r="K17" s="287"/>
      <c r="L17" s="106"/>
      <c r="M17" s="80"/>
      <c r="N17" s="108"/>
      <c r="O17" s="313"/>
      <c r="P17" s="108"/>
      <c r="Q17" s="108"/>
    </row>
    <row r="18" spans="2:17" ht="21" customHeight="1">
      <c r="B18" s="99" t="str">
        <f t="shared" ref="B18:B81" si="0">IF(TRIM(SUBSTITUTE(K18,CHAR(160),""))="","",TRIM(SUBSTITUTE(SUBSTITUTE(SUBSTITUTE(SUBSTITUTE(CLEAN(K18),CHAR(160)," "),CHAR(9)," "),CHAR(10)," "),CHAR(13)," ")))</f>
        <v>Tarte normande aux pommes et aux amandes 🍎🥧</v>
      </c>
      <c r="C18" s="99" t="str">
        <f t="shared" ref="C18:C81" si="1">IF(B18="","",TRIM(SUBSTITUTE(SUBSTITUTE(SUBSTITUTE(SUBSTITUTE(SUBSTITUTE(SUBSTITUTE(SUBSTITUTE(SUBSTITUTE(SUBSTITUTE(SUBSTITUTE(B18,","," "),";"," "),":"," "),"."," "),"?"," "), "!"," "),"/"," "), "("," "), ")"," "), "-"," ")))</f>
        <v>Tarte normande aux pommes et aux amandes 🍎🥧</v>
      </c>
      <c r="D18" s="99" t="str">
        <f>IF(UPPER(TRIM(N11))="X",C18,B18)</f>
        <v>Tarte normande aux pommes et aux amandes 🍎🥧</v>
      </c>
      <c r="E18" s="99" cm="1">
        <f t="array" ref="E18">IFERROR(MATCH(TRUE(),INDEX(K18:K203&lt;&gt;"",0),0)+17,"")</f>
        <v>18</v>
      </c>
      <c r="F18" s="99" t="str" cm="1">
        <f t="array" ref="F18">IF(E18="","",INDEX(D:D,E18))</f>
        <v>Tarte normande aux pommes et aux amandes 🍎🥧</v>
      </c>
      <c r="G18" s="99" t="str">
        <f t="shared" ref="G18:G81" si="2">IF(OR(F18="",M18=""),"",LEFT(F18,M18))</f>
        <v>Tarte normande aux pommes et aux amandes 🍎🥧</v>
      </c>
      <c r="H18" s="109" t="str">
        <f t="shared" ref="H18:H81" si="3">IF(OR(F18="",M18=""),"",TRIM(MID(F18,M18+1,99999)))</f>
        <v/>
      </c>
      <c r="I18" s="99" t="str">
        <f>IF(AND(F18&lt;&gt;"",N10&gt;0,M18&gt;N10),"Mot &gt; limite","")</f>
        <v/>
      </c>
      <c r="J18" s="110">
        <f>IF(K18="","",COUNTIF(K18:K18,"&lt;&gt;"))</f>
        <v>1</v>
      </c>
      <c r="K18" s="111" t="s">
        <v>393</v>
      </c>
      <c r="L18" s="110">
        <f t="shared" ref="L18:L81" si="4">IF(TRIM(SUBSTITUTE(K18,CHAR(160),""))="","",LEN(K18))</f>
        <v>45</v>
      </c>
      <c r="M18" s="80">
        <f>IF(OR(F18="",N10="",N10&lt;=0),"",IF(LEN(F18)&lt;=N10,LEN(F18),IFERROR(FIND("♦",SUBSTITUTE(LEFT(F18,N10)," ","♦",LEN(LEFT(F18,N10))-LEN(SUBSTITUTE(LEFT(F18,N10)," ","")))),FIND(" ",F18&amp;" ",N10+1)-1)))</f>
        <v>45</v>
      </c>
      <c r="N18" s="112">
        <f t="shared" ref="N18:N81" si="5">IF(O18="","",ROW()-17)</f>
        <v>1</v>
      </c>
      <c r="O18" s="113" t="str">
        <f t="shared" ref="O18:O81" si="6">G18</f>
        <v>Tarte normande aux pommes et aux amandes 🍎🥧</v>
      </c>
      <c r="P18" s="112">
        <f t="shared" ref="P18:P81" si="7">IF(O18="","",LEN(TRIM(O18))-LEN(SUBSTITUTE(TRIM(O18)," ",""))+1)</f>
        <v>8</v>
      </c>
      <c r="Q18" s="112">
        <f t="shared" ref="Q18:Q81" si="8">IF(O18="","",LEN(O18))</f>
        <v>45</v>
      </c>
    </row>
    <row r="19" spans="2:17" ht="21" customHeight="1">
      <c r="B19" s="99" t="str">
        <f t="shared" si="0"/>
        <v>Un grand classique de la pâtisserie française ! Cette tarte normande fondante aux pommes et aux amandes est à la fois simple, économique et délicieusement parfumée. À servir tiède avec une cuillerée de crème fraîche pour un pur moment de douceur.</v>
      </c>
      <c r="C19" s="99" t="str">
        <f t="shared" si="1"/>
        <v>Un grand classique de la pâtisserie française Cette tarte normande fondante aux pommes et aux amandes est à la fois simple économique et délicieusement parfumée À servir tiède avec une cuillerée de crème fraîche pour un pur moment de douceur</v>
      </c>
      <c r="D19" s="99" t="str">
        <f>IF(UPPER(TRIM(N11))="X",C19,B19)</f>
        <v>Un grand classique de la pâtisserie française ! Cette tarte normande fondante aux pommes et aux amandes est à la fois simple, économique et délicieusement parfumée. À servir tiède avec une cuillerée de crème fraîche pour un pur moment de douceur.</v>
      </c>
      <c r="E19" s="99" cm="1">
        <f t="array" ref="E19">IF(H18&lt;&gt;"",E18,IF(E18="","",IFERROR(MATCH(TRUE(),INDEX(INDEX(K:K,E18+1):K203&lt;&gt;"",0),0)+E18,"")))</f>
        <v>19</v>
      </c>
      <c r="F19" s="99" t="str" cm="1">
        <f t="array" ref="F19">IF(E19="","",IF(H18&lt;&gt;"",H18,INDEX(D:D,E19)))</f>
        <v>Un grand classique de la pâtisserie française ! Cette tarte normande fondante aux pommes et aux amandes est à la fois simple, économique et délicieusement parfumée. À servir tiède avec une cuillerée de crème fraîche pour un pur moment de douceur.</v>
      </c>
      <c r="G19" s="99" t="str">
        <f t="shared" si="2"/>
        <v xml:space="preserve">Un grand classique de la pâtisserie française ! Cette tarte normande fondante </v>
      </c>
      <c r="H19" s="109" t="str">
        <f t="shared" si="3"/>
        <v>aux pommes et aux amandes est à la fois simple, économique et délicieusement parfumée. À servir tiède avec une cuillerée de crème fraîche pour un pur moment de douceur.</v>
      </c>
      <c r="I19" s="114" t="str">
        <f>IF(AND(F19&lt;&gt;"",N10&gt;0,M19&gt;N10),"Mot &gt; limite","")</f>
        <v/>
      </c>
      <c r="J19" s="110">
        <f>IF(K19="","",COUNTIF(K18:K19,"&lt;&gt;"))</f>
        <v>2</v>
      </c>
      <c r="K19" s="111" t="s">
        <v>394</v>
      </c>
      <c r="L19" s="110">
        <f t="shared" si="4"/>
        <v>246</v>
      </c>
      <c r="M19" s="80">
        <f>IF(OR(F19="",N10="",N10&lt;=0),"",IF(LEN(F19)&lt;=N10,LEN(F19),IFERROR(FIND("♦",SUBSTITUTE(LEFT(F19,N10)," ","♦",LEN(LEFT(F19,N10))-LEN(SUBSTITUTE(LEFT(F19,N10)," ","")))),FIND(" ",F19&amp;" ",N10+1)-1)))</f>
        <v>78</v>
      </c>
      <c r="N19" s="112">
        <f t="shared" si="5"/>
        <v>2</v>
      </c>
      <c r="O19" s="115" t="str">
        <f t="shared" si="6"/>
        <v xml:space="preserve">Un grand classique de la pâtisserie française ! Cette tarte normande fondante </v>
      </c>
      <c r="P19" s="112">
        <f t="shared" si="7"/>
        <v>12</v>
      </c>
      <c r="Q19" s="112">
        <f t="shared" si="8"/>
        <v>78</v>
      </c>
    </row>
    <row r="20" spans="2:17" ht="21" customHeight="1">
      <c r="B20" s="99" t="str">
        <f t="shared" si="0"/>
        <v>Ingrédients :</v>
      </c>
      <c r="C20" s="99" t="str">
        <f t="shared" si="1"/>
        <v>Ingrédients</v>
      </c>
      <c r="D20" s="99" t="str">
        <f>IF(UPPER(TRIM(N11))="X",C20,B20)</f>
        <v>Ingrédients :</v>
      </c>
      <c r="E20" s="99" cm="1">
        <f t="array" ref="E20">IF(H19&lt;&gt;"",E19,IF(E19="","",IFERROR(MATCH(TRUE(),INDEX(INDEX(K:K,E19+1):K203&lt;&gt;"",0),0)+E19,"")))</f>
        <v>19</v>
      </c>
      <c r="F20" s="99" t="str" cm="1">
        <f t="array" ref="F20">IF(E20="","",IF(H19&lt;&gt;"",H19,INDEX(D:D,E20)))</f>
        <v>aux pommes et aux amandes est à la fois simple, économique et délicieusement parfumée. À servir tiède avec une cuillerée de crème fraîche pour un pur moment de douceur.</v>
      </c>
      <c r="G20" s="99" t="str">
        <f t="shared" si="2"/>
        <v xml:space="preserve">aux pommes et aux amandes est à la fois simple, économique et délicieusement </v>
      </c>
      <c r="H20" s="109" t="str">
        <f t="shared" si="3"/>
        <v>parfumée. À servir tiède avec une cuillerée de crème fraîche pour un pur moment de douceur.</v>
      </c>
      <c r="I20" s="114" t="str">
        <f>IF(AND(F20&lt;&gt;"",N10&gt;0,M20&gt;N10),"Mot &gt; limite","")</f>
        <v/>
      </c>
      <c r="J20" s="110">
        <f>IF(K20="","",COUNTIF(K18:K20,"&lt;&gt;"))</f>
        <v>3</v>
      </c>
      <c r="K20" s="111" t="s">
        <v>395</v>
      </c>
      <c r="L20" s="110">
        <f t="shared" si="4"/>
        <v>13</v>
      </c>
      <c r="M20" s="80">
        <f>IF(OR(F20="",N10="",N10&lt;=0),"",IF(LEN(F20)&lt;=N10,LEN(F20),IFERROR(FIND("♦",SUBSTITUTE(LEFT(F20,N10)," ","♦",LEN(LEFT(F20,N10))-LEN(SUBSTITUTE(LEFT(F20,N10)," ","")))),FIND(" ",F20&amp;" ",N10+1)-1)))</f>
        <v>77</v>
      </c>
      <c r="N20" s="112">
        <f t="shared" si="5"/>
        <v>3</v>
      </c>
      <c r="O20" s="113" t="str">
        <f t="shared" si="6"/>
        <v xml:space="preserve">aux pommes et aux amandes est à la fois simple, économique et délicieusement </v>
      </c>
      <c r="P20" s="112">
        <f t="shared" si="7"/>
        <v>13</v>
      </c>
      <c r="Q20" s="112">
        <f t="shared" si="8"/>
        <v>77</v>
      </c>
    </row>
    <row r="21" spans="2:17" ht="21" customHeight="1">
      <c r="B21" s="99" t="str">
        <f t="shared" si="0"/>
        <v>• 1 pâte sablée</v>
      </c>
      <c r="C21" s="99" t="str">
        <f t="shared" si="1"/>
        <v>• 1 pâte sablée</v>
      </c>
      <c r="D21" s="99" t="str">
        <f>IF(UPPER(TRIM(N11))="X",C21,B21)</f>
        <v>• 1 pâte sablée</v>
      </c>
      <c r="E21" s="99" cm="1">
        <f t="array" ref="E21">IF(H20&lt;&gt;"",E20,IF(E20="","",IFERROR(MATCH(TRUE(),INDEX(INDEX(K:K,E20+1):K203&lt;&gt;"",0),0)+E20,"")))</f>
        <v>19</v>
      </c>
      <c r="F21" s="99" t="str" cm="1">
        <f t="array" ref="F21">IF(E21="","",IF(H20&lt;&gt;"",H20,INDEX(D:D,E21)))</f>
        <v>parfumée. À servir tiède avec une cuillerée de crème fraîche pour un pur moment de douceur.</v>
      </c>
      <c r="G21" s="99" t="str">
        <f t="shared" si="2"/>
        <v xml:space="preserve">parfumée. À servir tiède avec une cuillerée de crème fraîche pour un pur moment </v>
      </c>
      <c r="H21" s="109" t="str">
        <f t="shared" si="3"/>
        <v>de douceur.</v>
      </c>
      <c r="I21" s="114" t="str">
        <f>IF(AND(F21&lt;&gt;"",N10&gt;0,M21&gt;N10),"Mot &gt; limite","")</f>
        <v/>
      </c>
      <c r="J21" s="110">
        <f>IF(K21="","",COUNTIF(K18:K21,"&lt;&gt;"))</f>
        <v>4</v>
      </c>
      <c r="K21" s="111" t="s">
        <v>396</v>
      </c>
      <c r="L21" s="110">
        <f t="shared" si="4"/>
        <v>15</v>
      </c>
      <c r="M21" s="80">
        <f>IF(OR(F21="",N10="",N10&lt;=0),"",IF(LEN(F21)&lt;=N10,LEN(F21),IFERROR(FIND("♦",SUBSTITUTE(LEFT(F21,N10)," ","♦",LEN(LEFT(F21,N10))-LEN(SUBSTITUTE(LEFT(F21,N10)," ","")))),FIND(" ",F21&amp;" ",N10+1)-1)))</f>
        <v>80</v>
      </c>
      <c r="N21" s="112">
        <f t="shared" si="5"/>
        <v>4</v>
      </c>
      <c r="O21" s="113" t="str">
        <f t="shared" si="6"/>
        <v xml:space="preserve">parfumée. À servir tiède avec une cuillerée de crème fraîche pour un pur moment </v>
      </c>
      <c r="P21" s="112">
        <f t="shared" si="7"/>
        <v>14</v>
      </c>
      <c r="Q21" s="112">
        <f t="shared" si="8"/>
        <v>80</v>
      </c>
    </row>
    <row r="22" spans="2:17" ht="21" customHeight="1">
      <c r="B22" s="99" t="str">
        <f t="shared" si="0"/>
        <v>• 6 pommes</v>
      </c>
      <c r="C22" s="99" t="str">
        <f t="shared" si="1"/>
        <v>• 6 pommes</v>
      </c>
      <c r="D22" s="99" t="str">
        <f>IF(UPPER(TRIM(N11))="X",C22,B22)</f>
        <v>• 6 pommes</v>
      </c>
      <c r="E22" s="99" cm="1">
        <f t="array" ref="E22">IF(H21&lt;&gt;"",E21,IF(E21="","",IFERROR(MATCH(TRUE(),INDEX(INDEX(K:K,E21+1):K203&lt;&gt;"",0),0)+E21,"")))</f>
        <v>19</v>
      </c>
      <c r="F22" s="99" t="str" cm="1">
        <f t="array" ref="F22">IF(E22="","",IF(H21&lt;&gt;"",H21,INDEX(D:D,E22)))</f>
        <v>de douceur.</v>
      </c>
      <c r="G22" s="99" t="str">
        <f t="shared" si="2"/>
        <v>de douceur.</v>
      </c>
      <c r="H22" s="109" t="str">
        <f t="shared" si="3"/>
        <v/>
      </c>
      <c r="I22" s="114" t="str">
        <f>IF(AND(F22&lt;&gt;"",N10&gt;0,M22&gt;N10),"Mot &gt; limite","")</f>
        <v/>
      </c>
      <c r="J22" s="110">
        <f>IF(K22="","",COUNTIF(K18:K22,"&lt;&gt;"))</f>
        <v>5</v>
      </c>
      <c r="K22" s="111" t="s">
        <v>397</v>
      </c>
      <c r="L22" s="110">
        <f t="shared" si="4"/>
        <v>10</v>
      </c>
      <c r="M22" s="80">
        <f>IF(OR(F22="",N10="",N10&lt;=0),"",IF(LEN(F22)&lt;=N10,LEN(F22),IFERROR(FIND("♦",SUBSTITUTE(LEFT(F22,N10)," ","♦",LEN(LEFT(F22,N10))-LEN(SUBSTITUTE(LEFT(F22,N10)," ","")))),FIND(" ",F22&amp;" ",N10+1)-1)))</f>
        <v>11</v>
      </c>
      <c r="N22" s="112">
        <f t="shared" si="5"/>
        <v>5</v>
      </c>
      <c r="O22" s="113" t="str">
        <f t="shared" si="6"/>
        <v>de douceur.</v>
      </c>
      <c r="P22" s="112">
        <f t="shared" si="7"/>
        <v>2</v>
      </c>
      <c r="Q22" s="112">
        <f t="shared" si="8"/>
        <v>11</v>
      </c>
    </row>
    <row r="23" spans="2:17" ht="21" customHeight="1">
      <c r="B23" s="99" t="str">
        <f t="shared" si="0"/>
        <v>• 3 œufs</v>
      </c>
      <c r="C23" s="99" t="str">
        <f t="shared" si="1"/>
        <v>• 3 œufs</v>
      </c>
      <c r="D23" s="99" t="str">
        <f>IF(UPPER(TRIM(N11))="X",C23,B23)</f>
        <v>• 3 œufs</v>
      </c>
      <c r="E23" s="99" cm="1">
        <f t="array" ref="E23">IF(H22&lt;&gt;"",E22,IF(E22="","",IFERROR(MATCH(TRUE(),INDEX(INDEX(K:K,E22+1):K203&lt;&gt;"",0),0)+E22,"")))</f>
        <v>20</v>
      </c>
      <c r="F23" s="99" t="str" cm="1">
        <f t="array" ref="F23">IF(E23="","",IF(H22&lt;&gt;"",H22,INDEX(D:D,E23)))</f>
        <v>Ingrédients :</v>
      </c>
      <c r="G23" s="99" t="str">
        <f t="shared" si="2"/>
        <v>Ingrédients :</v>
      </c>
      <c r="H23" s="109" t="str">
        <f t="shared" si="3"/>
        <v/>
      </c>
      <c r="I23" s="114" t="str">
        <f>IF(AND(F23&lt;&gt;"",N10&gt;0,M23&gt;N10),"Mot &gt; limite","")</f>
        <v/>
      </c>
      <c r="J23" s="110">
        <f>IF(K23="","",COUNTIF(K18:K23,"&lt;&gt;"))</f>
        <v>6</v>
      </c>
      <c r="K23" s="111" t="s">
        <v>398</v>
      </c>
      <c r="L23" s="110">
        <f t="shared" si="4"/>
        <v>8</v>
      </c>
      <c r="M23" s="80">
        <f>IF(OR(F23="",N10="",N10&lt;=0),"",IF(LEN(F23)&lt;=N10,LEN(F23),IFERROR(FIND("♦",SUBSTITUTE(LEFT(F23,N10)," ","♦",LEN(LEFT(F23,N10))-LEN(SUBSTITUTE(LEFT(F23,N10)," ","")))),FIND(" ",F23&amp;" ",N10+1)-1)))</f>
        <v>13</v>
      </c>
      <c r="N23" s="112">
        <f t="shared" si="5"/>
        <v>6</v>
      </c>
      <c r="O23" s="113" t="str">
        <f t="shared" si="6"/>
        <v>Ingrédients :</v>
      </c>
      <c r="P23" s="112">
        <f t="shared" si="7"/>
        <v>2</v>
      </c>
      <c r="Q23" s="112">
        <f t="shared" si="8"/>
        <v>13</v>
      </c>
    </row>
    <row r="24" spans="2:17" ht="21" customHeight="1">
      <c r="B24" s="99" t="str">
        <f t="shared" si="0"/>
        <v>• 50 g de poudre d’amandes</v>
      </c>
      <c r="C24" s="99" t="str">
        <f t="shared" si="1"/>
        <v>• 50 g de poudre d’amandes</v>
      </c>
      <c r="D24" s="99" t="str">
        <f>IF(UPPER(TRIM(N11))="X",C24,B24)</f>
        <v>• 50 g de poudre d’amandes</v>
      </c>
      <c r="E24" s="99" cm="1">
        <f t="array" ref="E24">IF(H23&lt;&gt;"",E23,IF(E23="","",IFERROR(MATCH(TRUE(),INDEX(INDEX(K:K,E23+1):K203&lt;&gt;"",0),0)+E23,"")))</f>
        <v>21</v>
      </c>
      <c r="F24" s="99" t="str" cm="1">
        <f t="array" ref="F24">IF(E24="","",IF(H23&lt;&gt;"",H23,INDEX(D:D,E24)))</f>
        <v>• 1 pâte sablée</v>
      </c>
      <c r="G24" s="99" t="str">
        <f t="shared" si="2"/>
        <v>• 1 pâte sablée</v>
      </c>
      <c r="H24" s="109" t="str">
        <f t="shared" si="3"/>
        <v/>
      </c>
      <c r="I24" s="114" t="str">
        <f>IF(AND(F24&lt;&gt;"",N10&gt;0,M24&gt;N10),"Mot &gt; limite","")</f>
        <v/>
      </c>
      <c r="J24" s="110">
        <f>IF(K24="","",COUNTIF(K18:K24,"&lt;&gt;"))</f>
        <v>7</v>
      </c>
      <c r="K24" s="111" t="s">
        <v>399</v>
      </c>
      <c r="L24" s="110">
        <f t="shared" si="4"/>
        <v>26</v>
      </c>
      <c r="M24" s="80">
        <f>IF(OR(F24="",N10="",N10&lt;=0),"",IF(LEN(F24)&lt;=N10,LEN(F24),IFERROR(FIND("♦",SUBSTITUTE(LEFT(F24,N10)," ","♦",LEN(LEFT(F24,N10))-LEN(SUBSTITUTE(LEFT(F24,N10)," ","")))),FIND(" ",F24&amp;" ",N10+1)-1)))</f>
        <v>15</v>
      </c>
      <c r="N24" s="112">
        <f t="shared" si="5"/>
        <v>7</v>
      </c>
      <c r="O24" s="113" t="str">
        <f t="shared" si="6"/>
        <v>• 1 pâte sablée</v>
      </c>
      <c r="P24" s="112">
        <f t="shared" si="7"/>
        <v>4</v>
      </c>
      <c r="Q24" s="112">
        <f t="shared" si="8"/>
        <v>15</v>
      </c>
    </row>
    <row r="25" spans="2:17" ht="21" customHeight="1">
      <c r="B25" s="99" t="str">
        <f t="shared" si="0"/>
        <v>• 50 g d’amandes effilées</v>
      </c>
      <c r="C25" s="99" t="str">
        <f t="shared" si="1"/>
        <v>• 50 g d’amandes effilées</v>
      </c>
      <c r="D25" s="99" t="str">
        <f>IF(UPPER(TRIM(N11))="X",C25,B25)</f>
        <v>• 50 g d’amandes effilées</v>
      </c>
      <c r="E25" s="99" cm="1">
        <f t="array" ref="E25">IF(H24&lt;&gt;"",E24,IF(E24="","",IFERROR(MATCH(TRUE(),INDEX(INDEX(K:K,E24+1):K203&lt;&gt;"",0),0)+E24,"")))</f>
        <v>22</v>
      </c>
      <c r="F25" s="99" t="str" cm="1">
        <f t="array" ref="F25">IF(E25="","",IF(H24&lt;&gt;"",H24,INDEX(D:D,E25)))</f>
        <v>• 6 pommes</v>
      </c>
      <c r="G25" s="99" t="str">
        <f t="shared" si="2"/>
        <v>• 6 pommes</v>
      </c>
      <c r="H25" s="109" t="str">
        <f t="shared" si="3"/>
        <v/>
      </c>
      <c r="I25" s="114" t="str">
        <f>IF(AND(F25&lt;&gt;"",N10&gt;0,M25&gt;N10),"Mot &gt; limite","")</f>
        <v/>
      </c>
      <c r="J25" s="110">
        <f>IF(K25="","",COUNTIF(K18:K25,"&lt;&gt;"))</f>
        <v>8</v>
      </c>
      <c r="K25" s="111" t="s">
        <v>400</v>
      </c>
      <c r="L25" s="110">
        <f t="shared" si="4"/>
        <v>25</v>
      </c>
      <c r="M25" s="80">
        <f>IF(OR(F25="",N10="",N10&lt;=0),"",IF(LEN(F25)&lt;=N10,LEN(F25),IFERROR(FIND("♦",SUBSTITUTE(LEFT(F25,N10)," ","♦",LEN(LEFT(F25,N10))-LEN(SUBSTITUTE(LEFT(F25,N10)," ","")))),FIND(" ",F25&amp;" ",N10+1)-1)))</f>
        <v>10</v>
      </c>
      <c r="N25" s="112">
        <f t="shared" si="5"/>
        <v>8</v>
      </c>
      <c r="O25" s="113" t="str">
        <f t="shared" si="6"/>
        <v>• 6 pommes</v>
      </c>
      <c r="P25" s="112">
        <f t="shared" si="7"/>
        <v>3</v>
      </c>
      <c r="Q25" s="112">
        <f t="shared" si="8"/>
        <v>10</v>
      </c>
    </row>
    <row r="26" spans="2:17" ht="21" customHeight="1">
      <c r="B26" s="99" t="str">
        <f t="shared" si="0"/>
        <v>• 50 g de sucre en poudre</v>
      </c>
      <c r="C26" s="99" t="str">
        <f t="shared" si="1"/>
        <v>• 50 g de sucre en poudre</v>
      </c>
      <c r="D26" s="99" t="str">
        <f>IF(UPPER(TRIM(N11))="X",C26,B26)</f>
        <v>• 50 g de sucre en poudre</v>
      </c>
      <c r="E26" s="99" cm="1">
        <f t="array" ref="E26">IF(H25&lt;&gt;"",E25,IF(E25="","",IFERROR(MATCH(TRUE(),INDEX(INDEX(K:K,E25+1):K203&lt;&gt;"",0),0)+E25,"")))</f>
        <v>23</v>
      </c>
      <c r="F26" s="99" t="str" cm="1">
        <f t="array" ref="F26">IF(E26="","",IF(H25&lt;&gt;"",H25,INDEX(D:D,E26)))</f>
        <v>• 3 œufs</v>
      </c>
      <c r="G26" s="99" t="str">
        <f t="shared" si="2"/>
        <v>• 3 œufs</v>
      </c>
      <c r="H26" s="109" t="str">
        <f t="shared" si="3"/>
        <v/>
      </c>
      <c r="I26" s="114" t="str">
        <f>IF(AND(F26&lt;&gt;"",N10&gt;0,M26&gt;N10),"Mot &gt; limite","")</f>
        <v/>
      </c>
      <c r="J26" s="110">
        <f>IF(K26="","",COUNTIF(K18:K26,"&lt;&gt;"))</f>
        <v>9</v>
      </c>
      <c r="K26" s="111" t="s">
        <v>401</v>
      </c>
      <c r="L26" s="110">
        <f t="shared" si="4"/>
        <v>25</v>
      </c>
      <c r="M26" s="80">
        <f>IF(OR(F26="",N10="",N10&lt;=0),"",IF(LEN(F26)&lt;=N10,LEN(F26),IFERROR(FIND("♦",SUBSTITUTE(LEFT(F26,N10)," ","♦",LEN(LEFT(F26,N10))-LEN(SUBSTITUTE(LEFT(F26,N10)," ","")))),FIND(" ",F26&amp;" ",N10+1)-1)))</f>
        <v>8</v>
      </c>
      <c r="N26" s="112">
        <f t="shared" si="5"/>
        <v>9</v>
      </c>
      <c r="O26" s="113" t="str">
        <f t="shared" si="6"/>
        <v>• 3 œufs</v>
      </c>
      <c r="P26" s="112">
        <f t="shared" si="7"/>
        <v>3</v>
      </c>
      <c r="Q26" s="112">
        <f t="shared" si="8"/>
        <v>8</v>
      </c>
    </row>
    <row r="27" spans="2:17" ht="21" customHeight="1">
      <c r="B27" s="99" t="str">
        <f t="shared" si="0"/>
        <v>• 30 g de farine</v>
      </c>
      <c r="C27" s="99" t="str">
        <f t="shared" si="1"/>
        <v>• 30 g de farine</v>
      </c>
      <c r="D27" s="99" t="str">
        <f>IF(UPPER(TRIM(N11))="X",C27,B27)</f>
        <v>• 30 g de farine</v>
      </c>
      <c r="E27" s="99" cm="1">
        <f t="array" ref="E27">IF(H26&lt;&gt;"",E26,IF(E26="","",IFERROR(MATCH(TRUE(),INDEX(INDEX(K:K,E26+1):K203&lt;&gt;"",0),0)+E26,"")))</f>
        <v>24</v>
      </c>
      <c r="F27" s="99" t="str" cm="1">
        <f t="array" ref="F27">IF(E27="","",IF(H26&lt;&gt;"",H26,INDEX(D:D,E27)))</f>
        <v>• 50 g de poudre d’amandes</v>
      </c>
      <c r="G27" s="99" t="str">
        <f t="shared" si="2"/>
        <v>• 50 g de poudre d’amandes</v>
      </c>
      <c r="H27" s="109" t="str">
        <f t="shared" si="3"/>
        <v/>
      </c>
      <c r="I27" s="114" t="str">
        <f>IF(AND(F27&lt;&gt;"",N10&gt;0,M27&gt;N10),"Mot &gt; limite","")</f>
        <v/>
      </c>
      <c r="J27" s="110">
        <f>IF(K27="","",COUNTIF(K18:K27,"&lt;&gt;"))</f>
        <v>10</v>
      </c>
      <c r="K27" s="111" t="s">
        <v>402</v>
      </c>
      <c r="L27" s="110">
        <f t="shared" si="4"/>
        <v>16</v>
      </c>
      <c r="M27" s="80">
        <f>IF(OR(F27="",N10="",N10&lt;=0),"",IF(LEN(F27)&lt;=N10,LEN(F27),IFERROR(FIND("♦",SUBSTITUTE(LEFT(F27,N10)," ","♦",LEN(LEFT(F27,N10))-LEN(SUBSTITUTE(LEFT(F27,N10)," ","")))),FIND(" ",F27&amp;" ",N10+1)-1)))</f>
        <v>26</v>
      </c>
      <c r="N27" s="112">
        <f t="shared" si="5"/>
        <v>10</v>
      </c>
      <c r="O27" s="113" t="str">
        <f t="shared" si="6"/>
        <v>• 50 g de poudre d’amandes</v>
      </c>
      <c r="P27" s="112">
        <f t="shared" si="7"/>
        <v>6</v>
      </c>
      <c r="Q27" s="112">
        <f t="shared" si="8"/>
        <v>26</v>
      </c>
    </row>
    <row r="28" spans="2:17" ht="21" customHeight="1">
      <c r="B28" s="99" t="str">
        <f t="shared" si="0"/>
        <v>• 15 cl de crème liquide</v>
      </c>
      <c r="C28" s="99" t="str">
        <f t="shared" si="1"/>
        <v>• 15 cl de crème liquide</v>
      </c>
      <c r="D28" s="99" t="str">
        <f>IF(UPPER(TRIM(N11))="X",C28,B28)</f>
        <v>• 15 cl de crème liquide</v>
      </c>
      <c r="E28" s="99" cm="1">
        <f t="array" ref="E28">IF(H27&lt;&gt;"",E27,IF(E27="","",IFERROR(MATCH(TRUE(),INDEX(INDEX(K:K,E27+1):K203&lt;&gt;"",0),0)+E27,"")))</f>
        <v>25</v>
      </c>
      <c r="F28" s="99" t="str" cm="1">
        <f t="array" ref="F28">IF(E28="","",IF(H27&lt;&gt;"",H27,INDEX(D:D,E28)))</f>
        <v>• 50 g d’amandes effilées</v>
      </c>
      <c r="G28" s="99" t="str">
        <f t="shared" si="2"/>
        <v>• 50 g d’amandes effilées</v>
      </c>
      <c r="H28" s="109" t="str">
        <f t="shared" si="3"/>
        <v/>
      </c>
      <c r="I28" s="114" t="str">
        <f>IF(AND(F28&lt;&gt;"",N10&gt;0,M28&gt;N10),"Mot &gt; limite","")</f>
        <v/>
      </c>
      <c r="J28" s="110">
        <f>IF(K28="","",COUNTIF(K18:K28,"&lt;&gt;"))</f>
        <v>11</v>
      </c>
      <c r="K28" s="111" t="s">
        <v>403</v>
      </c>
      <c r="L28" s="110">
        <f t="shared" si="4"/>
        <v>24</v>
      </c>
      <c r="M28" s="80">
        <f>IF(OR(F28="",N10="",N10&lt;=0),"",IF(LEN(F28)&lt;=N10,LEN(F28),IFERROR(FIND("♦",SUBSTITUTE(LEFT(F28,N10)," ","♦",LEN(LEFT(F28,N10))-LEN(SUBSTITUTE(LEFT(F28,N10)," ","")))),FIND(" ",F28&amp;" ",N10+1)-1)))</f>
        <v>25</v>
      </c>
      <c r="N28" s="112">
        <f t="shared" si="5"/>
        <v>11</v>
      </c>
      <c r="O28" s="113" t="str">
        <f t="shared" si="6"/>
        <v>• 50 g d’amandes effilées</v>
      </c>
      <c r="P28" s="112">
        <f t="shared" si="7"/>
        <v>5</v>
      </c>
      <c r="Q28" s="112">
        <f t="shared" si="8"/>
        <v>25</v>
      </c>
    </row>
    <row r="29" spans="2:17" ht="21" customHeight="1">
      <c r="B29" s="99" t="str">
        <f t="shared" si="0"/>
        <v>• 1 sachet de sucre vanillé</v>
      </c>
      <c r="C29" s="99" t="str">
        <f t="shared" si="1"/>
        <v>• 1 sachet de sucre vanillé</v>
      </c>
      <c r="D29" s="99" t="str">
        <f>IF(UPPER(TRIM(N11))="X",C29,B29)</f>
        <v>• 1 sachet de sucre vanillé</v>
      </c>
      <c r="E29" s="99" cm="1">
        <f t="array" ref="E29">IF(H28&lt;&gt;"",E28,IF(E28="","",IFERROR(MATCH(TRUE(),INDEX(INDEX(K:K,E28+1):K203&lt;&gt;"",0),0)+E28,"")))</f>
        <v>26</v>
      </c>
      <c r="F29" s="99" t="str" cm="1">
        <f t="array" ref="F29">IF(E29="","",IF(H28&lt;&gt;"",H28,INDEX(D:D,E29)))</f>
        <v>• 50 g de sucre en poudre</v>
      </c>
      <c r="G29" s="99" t="str">
        <f t="shared" si="2"/>
        <v>• 50 g de sucre en poudre</v>
      </c>
      <c r="H29" s="109" t="str">
        <f t="shared" si="3"/>
        <v/>
      </c>
      <c r="I29" s="114" t="str">
        <f>IF(AND(F29&lt;&gt;"",N10&gt;0,M29&gt;N10),"Mot &gt; limite","")</f>
        <v/>
      </c>
      <c r="J29" s="110">
        <f>IF(K29="","",COUNTIF(K18:K29,"&lt;&gt;"))</f>
        <v>12</v>
      </c>
      <c r="K29" s="111" t="s">
        <v>404</v>
      </c>
      <c r="L29" s="110">
        <f t="shared" si="4"/>
        <v>27</v>
      </c>
      <c r="M29" s="80">
        <f>IF(OR(F29="",N10="",N10&lt;=0),"",IF(LEN(F29)&lt;=N10,LEN(F29),IFERROR(FIND("♦",SUBSTITUTE(LEFT(F29,N10)," ","♦",LEN(LEFT(F29,N10))-LEN(SUBSTITUTE(LEFT(F29,N10)," ","")))),FIND(" ",F29&amp;" ",N10+1)-1)))</f>
        <v>25</v>
      </c>
      <c r="N29" s="112">
        <f t="shared" si="5"/>
        <v>12</v>
      </c>
      <c r="O29" s="113" t="str">
        <f t="shared" si="6"/>
        <v>• 50 g de sucre en poudre</v>
      </c>
      <c r="P29" s="112">
        <f t="shared" si="7"/>
        <v>7</v>
      </c>
      <c r="Q29" s="112">
        <f t="shared" si="8"/>
        <v>25</v>
      </c>
    </row>
    <row r="30" spans="2:17" ht="21" customHeight="1">
      <c r="B30" s="99" t="str">
        <f t="shared" si="0"/>
        <v>• 15 g de beurre</v>
      </c>
      <c r="C30" s="99" t="str">
        <f t="shared" si="1"/>
        <v>• 15 g de beurre</v>
      </c>
      <c r="D30" s="99" t="str">
        <f>IF(UPPER(TRIM(N11))="X",C30,B30)</f>
        <v>• 15 g de beurre</v>
      </c>
      <c r="E30" s="99" cm="1">
        <f t="array" ref="E30">IF(H29&lt;&gt;"",E29,IF(E29="","",IFERROR(MATCH(TRUE(),INDEX(INDEX(K:K,E29+1):K203&lt;&gt;"",0),0)+E29,"")))</f>
        <v>27</v>
      </c>
      <c r="F30" s="99" t="str" cm="1">
        <f t="array" ref="F30">IF(E30="","",IF(H29&lt;&gt;"",H29,INDEX(D:D,E30)))</f>
        <v>• 30 g de farine</v>
      </c>
      <c r="G30" s="99" t="str">
        <f t="shared" si="2"/>
        <v>• 30 g de farine</v>
      </c>
      <c r="H30" s="109" t="str">
        <f t="shared" si="3"/>
        <v/>
      </c>
      <c r="I30" s="114" t="str">
        <f>IF(AND(F30&lt;&gt;"",N10&gt;0,M30&gt;N10),"Mot &gt; limite","")</f>
        <v/>
      </c>
      <c r="J30" s="110">
        <f>IF(K30="","",COUNTIF(K18:K30,"&lt;&gt;"))</f>
        <v>13</v>
      </c>
      <c r="K30" s="111" t="s">
        <v>405</v>
      </c>
      <c r="L30" s="110">
        <f t="shared" si="4"/>
        <v>16</v>
      </c>
      <c r="M30" s="80">
        <f>IF(OR(F30="",N10="",N10&lt;=0),"",IF(LEN(F30)&lt;=N10,LEN(F30),IFERROR(FIND("♦",SUBSTITUTE(LEFT(F30,N10)," ","♦",LEN(LEFT(F30,N10))-LEN(SUBSTITUTE(LEFT(F30,N10)," ","")))),FIND(" ",F30&amp;" ",N10+1)-1)))</f>
        <v>16</v>
      </c>
      <c r="N30" s="112">
        <f t="shared" si="5"/>
        <v>13</v>
      </c>
      <c r="O30" s="113" t="str">
        <f t="shared" si="6"/>
        <v>• 30 g de farine</v>
      </c>
      <c r="P30" s="112">
        <f t="shared" si="7"/>
        <v>5</v>
      </c>
      <c r="Q30" s="112">
        <f t="shared" si="8"/>
        <v>16</v>
      </c>
    </row>
    <row r="31" spans="2:17" ht="21" customHeight="1">
      <c r="B31" s="99" t="str">
        <f t="shared" si="0"/>
        <v>• 10 g de sucre glace</v>
      </c>
      <c r="C31" s="99" t="str">
        <f t="shared" si="1"/>
        <v>• 10 g de sucre glace</v>
      </c>
      <c r="D31" s="99" t="str">
        <f>IF(UPPER(TRIM(N11))="X",C31,B31)</f>
        <v>• 10 g de sucre glace</v>
      </c>
      <c r="E31" s="99" cm="1">
        <f t="array" ref="E31">IF(H30&lt;&gt;"",E30,IF(E30="","",IFERROR(MATCH(TRUE(),INDEX(INDEX(K:K,E30+1):K203&lt;&gt;"",0),0)+E30,"")))</f>
        <v>28</v>
      </c>
      <c r="F31" s="99" t="str" cm="1">
        <f t="array" ref="F31">IF(E31="","",IF(H30&lt;&gt;"",H30,INDEX(D:D,E31)))</f>
        <v>• 15 cl de crème liquide</v>
      </c>
      <c r="G31" s="99" t="str">
        <f t="shared" si="2"/>
        <v>• 15 cl de crème liquide</v>
      </c>
      <c r="H31" s="109" t="str">
        <f t="shared" si="3"/>
        <v/>
      </c>
      <c r="I31" s="114" t="str">
        <f>IF(AND(F31&lt;&gt;"",N10&gt;0,M31&gt;N10),"Mot &gt; limite","")</f>
        <v/>
      </c>
      <c r="J31" s="110">
        <f>IF(K31="","",COUNTIF(K18:K31,"&lt;&gt;"))</f>
        <v>14</v>
      </c>
      <c r="K31" s="111" t="s">
        <v>406</v>
      </c>
      <c r="L31" s="110">
        <f t="shared" si="4"/>
        <v>21</v>
      </c>
      <c r="M31" s="80">
        <f>IF(OR(F31="",N10="",N10&lt;=0),"",IF(LEN(F31)&lt;=N10,LEN(F31),IFERROR(FIND("♦",SUBSTITUTE(LEFT(F31,N10)," ","♦",LEN(LEFT(F31,N10))-LEN(SUBSTITUTE(LEFT(F31,N10)," ","")))),FIND(" ",F31&amp;" ",N10+1)-1)))</f>
        <v>24</v>
      </c>
      <c r="N31" s="112">
        <f t="shared" si="5"/>
        <v>14</v>
      </c>
      <c r="O31" s="113" t="str">
        <f t="shared" si="6"/>
        <v>• 15 cl de crème liquide</v>
      </c>
      <c r="P31" s="112">
        <f t="shared" si="7"/>
        <v>6</v>
      </c>
      <c r="Q31" s="112">
        <f t="shared" si="8"/>
        <v>24</v>
      </c>
    </row>
    <row r="32" spans="2:17" ht="21" customHeight="1">
      <c r="B32" s="99" t="str">
        <f t="shared" si="0"/>
        <v>Préparation :</v>
      </c>
      <c r="C32" s="99" t="str">
        <f t="shared" si="1"/>
        <v>Préparation</v>
      </c>
      <c r="D32" s="99" t="str">
        <f>IF(UPPER(TRIM(N11))="X",C32,B32)</f>
        <v>Préparation :</v>
      </c>
      <c r="E32" s="99" cm="1">
        <f t="array" ref="E32">IF(H31&lt;&gt;"",E31,IF(E31="","",IFERROR(MATCH(TRUE(),INDEX(INDEX(K:K,E31+1):K203&lt;&gt;"",0),0)+E31,"")))</f>
        <v>29</v>
      </c>
      <c r="F32" s="99" t="str" cm="1">
        <f t="array" ref="F32">IF(E32="","",IF(H31&lt;&gt;"",H31,INDEX(D:D,E32)))</f>
        <v>• 1 sachet de sucre vanillé</v>
      </c>
      <c r="G32" s="99" t="str">
        <f t="shared" si="2"/>
        <v>• 1 sachet de sucre vanillé</v>
      </c>
      <c r="H32" s="109" t="str">
        <f t="shared" si="3"/>
        <v/>
      </c>
      <c r="I32" s="114" t="str">
        <f>IF(AND(F32&lt;&gt;"",N10&gt;0,M32&gt;N10),"Mot &gt; limite","")</f>
        <v/>
      </c>
      <c r="J32" s="110">
        <f>IF(K32="","",COUNTIF(K18:K32,"&lt;&gt;"))</f>
        <v>15</v>
      </c>
      <c r="K32" s="111" t="s">
        <v>407</v>
      </c>
      <c r="L32" s="110">
        <f t="shared" si="4"/>
        <v>13</v>
      </c>
      <c r="M32" s="80">
        <f>IF(OR(F32="",N10="",N10&lt;=0),"",IF(LEN(F32)&lt;=N10,LEN(F32),IFERROR(FIND("♦",SUBSTITUTE(LEFT(F32,N10)," ","♦",LEN(LEFT(F32,N10))-LEN(SUBSTITUTE(LEFT(F32,N10)," ","")))),FIND(" ",F32&amp;" ",N10+1)-1)))</f>
        <v>27</v>
      </c>
      <c r="N32" s="112">
        <f t="shared" si="5"/>
        <v>15</v>
      </c>
      <c r="O32" s="113" t="str">
        <f t="shared" si="6"/>
        <v>• 1 sachet de sucre vanillé</v>
      </c>
      <c r="P32" s="112">
        <f t="shared" si="7"/>
        <v>6</v>
      </c>
      <c r="Q32" s="112">
        <f t="shared" si="8"/>
        <v>27</v>
      </c>
    </row>
    <row r="33" spans="2:17" ht="21" customHeight="1">
      <c r="B33" s="99" t="str">
        <f t="shared" si="0"/>
        <v>1. Préchauffez le four à 180°C (th. 6).</v>
      </c>
      <c r="C33" s="99" t="str">
        <f t="shared" si="1"/>
        <v>1 Préchauffez le four à 180°C th 6</v>
      </c>
      <c r="D33" s="99" t="str">
        <f>IF(UPPER(TRIM(N11))="X",C33,B33)</f>
        <v>1. Préchauffez le four à 180°C (th. 6).</v>
      </c>
      <c r="E33" s="99" cm="1">
        <f t="array" ref="E33">IF(H32&lt;&gt;"",E32,IF(E32="","",IFERROR(MATCH(TRUE(),INDEX(INDEX(K:K,E32+1):K203&lt;&gt;"",0),0)+E32,"")))</f>
        <v>30</v>
      </c>
      <c r="F33" s="99" t="str" cm="1">
        <f t="array" ref="F33">IF(E33="","",IF(H32&lt;&gt;"",H32,INDEX(D:D,E33)))</f>
        <v>• 15 g de beurre</v>
      </c>
      <c r="G33" s="99" t="str">
        <f t="shared" si="2"/>
        <v>• 15 g de beurre</v>
      </c>
      <c r="H33" s="109" t="str">
        <f t="shared" si="3"/>
        <v/>
      </c>
      <c r="I33" s="114" t="str">
        <f>IF(AND(F33&lt;&gt;"",N10&gt;0,M33&gt;N10),"Mot &gt; limite","")</f>
        <v/>
      </c>
      <c r="J33" s="110">
        <f>IF(K33="","",COUNTIF(K18:K33,"&lt;&gt;"))</f>
        <v>16</v>
      </c>
      <c r="K33" s="111" t="s">
        <v>408</v>
      </c>
      <c r="L33" s="110">
        <f t="shared" si="4"/>
        <v>39</v>
      </c>
      <c r="M33" s="80">
        <f>IF(OR(F33="",N10="",N10&lt;=0),"",IF(LEN(F33)&lt;=N10,LEN(F33),IFERROR(FIND("♦",SUBSTITUTE(LEFT(F33,N10)," ","♦",LEN(LEFT(F33,N10))-LEN(SUBSTITUTE(LEFT(F33,N10)," ","")))),FIND(" ",F33&amp;" ",N10+1)-1)))</f>
        <v>16</v>
      </c>
      <c r="N33" s="112">
        <f t="shared" si="5"/>
        <v>16</v>
      </c>
      <c r="O33" s="113" t="str">
        <f t="shared" si="6"/>
        <v>• 15 g de beurre</v>
      </c>
      <c r="P33" s="112">
        <f t="shared" si="7"/>
        <v>5</v>
      </c>
      <c r="Q33" s="112">
        <f t="shared" si="8"/>
        <v>16</v>
      </c>
    </row>
    <row r="34" spans="2:17" ht="21" customHeight="1">
      <c r="B34" s="99" t="str">
        <f t="shared" si="0"/>
        <v>2. Étalez la pâte sablée dans un moule beurré, piquez le fond avec une fourchette et placez au réfrigérateur pendant la préparation.</v>
      </c>
      <c r="C34" s="99" t="str">
        <f t="shared" si="1"/>
        <v>2 Étalez la pâte sablée dans un moule beurré piquez le fond avec une fourchette et placez au réfrigérateur pendant la préparation</v>
      </c>
      <c r="D34" s="99" t="str">
        <f>IF(UPPER(TRIM(N11))="X",C34,B34)</f>
        <v>2. Étalez la pâte sablée dans un moule beurré, piquez le fond avec une fourchette et placez au réfrigérateur pendant la préparation.</v>
      </c>
      <c r="E34" s="99" cm="1">
        <f t="array" ref="E34">IF(H33&lt;&gt;"",E33,IF(E33="","",IFERROR(MATCH(TRUE(),INDEX(INDEX(K:K,E33+1):K203&lt;&gt;"",0),0)+E33,"")))</f>
        <v>31</v>
      </c>
      <c r="F34" s="99" t="str" cm="1">
        <f t="array" ref="F34">IF(E34="","",IF(H33&lt;&gt;"",H33,INDEX(D:D,E34)))</f>
        <v>• 10 g de sucre glace</v>
      </c>
      <c r="G34" s="99" t="str">
        <f t="shared" si="2"/>
        <v>• 10 g de sucre glace</v>
      </c>
      <c r="H34" s="109" t="str">
        <f t="shared" si="3"/>
        <v/>
      </c>
      <c r="I34" s="114" t="str">
        <f>IF(AND(F34&lt;&gt;"",N10&gt;0,M34&gt;N10),"Mot &gt; limite","")</f>
        <v/>
      </c>
      <c r="J34" s="110">
        <f>IF(K34="","",COUNTIF(K18:K34,"&lt;&gt;"))</f>
        <v>17</v>
      </c>
      <c r="K34" s="111" t="s">
        <v>409</v>
      </c>
      <c r="L34" s="110">
        <f t="shared" si="4"/>
        <v>132</v>
      </c>
      <c r="M34" s="80">
        <f>IF(OR(F34="",N10="",N10&lt;=0),"",IF(LEN(F34)&lt;=N10,LEN(F34),IFERROR(FIND("♦",SUBSTITUTE(LEFT(F34,N10)," ","♦",LEN(LEFT(F34,N10))-LEN(SUBSTITUTE(LEFT(F34,N10)," ","")))),FIND(" ",F34&amp;" ",N10+1)-1)))</f>
        <v>21</v>
      </c>
      <c r="N34" s="112">
        <f t="shared" si="5"/>
        <v>17</v>
      </c>
      <c r="O34" s="113" t="str">
        <f t="shared" si="6"/>
        <v>• 10 g de sucre glace</v>
      </c>
      <c r="P34" s="112">
        <f t="shared" si="7"/>
        <v>6</v>
      </c>
      <c r="Q34" s="112">
        <f t="shared" si="8"/>
        <v>21</v>
      </c>
    </row>
    <row r="35" spans="2:17" ht="21" customHeight="1">
      <c r="B35" s="99" t="str">
        <f t="shared" si="0"/>
        <v>3. Épluchez, épépinez et coupez les pommes en tranches épaisses. Disposez-les joliment sur le fond de tarte.</v>
      </c>
      <c r="C35" s="99" t="str">
        <f t="shared" si="1"/>
        <v>3 Épluchez épépinez et coupez les pommes en tranches épaisses Disposez les joliment sur le fond de tarte</v>
      </c>
      <c r="D35" s="99" t="str">
        <f>IF(UPPER(TRIM(N11))="X",C35,B35)</f>
        <v>3. Épluchez, épépinez et coupez les pommes en tranches épaisses. Disposez-les joliment sur le fond de tarte.</v>
      </c>
      <c r="E35" s="99" cm="1">
        <f t="array" ref="E35">IF(H34&lt;&gt;"",E34,IF(E34="","",IFERROR(MATCH(TRUE(),INDEX(INDEX(K:K,E34+1):K203&lt;&gt;"",0),0)+E34,"")))</f>
        <v>32</v>
      </c>
      <c r="F35" s="99" t="str" cm="1">
        <f t="array" ref="F35">IF(E35="","",IF(H34&lt;&gt;"",H34,INDEX(D:D,E35)))</f>
        <v>Préparation :</v>
      </c>
      <c r="G35" s="99" t="str">
        <f t="shared" si="2"/>
        <v>Préparation :</v>
      </c>
      <c r="H35" s="109" t="str">
        <f t="shared" si="3"/>
        <v/>
      </c>
      <c r="I35" s="114" t="str">
        <f>IF(AND(F35&lt;&gt;"",N10&gt;0,M35&gt;N10),"Mot &gt; limite","")</f>
        <v/>
      </c>
      <c r="J35" s="110">
        <f>IF(K35="","",COUNTIF(K18:K35,"&lt;&gt;"))</f>
        <v>18</v>
      </c>
      <c r="K35" s="111" t="s">
        <v>410</v>
      </c>
      <c r="L35" s="110">
        <f t="shared" si="4"/>
        <v>108</v>
      </c>
      <c r="M35" s="80">
        <f>IF(OR(F35="",N10="",N10&lt;=0),"",IF(LEN(F35)&lt;=N10,LEN(F35),IFERROR(FIND("♦",SUBSTITUTE(LEFT(F35,N10)," ","♦",LEN(LEFT(F35,N10))-LEN(SUBSTITUTE(LEFT(F35,N10)," ","")))),FIND(" ",F35&amp;" ",N10+1)-1)))</f>
        <v>13</v>
      </c>
      <c r="N35" s="112">
        <f t="shared" si="5"/>
        <v>18</v>
      </c>
      <c r="O35" s="113" t="str">
        <f t="shared" si="6"/>
        <v>Préparation :</v>
      </c>
      <c r="P35" s="112">
        <f t="shared" si="7"/>
        <v>2</v>
      </c>
      <c r="Q35" s="112">
        <f t="shared" si="8"/>
        <v>13</v>
      </c>
    </row>
    <row r="36" spans="2:17" ht="21" customHeight="1">
      <c r="B36" s="99" t="str">
        <f t="shared" si="0"/>
        <v>4. Dans un saladier, fouettez les œufs avec le sucre et le sucre vanillé jusqu’à ce que le mélange blanchisse.</v>
      </c>
      <c r="C36" s="99" t="str">
        <f t="shared" si="1"/>
        <v>4 Dans un saladier fouettez les œufs avec le sucre et le sucre vanillé jusqu’à ce que le mélange blanchisse</v>
      </c>
      <c r="D36" s="99" t="str">
        <f>IF(UPPER(TRIM(N11))="X",C36,B36)</f>
        <v>4. Dans un saladier, fouettez les œufs avec le sucre et le sucre vanillé jusqu’à ce que le mélange blanchisse.</v>
      </c>
      <c r="E36" s="99" cm="1">
        <f t="array" ref="E36">IF(H35&lt;&gt;"",E35,IF(E35="","",IFERROR(MATCH(TRUE(),INDEX(INDEX(K:K,E35+1):K203&lt;&gt;"",0),0)+E35,"")))</f>
        <v>33</v>
      </c>
      <c r="F36" s="99" t="str" cm="1">
        <f t="array" ref="F36">IF(E36="","",IF(H35&lt;&gt;"",H35,INDEX(D:D,E36)))</f>
        <v>1. Préchauffez le four à 180°C (th. 6).</v>
      </c>
      <c r="G36" s="99" t="str">
        <f t="shared" si="2"/>
        <v>1. Préchauffez le four à 180°C (th. 6).</v>
      </c>
      <c r="H36" s="109" t="str">
        <f t="shared" si="3"/>
        <v/>
      </c>
      <c r="I36" s="114" t="str">
        <f>IF(AND(F36&lt;&gt;"",N10&gt;0,M36&gt;N10),"Mot &gt; limite","")</f>
        <v/>
      </c>
      <c r="J36" s="110">
        <f>IF(K36="","",COUNTIF(K18:K36,"&lt;&gt;"))</f>
        <v>19</v>
      </c>
      <c r="K36" s="111" t="s">
        <v>411</v>
      </c>
      <c r="L36" s="110">
        <f t="shared" si="4"/>
        <v>110</v>
      </c>
      <c r="M36" s="80">
        <f>IF(OR(F36="",N10="",N10&lt;=0),"",IF(LEN(F36)&lt;=N10,LEN(F36),IFERROR(FIND("♦",SUBSTITUTE(LEFT(F36,N10)," ","♦",LEN(LEFT(F36,N10))-LEN(SUBSTITUTE(LEFT(F36,N10)," ","")))),FIND(" ",F36&amp;" ",N10+1)-1)))</f>
        <v>39</v>
      </c>
      <c r="N36" s="112">
        <f t="shared" si="5"/>
        <v>19</v>
      </c>
      <c r="O36" s="113" t="str">
        <f t="shared" si="6"/>
        <v>1. Préchauffez le four à 180°C (th. 6).</v>
      </c>
      <c r="P36" s="112">
        <f t="shared" si="7"/>
        <v>8</v>
      </c>
      <c r="Q36" s="112">
        <f t="shared" si="8"/>
        <v>39</v>
      </c>
    </row>
    <row r="37" spans="2:17" ht="21" customHeight="1">
      <c r="B37" s="99" t="str">
        <f t="shared" si="0"/>
        <v>5. Incorporez la farine, la poudre d’amandes puis la crème liquide, en mélangeant bien entre chaque ajout.</v>
      </c>
      <c r="C37" s="99" t="str">
        <f t="shared" si="1"/>
        <v>5 Incorporez la farine la poudre d’amandes puis la crème liquide en mélangeant bien entre chaque ajout</v>
      </c>
      <c r="D37" s="99" t="str">
        <f>IF(UPPER(TRIM(N11))="X",C37,B37)</f>
        <v>5. Incorporez la farine, la poudre d’amandes puis la crème liquide, en mélangeant bien entre chaque ajout.</v>
      </c>
      <c r="E37" s="99" cm="1">
        <f t="array" ref="E37">IF(H36&lt;&gt;"",E36,IF(E36="","",IFERROR(MATCH(TRUE(),INDEX(INDEX(K:K,E36+1):K203&lt;&gt;"",0),0)+E36,"")))</f>
        <v>34</v>
      </c>
      <c r="F37" s="99" t="str" cm="1">
        <f t="array" ref="F37">IF(E37="","",IF(H36&lt;&gt;"",H36,INDEX(D:D,E37)))</f>
        <v>2. Étalez la pâte sablée dans un moule beurré, piquez le fond avec une fourchette et placez au réfrigérateur pendant la préparation.</v>
      </c>
      <c r="G37" s="99" t="str">
        <f t="shared" si="2"/>
        <v xml:space="preserve">2. Étalez la pâte sablée dans un moule beurré, piquez le fond avec une </v>
      </c>
      <c r="H37" s="109" t="str">
        <f t="shared" si="3"/>
        <v>fourchette et placez au réfrigérateur pendant la préparation.</v>
      </c>
      <c r="I37" s="114" t="str">
        <f>IF(AND(F37&lt;&gt;"",N10&gt;0,M37&gt;N10),"Mot &gt; limite","")</f>
        <v/>
      </c>
      <c r="J37" s="110">
        <f>IF(K37="","",COUNTIF(K18:K37,"&lt;&gt;"))</f>
        <v>20</v>
      </c>
      <c r="K37" s="111" t="s">
        <v>412</v>
      </c>
      <c r="L37" s="110">
        <f t="shared" si="4"/>
        <v>106</v>
      </c>
      <c r="M37" s="80">
        <f>IF(OR(F37="",N10="",N10&lt;=0),"",IF(LEN(F37)&lt;=N10,LEN(F37),IFERROR(FIND("♦",SUBSTITUTE(LEFT(F37,N10)," ","♦",LEN(LEFT(F37,N10))-LEN(SUBSTITUTE(LEFT(F37,N10)," ","")))),FIND(" ",F37&amp;" ",N10+1)-1)))</f>
        <v>71</v>
      </c>
      <c r="N37" s="112">
        <f t="shared" si="5"/>
        <v>20</v>
      </c>
      <c r="O37" s="113" t="str">
        <f t="shared" si="6"/>
        <v xml:space="preserve">2. Étalez la pâte sablée dans un moule beurré, piquez le fond avec une </v>
      </c>
      <c r="P37" s="112">
        <f t="shared" si="7"/>
        <v>14</v>
      </c>
      <c r="Q37" s="112">
        <f t="shared" si="8"/>
        <v>71</v>
      </c>
    </row>
    <row r="38" spans="2:17" ht="21" customHeight="1">
      <c r="B38" s="99" t="str">
        <f t="shared" si="0"/>
        <v>6. Versez cette préparation sur les pommes, parsemez d’amandes effilées et ajoutez quelques noisettes de beurre.</v>
      </c>
      <c r="C38" s="99" t="str">
        <f t="shared" si="1"/>
        <v>6 Versez cette préparation sur les pommes parsemez d’amandes effilées et ajoutez quelques noisettes de beurre</v>
      </c>
      <c r="D38" s="99" t="str">
        <f>IF(UPPER(TRIM(N11))="X",C38,B38)</f>
        <v>6. Versez cette préparation sur les pommes, parsemez d’amandes effilées et ajoutez quelques noisettes de beurre.</v>
      </c>
      <c r="E38" s="99" cm="1">
        <f t="array" ref="E38">IF(H37&lt;&gt;"",E37,IF(E37="","",IFERROR(MATCH(TRUE(),INDEX(INDEX(K:K,E37+1):K203&lt;&gt;"",0),0)+E37,"")))</f>
        <v>34</v>
      </c>
      <c r="F38" s="99" t="str" cm="1">
        <f t="array" ref="F38">IF(E38="","",IF(H37&lt;&gt;"",H37,INDEX(D:D,E38)))</f>
        <v>fourchette et placez au réfrigérateur pendant la préparation.</v>
      </c>
      <c r="G38" s="99" t="str">
        <f t="shared" si="2"/>
        <v>fourchette et placez au réfrigérateur pendant la préparation.</v>
      </c>
      <c r="H38" s="109" t="str">
        <f t="shared" si="3"/>
        <v/>
      </c>
      <c r="I38" s="114" t="str">
        <f>IF(AND(F38&lt;&gt;"",N10&gt;0,M38&gt;N10),"Mot &gt; limite","")</f>
        <v/>
      </c>
      <c r="J38" s="110">
        <f>IF(K38="","",COUNTIF(K18:K38,"&lt;&gt;"))</f>
        <v>21</v>
      </c>
      <c r="K38" s="111" t="s">
        <v>413</v>
      </c>
      <c r="L38" s="110">
        <f t="shared" si="4"/>
        <v>112</v>
      </c>
      <c r="M38" s="80">
        <f>IF(OR(F38="",N10="",N10&lt;=0),"",IF(LEN(F38)&lt;=N10,LEN(F38),IFERROR(FIND("♦",SUBSTITUTE(LEFT(F38,N10)," ","♦",LEN(LEFT(F38,N10))-LEN(SUBSTITUTE(LEFT(F38,N10)," ","")))),FIND(" ",F38&amp;" ",N10+1)-1)))</f>
        <v>61</v>
      </c>
      <c r="N38" s="112">
        <f t="shared" si="5"/>
        <v>21</v>
      </c>
      <c r="O38" s="113" t="str">
        <f t="shared" si="6"/>
        <v>fourchette et placez au réfrigérateur pendant la préparation.</v>
      </c>
      <c r="P38" s="112">
        <f t="shared" si="7"/>
        <v>8</v>
      </c>
      <c r="Q38" s="112">
        <f t="shared" si="8"/>
        <v>61</v>
      </c>
    </row>
    <row r="39" spans="2:17" ht="21" customHeight="1">
      <c r="B39" s="99" t="str">
        <f t="shared" si="0"/>
        <v>7. Enfournez pendant 30 minutes jusqu’à ce que la tarte soit dorée.</v>
      </c>
      <c r="C39" s="99" t="str">
        <f t="shared" si="1"/>
        <v>7 Enfournez pendant 30 minutes jusqu’à ce que la tarte soit dorée</v>
      </c>
      <c r="D39" s="99" t="str">
        <f>IF(UPPER(TRIM(N11))="X",C39,B39)</f>
        <v>7. Enfournez pendant 30 minutes jusqu’à ce que la tarte soit dorée.</v>
      </c>
      <c r="E39" s="99" cm="1">
        <f t="array" ref="E39">IF(H38&lt;&gt;"",E38,IF(E38="","",IFERROR(MATCH(TRUE(),INDEX(INDEX(K:K,E38+1):K203&lt;&gt;"",0),0)+E38,"")))</f>
        <v>35</v>
      </c>
      <c r="F39" s="99" t="str" cm="1">
        <f t="array" ref="F39">IF(E39="","",IF(H38&lt;&gt;"",H38,INDEX(D:D,E39)))</f>
        <v>3. Épluchez, épépinez et coupez les pommes en tranches épaisses. Disposez-les joliment sur le fond de tarte.</v>
      </c>
      <c r="G39" s="99" t="str">
        <f t="shared" si="2"/>
        <v xml:space="preserve">3. Épluchez, épépinez et coupez les pommes en tranches épaisses. Disposez-les </v>
      </c>
      <c r="H39" s="109" t="str">
        <f t="shared" si="3"/>
        <v>joliment sur le fond de tarte.</v>
      </c>
      <c r="I39" s="114" t="str">
        <f>IF(AND(F39&lt;&gt;"",N10&gt;0,M39&gt;N10),"Mot &gt; limite","")</f>
        <v/>
      </c>
      <c r="J39" s="110">
        <f>IF(K39="","",COUNTIF(K18:K39,"&lt;&gt;"))</f>
        <v>22</v>
      </c>
      <c r="K39" s="111" t="s">
        <v>414</v>
      </c>
      <c r="L39" s="110">
        <f t="shared" si="4"/>
        <v>67</v>
      </c>
      <c r="M39" s="80">
        <f>IF(OR(F39="",N10="",N10&lt;=0),"",IF(LEN(F39)&lt;=N10,LEN(F39),IFERROR(FIND("♦",SUBSTITUTE(LEFT(F39,N10)," ","♦",LEN(LEFT(F39,N10))-LEN(SUBSTITUTE(LEFT(F39,N10)," ","")))),FIND(" ",F39&amp;" ",N10+1)-1)))</f>
        <v>78</v>
      </c>
      <c r="N39" s="112">
        <f t="shared" si="5"/>
        <v>22</v>
      </c>
      <c r="O39" s="113" t="str">
        <f t="shared" si="6"/>
        <v xml:space="preserve">3. Épluchez, épépinez et coupez les pommes en tranches épaisses. Disposez-les </v>
      </c>
      <c r="P39" s="112">
        <f t="shared" si="7"/>
        <v>11</v>
      </c>
      <c r="Q39" s="112">
        <f t="shared" si="8"/>
        <v>78</v>
      </c>
    </row>
    <row r="40" spans="2:17" ht="21" customHeight="1">
      <c r="B40" s="99" t="str">
        <f t="shared" si="0"/>
        <v>8. Laissez tiédir, saupoudrez de sucre glace et servez avec une touche de crème fraîche.</v>
      </c>
      <c r="C40" s="99" t="str">
        <f t="shared" si="1"/>
        <v>8 Laissez tiédir saupoudrez de sucre glace et servez avec une touche de crème fraîche</v>
      </c>
      <c r="D40" s="99" t="str">
        <f>IF(UPPER(TRIM(N11))="X",C40,B40)</f>
        <v>8. Laissez tiédir, saupoudrez de sucre glace et servez avec une touche de crème fraîche.</v>
      </c>
      <c r="E40" s="99" cm="1">
        <f t="array" ref="E40">IF(H39&lt;&gt;"",E39,IF(E39="","",IFERROR(MATCH(TRUE(),INDEX(INDEX(K:K,E39+1):K203&lt;&gt;"",0),0)+E39,"")))</f>
        <v>35</v>
      </c>
      <c r="F40" s="99" t="str" cm="1">
        <f t="array" ref="F40">IF(E40="","",IF(H39&lt;&gt;"",H39,INDEX(D:D,E40)))</f>
        <v>joliment sur le fond de tarte.</v>
      </c>
      <c r="G40" s="99" t="str">
        <f t="shared" si="2"/>
        <v>joliment sur le fond de tarte.</v>
      </c>
      <c r="H40" s="109" t="str">
        <f t="shared" si="3"/>
        <v/>
      </c>
      <c r="I40" s="114" t="str">
        <f>IF(AND(F40&lt;&gt;"",N10&gt;0,M40&gt;N10),"Mot &gt; limite","")</f>
        <v/>
      </c>
      <c r="J40" s="110">
        <f>IF(K40="","",COUNTIF(K18:K40,"&lt;&gt;"))</f>
        <v>23</v>
      </c>
      <c r="K40" s="111" t="s">
        <v>415</v>
      </c>
      <c r="L40" s="110">
        <f t="shared" si="4"/>
        <v>88</v>
      </c>
      <c r="M40" s="80">
        <f>IF(OR(F40="",N10="",N10&lt;=0),"",IF(LEN(F40)&lt;=N10,LEN(F40),IFERROR(FIND("♦",SUBSTITUTE(LEFT(F40,N10)," ","♦",LEN(LEFT(F40,N10))-LEN(SUBSTITUTE(LEFT(F40,N10)," ","")))),FIND(" ",F40&amp;" ",N10+1)-1)))</f>
        <v>30</v>
      </c>
      <c r="N40" s="112">
        <f t="shared" si="5"/>
        <v>23</v>
      </c>
      <c r="O40" s="113" t="str">
        <f t="shared" si="6"/>
        <v>joliment sur le fond de tarte.</v>
      </c>
      <c r="P40" s="112">
        <f t="shared" si="7"/>
        <v>6</v>
      </c>
      <c r="Q40" s="112">
        <f t="shared" si="8"/>
        <v>30</v>
      </c>
    </row>
    <row r="41" spans="2:17" ht="21" customHeight="1">
      <c r="B41" s="99" t="str">
        <f t="shared" si="0"/>
        <v>Préparation : 20 min</v>
      </c>
      <c r="C41" s="99" t="str">
        <f t="shared" si="1"/>
        <v>Préparation 20 min</v>
      </c>
      <c r="D41" s="99" t="str">
        <f>IF(UPPER(TRIM(N11))="X",C41,B41)</f>
        <v>Préparation : 20 min</v>
      </c>
      <c r="E41" s="99" cm="1">
        <f t="array" ref="E41">IF(H40&lt;&gt;"",E40,IF(E40="","",IFERROR(MATCH(TRUE(),INDEX(INDEX(K:K,E40+1):K203&lt;&gt;"",0),0)+E40,"")))</f>
        <v>36</v>
      </c>
      <c r="F41" s="99" t="str" cm="1">
        <f t="array" ref="F41">IF(E41="","",IF(H40&lt;&gt;"",H40,INDEX(D:D,E41)))</f>
        <v>4. Dans un saladier, fouettez les œufs avec le sucre et le sucre vanillé jusqu’à ce que le mélange blanchisse.</v>
      </c>
      <c r="G41" s="99" t="str">
        <f t="shared" si="2"/>
        <v xml:space="preserve">4. Dans un saladier, fouettez les œufs avec le sucre et le sucre vanillé </v>
      </c>
      <c r="H41" s="109" t="str">
        <f t="shared" si="3"/>
        <v>jusqu’à ce que le mélange blanchisse.</v>
      </c>
      <c r="I41" s="114" t="str">
        <f>IF(AND(F41&lt;&gt;"",N10&gt;0,M41&gt;N10),"Mot &gt; limite","")</f>
        <v/>
      </c>
      <c r="J41" s="110">
        <f>IF(K41="","",COUNTIF(K18:K41,"&lt;&gt;"))</f>
        <v>24</v>
      </c>
      <c r="K41" s="111" t="s">
        <v>416</v>
      </c>
      <c r="L41" s="110">
        <f t="shared" si="4"/>
        <v>20</v>
      </c>
      <c r="M41" s="80">
        <f>IF(OR(F41="",N10="",N10&lt;=0),"",IF(LEN(F41)&lt;=N10,LEN(F41),IFERROR(FIND("♦",SUBSTITUTE(LEFT(F41,N10)," ","♦",LEN(LEFT(F41,N10))-LEN(SUBSTITUTE(LEFT(F41,N10)," ","")))),FIND(" ",F41&amp;" ",N10+1)-1)))</f>
        <v>73</v>
      </c>
      <c r="N41" s="112">
        <f t="shared" si="5"/>
        <v>24</v>
      </c>
      <c r="O41" s="113" t="str">
        <f t="shared" si="6"/>
        <v xml:space="preserve">4. Dans un saladier, fouettez les œufs avec le sucre et le sucre vanillé </v>
      </c>
      <c r="P41" s="112">
        <f t="shared" si="7"/>
        <v>14</v>
      </c>
      <c r="Q41" s="112">
        <f t="shared" si="8"/>
        <v>73</v>
      </c>
    </row>
    <row r="42" spans="2:17" ht="21" customHeight="1">
      <c r="B42" s="99" t="str">
        <f t="shared" si="0"/>
        <v>Cuisson : 30 min</v>
      </c>
      <c r="C42" s="99" t="str">
        <f t="shared" si="1"/>
        <v>Cuisson 30 min</v>
      </c>
      <c r="D42" s="99" t="str">
        <f>IF(UPPER(TRIM(N11))="X",C42,B42)</f>
        <v>Cuisson : 30 min</v>
      </c>
      <c r="E42" s="99" cm="1">
        <f t="array" ref="E42">IF(H41&lt;&gt;"",E41,IF(E41="","",IFERROR(MATCH(TRUE(),INDEX(INDEX(K:K,E41+1):K203&lt;&gt;"",0),0)+E41,"")))</f>
        <v>36</v>
      </c>
      <c r="F42" s="99" t="str" cm="1">
        <f t="array" ref="F42">IF(E42="","",IF(H41&lt;&gt;"",H41,INDEX(D:D,E42)))</f>
        <v>jusqu’à ce que le mélange blanchisse.</v>
      </c>
      <c r="G42" s="99" t="str">
        <f t="shared" si="2"/>
        <v>jusqu’à ce que le mélange blanchisse.</v>
      </c>
      <c r="H42" s="109" t="str">
        <f t="shared" si="3"/>
        <v/>
      </c>
      <c r="I42" s="114" t="str">
        <f>IF(AND(F42&lt;&gt;"",N10&gt;0,M42&gt;N10),"Mot &gt; limite","")</f>
        <v/>
      </c>
      <c r="J42" s="110">
        <f>IF(K42="","",COUNTIF(K18:K42,"&lt;&gt;"))</f>
        <v>25</v>
      </c>
      <c r="K42" s="111" t="s">
        <v>417</v>
      </c>
      <c r="L42" s="110">
        <f t="shared" si="4"/>
        <v>16</v>
      </c>
      <c r="M42" s="80">
        <f>IF(OR(F42="",N10="",N10&lt;=0),"",IF(LEN(F42)&lt;=N10,LEN(F42),IFERROR(FIND("♦",SUBSTITUTE(LEFT(F42,N10)," ","♦",LEN(LEFT(F42,N10))-LEN(SUBSTITUTE(LEFT(F42,N10)," ","")))),FIND(" ",F42&amp;" ",N10+1)-1)))</f>
        <v>37</v>
      </c>
      <c r="N42" s="112">
        <f t="shared" si="5"/>
        <v>25</v>
      </c>
      <c r="O42" s="113" t="str">
        <f t="shared" si="6"/>
        <v>jusqu’à ce que le mélange blanchisse.</v>
      </c>
      <c r="P42" s="112">
        <f t="shared" si="7"/>
        <v>6</v>
      </c>
      <c r="Q42" s="112">
        <f t="shared" si="8"/>
        <v>37</v>
      </c>
    </row>
    <row r="43" spans="2:17" ht="21" customHeight="1">
      <c r="B43" s="99" t="str">
        <f t="shared" si="0"/>
        <v>Portions : 4</v>
      </c>
      <c r="C43" s="99" t="str">
        <f t="shared" si="1"/>
        <v>Portions 4</v>
      </c>
      <c r="D43" s="99" t="str">
        <f>IF(UPPER(TRIM(N11))="X",C43,B43)</f>
        <v>Portions : 4</v>
      </c>
      <c r="E43" s="99" cm="1">
        <f t="array" ref="E43">IF(H42&lt;&gt;"",E42,IF(E42="","",IFERROR(MATCH(TRUE(),INDEX(INDEX(K:K,E42+1):K203&lt;&gt;"",0),0)+E42,"")))</f>
        <v>37</v>
      </c>
      <c r="F43" s="99" t="str" cm="1">
        <f t="array" ref="F43">IF(E43="","",IF(H42&lt;&gt;"",H42,INDEX(D:D,E43)))</f>
        <v>5. Incorporez la farine, la poudre d’amandes puis la crème liquide, en mélangeant bien entre chaque ajout.</v>
      </c>
      <c r="G43" s="99" t="str">
        <f t="shared" si="2"/>
        <v xml:space="preserve">5. Incorporez la farine, la poudre d’amandes puis la crème liquide, en </v>
      </c>
      <c r="H43" s="109" t="str">
        <f t="shared" si="3"/>
        <v>mélangeant bien entre chaque ajout.</v>
      </c>
      <c r="I43" s="114" t="str">
        <f>IF(AND(F43&lt;&gt;"",N10&gt;0,M43&gt;N10),"Mot &gt; limite","")</f>
        <v/>
      </c>
      <c r="J43" s="110">
        <f>IF(K43="","",COUNTIF(K18:K43,"&lt;&gt;"))</f>
        <v>26</v>
      </c>
      <c r="K43" s="111" t="s">
        <v>418</v>
      </c>
      <c r="L43" s="110">
        <f t="shared" si="4"/>
        <v>12</v>
      </c>
      <c r="M43" s="80">
        <f>IF(OR(F43="",N10="",N10&lt;=0),"",IF(LEN(F43)&lt;=N10,LEN(F43),IFERROR(FIND("♦",SUBSTITUTE(LEFT(F43,N10)," ","♦",LEN(LEFT(F43,N10))-LEN(SUBSTITUTE(LEFT(F43,N10)," ","")))),FIND(" ",F43&amp;" ",N10+1)-1)))</f>
        <v>71</v>
      </c>
      <c r="N43" s="112">
        <f t="shared" si="5"/>
        <v>26</v>
      </c>
      <c r="O43" s="113" t="str">
        <f t="shared" si="6"/>
        <v xml:space="preserve">5. Incorporez la farine, la poudre d’amandes puis la crème liquide, en </v>
      </c>
      <c r="P43" s="112">
        <f t="shared" si="7"/>
        <v>12</v>
      </c>
      <c r="Q43" s="112">
        <f t="shared" si="8"/>
        <v>71</v>
      </c>
    </row>
    <row r="44" spans="2:17" ht="21" customHeight="1">
      <c r="B44" s="99" t="str">
        <f t="shared" si="0"/>
        <v>Calories : ≈ 410 kcal par part</v>
      </c>
      <c r="C44" s="99" t="str">
        <f t="shared" si="1"/>
        <v>Calories ≈ 410 kcal par part</v>
      </c>
      <c r="D44" s="99" t="str">
        <f>IF(UPPER(TRIM(N11))="X",C44,B44)</f>
        <v>Calories : ≈ 410 kcal par part</v>
      </c>
      <c r="E44" s="99" cm="1">
        <f t="array" ref="E44">IF(H43&lt;&gt;"",E43,IF(E43="","",IFERROR(MATCH(TRUE(),INDEX(INDEX(K:K,E43+1):K203&lt;&gt;"",0),0)+E43,"")))</f>
        <v>37</v>
      </c>
      <c r="F44" s="99" t="str" cm="1">
        <f t="array" ref="F44">IF(E44="","",IF(H43&lt;&gt;"",H43,INDEX(D:D,E44)))</f>
        <v>mélangeant bien entre chaque ajout.</v>
      </c>
      <c r="G44" s="99" t="str">
        <f t="shared" si="2"/>
        <v>mélangeant bien entre chaque ajout.</v>
      </c>
      <c r="H44" s="109" t="str">
        <f t="shared" si="3"/>
        <v/>
      </c>
      <c r="I44" s="114" t="str">
        <f>IF(AND(F44&lt;&gt;"",N10&gt;0,M44&gt;N10),"Mot &gt; limite","")</f>
        <v/>
      </c>
      <c r="J44" s="110">
        <f>IF(K44="","",COUNTIF(K18:K44,"&lt;&gt;"))</f>
        <v>27</v>
      </c>
      <c r="K44" s="111" t="s">
        <v>419</v>
      </c>
      <c r="L44" s="110">
        <f t="shared" si="4"/>
        <v>30</v>
      </c>
      <c r="M44" s="80">
        <f>IF(OR(F44="",N10="",N10&lt;=0),"",IF(LEN(F44)&lt;=N10,LEN(F44),IFERROR(FIND("♦",SUBSTITUTE(LEFT(F44,N10)," ","♦",LEN(LEFT(F44,N10))-LEN(SUBSTITUTE(LEFT(F44,N10)," ","")))),FIND(" ",F44&amp;" ",N10+1)-1)))</f>
        <v>35</v>
      </c>
      <c r="N44" s="112">
        <f t="shared" si="5"/>
        <v>27</v>
      </c>
      <c r="O44" s="113" t="str">
        <f t="shared" si="6"/>
        <v>mélangeant bien entre chaque ajout.</v>
      </c>
      <c r="P44" s="112">
        <f t="shared" si="7"/>
        <v>5</v>
      </c>
      <c r="Q44" s="112">
        <f t="shared" si="8"/>
        <v>35</v>
      </c>
    </row>
    <row r="45" spans="2:17" ht="21" customHeight="1">
      <c r="B45" s="99" t="str">
        <f t="shared" si="0"/>
        <v/>
      </c>
      <c r="C45" s="99" t="str">
        <f t="shared" si="1"/>
        <v/>
      </c>
      <c r="D45" s="99" t="str">
        <f>IF(UPPER(TRIM(N11))="X",C45,B45)</f>
        <v/>
      </c>
      <c r="E45" s="99" cm="1">
        <f t="array" ref="E45">IF(H44&lt;&gt;"",E44,IF(E44="","",IFERROR(MATCH(TRUE(),INDEX(INDEX(K:K,E44+1):K203&lt;&gt;"",0),0)+E44,"")))</f>
        <v>38</v>
      </c>
      <c r="F45" s="99" t="str" cm="1">
        <f t="array" ref="F45">IF(E45="","",IF(H44&lt;&gt;"",H44,INDEX(D:D,E45)))</f>
        <v>6. Versez cette préparation sur les pommes, parsemez d’amandes effilées et ajoutez quelques noisettes de beurre.</v>
      </c>
      <c r="G45" s="99" t="str">
        <f t="shared" si="2"/>
        <v xml:space="preserve">6. Versez cette préparation sur les pommes, parsemez d’amandes effilées et </v>
      </c>
      <c r="H45" s="109" t="str">
        <f t="shared" si="3"/>
        <v>ajoutez quelques noisettes de beurre.</v>
      </c>
      <c r="I45" s="114" t="str">
        <f>IF(AND(F45&lt;&gt;"",N10&gt;0,M45&gt;N10),"Mot &gt; limite","")</f>
        <v/>
      </c>
      <c r="J45" s="110" t="str">
        <f>IF(K45="","",COUNTIF(K18:K45,"&lt;&gt;"))</f>
        <v/>
      </c>
      <c r="K45" s="111"/>
      <c r="L45" s="110" t="str">
        <f t="shared" si="4"/>
        <v/>
      </c>
      <c r="M45" s="80">
        <f>IF(OR(F45="",N10="",N10&lt;=0),"",IF(LEN(F45)&lt;=N10,LEN(F45),IFERROR(FIND("♦",SUBSTITUTE(LEFT(F45,N10)," ","♦",LEN(LEFT(F45,N10))-LEN(SUBSTITUTE(LEFT(F45,N10)," ","")))),FIND(" ",F45&amp;" ",N10+1)-1)))</f>
        <v>75</v>
      </c>
      <c r="N45" s="112">
        <f t="shared" si="5"/>
        <v>28</v>
      </c>
      <c r="O45" s="113" t="str">
        <f t="shared" si="6"/>
        <v xml:space="preserve">6. Versez cette préparation sur les pommes, parsemez d’amandes effilées et </v>
      </c>
      <c r="P45" s="112">
        <f t="shared" si="7"/>
        <v>11</v>
      </c>
      <c r="Q45" s="112">
        <f t="shared" si="8"/>
        <v>75</v>
      </c>
    </row>
    <row r="46" spans="2:17" ht="21" customHeight="1">
      <c r="B46" s="99" t="str">
        <f t="shared" si="0"/>
        <v/>
      </c>
      <c r="C46" s="99" t="str">
        <f t="shared" si="1"/>
        <v/>
      </c>
      <c r="D46" s="99" t="str">
        <f>IF(UPPER(TRIM(N11))="X",C46,B46)</f>
        <v/>
      </c>
      <c r="E46" s="99" cm="1">
        <f t="array" ref="E46">IF(H45&lt;&gt;"",E45,IF(E45="","",IFERROR(MATCH(TRUE(),INDEX(INDEX(K:K,E45+1):K203&lt;&gt;"",0),0)+E45,"")))</f>
        <v>38</v>
      </c>
      <c r="F46" s="99" t="str" cm="1">
        <f t="array" ref="F46">IF(E46="","",IF(H45&lt;&gt;"",H45,INDEX(D:D,E46)))</f>
        <v>ajoutez quelques noisettes de beurre.</v>
      </c>
      <c r="G46" s="99" t="str">
        <f t="shared" si="2"/>
        <v>ajoutez quelques noisettes de beurre.</v>
      </c>
      <c r="H46" s="109" t="str">
        <f t="shared" si="3"/>
        <v/>
      </c>
      <c r="I46" s="114" t="str">
        <f>IF(AND(F46&lt;&gt;"",N10&gt;0,M46&gt;N10),"Mot &gt; limite","")</f>
        <v/>
      </c>
      <c r="J46" s="110" t="str">
        <f>IF(K46="","",COUNTIF(K18:K46,"&lt;&gt;"))</f>
        <v/>
      </c>
      <c r="K46" s="111"/>
      <c r="L46" s="110" t="str">
        <f t="shared" si="4"/>
        <v/>
      </c>
      <c r="M46" s="80">
        <f>IF(OR(F46="",N10="",N10&lt;=0),"",IF(LEN(F46)&lt;=N10,LEN(F46),IFERROR(FIND("♦",SUBSTITUTE(LEFT(F46,N10)," ","♦",LEN(LEFT(F46,N10))-LEN(SUBSTITUTE(LEFT(F46,N10)," ","")))),FIND(" ",F46&amp;" ",N10+1)-1)))</f>
        <v>37</v>
      </c>
      <c r="N46" s="112">
        <f t="shared" si="5"/>
        <v>29</v>
      </c>
      <c r="O46" s="113" t="str">
        <f t="shared" si="6"/>
        <v>ajoutez quelques noisettes de beurre.</v>
      </c>
      <c r="P46" s="112">
        <f t="shared" si="7"/>
        <v>5</v>
      </c>
      <c r="Q46" s="112">
        <f t="shared" si="8"/>
        <v>37</v>
      </c>
    </row>
    <row r="47" spans="2:17" ht="21" customHeight="1">
      <c r="B47" s="99" t="str">
        <f t="shared" si="0"/>
        <v/>
      </c>
      <c r="C47" s="99" t="str">
        <f t="shared" si="1"/>
        <v/>
      </c>
      <c r="D47" s="99" t="str">
        <f>IF(UPPER(TRIM(N11))="X",C47,B47)</f>
        <v/>
      </c>
      <c r="E47" s="99" cm="1">
        <f t="array" ref="E47">IF(H46&lt;&gt;"",E46,IF(E46="","",IFERROR(MATCH(TRUE(),INDEX(INDEX(K:K,E46+1):K203&lt;&gt;"",0),0)+E46,"")))</f>
        <v>39</v>
      </c>
      <c r="F47" s="99" t="str" cm="1">
        <f t="array" ref="F47">IF(E47="","",IF(H46&lt;&gt;"",H46,INDEX(D:D,E47)))</f>
        <v>7. Enfournez pendant 30 minutes jusqu’à ce que la tarte soit dorée.</v>
      </c>
      <c r="G47" s="99" t="str">
        <f t="shared" si="2"/>
        <v>7. Enfournez pendant 30 minutes jusqu’à ce que la tarte soit dorée.</v>
      </c>
      <c r="H47" s="109" t="str">
        <f t="shared" si="3"/>
        <v/>
      </c>
      <c r="I47" s="114" t="str">
        <f>IF(AND(F47&lt;&gt;"",N10&gt;0,M47&gt;N10),"Mot &gt; limite","")</f>
        <v/>
      </c>
      <c r="J47" s="110" t="str">
        <f>IF(K47="","",COUNTIF(K18:K47,"&lt;&gt;"))</f>
        <v/>
      </c>
      <c r="K47" s="111"/>
      <c r="L47" s="110" t="str">
        <f t="shared" si="4"/>
        <v/>
      </c>
      <c r="M47" s="80">
        <f>IF(OR(F47="",N10="",N10&lt;=0),"",IF(LEN(F47)&lt;=N10,LEN(F47),IFERROR(FIND("♦",SUBSTITUTE(LEFT(F47,N10)," ","♦",LEN(LEFT(F47,N10))-LEN(SUBSTITUTE(LEFT(F47,N10)," ","")))),FIND(" ",F47&amp;" ",N10+1)-1)))</f>
        <v>67</v>
      </c>
      <c r="N47" s="112">
        <f t="shared" si="5"/>
        <v>30</v>
      </c>
      <c r="O47" s="113" t="str">
        <f t="shared" si="6"/>
        <v>7. Enfournez pendant 30 minutes jusqu’à ce que la tarte soit dorée.</v>
      </c>
      <c r="P47" s="112">
        <f t="shared" si="7"/>
        <v>12</v>
      </c>
      <c r="Q47" s="112">
        <f t="shared" si="8"/>
        <v>67</v>
      </c>
    </row>
    <row r="48" spans="2:17" ht="21" customHeight="1">
      <c r="B48" s="99" t="str">
        <f t="shared" si="0"/>
        <v/>
      </c>
      <c r="C48" s="99" t="str">
        <f t="shared" si="1"/>
        <v/>
      </c>
      <c r="D48" s="99" t="str">
        <f>IF(UPPER(TRIM(N11))="X",C48,B48)</f>
        <v/>
      </c>
      <c r="E48" s="99" cm="1">
        <f t="array" ref="E48">IF(H47&lt;&gt;"",E47,IF(E47="","",IFERROR(MATCH(TRUE(),INDEX(INDEX(K:K,E47+1):K203&lt;&gt;"",0),0)+E47,"")))</f>
        <v>40</v>
      </c>
      <c r="F48" s="99" t="str" cm="1">
        <f t="array" ref="F48">IF(E48="","",IF(H47&lt;&gt;"",H47,INDEX(D:D,E48)))</f>
        <v>8. Laissez tiédir, saupoudrez de sucre glace et servez avec une touche de crème fraîche.</v>
      </c>
      <c r="G48" s="99" t="str">
        <f t="shared" si="2"/>
        <v xml:space="preserve">8. Laissez tiédir, saupoudrez de sucre glace et servez avec une touche de crème </v>
      </c>
      <c r="H48" s="109" t="str">
        <f t="shared" si="3"/>
        <v>fraîche.</v>
      </c>
      <c r="I48" s="114" t="str">
        <f>IF(AND(F48&lt;&gt;"",N10&gt;0,M48&gt;N10),"Mot &gt; limite","")</f>
        <v/>
      </c>
      <c r="J48" s="110" t="str">
        <f>IF(K48="","",COUNTIF(K18:K48,"&lt;&gt;"))</f>
        <v/>
      </c>
      <c r="K48" s="111"/>
      <c r="L48" s="110" t="str">
        <f t="shared" si="4"/>
        <v/>
      </c>
      <c r="M48" s="80">
        <f>IF(OR(F48="",N10="",N10&lt;=0),"",IF(LEN(F48)&lt;=N10,LEN(F48),IFERROR(FIND("♦",SUBSTITUTE(LEFT(F48,N10)," ","♦",LEN(LEFT(F48,N10))-LEN(SUBSTITUTE(LEFT(F48,N10)," ","")))),FIND(" ",F48&amp;" ",N10+1)-1)))</f>
        <v>80</v>
      </c>
      <c r="N48" s="112">
        <f t="shared" si="5"/>
        <v>31</v>
      </c>
      <c r="O48" s="113" t="str">
        <f t="shared" si="6"/>
        <v xml:space="preserve">8. Laissez tiédir, saupoudrez de sucre glace et servez avec une touche de crème </v>
      </c>
      <c r="P48" s="112">
        <f t="shared" si="7"/>
        <v>14</v>
      </c>
      <c r="Q48" s="112">
        <f t="shared" si="8"/>
        <v>80</v>
      </c>
    </row>
    <row r="49" spans="2:17" ht="21" customHeight="1">
      <c r="B49" s="99" t="str">
        <f t="shared" si="0"/>
        <v/>
      </c>
      <c r="C49" s="99" t="str">
        <f t="shared" si="1"/>
        <v/>
      </c>
      <c r="D49" s="99" t="str">
        <f>IF(UPPER(TRIM(N11))="X",C49,B49)</f>
        <v/>
      </c>
      <c r="E49" s="99" cm="1">
        <f t="array" ref="E49">IF(H48&lt;&gt;"",E48,IF(E48="","",IFERROR(MATCH(TRUE(),INDEX(INDEX(K:K,E48+1):K203&lt;&gt;"",0),0)+E48,"")))</f>
        <v>40</v>
      </c>
      <c r="F49" s="99" t="str" cm="1">
        <f t="array" ref="F49">IF(E49="","",IF(H48&lt;&gt;"",H48,INDEX(D:D,E49)))</f>
        <v>fraîche.</v>
      </c>
      <c r="G49" s="99" t="str">
        <f t="shared" si="2"/>
        <v>fraîche.</v>
      </c>
      <c r="H49" s="109" t="str">
        <f t="shared" si="3"/>
        <v/>
      </c>
      <c r="I49" s="114" t="str">
        <f>IF(AND(F49&lt;&gt;"",N10&gt;0,M49&gt;N10),"Mot &gt; limite","")</f>
        <v/>
      </c>
      <c r="J49" s="110" t="str">
        <f>IF(K49="","",COUNTIF(K18:K49,"&lt;&gt;"))</f>
        <v/>
      </c>
      <c r="K49" s="111"/>
      <c r="L49" s="110" t="str">
        <f t="shared" si="4"/>
        <v/>
      </c>
      <c r="M49" s="80">
        <f>IF(OR(F49="",N10="",N10&lt;=0),"",IF(LEN(F49)&lt;=N10,LEN(F49),IFERROR(FIND("♦",SUBSTITUTE(LEFT(F49,N10)," ","♦",LEN(LEFT(F49,N10))-LEN(SUBSTITUTE(LEFT(F49,N10)," ","")))),FIND(" ",F49&amp;" ",N10+1)-1)))</f>
        <v>8</v>
      </c>
      <c r="N49" s="112">
        <f t="shared" si="5"/>
        <v>32</v>
      </c>
      <c r="O49" s="113" t="str">
        <f t="shared" si="6"/>
        <v>fraîche.</v>
      </c>
      <c r="P49" s="112">
        <f t="shared" si="7"/>
        <v>1</v>
      </c>
      <c r="Q49" s="112">
        <f t="shared" si="8"/>
        <v>8</v>
      </c>
    </row>
    <row r="50" spans="2:17" ht="21" customHeight="1">
      <c r="B50" s="99" t="str">
        <f t="shared" si="0"/>
        <v/>
      </c>
      <c r="C50" s="99" t="str">
        <f t="shared" si="1"/>
        <v/>
      </c>
      <c r="D50" s="99" t="str">
        <f>IF(UPPER(TRIM(N11))="X",C50,B50)</f>
        <v/>
      </c>
      <c r="E50" s="99" cm="1">
        <f t="array" ref="E50">IF(H49&lt;&gt;"",E49,IF(E49="","",IFERROR(MATCH(TRUE(),INDEX(INDEX(K:K,E49+1):K203&lt;&gt;"",0),0)+E49,"")))</f>
        <v>41</v>
      </c>
      <c r="F50" s="99" t="str" cm="1">
        <f t="array" ref="F50">IF(E50="","",IF(H49&lt;&gt;"",H49,INDEX(D:D,E50)))</f>
        <v>Préparation : 20 min</v>
      </c>
      <c r="G50" s="99" t="str">
        <f t="shared" si="2"/>
        <v>Préparation : 20 min</v>
      </c>
      <c r="H50" s="109" t="str">
        <f t="shared" si="3"/>
        <v/>
      </c>
      <c r="I50" s="114" t="str">
        <f>IF(AND(F50&lt;&gt;"",N10&gt;0,M50&gt;N10),"Mot &gt; limite","")</f>
        <v/>
      </c>
      <c r="J50" s="110" t="str">
        <f>IF(K50="","",COUNTIF(K18:K50,"&lt;&gt;"))</f>
        <v/>
      </c>
      <c r="K50" s="111"/>
      <c r="L50" s="110" t="str">
        <f t="shared" si="4"/>
        <v/>
      </c>
      <c r="M50" s="80">
        <f>IF(OR(F50="",N10="",N10&lt;=0),"",IF(LEN(F50)&lt;=N10,LEN(F50),IFERROR(FIND("♦",SUBSTITUTE(LEFT(F50,N10)," ","♦",LEN(LEFT(F50,N10))-LEN(SUBSTITUTE(LEFT(F50,N10)," ","")))),FIND(" ",F50&amp;" ",N10+1)-1)))</f>
        <v>20</v>
      </c>
      <c r="N50" s="112">
        <f t="shared" si="5"/>
        <v>33</v>
      </c>
      <c r="O50" s="113" t="str">
        <f t="shared" si="6"/>
        <v>Préparation : 20 min</v>
      </c>
      <c r="P50" s="112">
        <f t="shared" si="7"/>
        <v>4</v>
      </c>
      <c r="Q50" s="112">
        <f t="shared" si="8"/>
        <v>20</v>
      </c>
    </row>
    <row r="51" spans="2:17" ht="21" customHeight="1">
      <c r="B51" s="99" t="str">
        <f t="shared" si="0"/>
        <v/>
      </c>
      <c r="C51" s="99" t="str">
        <f t="shared" si="1"/>
        <v/>
      </c>
      <c r="D51" s="99" t="str">
        <f>IF(UPPER(TRIM(N11))="X",C51,B51)</f>
        <v/>
      </c>
      <c r="E51" s="99" cm="1">
        <f t="array" ref="E51">IF(H50&lt;&gt;"",E50,IF(E50="","",IFERROR(MATCH(TRUE(),INDEX(INDEX(K:K,E50+1):K203&lt;&gt;"",0),0)+E50,"")))</f>
        <v>42</v>
      </c>
      <c r="F51" s="99" t="str" cm="1">
        <f t="array" ref="F51">IF(E51="","",IF(H50&lt;&gt;"",H50,INDEX(D:D,E51)))</f>
        <v>Cuisson : 30 min</v>
      </c>
      <c r="G51" s="99" t="str">
        <f t="shared" si="2"/>
        <v>Cuisson : 30 min</v>
      </c>
      <c r="H51" s="109" t="str">
        <f t="shared" si="3"/>
        <v/>
      </c>
      <c r="I51" s="114" t="str">
        <f>IF(AND(F51&lt;&gt;"",N10&gt;0,M51&gt;N10),"Mot &gt; limite","")</f>
        <v/>
      </c>
      <c r="J51" s="110" t="str">
        <f>IF(K51="","",COUNTIF(K18:K51,"&lt;&gt;"))</f>
        <v/>
      </c>
      <c r="K51" s="111"/>
      <c r="L51" s="110" t="str">
        <f t="shared" si="4"/>
        <v/>
      </c>
      <c r="M51" s="80">
        <f>IF(OR(F51="",N10="",N10&lt;=0),"",IF(LEN(F51)&lt;=N10,LEN(F51),IFERROR(FIND("♦",SUBSTITUTE(LEFT(F51,N10)," ","♦",LEN(LEFT(F51,N10))-LEN(SUBSTITUTE(LEFT(F51,N10)," ","")))),FIND(" ",F51&amp;" ",N10+1)-1)))</f>
        <v>16</v>
      </c>
      <c r="N51" s="112">
        <f t="shared" si="5"/>
        <v>34</v>
      </c>
      <c r="O51" s="113" t="str">
        <f t="shared" si="6"/>
        <v>Cuisson : 30 min</v>
      </c>
      <c r="P51" s="112">
        <f t="shared" si="7"/>
        <v>4</v>
      </c>
      <c r="Q51" s="112">
        <f t="shared" si="8"/>
        <v>16</v>
      </c>
    </row>
    <row r="52" spans="2:17" ht="21" customHeight="1">
      <c r="B52" s="99" t="str">
        <f t="shared" si="0"/>
        <v/>
      </c>
      <c r="C52" s="99" t="str">
        <f t="shared" si="1"/>
        <v/>
      </c>
      <c r="D52" s="99" t="str">
        <f>IF(UPPER(TRIM(N11))="X",C52,B52)</f>
        <v/>
      </c>
      <c r="E52" s="99" cm="1">
        <f t="array" ref="E52">IF(H51&lt;&gt;"",E51,IF(E51="","",IFERROR(MATCH(TRUE(),INDEX(INDEX(K:K,E51+1):K203&lt;&gt;"",0),0)+E51,"")))</f>
        <v>43</v>
      </c>
      <c r="F52" s="99" t="str" cm="1">
        <f t="array" ref="F52">IF(E52="","",IF(H51&lt;&gt;"",H51,INDEX(D:D,E52)))</f>
        <v>Portions : 4</v>
      </c>
      <c r="G52" s="99" t="str">
        <f t="shared" si="2"/>
        <v>Portions : 4</v>
      </c>
      <c r="H52" s="109" t="str">
        <f t="shared" si="3"/>
        <v/>
      </c>
      <c r="I52" s="114" t="str">
        <f>IF(AND(F52&lt;&gt;"",N10&gt;0,M52&gt;N10),"Mot &gt; limite","")</f>
        <v/>
      </c>
      <c r="J52" s="110" t="str">
        <f>IF(K52="","",COUNTIF(K18:K52,"&lt;&gt;"))</f>
        <v/>
      </c>
      <c r="K52" s="111"/>
      <c r="L52" s="110" t="str">
        <f t="shared" si="4"/>
        <v/>
      </c>
      <c r="M52" s="80">
        <f>IF(OR(F52="",N10="",N10&lt;=0),"",IF(LEN(F52)&lt;=N10,LEN(F52),IFERROR(FIND("♦",SUBSTITUTE(LEFT(F52,N10)," ","♦",LEN(LEFT(F52,N10))-LEN(SUBSTITUTE(LEFT(F52,N10)," ","")))),FIND(" ",F52&amp;" ",N10+1)-1)))</f>
        <v>12</v>
      </c>
      <c r="N52" s="112">
        <f t="shared" si="5"/>
        <v>35</v>
      </c>
      <c r="O52" s="113" t="str">
        <f t="shared" si="6"/>
        <v>Portions : 4</v>
      </c>
      <c r="P52" s="112">
        <f t="shared" si="7"/>
        <v>3</v>
      </c>
      <c r="Q52" s="112">
        <f t="shared" si="8"/>
        <v>12</v>
      </c>
    </row>
    <row r="53" spans="2:17" ht="21" customHeight="1">
      <c r="B53" s="99" t="str">
        <f t="shared" si="0"/>
        <v/>
      </c>
      <c r="C53" s="99" t="str">
        <f t="shared" si="1"/>
        <v/>
      </c>
      <c r="D53" s="99" t="str">
        <f>IF(UPPER(TRIM(N11))="X",C53,B53)</f>
        <v/>
      </c>
      <c r="E53" s="99" cm="1">
        <f t="array" ref="E53">IF(H52&lt;&gt;"",E52,IF(E52="","",IFERROR(MATCH(TRUE(),INDEX(INDEX(K:K,E52+1):K203&lt;&gt;"",0),0)+E52,"")))</f>
        <v>44</v>
      </c>
      <c r="F53" s="99" t="str" cm="1">
        <f t="array" ref="F53">IF(E53="","",IF(H52&lt;&gt;"",H52,INDEX(D:D,E53)))</f>
        <v>Calories : ≈ 410 kcal par part</v>
      </c>
      <c r="G53" s="99" t="str">
        <f t="shared" si="2"/>
        <v>Calories : ≈ 410 kcal par part</v>
      </c>
      <c r="H53" s="109" t="str">
        <f t="shared" si="3"/>
        <v/>
      </c>
      <c r="I53" s="114" t="str">
        <f>IF(AND(F53&lt;&gt;"",N10&gt;0,M53&gt;N10),"Mot &gt; limite","")</f>
        <v/>
      </c>
      <c r="J53" s="110" t="str">
        <f>IF(K53="","",COUNTIF(K18:K53,"&lt;&gt;"))</f>
        <v/>
      </c>
      <c r="K53" s="111"/>
      <c r="L53" s="110" t="str">
        <f t="shared" si="4"/>
        <v/>
      </c>
      <c r="M53" s="80">
        <f>IF(OR(F53="",N10="",N10&lt;=0),"",IF(LEN(F53)&lt;=N10,LEN(F53),IFERROR(FIND("♦",SUBSTITUTE(LEFT(F53,N10)," ","♦",LEN(LEFT(F53,N10))-LEN(SUBSTITUTE(LEFT(F53,N10)," ","")))),FIND(" ",F53&amp;" ",N10+1)-1)))</f>
        <v>30</v>
      </c>
      <c r="N53" s="112">
        <f t="shared" si="5"/>
        <v>36</v>
      </c>
      <c r="O53" s="113" t="str">
        <f t="shared" si="6"/>
        <v>Calories : ≈ 410 kcal par part</v>
      </c>
      <c r="P53" s="112">
        <f t="shared" si="7"/>
        <v>7</v>
      </c>
      <c r="Q53" s="112">
        <f t="shared" si="8"/>
        <v>30</v>
      </c>
    </row>
    <row r="54" spans="2:17" ht="21" customHeight="1">
      <c r="B54" s="99" t="str">
        <f t="shared" si="0"/>
        <v/>
      </c>
      <c r="C54" s="99" t="str">
        <f t="shared" si="1"/>
        <v/>
      </c>
      <c r="D54" s="99" t="str">
        <f>IF(UPPER(TRIM(N11))="X",C54,B54)</f>
        <v/>
      </c>
      <c r="E54" s="99" cm="1">
        <f t="array" ref="E54">IF(H53&lt;&gt;"",E53,IF(E53="","",IFERROR(MATCH(TRUE(),INDEX(INDEX(K:K,E53+1):K203&lt;&gt;"",0),0)+E53,"")))</f>
        <v>203</v>
      </c>
      <c r="F54" s="99" t="str" cm="1">
        <f t="array" ref="F54">IF(E54="","",IF(H53&lt;&gt;"",H53,INDEX(D:D,E54)))</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4" s="99" t="str">
        <f t="shared" si="2"/>
        <v xml:space="preserve">Si vous récupérez du texte sur internet, collez-le d’abord dans la colonne 1️⃣ </v>
      </c>
      <c r="H54" s="109" t="str">
        <f t="shared" si="3"/>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4" s="114" t="str">
        <f>IF(AND(F54&lt;&gt;"",N10&gt;0,M54&gt;N10),"Mot &gt; limite","")</f>
        <v/>
      </c>
      <c r="J54" s="110" t="str">
        <f>IF(K54="","",COUNTIF(K18:K54,"&lt;&gt;"))</f>
        <v/>
      </c>
      <c r="K54" s="111"/>
      <c r="L54" s="110" t="str">
        <f t="shared" si="4"/>
        <v/>
      </c>
      <c r="M54" s="80">
        <f>IF(OR(F54="",N10="",N10&lt;=0),"",IF(LEN(F54)&lt;=N10,LEN(F54),IFERROR(FIND("♦",SUBSTITUTE(LEFT(F54,N10)," ","♦",LEN(LEFT(F54,N10))-LEN(SUBSTITUTE(LEFT(F54,N10)," ","")))),FIND(" ",F54&amp;" ",N10+1)-1)))</f>
        <v>79</v>
      </c>
      <c r="N54" s="112">
        <f t="shared" si="5"/>
        <v>37</v>
      </c>
      <c r="O54" s="113" t="str">
        <f t="shared" si="6"/>
        <v xml:space="preserve">Si vous récupérez du texte sur internet, collez-le d’abord dans la colonne 1️⃣ </v>
      </c>
      <c r="P54" s="112">
        <f t="shared" si="7"/>
        <v>13</v>
      </c>
      <c r="Q54" s="112">
        <f t="shared" si="8"/>
        <v>79</v>
      </c>
    </row>
    <row r="55" spans="2:17" ht="21" customHeight="1">
      <c r="B55" s="99" t="str">
        <f t="shared" si="0"/>
        <v/>
      </c>
      <c r="C55" s="99" t="str">
        <f t="shared" si="1"/>
        <v/>
      </c>
      <c r="D55" s="99" t="str">
        <f>IF(UPPER(TRIM(N11))="X",C55,B55)</f>
        <v/>
      </c>
      <c r="E55" s="99" cm="1">
        <f t="array" ref="E55">IF(H54&lt;&gt;"",E54,IF(E54="","",IFERROR(MATCH(TRUE(),INDEX(INDEX(K:K,E54+1):K203&lt;&gt;"",0),0)+E54,"")))</f>
        <v>203</v>
      </c>
      <c r="F55" s="99" t="str" cm="1">
        <f t="array" ref="F55">IF(E55="","",IF(H54&lt;&gt;"",H54,INDEX(D:D,E55)))</f>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5" s="99" t="str">
        <f t="shared" si="2"/>
        <v xml:space="preserve">pour le “nettoyer” : cela supprime les espaces insécables, tabulations </v>
      </c>
      <c r="H55" s="109" t="str">
        <f t="shared" si="3"/>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5" s="114" t="str">
        <f>IF(AND(F55&lt;&gt;"",N10&gt;0,M55&gt;N10),"Mot &gt; limite","")</f>
        <v/>
      </c>
      <c r="J55" s="110" t="str">
        <f>IF(K55="","",COUNTIF(K18:K55,"&lt;&gt;"))</f>
        <v/>
      </c>
      <c r="K55" s="111"/>
      <c r="L55" s="110" t="str">
        <f t="shared" si="4"/>
        <v/>
      </c>
      <c r="M55" s="80">
        <f>IF(OR(F55="",N10="",N10&lt;=0),"",IF(LEN(F55)&lt;=N10,LEN(F55),IFERROR(FIND("♦",SUBSTITUTE(LEFT(F55,N10)," ","♦",LEN(LEFT(F55,N10))-LEN(SUBSTITUTE(LEFT(F55,N10)," ","")))),FIND(" ",F55&amp;" ",N10+1)-1)))</f>
        <v>71</v>
      </c>
      <c r="N55" s="112">
        <f t="shared" si="5"/>
        <v>38</v>
      </c>
      <c r="O55" s="113" t="str">
        <f t="shared" si="6"/>
        <v xml:space="preserve">pour le “nettoyer” : cela supprime les espaces insécables, tabulations </v>
      </c>
      <c r="P55" s="112">
        <f t="shared" si="7"/>
        <v>10</v>
      </c>
      <c r="Q55" s="112">
        <f t="shared" si="8"/>
        <v>71</v>
      </c>
    </row>
    <row r="56" spans="2:17" ht="21" customHeight="1">
      <c r="B56" s="99" t="str">
        <f t="shared" si="0"/>
        <v/>
      </c>
      <c r="C56" s="99" t="str">
        <f t="shared" si="1"/>
        <v/>
      </c>
      <c r="D56" s="99" t="str">
        <f>IF(UPPER(TRIM(N11))="X",C56,B56)</f>
        <v/>
      </c>
      <c r="E56" s="99" cm="1">
        <f t="array" ref="E56">IF(H55&lt;&gt;"",E55,IF(E55="","",IFERROR(MATCH(TRUE(),INDEX(INDEX(K:K,E55+1):K203&lt;&gt;"",0),0)+E55,"")))</f>
        <v>203</v>
      </c>
      <c r="F56" s="99" t="str" cm="1">
        <f t="array" ref="F56">IF(E56="","",IF(H55&lt;&gt;"",H55,INDEX(D:D,E56)))</f>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6" s="99" t="str">
        <f t="shared" si="2"/>
        <v xml:space="preserve">invisibles et autres “pollutions”.◄ 2️⃣ Saisissez la largeur du document dans </v>
      </c>
      <c r="H56" s="109" t="str">
        <f t="shared" si="3"/>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6" s="114" t="str">
        <f>IF(AND(F56&lt;&gt;"",N10&gt;0,M56&gt;N10),"Mot &gt; limite","")</f>
        <v/>
      </c>
      <c r="J56" s="110" t="str">
        <f>IF(K56="","",COUNTIF(K18:K56,"&lt;&gt;"))</f>
        <v/>
      </c>
      <c r="K56" s="111"/>
      <c r="L56" s="110" t="str">
        <f t="shared" si="4"/>
        <v/>
      </c>
      <c r="M56" s="80">
        <f>IF(OR(F56="",N10="",N10&lt;=0),"",IF(LEN(F56)&lt;=N10,LEN(F56),IFERROR(FIND("♦",SUBSTITUTE(LEFT(F56,N10)," ","♦",LEN(LEFT(F56,N10))-LEN(SUBSTITUTE(LEFT(F56,N10)," ","")))),FIND(" ",F56&amp;" ",N10+1)-1)))</f>
        <v>78</v>
      </c>
      <c r="N56" s="112">
        <f t="shared" si="5"/>
        <v>39</v>
      </c>
      <c r="O56" s="113" t="str">
        <f t="shared" si="6"/>
        <v xml:space="preserve">invisibles et autres “pollutions”.◄ 2️⃣ Saisissez la largeur du document dans </v>
      </c>
      <c r="P56" s="112">
        <f t="shared" si="7"/>
        <v>11</v>
      </c>
      <c r="Q56" s="112">
        <f t="shared" si="8"/>
        <v>78</v>
      </c>
    </row>
    <row r="57" spans="2:17" ht="21" customHeight="1">
      <c r="B57" s="99" t="str">
        <f t="shared" si="0"/>
        <v/>
      </c>
      <c r="C57" s="99" t="str">
        <f t="shared" si="1"/>
        <v/>
      </c>
      <c r="D57" s="99" t="str">
        <f>IF(UPPER(TRIM(N11))="X",C57,B57)</f>
        <v/>
      </c>
      <c r="E57" s="99" cm="1">
        <f t="array" ref="E57">IF(H56&lt;&gt;"",E56,IF(E56="","",IFERROR(MATCH(TRUE(),INDEX(INDEX(K:K,E56+1):K203&lt;&gt;"",0),0)+E56,"")))</f>
        <v>203</v>
      </c>
      <c r="F57" s="99" t="str" cm="1">
        <f t="array" ref="F57">IF(E57="","",IF(H56&lt;&gt;"",H56,INDEX(D:D,E57)))</f>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7" s="99" t="str">
        <f t="shared" si="2"/>
        <v xml:space="preserve">lequel vous collerez ensuite le texte. ◄ 3️⃣ saisissez un nombre de caractères </v>
      </c>
      <c r="H57" s="109" t="str">
        <f t="shared" si="3"/>
        <v>par lignes ◄ 4️⃣ Si vous ne voulez pas de ponctuation saisissez un X dans la cellule - Ensuite, dans la colonne B copiez le texte nettoyé - puis dans votre document faites Collage spécial &gt; 1.2.3 Valeurs pour ne coller que le texte, sans formules.</v>
      </c>
      <c r="I57" s="114" t="str">
        <f>IF(AND(F57&lt;&gt;"",N10&gt;0,M57&gt;N10),"Mot &gt; limite","")</f>
        <v/>
      </c>
      <c r="J57" s="110" t="str">
        <f>IF(K57="","",COUNTIF(K18:K57,"&lt;&gt;"))</f>
        <v/>
      </c>
      <c r="K57" s="111"/>
      <c r="L57" s="110" t="str">
        <f t="shared" si="4"/>
        <v/>
      </c>
      <c r="M57" s="80">
        <f>IF(OR(F57="",N10="",N10&lt;=0),"",IF(LEN(F57)&lt;=N10,LEN(F57),IFERROR(FIND("♦",SUBSTITUTE(LEFT(F57,N10)," ","♦",LEN(LEFT(F57,N10))-LEN(SUBSTITUTE(LEFT(F57,N10)," ","")))),FIND(" ",F57&amp;" ",N10+1)-1)))</f>
        <v>79</v>
      </c>
      <c r="N57" s="112">
        <f t="shared" si="5"/>
        <v>40</v>
      </c>
      <c r="O57" s="113" t="str">
        <f t="shared" si="6"/>
        <v xml:space="preserve">lequel vous collerez ensuite le texte. ◄ 3️⃣ saisissez un nombre de caractères </v>
      </c>
      <c r="P57" s="112">
        <f t="shared" si="7"/>
        <v>13</v>
      </c>
      <c r="Q57" s="112">
        <f t="shared" si="8"/>
        <v>79</v>
      </c>
    </row>
    <row r="58" spans="2:17" ht="21" customHeight="1">
      <c r="B58" s="99" t="str">
        <f t="shared" si="0"/>
        <v/>
      </c>
      <c r="C58" s="99" t="str">
        <f t="shared" si="1"/>
        <v/>
      </c>
      <c r="D58" s="99" t="str">
        <f>IF(UPPER(TRIM(N11))="X",C58,B58)</f>
        <v/>
      </c>
      <c r="E58" s="99" cm="1">
        <f t="array" ref="E58">IF(H57&lt;&gt;"",E57,IF(E57="","",IFERROR(MATCH(TRUE(),INDEX(INDEX(K:K,E57+1):K203&lt;&gt;"",0),0)+E57,"")))</f>
        <v>203</v>
      </c>
      <c r="F58" s="99" t="str" cm="1">
        <f t="array" ref="F58">IF(E58="","",IF(H57&lt;&gt;"",H57,INDEX(D:D,E58)))</f>
        <v>par lignes ◄ 4️⃣ Si vous ne voulez pas de ponctuation saisissez un X dans la cellule - Ensuite, dans la colonne B copiez le texte nettoyé - puis dans votre document faites Collage spécial &gt; 1.2.3 Valeurs pour ne coller que le texte, sans formules.</v>
      </c>
      <c r="G58" s="99" t="str">
        <f t="shared" si="2"/>
        <v xml:space="preserve">par lignes ◄ 4️⃣ Si vous ne voulez pas de ponctuation saisissez un X dans la </v>
      </c>
      <c r="H58" s="109" t="str">
        <f t="shared" si="3"/>
        <v>cellule - Ensuite, dans la colonne B copiez le texte nettoyé - puis dans votre document faites Collage spécial &gt; 1.2.3 Valeurs pour ne coller que le texte, sans formules.</v>
      </c>
      <c r="I58" s="114" t="str">
        <f>IF(AND(F58&lt;&gt;"",N10&gt;0,M58&gt;N10),"Mot &gt; limite","")</f>
        <v/>
      </c>
      <c r="J58" s="110" t="str">
        <f>IF(K58="","",COUNTIF(K18:K58,"&lt;&gt;"))</f>
        <v/>
      </c>
      <c r="K58" s="111"/>
      <c r="L58" s="110" t="str">
        <f t="shared" si="4"/>
        <v/>
      </c>
      <c r="M58" s="80">
        <f>IF(OR(F58="",N10="",N10&lt;=0),"",IF(LEN(F58)&lt;=N10,LEN(F58),IFERROR(FIND("♦",SUBSTITUTE(LEFT(F58,N10)," ","♦",LEN(LEFT(F58,N10))-LEN(SUBSTITUTE(LEFT(F58,N10)," ","")))),FIND(" ",F58&amp;" ",N10+1)-1)))</f>
        <v>77</v>
      </c>
      <c r="N58" s="112">
        <f t="shared" si="5"/>
        <v>41</v>
      </c>
      <c r="O58" s="113" t="str">
        <f t="shared" si="6"/>
        <v xml:space="preserve">par lignes ◄ 4️⃣ Si vous ne voulez pas de ponctuation saisissez un X dans la </v>
      </c>
      <c r="P58" s="112">
        <f t="shared" si="7"/>
        <v>16</v>
      </c>
      <c r="Q58" s="112">
        <f t="shared" si="8"/>
        <v>77</v>
      </c>
    </row>
    <row r="59" spans="2:17" ht="21" customHeight="1">
      <c r="B59" s="99" t="str">
        <f t="shared" si="0"/>
        <v/>
      </c>
      <c r="C59" s="99" t="str">
        <f t="shared" si="1"/>
        <v/>
      </c>
      <c r="D59" s="99" t="str">
        <f>IF(UPPER(TRIM(N11))="X",C59,B59)</f>
        <v/>
      </c>
      <c r="E59" s="99" cm="1">
        <f t="array" ref="E59">IF(H58&lt;&gt;"",E58,IF(E58="","",IFERROR(MATCH(TRUE(),INDEX(INDEX(K:K,E58+1):K203&lt;&gt;"",0),0)+E58,"")))</f>
        <v>203</v>
      </c>
      <c r="F59" s="99" t="str" cm="1">
        <f t="array" ref="F59">IF(E59="","",IF(H58&lt;&gt;"",H58,INDEX(D:D,E59)))</f>
        <v>cellule - Ensuite, dans la colonne B copiez le texte nettoyé - puis dans votre document faites Collage spécial &gt; 1.2.3 Valeurs pour ne coller que le texte, sans formules.</v>
      </c>
      <c r="G59" s="99" t="str">
        <f t="shared" si="2"/>
        <v xml:space="preserve">cellule - Ensuite, dans la colonne B copiez le texte nettoyé - puis dans votre </v>
      </c>
      <c r="H59" s="109" t="str">
        <f t="shared" si="3"/>
        <v>document faites Collage spécial &gt; 1.2.3 Valeurs pour ne coller que le texte, sans formules.</v>
      </c>
      <c r="I59" s="114" t="str">
        <f>IF(AND(F59&lt;&gt;"",N10&gt;0,M59&gt;N10),"Mot &gt; limite","")</f>
        <v/>
      </c>
      <c r="J59" s="110" t="str">
        <f>IF(K59="","",COUNTIF(K18:K59,"&lt;&gt;"))</f>
        <v/>
      </c>
      <c r="K59" s="111"/>
      <c r="L59" s="110" t="str">
        <f t="shared" si="4"/>
        <v/>
      </c>
      <c r="M59" s="80">
        <f>IF(OR(F59="",N10="",N10&lt;=0),"",IF(LEN(F59)&lt;=N10,LEN(F59),IFERROR(FIND("♦",SUBSTITUTE(LEFT(F59,N10)," ","♦",LEN(LEFT(F59,N10))-LEN(SUBSTITUTE(LEFT(F59,N10)," ","")))),FIND(" ",F59&amp;" ",N10+1)-1)))</f>
        <v>79</v>
      </c>
      <c r="N59" s="112">
        <f t="shared" si="5"/>
        <v>42</v>
      </c>
      <c r="O59" s="113" t="str">
        <f t="shared" si="6"/>
        <v xml:space="preserve">cellule - Ensuite, dans la colonne B copiez le texte nettoyé - puis dans votre </v>
      </c>
      <c r="P59" s="112">
        <f t="shared" si="7"/>
        <v>15</v>
      </c>
      <c r="Q59" s="112">
        <f t="shared" si="8"/>
        <v>79</v>
      </c>
    </row>
    <row r="60" spans="2:17" ht="21" customHeight="1">
      <c r="B60" s="99" t="str">
        <f t="shared" si="0"/>
        <v/>
      </c>
      <c r="C60" s="99" t="str">
        <f t="shared" si="1"/>
        <v/>
      </c>
      <c r="D60" s="99" t="str">
        <f>IF(UPPER(TRIM(N11))="X",C60,B60)</f>
        <v/>
      </c>
      <c r="E60" s="99" cm="1">
        <f t="array" ref="E60">IF(H59&lt;&gt;"",E59,IF(E59="","",IFERROR(MATCH(TRUE(),INDEX(INDEX(K:K,E59+1):K203&lt;&gt;"",0),0)+E59,"")))</f>
        <v>203</v>
      </c>
      <c r="F60" s="99" t="str" cm="1">
        <f t="array" ref="F60">IF(E60="","",IF(H59&lt;&gt;"",H59,INDEX(D:D,E60)))</f>
        <v>document faites Collage spécial &gt; 1.2.3 Valeurs pour ne coller que le texte, sans formules.</v>
      </c>
      <c r="G60" s="99" t="str">
        <f t="shared" si="2"/>
        <v xml:space="preserve">document faites Collage spécial &gt; 1.2.3 Valeurs pour ne coller que le texte, </v>
      </c>
      <c r="H60" s="109" t="str">
        <f t="shared" si="3"/>
        <v>sans formules.</v>
      </c>
      <c r="I60" s="114" t="str">
        <f>IF(AND(F60&lt;&gt;"",N10&gt;0,M60&gt;N10),"Mot &gt; limite","")</f>
        <v/>
      </c>
      <c r="J60" s="110" t="str">
        <f>IF(K60="","",COUNTIF(K18:K60,"&lt;&gt;"))</f>
        <v/>
      </c>
      <c r="K60" s="111"/>
      <c r="L60" s="110" t="str">
        <f t="shared" si="4"/>
        <v/>
      </c>
      <c r="M60" s="80">
        <f>IF(OR(F60="",N10="",N10&lt;=0),"",IF(LEN(F60)&lt;=N10,LEN(F60),IFERROR(FIND("♦",SUBSTITUTE(LEFT(F60,N10)," ","♦",LEN(LEFT(F60,N10))-LEN(SUBSTITUTE(LEFT(F60,N10)," ","")))),FIND(" ",F60&amp;" ",N10+1)-1)))</f>
        <v>77</v>
      </c>
      <c r="N60" s="112">
        <f t="shared" si="5"/>
        <v>43</v>
      </c>
      <c r="O60" s="113" t="str">
        <f t="shared" si="6"/>
        <v xml:space="preserve">document faites Collage spécial &gt; 1.2.3 Valeurs pour ne coller que le texte, </v>
      </c>
      <c r="P60" s="112">
        <f t="shared" si="7"/>
        <v>13</v>
      </c>
      <c r="Q60" s="112">
        <f t="shared" si="8"/>
        <v>77</v>
      </c>
    </row>
    <row r="61" spans="2:17" ht="21" customHeight="1">
      <c r="B61" s="99" t="str">
        <f t="shared" si="0"/>
        <v/>
      </c>
      <c r="C61" s="99" t="str">
        <f t="shared" si="1"/>
        <v/>
      </c>
      <c r="D61" s="99" t="str">
        <f>IF(UPPER(TRIM(N11))="X",C61,B61)</f>
        <v/>
      </c>
      <c r="E61" s="99" cm="1">
        <f t="array" ref="E61">IF(H60&lt;&gt;"",E60,IF(E60="","",IFERROR(MATCH(TRUE(),INDEX(INDEX(K:K,E60+1):K203&lt;&gt;"",0),0)+E60,"")))</f>
        <v>203</v>
      </c>
      <c r="F61" s="99" t="str" cm="1">
        <f t="array" ref="F61">IF(E61="","",IF(H60&lt;&gt;"",H60,INDEX(D:D,E61)))</f>
        <v>sans formules.</v>
      </c>
      <c r="G61" s="99" t="str">
        <f t="shared" si="2"/>
        <v>sans formules.</v>
      </c>
      <c r="H61" s="109" t="str">
        <f t="shared" si="3"/>
        <v/>
      </c>
      <c r="I61" s="114" t="str">
        <f>IF(AND(F61&lt;&gt;"",N10&gt;0,M61&gt;N10),"Mot &gt; limite","")</f>
        <v/>
      </c>
      <c r="J61" s="110" t="str">
        <f>IF(K61="","",COUNTIF(K18:K61,"&lt;&gt;"))</f>
        <v/>
      </c>
      <c r="K61" s="111"/>
      <c r="L61" s="110" t="str">
        <f t="shared" si="4"/>
        <v/>
      </c>
      <c r="M61" s="80">
        <f>IF(OR(F61="",N10="",N10&lt;=0),"",IF(LEN(F61)&lt;=N10,LEN(F61),IFERROR(FIND("♦",SUBSTITUTE(LEFT(F61,N10)," ","♦",LEN(LEFT(F61,N10))-LEN(SUBSTITUTE(LEFT(F61,N10)," ","")))),FIND(" ",F61&amp;" ",N10+1)-1)))</f>
        <v>14</v>
      </c>
      <c r="N61" s="112">
        <f t="shared" si="5"/>
        <v>44</v>
      </c>
      <c r="O61" s="113" t="str">
        <f t="shared" si="6"/>
        <v>sans formules.</v>
      </c>
      <c r="P61" s="112">
        <f t="shared" si="7"/>
        <v>2</v>
      </c>
      <c r="Q61" s="112">
        <f t="shared" si="8"/>
        <v>14</v>
      </c>
    </row>
    <row r="62" spans="2:17" ht="21" customHeight="1">
      <c r="B62" s="99" t="str">
        <f t="shared" si="0"/>
        <v/>
      </c>
      <c r="C62" s="99" t="str">
        <f t="shared" si="1"/>
        <v/>
      </c>
      <c r="D62" s="99" t="str">
        <f>IF(UPPER(TRIM(N11))="X",C62,B62)</f>
        <v/>
      </c>
      <c r="E62" s="99" cm="1">
        <f t="array" ref="E62">IF(H61&lt;&gt;"",E61,IF(E61="","",IFERROR(MATCH(TRUE(),INDEX(INDEX(K:K,E61+1):K203&lt;&gt;"",0),0)+E61,"")))</f>
        <v>204</v>
      </c>
      <c r="F62" s="99" cm="1">
        <f t="array" ref="F62">IF(E62="","",IF(H61&lt;&gt;"",H61,INDEX(D:D,E62)))</f>
        <v>0</v>
      </c>
      <c r="G62" s="99" t="str">
        <f t="shared" si="2"/>
        <v>0</v>
      </c>
      <c r="H62" s="109" t="str">
        <f t="shared" si="3"/>
        <v/>
      </c>
      <c r="I62" s="114" t="str">
        <f>IF(AND(F62&lt;&gt;"",N10&gt;0,M62&gt;N10),"Mot &gt; limite","")</f>
        <v/>
      </c>
      <c r="J62" s="110" t="str">
        <f>IF(K62="","",COUNTIF(K18:K62,"&lt;&gt;"))</f>
        <v/>
      </c>
      <c r="K62" s="111"/>
      <c r="L62" s="110" t="str">
        <f t="shared" si="4"/>
        <v/>
      </c>
      <c r="M62" s="80">
        <f>IF(OR(F62="",N10="",N10&lt;=0),"",IF(LEN(F62)&lt;=N10,LEN(F62),IFERROR(FIND("♦",SUBSTITUTE(LEFT(F62,N10)," ","♦",LEN(LEFT(F62,N10))-LEN(SUBSTITUTE(LEFT(F62,N10)," ","")))),FIND(" ",F62&amp;" ",N10+1)-1)))</f>
        <v>1</v>
      </c>
      <c r="N62" s="112">
        <f t="shared" si="5"/>
        <v>45</v>
      </c>
      <c r="O62" s="113" t="str">
        <f t="shared" si="6"/>
        <v>0</v>
      </c>
      <c r="P62" s="112">
        <f t="shared" si="7"/>
        <v>1</v>
      </c>
      <c r="Q62" s="112">
        <f t="shared" si="8"/>
        <v>1</v>
      </c>
    </row>
    <row r="63" spans="2:17" ht="21" customHeight="1">
      <c r="B63" s="99" t="str">
        <f t="shared" si="0"/>
        <v/>
      </c>
      <c r="C63" s="99" t="str">
        <f t="shared" si="1"/>
        <v/>
      </c>
      <c r="D63" s="99" t="str">
        <f>IF(UPPER(TRIM(N11))="X",C63,B63)</f>
        <v/>
      </c>
      <c r="E63" s="99" cm="1">
        <f t="array" ref="E63">IF(H62&lt;&gt;"",E62,IF(E62="","",IFERROR(MATCH(TRUE(),INDEX(INDEX(K:K,E62+1):K203&lt;&gt;"",0),0)+E62,"")))</f>
        <v>205</v>
      </c>
      <c r="F63" s="99" cm="1">
        <f t="array" ref="F63">IF(E63="","",IF(H62&lt;&gt;"",H62,INDEX(D:D,E63)))</f>
        <v>0</v>
      </c>
      <c r="G63" s="99" t="str">
        <f t="shared" si="2"/>
        <v>0</v>
      </c>
      <c r="H63" s="109" t="str">
        <f t="shared" si="3"/>
        <v/>
      </c>
      <c r="I63" s="114" t="str">
        <f>IF(AND(F63&lt;&gt;"",N10&gt;0,M63&gt;N10),"Mot &gt; limite","")</f>
        <v/>
      </c>
      <c r="J63" s="110" t="str">
        <f>IF(K63="","",COUNTIF(K18:K63,"&lt;&gt;"))</f>
        <v/>
      </c>
      <c r="K63" s="111"/>
      <c r="L63" s="110" t="str">
        <f t="shared" si="4"/>
        <v/>
      </c>
      <c r="M63" s="80">
        <f>IF(OR(F63="",N10="",N10&lt;=0),"",IF(LEN(F63)&lt;=N10,LEN(F63),IFERROR(FIND("♦",SUBSTITUTE(LEFT(F63,N10)," ","♦",LEN(LEFT(F63,N10))-LEN(SUBSTITUTE(LEFT(F63,N10)," ","")))),FIND(" ",F63&amp;" ",N10+1)-1)))</f>
        <v>1</v>
      </c>
      <c r="N63" s="112">
        <f t="shared" si="5"/>
        <v>46</v>
      </c>
      <c r="O63" s="113" t="str">
        <f t="shared" si="6"/>
        <v>0</v>
      </c>
      <c r="P63" s="112">
        <f t="shared" si="7"/>
        <v>1</v>
      </c>
      <c r="Q63" s="112">
        <f t="shared" si="8"/>
        <v>1</v>
      </c>
    </row>
    <row r="64" spans="2:17" ht="21" customHeight="1">
      <c r="B64" s="99" t="str">
        <f t="shared" si="0"/>
        <v/>
      </c>
      <c r="C64" s="99" t="str">
        <f t="shared" si="1"/>
        <v/>
      </c>
      <c r="D64" s="99" t="str">
        <f>IF(UPPER(TRIM(N11))="X",C64,B64)</f>
        <v/>
      </c>
      <c r="E64" s="99" cm="1">
        <f t="array" ref="E64">IF(H63&lt;&gt;"",E63,IF(E63="","",IFERROR(MATCH(TRUE(),INDEX(INDEX(K:K,E63+1):K203&lt;&gt;"",0),0)+E63,"")))</f>
        <v>206</v>
      </c>
      <c r="F64" s="99" cm="1">
        <f t="array" ref="F64">IF(E64="","",IF(H63&lt;&gt;"",H63,INDEX(D:D,E64)))</f>
        <v>0</v>
      </c>
      <c r="G64" s="99" t="str">
        <f t="shared" si="2"/>
        <v>0</v>
      </c>
      <c r="H64" s="109" t="str">
        <f t="shared" si="3"/>
        <v/>
      </c>
      <c r="I64" s="114" t="str">
        <f>IF(AND(F64&lt;&gt;"",N10&gt;0,M64&gt;N10),"Mot &gt; limite","")</f>
        <v/>
      </c>
      <c r="J64" s="110" t="str">
        <f>IF(K64="","",COUNTIF(K18:K64,"&lt;&gt;"))</f>
        <v/>
      </c>
      <c r="K64" s="111"/>
      <c r="L64" s="110" t="str">
        <f t="shared" si="4"/>
        <v/>
      </c>
      <c r="M64" s="80">
        <f>IF(OR(F64="",N10="",N10&lt;=0),"",IF(LEN(F64)&lt;=N10,LEN(F64),IFERROR(FIND("♦",SUBSTITUTE(LEFT(F64,N10)," ","♦",LEN(LEFT(F64,N10))-LEN(SUBSTITUTE(LEFT(F64,N10)," ","")))),FIND(" ",F64&amp;" ",N10+1)-1)))</f>
        <v>1</v>
      </c>
      <c r="N64" s="112">
        <f t="shared" si="5"/>
        <v>47</v>
      </c>
      <c r="O64" s="113" t="str">
        <f t="shared" si="6"/>
        <v>0</v>
      </c>
      <c r="P64" s="112">
        <f t="shared" si="7"/>
        <v>1</v>
      </c>
      <c r="Q64" s="112">
        <f t="shared" si="8"/>
        <v>1</v>
      </c>
    </row>
    <row r="65" spans="2:17" ht="21" customHeight="1">
      <c r="B65" s="99" t="str">
        <f t="shared" si="0"/>
        <v/>
      </c>
      <c r="C65" s="99" t="str">
        <f t="shared" si="1"/>
        <v/>
      </c>
      <c r="D65" s="99" t="str">
        <f>IF(UPPER(TRIM(N11))="X",C65,B65)</f>
        <v/>
      </c>
      <c r="E65" s="99" cm="1">
        <f t="array" ref="E65">IF(H64&lt;&gt;"",E64,IF(E64="","",IFERROR(MATCH(TRUE(),INDEX(INDEX(K:K,E64+1):K203&lt;&gt;"",0),0)+E64,"")))</f>
        <v>207</v>
      </c>
      <c r="F65" s="99" cm="1">
        <f t="array" ref="F65">IF(E65="","",IF(H64&lt;&gt;"",H64,INDEX(D:D,E65)))</f>
        <v>0</v>
      </c>
      <c r="G65" s="99" t="str">
        <f t="shared" si="2"/>
        <v>0</v>
      </c>
      <c r="H65" s="109" t="str">
        <f t="shared" si="3"/>
        <v/>
      </c>
      <c r="I65" s="114" t="str">
        <f>IF(AND(F65&lt;&gt;"",N10&gt;0,M65&gt;N10),"Mot &gt; limite","")</f>
        <v/>
      </c>
      <c r="J65" s="110" t="str">
        <f>IF(K65="","",COUNTIF(K18:K65,"&lt;&gt;"))</f>
        <v/>
      </c>
      <c r="K65" s="111"/>
      <c r="L65" s="110" t="str">
        <f t="shared" si="4"/>
        <v/>
      </c>
      <c r="M65" s="80">
        <f>IF(OR(F65="",N10="",N10&lt;=0),"",IF(LEN(F65)&lt;=N10,LEN(F65),IFERROR(FIND("♦",SUBSTITUTE(LEFT(F65,N10)," ","♦",LEN(LEFT(F65,N10))-LEN(SUBSTITUTE(LEFT(F65,N10)," ","")))),FIND(" ",F65&amp;" ",N10+1)-1)))</f>
        <v>1</v>
      </c>
      <c r="N65" s="112">
        <f t="shared" si="5"/>
        <v>48</v>
      </c>
      <c r="O65" s="113" t="str">
        <f t="shared" si="6"/>
        <v>0</v>
      </c>
      <c r="P65" s="112">
        <f t="shared" si="7"/>
        <v>1</v>
      </c>
      <c r="Q65" s="112">
        <f t="shared" si="8"/>
        <v>1</v>
      </c>
    </row>
    <row r="66" spans="2:17" ht="21" customHeight="1">
      <c r="B66" s="99" t="str">
        <f t="shared" si="0"/>
        <v/>
      </c>
      <c r="C66" s="99" t="str">
        <f t="shared" si="1"/>
        <v/>
      </c>
      <c r="D66" s="99" t="str">
        <f>IF(UPPER(TRIM(N11))="X",C66,B66)</f>
        <v/>
      </c>
      <c r="E66" s="99" cm="1">
        <f t="array" ref="E66">IF(H65&lt;&gt;"",E65,IF(E65="","",IFERROR(MATCH(TRUE(),INDEX(INDEX(K:K,E65+1):K203&lt;&gt;"",0),0)+E65,"")))</f>
        <v>208</v>
      </c>
      <c r="F66" s="99" cm="1">
        <f t="array" ref="F66">IF(E66="","",IF(H65&lt;&gt;"",H65,INDEX(D:D,E66)))</f>
        <v>0</v>
      </c>
      <c r="G66" s="99" t="str">
        <f t="shared" si="2"/>
        <v>0</v>
      </c>
      <c r="H66" s="109" t="str">
        <f t="shared" si="3"/>
        <v/>
      </c>
      <c r="I66" s="114" t="str">
        <f>IF(AND(F66&lt;&gt;"",N10&gt;0,M66&gt;N10),"Mot &gt; limite","")</f>
        <v/>
      </c>
      <c r="J66" s="110" t="str">
        <f>IF(K66="","",COUNTIF(K18:K66,"&lt;&gt;"))</f>
        <v/>
      </c>
      <c r="K66" s="111"/>
      <c r="L66" s="110" t="str">
        <f t="shared" si="4"/>
        <v/>
      </c>
      <c r="M66" s="80">
        <f>IF(OR(F66="",N10="",N10&lt;=0),"",IF(LEN(F66)&lt;=N10,LEN(F66),IFERROR(FIND("♦",SUBSTITUTE(LEFT(F66,N10)," ","♦",LEN(LEFT(F66,N10))-LEN(SUBSTITUTE(LEFT(F66,N10)," ","")))),FIND(" ",F66&amp;" ",N10+1)-1)))</f>
        <v>1</v>
      </c>
      <c r="N66" s="112">
        <f t="shared" si="5"/>
        <v>49</v>
      </c>
      <c r="O66" s="113" t="str">
        <f t="shared" si="6"/>
        <v>0</v>
      </c>
      <c r="P66" s="112">
        <f t="shared" si="7"/>
        <v>1</v>
      </c>
      <c r="Q66" s="112">
        <f t="shared" si="8"/>
        <v>1</v>
      </c>
    </row>
    <row r="67" spans="2:17" ht="21" customHeight="1">
      <c r="B67" s="99" t="str">
        <f t="shared" si="0"/>
        <v/>
      </c>
      <c r="C67" s="99" t="str">
        <f t="shared" si="1"/>
        <v/>
      </c>
      <c r="D67" s="99" t="str">
        <f>IF(UPPER(TRIM(N11))="X",C67,B67)</f>
        <v/>
      </c>
      <c r="E67" s="99" cm="1">
        <f t="array" ref="E67">IF(H66&lt;&gt;"",E66,IF(E66="","",IFERROR(MATCH(TRUE(),INDEX(INDEX(K:K,E66+1):K203&lt;&gt;"",0),0)+E66,"")))</f>
        <v>209</v>
      </c>
      <c r="F67" s="99" cm="1">
        <f t="array" ref="F67">IF(E67="","",IF(H66&lt;&gt;"",H66,INDEX(D:D,E67)))</f>
        <v>0</v>
      </c>
      <c r="G67" s="99" t="str">
        <f t="shared" si="2"/>
        <v>0</v>
      </c>
      <c r="H67" s="109" t="str">
        <f t="shared" si="3"/>
        <v/>
      </c>
      <c r="I67" s="114" t="str">
        <f>IF(AND(F67&lt;&gt;"",N10&gt;0,M67&gt;N10),"Mot &gt; limite","")</f>
        <v/>
      </c>
      <c r="J67" s="110" t="str">
        <f>IF(K67="","",COUNTIF(K18:K67,"&lt;&gt;"))</f>
        <v/>
      </c>
      <c r="K67" s="111"/>
      <c r="L67" s="110" t="str">
        <f t="shared" si="4"/>
        <v/>
      </c>
      <c r="M67" s="80">
        <f>IF(OR(F67="",N10="",N10&lt;=0),"",IF(LEN(F67)&lt;=N10,LEN(F67),IFERROR(FIND("♦",SUBSTITUTE(LEFT(F67,N10)," ","♦",LEN(LEFT(F67,N10))-LEN(SUBSTITUTE(LEFT(F67,N10)," ","")))),FIND(" ",F67&amp;" ",N10+1)-1)))</f>
        <v>1</v>
      </c>
      <c r="N67" s="112">
        <f t="shared" si="5"/>
        <v>50</v>
      </c>
      <c r="O67" s="113" t="str">
        <f t="shared" si="6"/>
        <v>0</v>
      </c>
      <c r="P67" s="112">
        <f t="shared" si="7"/>
        <v>1</v>
      </c>
      <c r="Q67" s="112">
        <f t="shared" si="8"/>
        <v>1</v>
      </c>
    </row>
    <row r="68" spans="2:17" ht="21" customHeight="1">
      <c r="B68" s="99" t="str">
        <f t="shared" si="0"/>
        <v/>
      </c>
      <c r="C68" s="99" t="str">
        <f t="shared" si="1"/>
        <v/>
      </c>
      <c r="D68" s="99" t="str">
        <f>IF(UPPER(TRIM(N11))="X",C68,B68)</f>
        <v/>
      </c>
      <c r="E68" s="99" cm="1">
        <f t="array" ref="E68">IF(H67&lt;&gt;"",E67,IF(E67="","",IFERROR(MATCH(TRUE(),INDEX(INDEX(K:K,E67+1):K203&lt;&gt;"",0),0)+E67,"")))</f>
        <v>210</v>
      </c>
      <c r="F68" s="99" cm="1">
        <f t="array" ref="F68">IF(E68="","",IF(H67&lt;&gt;"",H67,INDEX(D:D,E68)))</f>
        <v>0</v>
      </c>
      <c r="G68" s="99" t="str">
        <f t="shared" si="2"/>
        <v>0</v>
      </c>
      <c r="H68" s="109" t="str">
        <f t="shared" si="3"/>
        <v/>
      </c>
      <c r="I68" s="114" t="str">
        <f>IF(AND(F68&lt;&gt;"",N10&gt;0,M68&gt;N10),"Mot &gt; limite","")</f>
        <v/>
      </c>
      <c r="J68" s="110" t="str">
        <f>IF(K68="","",COUNTIF(K18:K68,"&lt;&gt;"))</f>
        <v/>
      </c>
      <c r="K68" s="111"/>
      <c r="L68" s="110" t="str">
        <f t="shared" si="4"/>
        <v/>
      </c>
      <c r="M68" s="80">
        <f>IF(OR(F68="",N10="",N10&lt;=0),"",IF(LEN(F68)&lt;=N10,LEN(F68),IFERROR(FIND("♦",SUBSTITUTE(LEFT(F68,N10)," ","♦",LEN(LEFT(F68,N10))-LEN(SUBSTITUTE(LEFT(F68,N10)," ","")))),FIND(" ",F68&amp;" ",N10+1)-1)))</f>
        <v>1</v>
      </c>
      <c r="N68" s="112">
        <f t="shared" si="5"/>
        <v>51</v>
      </c>
      <c r="O68" s="113" t="str">
        <f t="shared" si="6"/>
        <v>0</v>
      </c>
      <c r="P68" s="112">
        <f t="shared" si="7"/>
        <v>1</v>
      </c>
      <c r="Q68" s="112">
        <f t="shared" si="8"/>
        <v>1</v>
      </c>
    </row>
    <row r="69" spans="2:17" ht="21" customHeight="1">
      <c r="B69" s="99" t="str">
        <f t="shared" si="0"/>
        <v/>
      </c>
      <c r="C69" s="99" t="str">
        <f t="shared" si="1"/>
        <v/>
      </c>
      <c r="D69" s="99" t="str">
        <f>IF(UPPER(TRIM(N11))="X",C69,B69)</f>
        <v/>
      </c>
      <c r="E69" s="99" cm="1">
        <f t="array" ref="E69">IF(H68&lt;&gt;"",E68,IF(E68="","",IFERROR(MATCH(TRUE(),INDEX(INDEX(K:K,E68+1):K203&lt;&gt;"",0),0)+E68,"")))</f>
        <v>211</v>
      </c>
      <c r="F69" s="99" cm="1">
        <f t="array" ref="F69">IF(E69="","",IF(H68&lt;&gt;"",H68,INDEX(D:D,E69)))</f>
        <v>0</v>
      </c>
      <c r="G69" s="99" t="str">
        <f t="shared" si="2"/>
        <v>0</v>
      </c>
      <c r="H69" s="109" t="str">
        <f t="shared" si="3"/>
        <v/>
      </c>
      <c r="I69" s="114" t="str">
        <f>IF(AND(F69&lt;&gt;"",N10&gt;0,M69&gt;N10),"Mot &gt; limite","")</f>
        <v/>
      </c>
      <c r="J69" s="110" t="str">
        <f>IF(K69="","",COUNTIF(K18:K69,"&lt;&gt;"))</f>
        <v/>
      </c>
      <c r="K69" s="111"/>
      <c r="L69" s="110" t="str">
        <f t="shared" si="4"/>
        <v/>
      </c>
      <c r="M69" s="80">
        <f>IF(OR(F69="",N10="",N10&lt;=0),"",IF(LEN(F69)&lt;=N10,LEN(F69),IFERROR(FIND("♦",SUBSTITUTE(LEFT(F69,N10)," ","♦",LEN(LEFT(F69,N10))-LEN(SUBSTITUTE(LEFT(F69,N10)," ","")))),FIND(" ",F69&amp;" ",N10+1)-1)))</f>
        <v>1</v>
      </c>
      <c r="N69" s="112">
        <f t="shared" si="5"/>
        <v>52</v>
      </c>
      <c r="O69" s="113" t="str">
        <f t="shared" si="6"/>
        <v>0</v>
      </c>
      <c r="P69" s="112">
        <f t="shared" si="7"/>
        <v>1</v>
      </c>
      <c r="Q69" s="112">
        <f t="shared" si="8"/>
        <v>1</v>
      </c>
    </row>
    <row r="70" spans="2:17" ht="21" customHeight="1">
      <c r="B70" s="99" t="str">
        <f t="shared" si="0"/>
        <v/>
      </c>
      <c r="C70" s="99" t="str">
        <f t="shared" si="1"/>
        <v/>
      </c>
      <c r="D70" s="99" t="str">
        <f>IF(UPPER(TRIM(N11))="X",C70,B70)</f>
        <v/>
      </c>
      <c r="E70" s="99" cm="1">
        <f t="array" ref="E70">IF(H69&lt;&gt;"",E69,IF(E69="","",IFERROR(MATCH(TRUE(),INDEX(INDEX(K:K,E69+1):K203&lt;&gt;"",0),0)+E69,"")))</f>
        <v>212</v>
      </c>
      <c r="F70" s="99" cm="1">
        <f t="array" ref="F70">IF(E70="","",IF(H69&lt;&gt;"",H69,INDEX(D:D,E70)))</f>
        <v>0</v>
      </c>
      <c r="G70" s="99" t="str">
        <f t="shared" si="2"/>
        <v>0</v>
      </c>
      <c r="H70" s="109" t="str">
        <f t="shared" si="3"/>
        <v/>
      </c>
      <c r="I70" s="114" t="str">
        <f>IF(AND(F70&lt;&gt;"",N10&gt;0,M70&gt;N10),"Mot &gt; limite","")</f>
        <v/>
      </c>
      <c r="J70" s="110" t="str">
        <f>IF(K70="","",COUNTIF(K18:K70,"&lt;&gt;"))</f>
        <v/>
      </c>
      <c r="K70" s="111"/>
      <c r="L70" s="110" t="str">
        <f t="shared" si="4"/>
        <v/>
      </c>
      <c r="M70" s="80">
        <f>IF(OR(F70="",N10="",N10&lt;=0),"",IF(LEN(F70)&lt;=N10,LEN(F70),IFERROR(FIND("♦",SUBSTITUTE(LEFT(F70,N10)," ","♦",LEN(LEFT(F70,N10))-LEN(SUBSTITUTE(LEFT(F70,N10)," ","")))),FIND(" ",F70&amp;" ",N10+1)-1)))</f>
        <v>1</v>
      </c>
      <c r="N70" s="112">
        <f t="shared" si="5"/>
        <v>53</v>
      </c>
      <c r="O70" s="113" t="str">
        <f t="shared" si="6"/>
        <v>0</v>
      </c>
      <c r="P70" s="112">
        <f t="shared" si="7"/>
        <v>1</v>
      </c>
      <c r="Q70" s="112">
        <f t="shared" si="8"/>
        <v>1</v>
      </c>
    </row>
    <row r="71" spans="2:17" ht="21" customHeight="1">
      <c r="B71" s="99" t="str">
        <f t="shared" si="0"/>
        <v/>
      </c>
      <c r="C71" s="99" t="str">
        <f t="shared" si="1"/>
        <v/>
      </c>
      <c r="D71" s="99" t="str">
        <f>IF(UPPER(TRIM(N11))="X",C71,B71)</f>
        <v/>
      </c>
      <c r="E71" s="99" cm="1">
        <f t="array" ref="E71">IF(H70&lt;&gt;"",E70,IF(E70="","",IFERROR(MATCH(TRUE(),INDEX(INDEX(K:K,E70+1):K203&lt;&gt;"",0),0)+E70,"")))</f>
        <v>213</v>
      </c>
      <c r="F71" s="99" cm="1">
        <f t="array" ref="F71">IF(E71="","",IF(H70&lt;&gt;"",H70,INDEX(D:D,E71)))</f>
        <v>0</v>
      </c>
      <c r="G71" s="99" t="str">
        <f t="shared" si="2"/>
        <v>0</v>
      </c>
      <c r="H71" s="109" t="str">
        <f t="shared" si="3"/>
        <v/>
      </c>
      <c r="I71" s="114" t="str">
        <f>IF(AND(F71&lt;&gt;"",N10&gt;0,M71&gt;N10),"Mot &gt; limite","")</f>
        <v/>
      </c>
      <c r="J71" s="110" t="str">
        <f>IF(K71="","",COUNTIF(K18:K71,"&lt;&gt;"))</f>
        <v/>
      </c>
      <c r="K71" s="111"/>
      <c r="L71" s="110" t="str">
        <f t="shared" si="4"/>
        <v/>
      </c>
      <c r="M71" s="80">
        <f>IF(OR(F71="",N10="",N10&lt;=0),"",IF(LEN(F71)&lt;=N10,LEN(F71),IFERROR(FIND("♦",SUBSTITUTE(LEFT(F71,N10)," ","♦",LEN(LEFT(F71,N10))-LEN(SUBSTITUTE(LEFT(F71,N10)," ","")))),FIND(" ",F71&amp;" ",N10+1)-1)))</f>
        <v>1</v>
      </c>
      <c r="N71" s="112">
        <f t="shared" si="5"/>
        <v>54</v>
      </c>
      <c r="O71" s="113" t="str">
        <f t="shared" si="6"/>
        <v>0</v>
      </c>
      <c r="P71" s="112">
        <f t="shared" si="7"/>
        <v>1</v>
      </c>
      <c r="Q71" s="112">
        <f t="shared" si="8"/>
        <v>1</v>
      </c>
    </row>
    <row r="72" spans="2:17" ht="21" customHeight="1">
      <c r="B72" s="99" t="str">
        <f t="shared" si="0"/>
        <v/>
      </c>
      <c r="C72" s="99" t="str">
        <f t="shared" si="1"/>
        <v/>
      </c>
      <c r="D72" s="99" t="str">
        <f>IF(UPPER(TRIM(N11))="X",C72,B72)</f>
        <v/>
      </c>
      <c r="E72" s="99" cm="1">
        <f t="array" ref="E72">IF(H71&lt;&gt;"",E71,IF(E71="","",IFERROR(MATCH(TRUE(),INDEX(INDEX(K:K,E71+1):K203&lt;&gt;"",0),0)+E71,"")))</f>
        <v>214</v>
      </c>
      <c r="F72" s="99" cm="1">
        <f t="array" ref="F72">IF(E72="","",IF(H71&lt;&gt;"",H71,INDEX(D:D,E72)))</f>
        <v>0</v>
      </c>
      <c r="G72" s="99" t="str">
        <f t="shared" si="2"/>
        <v>0</v>
      </c>
      <c r="H72" s="109" t="str">
        <f t="shared" si="3"/>
        <v/>
      </c>
      <c r="I72" s="114" t="str">
        <f>IF(AND(F72&lt;&gt;"",N10&gt;0,M72&gt;N10),"Mot &gt; limite","")</f>
        <v/>
      </c>
      <c r="J72" s="110" t="str">
        <f>IF(K72="","",COUNTIF(K18:K72,"&lt;&gt;"))</f>
        <v/>
      </c>
      <c r="K72" s="111"/>
      <c r="L72" s="110" t="str">
        <f t="shared" si="4"/>
        <v/>
      </c>
      <c r="M72" s="80">
        <f>IF(OR(F72="",N10="",N10&lt;=0),"",IF(LEN(F72)&lt;=N10,LEN(F72),IFERROR(FIND("♦",SUBSTITUTE(LEFT(F72,N10)," ","♦",LEN(LEFT(F72,N10))-LEN(SUBSTITUTE(LEFT(F72,N10)," ","")))),FIND(" ",F72&amp;" ",N10+1)-1)))</f>
        <v>1</v>
      </c>
      <c r="N72" s="112">
        <f t="shared" si="5"/>
        <v>55</v>
      </c>
      <c r="O72" s="113" t="str">
        <f t="shared" si="6"/>
        <v>0</v>
      </c>
      <c r="P72" s="112">
        <f t="shared" si="7"/>
        <v>1</v>
      </c>
      <c r="Q72" s="112">
        <f t="shared" si="8"/>
        <v>1</v>
      </c>
    </row>
    <row r="73" spans="2:17" ht="21" customHeight="1">
      <c r="B73" s="99" t="str">
        <f t="shared" si="0"/>
        <v/>
      </c>
      <c r="C73" s="99" t="str">
        <f t="shared" si="1"/>
        <v/>
      </c>
      <c r="D73" s="99" t="str">
        <f>IF(UPPER(TRIM(N11))="X",C73,B73)</f>
        <v/>
      </c>
      <c r="E73" s="99" cm="1">
        <f t="array" ref="E73">IF(H72&lt;&gt;"",E72,IF(E72="","",IFERROR(MATCH(TRUE(),INDEX(INDEX(K:K,E72+1):K203&lt;&gt;"",0),0)+E72,"")))</f>
        <v>215</v>
      </c>
      <c r="F73" s="99" cm="1">
        <f t="array" ref="F73">IF(E73="","",IF(H72&lt;&gt;"",H72,INDEX(D:D,E73)))</f>
        <v>0</v>
      </c>
      <c r="G73" s="99" t="str">
        <f t="shared" si="2"/>
        <v>0</v>
      </c>
      <c r="H73" s="109" t="str">
        <f t="shared" si="3"/>
        <v/>
      </c>
      <c r="I73" s="114" t="str">
        <f>IF(AND(F73&lt;&gt;"",N10&gt;0,M73&gt;N10),"Mot &gt; limite","")</f>
        <v/>
      </c>
      <c r="J73" s="110" t="str">
        <f>IF(K73="","",COUNTIF(K18:K73,"&lt;&gt;"))</f>
        <v/>
      </c>
      <c r="K73" s="111"/>
      <c r="L73" s="110" t="str">
        <f t="shared" si="4"/>
        <v/>
      </c>
      <c r="M73" s="80">
        <f>IF(OR(F73="",N10="",N10&lt;=0),"",IF(LEN(F73)&lt;=N10,LEN(F73),IFERROR(FIND("♦",SUBSTITUTE(LEFT(F73,N10)," ","♦",LEN(LEFT(F73,N10))-LEN(SUBSTITUTE(LEFT(F73,N10)," ","")))),FIND(" ",F73&amp;" ",N10+1)-1)))</f>
        <v>1</v>
      </c>
      <c r="N73" s="112">
        <f t="shared" si="5"/>
        <v>56</v>
      </c>
      <c r="O73" s="113" t="str">
        <f t="shared" si="6"/>
        <v>0</v>
      </c>
      <c r="P73" s="112">
        <f t="shared" si="7"/>
        <v>1</v>
      </c>
      <c r="Q73" s="112">
        <f t="shared" si="8"/>
        <v>1</v>
      </c>
    </row>
    <row r="74" spans="2:17" ht="21" customHeight="1">
      <c r="B74" s="99" t="str">
        <f t="shared" si="0"/>
        <v/>
      </c>
      <c r="C74" s="99" t="str">
        <f t="shared" si="1"/>
        <v/>
      </c>
      <c r="D74" s="99" t="str">
        <f>IF(UPPER(TRIM(N11))="X",C74,B74)</f>
        <v/>
      </c>
      <c r="E74" s="99" cm="1">
        <f t="array" ref="E74">IF(H73&lt;&gt;"",E73,IF(E73="","",IFERROR(MATCH(TRUE(),INDEX(INDEX(K:K,E73+1):K203&lt;&gt;"",0),0)+E73,"")))</f>
        <v>216</v>
      </c>
      <c r="F74" s="99" cm="1">
        <f t="array" ref="F74">IF(E74="","",IF(H73&lt;&gt;"",H73,INDEX(D:D,E74)))</f>
        <v>0</v>
      </c>
      <c r="G74" s="99" t="str">
        <f t="shared" si="2"/>
        <v>0</v>
      </c>
      <c r="H74" s="109" t="str">
        <f t="shared" si="3"/>
        <v/>
      </c>
      <c r="I74" s="114" t="str">
        <f>IF(AND(F74&lt;&gt;"",N10&gt;0,M74&gt;N10),"Mot &gt; limite","")</f>
        <v/>
      </c>
      <c r="J74" s="110" t="str">
        <f>IF(K74="","",COUNTIF(K18:K74,"&lt;&gt;"))</f>
        <v/>
      </c>
      <c r="K74" s="111"/>
      <c r="L74" s="110" t="str">
        <f t="shared" si="4"/>
        <v/>
      </c>
      <c r="M74" s="80">
        <f>IF(OR(F74="",N10="",N10&lt;=0),"",IF(LEN(F74)&lt;=N10,LEN(F74),IFERROR(FIND("♦",SUBSTITUTE(LEFT(F74,N10)," ","♦",LEN(LEFT(F74,N10))-LEN(SUBSTITUTE(LEFT(F74,N10)," ","")))),FIND(" ",F74&amp;" ",N10+1)-1)))</f>
        <v>1</v>
      </c>
      <c r="N74" s="112">
        <f t="shared" si="5"/>
        <v>57</v>
      </c>
      <c r="O74" s="113" t="str">
        <f t="shared" si="6"/>
        <v>0</v>
      </c>
      <c r="P74" s="112">
        <f t="shared" si="7"/>
        <v>1</v>
      </c>
      <c r="Q74" s="112">
        <f t="shared" si="8"/>
        <v>1</v>
      </c>
    </row>
    <row r="75" spans="2:17" ht="21" customHeight="1">
      <c r="B75" s="99" t="str">
        <f t="shared" si="0"/>
        <v/>
      </c>
      <c r="C75" s="99" t="str">
        <f t="shared" si="1"/>
        <v/>
      </c>
      <c r="D75" s="99" t="str">
        <f>IF(UPPER(TRIM(N11))="X",C75,B75)</f>
        <v/>
      </c>
      <c r="E75" s="99" cm="1">
        <f t="array" ref="E75">IF(H74&lt;&gt;"",E74,IF(E74="","",IFERROR(MATCH(TRUE(),INDEX(INDEX(K:K,E74+1):K203&lt;&gt;"",0),0)+E74,"")))</f>
        <v>217</v>
      </c>
      <c r="F75" s="99" cm="1">
        <f t="array" ref="F75">IF(E75="","",IF(H74&lt;&gt;"",H74,INDEX(D:D,E75)))</f>
        <v>0</v>
      </c>
      <c r="G75" s="99" t="str">
        <f t="shared" si="2"/>
        <v>0</v>
      </c>
      <c r="H75" s="109" t="str">
        <f t="shared" si="3"/>
        <v/>
      </c>
      <c r="I75" s="114" t="str">
        <f>IF(AND(F75&lt;&gt;"",N10&gt;0,M75&gt;N10),"Mot &gt; limite","")</f>
        <v/>
      </c>
      <c r="J75" s="110" t="str">
        <f>IF(K75="","",COUNTIF(K18:K75,"&lt;&gt;"))</f>
        <v/>
      </c>
      <c r="K75" s="111"/>
      <c r="L75" s="110" t="str">
        <f t="shared" si="4"/>
        <v/>
      </c>
      <c r="M75" s="80">
        <f>IF(OR(F75="",N10="",N10&lt;=0),"",IF(LEN(F75)&lt;=N10,LEN(F75),IFERROR(FIND("♦",SUBSTITUTE(LEFT(F75,N10)," ","♦",LEN(LEFT(F75,N10))-LEN(SUBSTITUTE(LEFT(F75,N10)," ","")))),FIND(" ",F75&amp;" ",N10+1)-1)))</f>
        <v>1</v>
      </c>
      <c r="N75" s="112">
        <f t="shared" si="5"/>
        <v>58</v>
      </c>
      <c r="O75" s="113" t="str">
        <f t="shared" si="6"/>
        <v>0</v>
      </c>
      <c r="P75" s="112">
        <f t="shared" si="7"/>
        <v>1</v>
      </c>
      <c r="Q75" s="112">
        <f t="shared" si="8"/>
        <v>1</v>
      </c>
    </row>
    <row r="76" spans="2:17" ht="21" customHeight="1">
      <c r="B76" s="99" t="str">
        <f t="shared" si="0"/>
        <v/>
      </c>
      <c r="C76" s="99" t="str">
        <f t="shared" si="1"/>
        <v/>
      </c>
      <c r="D76" s="99" t="str">
        <f>IF(UPPER(TRIM(N11))="X",C76,B76)</f>
        <v/>
      </c>
      <c r="E76" s="99" cm="1">
        <f t="array" ref="E76">IF(H75&lt;&gt;"",E75,IF(E75="","",IFERROR(MATCH(TRUE(),INDEX(INDEX(K:K,E75+1):K203&lt;&gt;"",0),0)+E75,"")))</f>
        <v>218</v>
      </c>
      <c r="F76" s="99" cm="1">
        <f t="array" ref="F76">IF(E76="","",IF(H75&lt;&gt;"",H75,INDEX(D:D,E76)))</f>
        <v>0</v>
      </c>
      <c r="G76" s="99" t="str">
        <f t="shared" si="2"/>
        <v>0</v>
      </c>
      <c r="H76" s="109" t="str">
        <f t="shared" si="3"/>
        <v/>
      </c>
      <c r="I76" s="114" t="str">
        <f>IF(AND(F76&lt;&gt;"",N10&gt;0,M76&gt;N10),"Mot &gt; limite","")</f>
        <v/>
      </c>
      <c r="J76" s="110" t="str">
        <f>IF(K76="","",COUNTIF(K18:K76,"&lt;&gt;"))</f>
        <v/>
      </c>
      <c r="K76" s="111"/>
      <c r="L76" s="110" t="str">
        <f t="shared" si="4"/>
        <v/>
      </c>
      <c r="M76" s="80">
        <f>IF(OR(F76="",N10="",N10&lt;=0),"",IF(LEN(F76)&lt;=N10,LEN(F76),IFERROR(FIND("♦",SUBSTITUTE(LEFT(F76,N10)," ","♦",LEN(LEFT(F76,N10))-LEN(SUBSTITUTE(LEFT(F76,N10)," ","")))),FIND(" ",F76&amp;" ",N10+1)-1)))</f>
        <v>1</v>
      </c>
      <c r="N76" s="112">
        <f t="shared" si="5"/>
        <v>59</v>
      </c>
      <c r="O76" s="113" t="str">
        <f t="shared" si="6"/>
        <v>0</v>
      </c>
      <c r="P76" s="112">
        <f t="shared" si="7"/>
        <v>1</v>
      </c>
      <c r="Q76" s="112">
        <f t="shared" si="8"/>
        <v>1</v>
      </c>
    </row>
    <row r="77" spans="2:17" ht="21" customHeight="1">
      <c r="B77" s="99" t="str">
        <f t="shared" si="0"/>
        <v/>
      </c>
      <c r="C77" s="99" t="str">
        <f t="shared" si="1"/>
        <v/>
      </c>
      <c r="D77" s="99" t="str">
        <f>IF(UPPER(TRIM(N11))="X",C77,B77)</f>
        <v/>
      </c>
      <c r="E77" s="99" cm="1">
        <f t="array" ref="E77">IF(H76&lt;&gt;"",E76,IF(E76="","",IFERROR(MATCH(TRUE(),INDEX(INDEX(K:K,E76+1):K203&lt;&gt;"",0),0)+E76,"")))</f>
        <v>219</v>
      </c>
      <c r="F77" s="99" cm="1">
        <f t="array" ref="F77">IF(E77="","",IF(H76&lt;&gt;"",H76,INDEX(D:D,E77)))</f>
        <v>0</v>
      </c>
      <c r="G77" s="99" t="str">
        <f t="shared" si="2"/>
        <v>0</v>
      </c>
      <c r="H77" s="109" t="str">
        <f t="shared" si="3"/>
        <v/>
      </c>
      <c r="I77" s="114" t="str">
        <f>IF(AND(F77&lt;&gt;"",N10&gt;0,M77&gt;N10),"Mot &gt; limite","")</f>
        <v/>
      </c>
      <c r="J77" s="110" t="str">
        <f>IF(K77="","",COUNTIF(K18:K77,"&lt;&gt;"))</f>
        <v/>
      </c>
      <c r="K77" s="111"/>
      <c r="L77" s="110" t="str">
        <f t="shared" si="4"/>
        <v/>
      </c>
      <c r="M77" s="80">
        <f>IF(OR(F77="",N10="",N10&lt;=0),"",IF(LEN(F77)&lt;=N10,LEN(F77),IFERROR(FIND("♦",SUBSTITUTE(LEFT(F77,N10)," ","♦",LEN(LEFT(F77,N10))-LEN(SUBSTITUTE(LEFT(F77,N10)," ","")))),FIND(" ",F77&amp;" ",N10+1)-1)))</f>
        <v>1</v>
      </c>
      <c r="N77" s="112">
        <f t="shared" si="5"/>
        <v>60</v>
      </c>
      <c r="O77" s="113" t="str">
        <f t="shared" si="6"/>
        <v>0</v>
      </c>
      <c r="P77" s="112">
        <f t="shared" si="7"/>
        <v>1</v>
      </c>
      <c r="Q77" s="112">
        <f t="shared" si="8"/>
        <v>1</v>
      </c>
    </row>
    <row r="78" spans="2:17" ht="21" customHeight="1">
      <c r="B78" s="99" t="str">
        <f t="shared" si="0"/>
        <v/>
      </c>
      <c r="C78" s="99" t="str">
        <f t="shared" si="1"/>
        <v/>
      </c>
      <c r="D78" s="99" t="str">
        <f>IF(UPPER(TRIM(N11))="X",C78,B78)</f>
        <v/>
      </c>
      <c r="E78" s="99" cm="1">
        <f t="array" ref="E78">IF(H77&lt;&gt;"",E77,IF(E77="","",IFERROR(MATCH(TRUE(),INDEX(INDEX(K:K,E77+1):K203&lt;&gt;"",0),0)+E77,"")))</f>
        <v>220</v>
      </c>
      <c r="F78" s="99" cm="1">
        <f t="array" ref="F78">IF(E78="","",IF(H77&lt;&gt;"",H77,INDEX(D:D,E78)))</f>
        <v>0</v>
      </c>
      <c r="G78" s="99" t="str">
        <f t="shared" si="2"/>
        <v>0</v>
      </c>
      <c r="H78" s="109" t="str">
        <f t="shared" si="3"/>
        <v/>
      </c>
      <c r="I78" s="114" t="str">
        <f>IF(AND(F78&lt;&gt;"",N10&gt;0,M78&gt;N10),"Mot &gt; limite","")</f>
        <v/>
      </c>
      <c r="J78" s="110" t="str">
        <f>IF(K78="","",COUNTIF(K18:K78,"&lt;&gt;"))</f>
        <v/>
      </c>
      <c r="K78" s="111"/>
      <c r="L78" s="110" t="str">
        <f t="shared" si="4"/>
        <v/>
      </c>
      <c r="M78" s="80">
        <f>IF(OR(F78="",N10="",N10&lt;=0),"",IF(LEN(F78)&lt;=N10,LEN(F78),IFERROR(FIND("♦",SUBSTITUTE(LEFT(F78,N10)," ","♦",LEN(LEFT(F78,N10))-LEN(SUBSTITUTE(LEFT(F78,N10)," ","")))),FIND(" ",F78&amp;" ",N10+1)-1)))</f>
        <v>1</v>
      </c>
      <c r="N78" s="112">
        <f t="shared" si="5"/>
        <v>61</v>
      </c>
      <c r="O78" s="113" t="str">
        <f t="shared" si="6"/>
        <v>0</v>
      </c>
      <c r="P78" s="112">
        <f t="shared" si="7"/>
        <v>1</v>
      </c>
      <c r="Q78" s="112">
        <f t="shared" si="8"/>
        <v>1</v>
      </c>
    </row>
    <row r="79" spans="2:17" ht="21" customHeight="1">
      <c r="B79" s="99" t="str">
        <f t="shared" si="0"/>
        <v/>
      </c>
      <c r="C79" s="99" t="str">
        <f t="shared" si="1"/>
        <v/>
      </c>
      <c r="D79" s="99" t="str">
        <f>IF(UPPER(TRIM(N11))="X",C79,B79)</f>
        <v/>
      </c>
      <c r="E79" s="99" cm="1">
        <f t="array" ref="E79">IF(H78&lt;&gt;"",E78,IF(E78="","",IFERROR(MATCH(TRUE(),INDEX(INDEX(K:K,E78+1):K203&lt;&gt;"",0),0)+E78,"")))</f>
        <v>221</v>
      </c>
      <c r="F79" s="99" cm="1">
        <f t="array" ref="F79">IF(E79="","",IF(H78&lt;&gt;"",H78,INDEX(D:D,E79)))</f>
        <v>0</v>
      </c>
      <c r="G79" s="99" t="str">
        <f t="shared" si="2"/>
        <v>0</v>
      </c>
      <c r="H79" s="109" t="str">
        <f t="shared" si="3"/>
        <v/>
      </c>
      <c r="I79" s="114" t="str">
        <f>IF(AND(F79&lt;&gt;"",N10&gt;0,M79&gt;N10),"Mot &gt; limite","")</f>
        <v/>
      </c>
      <c r="J79" s="110" t="str">
        <f>IF(K79="","",COUNTIF(K18:K79,"&lt;&gt;"))</f>
        <v/>
      </c>
      <c r="K79" s="111"/>
      <c r="L79" s="110" t="str">
        <f t="shared" si="4"/>
        <v/>
      </c>
      <c r="M79" s="80">
        <f>IF(OR(F79="",N10="",N10&lt;=0),"",IF(LEN(F79)&lt;=N10,LEN(F79),IFERROR(FIND("♦",SUBSTITUTE(LEFT(F79,N10)," ","♦",LEN(LEFT(F79,N10))-LEN(SUBSTITUTE(LEFT(F79,N10)," ","")))),FIND(" ",F79&amp;" ",N10+1)-1)))</f>
        <v>1</v>
      </c>
      <c r="N79" s="112">
        <f t="shared" si="5"/>
        <v>62</v>
      </c>
      <c r="O79" s="113" t="str">
        <f t="shared" si="6"/>
        <v>0</v>
      </c>
      <c r="P79" s="112">
        <f t="shared" si="7"/>
        <v>1</v>
      </c>
      <c r="Q79" s="112">
        <f t="shared" si="8"/>
        <v>1</v>
      </c>
    </row>
    <row r="80" spans="2:17" ht="21" customHeight="1">
      <c r="B80" s="99" t="str">
        <f t="shared" si="0"/>
        <v/>
      </c>
      <c r="C80" s="99" t="str">
        <f t="shared" si="1"/>
        <v/>
      </c>
      <c r="D80" s="99" t="str">
        <f>IF(UPPER(TRIM(N11))="X",C80,B80)</f>
        <v/>
      </c>
      <c r="E80" s="99" cm="1">
        <f t="array" ref="E80">IF(H79&lt;&gt;"",E79,IF(E79="","",IFERROR(MATCH(TRUE(),INDEX(INDEX(K:K,E79+1):K203&lt;&gt;"",0),0)+E79,"")))</f>
        <v>222</v>
      </c>
      <c r="F80" s="99" cm="1">
        <f t="array" ref="F80">IF(E80="","",IF(H79&lt;&gt;"",H79,INDEX(D:D,E80)))</f>
        <v>0</v>
      </c>
      <c r="G80" s="99" t="str">
        <f t="shared" si="2"/>
        <v>0</v>
      </c>
      <c r="H80" s="109" t="str">
        <f t="shared" si="3"/>
        <v/>
      </c>
      <c r="I80" s="114" t="str">
        <f>IF(AND(F80&lt;&gt;"",N10&gt;0,M80&gt;N10),"Mot &gt; limite","")</f>
        <v/>
      </c>
      <c r="J80" s="110" t="str">
        <f>IF(K80="","",COUNTIF(K18:K80,"&lt;&gt;"))</f>
        <v/>
      </c>
      <c r="K80" s="111"/>
      <c r="L80" s="110" t="str">
        <f t="shared" si="4"/>
        <v/>
      </c>
      <c r="M80" s="80">
        <f>IF(OR(F80="",N10="",N10&lt;=0),"",IF(LEN(F80)&lt;=N10,LEN(F80),IFERROR(FIND("♦",SUBSTITUTE(LEFT(F80,N10)," ","♦",LEN(LEFT(F80,N10))-LEN(SUBSTITUTE(LEFT(F80,N10)," ","")))),FIND(" ",F80&amp;" ",N10+1)-1)))</f>
        <v>1</v>
      </c>
      <c r="N80" s="112">
        <f t="shared" si="5"/>
        <v>63</v>
      </c>
      <c r="O80" s="113" t="str">
        <f t="shared" si="6"/>
        <v>0</v>
      </c>
      <c r="P80" s="112">
        <f t="shared" si="7"/>
        <v>1</v>
      </c>
      <c r="Q80" s="112">
        <f t="shared" si="8"/>
        <v>1</v>
      </c>
    </row>
    <row r="81" spans="2:17" ht="21" customHeight="1">
      <c r="B81" s="99" t="str">
        <f t="shared" si="0"/>
        <v/>
      </c>
      <c r="C81" s="99" t="str">
        <f t="shared" si="1"/>
        <v/>
      </c>
      <c r="D81" s="99" t="str">
        <f>IF(UPPER(TRIM(N11))="X",C81,B81)</f>
        <v/>
      </c>
      <c r="E81" s="99" cm="1">
        <f t="array" ref="E81">IF(H80&lt;&gt;"",E80,IF(E80="","",IFERROR(MATCH(TRUE(),INDEX(INDEX(K:K,E80+1):K203&lt;&gt;"",0),0)+E80,"")))</f>
        <v>223</v>
      </c>
      <c r="F81" s="99" cm="1">
        <f t="array" ref="F81">IF(E81="","",IF(H80&lt;&gt;"",H80,INDEX(D:D,E81)))</f>
        <v>0</v>
      </c>
      <c r="G81" s="99" t="str">
        <f t="shared" si="2"/>
        <v>0</v>
      </c>
      <c r="H81" s="109" t="str">
        <f t="shared" si="3"/>
        <v/>
      </c>
      <c r="I81" s="114" t="str">
        <f>IF(AND(F81&lt;&gt;"",N10&gt;0,M81&gt;N10),"Mot &gt; limite","")</f>
        <v/>
      </c>
      <c r="J81" s="110" t="str">
        <f>IF(K81="","",COUNTIF(K18:K81,"&lt;&gt;"))</f>
        <v/>
      </c>
      <c r="K81" s="111"/>
      <c r="L81" s="110" t="str">
        <f t="shared" si="4"/>
        <v/>
      </c>
      <c r="M81" s="80">
        <f>IF(OR(F81="",N10="",N10&lt;=0),"",IF(LEN(F81)&lt;=N10,LEN(F81),IFERROR(FIND("♦",SUBSTITUTE(LEFT(F81,N10)," ","♦",LEN(LEFT(F81,N10))-LEN(SUBSTITUTE(LEFT(F81,N10)," ","")))),FIND(" ",F81&amp;" ",N10+1)-1)))</f>
        <v>1</v>
      </c>
      <c r="N81" s="112">
        <f t="shared" si="5"/>
        <v>64</v>
      </c>
      <c r="O81" s="113" t="str">
        <f t="shared" si="6"/>
        <v>0</v>
      </c>
      <c r="P81" s="112">
        <f t="shared" si="7"/>
        <v>1</v>
      </c>
      <c r="Q81" s="112">
        <f t="shared" si="8"/>
        <v>1</v>
      </c>
    </row>
    <row r="82" spans="2:17" ht="21" customHeight="1">
      <c r="B82" s="99" t="str">
        <f t="shared" ref="B82:B145" si="9">IF(TRIM(SUBSTITUTE(K82,CHAR(160),""))="","",TRIM(SUBSTITUTE(SUBSTITUTE(SUBSTITUTE(SUBSTITUTE(CLEAN(K82),CHAR(160)," "),CHAR(9)," "),CHAR(10)," "),CHAR(13)," ")))</f>
        <v/>
      </c>
      <c r="C82" s="99" t="str">
        <f t="shared" ref="C82:C145" si="10">IF(B82="","",TRIM(SUBSTITUTE(SUBSTITUTE(SUBSTITUTE(SUBSTITUTE(SUBSTITUTE(SUBSTITUTE(SUBSTITUTE(SUBSTITUTE(SUBSTITUTE(SUBSTITUTE(B82,","," "),";"," "),":"," "),"."," "),"?"," "), "!"," "),"/"," "), "("," "), ")"," "), "-"," ")))</f>
        <v/>
      </c>
      <c r="D82" s="99" t="str">
        <f>IF(UPPER(TRIM(N11))="X",C82,B82)</f>
        <v/>
      </c>
      <c r="E82" s="99" cm="1">
        <f t="array" ref="E82">IF(H81&lt;&gt;"",E81,IF(E81="","",IFERROR(MATCH(TRUE(),INDEX(INDEX(K:K,E81+1):K203&lt;&gt;"",0),0)+E81,"")))</f>
        <v>224</v>
      </c>
      <c r="F82" s="99" cm="1">
        <f t="array" ref="F82">IF(E82="","",IF(H81&lt;&gt;"",H81,INDEX(D:D,E82)))</f>
        <v>0</v>
      </c>
      <c r="G82" s="99" t="str">
        <f t="shared" ref="G82:G145" si="11">IF(OR(F82="",M82=""),"",LEFT(F82,M82))</f>
        <v>0</v>
      </c>
      <c r="H82" s="109" t="str">
        <f t="shared" ref="H82:H145" si="12">IF(OR(F82="",M82=""),"",TRIM(MID(F82,M82+1,99999)))</f>
        <v/>
      </c>
      <c r="I82" s="114" t="str">
        <f>IF(AND(F82&lt;&gt;"",N10&gt;0,M82&gt;N10),"Mot &gt; limite","")</f>
        <v/>
      </c>
      <c r="J82" s="110" t="str">
        <f>IF(K82="","",COUNTIF(K18:K82,"&lt;&gt;"))</f>
        <v/>
      </c>
      <c r="K82" s="111"/>
      <c r="L82" s="110" t="str">
        <f t="shared" ref="L82:L145" si="13">IF(TRIM(SUBSTITUTE(K82,CHAR(160),""))="","",LEN(K82))</f>
        <v/>
      </c>
      <c r="M82" s="80">
        <f>IF(OR(F82="",N10="",N10&lt;=0),"",IF(LEN(F82)&lt;=N10,LEN(F82),IFERROR(FIND("♦",SUBSTITUTE(LEFT(F82,N10)," ","♦",LEN(LEFT(F82,N10))-LEN(SUBSTITUTE(LEFT(F82,N10)," ","")))),FIND(" ",F82&amp;" ",N10+1)-1)))</f>
        <v>1</v>
      </c>
      <c r="N82" s="112">
        <f t="shared" ref="N82:N145" si="14">IF(O82="","",ROW()-17)</f>
        <v>65</v>
      </c>
      <c r="O82" s="113" t="str">
        <f t="shared" ref="O82:O145" si="15">G82</f>
        <v>0</v>
      </c>
      <c r="P82" s="112">
        <f t="shared" ref="P82:P145" si="16">IF(O82="","",LEN(TRIM(O82))-LEN(SUBSTITUTE(TRIM(O82)," ",""))+1)</f>
        <v>1</v>
      </c>
      <c r="Q82" s="112">
        <f t="shared" ref="Q82:Q145" si="17">IF(O82="","",LEN(O82))</f>
        <v>1</v>
      </c>
    </row>
    <row r="83" spans="2:17" ht="21" customHeight="1">
      <c r="B83" s="99" t="str">
        <f t="shared" si="9"/>
        <v/>
      </c>
      <c r="C83" s="99" t="str">
        <f t="shared" si="10"/>
        <v/>
      </c>
      <c r="D83" s="99" t="str">
        <f>IF(UPPER(TRIM(N11))="X",C83,B83)</f>
        <v/>
      </c>
      <c r="E83" s="99" cm="1">
        <f t="array" ref="E83">IF(H82&lt;&gt;"",E82,IF(E82="","",IFERROR(MATCH(TRUE(),INDEX(INDEX(K:K,E82+1):K203&lt;&gt;"",0),0)+E82,"")))</f>
        <v>225</v>
      </c>
      <c r="F83" s="99" cm="1">
        <f t="array" ref="F83">IF(E83="","",IF(H82&lt;&gt;"",H82,INDEX(D:D,E83)))</f>
        <v>0</v>
      </c>
      <c r="G83" s="99" t="str">
        <f t="shared" si="11"/>
        <v>0</v>
      </c>
      <c r="H83" s="109" t="str">
        <f t="shared" si="12"/>
        <v/>
      </c>
      <c r="I83" s="114" t="str">
        <f>IF(AND(F83&lt;&gt;"",N10&gt;0,M83&gt;N10),"Mot &gt; limite","")</f>
        <v/>
      </c>
      <c r="J83" s="110" t="str">
        <f>IF(K83="","",COUNTIF(K18:K83,"&lt;&gt;"))</f>
        <v/>
      </c>
      <c r="K83" s="111"/>
      <c r="L83" s="110" t="str">
        <f t="shared" si="13"/>
        <v/>
      </c>
      <c r="M83" s="80">
        <f>IF(OR(F83="",N10="",N10&lt;=0),"",IF(LEN(F83)&lt;=N10,LEN(F83),IFERROR(FIND("♦",SUBSTITUTE(LEFT(F83,N10)," ","♦",LEN(LEFT(F83,N10))-LEN(SUBSTITUTE(LEFT(F83,N10)," ","")))),FIND(" ",F83&amp;" ",N10+1)-1)))</f>
        <v>1</v>
      </c>
      <c r="N83" s="112">
        <f t="shared" si="14"/>
        <v>66</v>
      </c>
      <c r="O83" s="113" t="str">
        <f t="shared" si="15"/>
        <v>0</v>
      </c>
      <c r="P83" s="112">
        <f t="shared" si="16"/>
        <v>1</v>
      </c>
      <c r="Q83" s="112">
        <f t="shared" si="17"/>
        <v>1</v>
      </c>
    </row>
    <row r="84" spans="2:17" ht="21" customHeight="1">
      <c r="B84" s="99" t="str">
        <f t="shared" si="9"/>
        <v/>
      </c>
      <c r="C84" s="99" t="str">
        <f t="shared" si="10"/>
        <v/>
      </c>
      <c r="D84" s="99" t="str">
        <f>IF(UPPER(TRIM(N11))="X",C84,B84)</f>
        <v/>
      </c>
      <c r="E84" s="99" cm="1">
        <f t="array" ref="E84">IF(H83&lt;&gt;"",E83,IF(E83="","",IFERROR(MATCH(TRUE(),INDEX(INDEX(K:K,E83+1):K203&lt;&gt;"",0),0)+E83,"")))</f>
        <v>226</v>
      </c>
      <c r="F84" s="99" cm="1">
        <f t="array" ref="F84">IF(E84="","",IF(H83&lt;&gt;"",H83,INDEX(D:D,E84)))</f>
        <v>0</v>
      </c>
      <c r="G84" s="99" t="str">
        <f t="shared" si="11"/>
        <v>0</v>
      </c>
      <c r="H84" s="109" t="str">
        <f t="shared" si="12"/>
        <v/>
      </c>
      <c r="I84" s="114" t="str">
        <f>IF(AND(F84&lt;&gt;"",N10&gt;0,M84&gt;N10),"Mot &gt; limite","")</f>
        <v/>
      </c>
      <c r="J84" s="110" t="str">
        <f>IF(K84="","",COUNTIF(K18:K84,"&lt;&gt;"))</f>
        <v/>
      </c>
      <c r="K84" s="111"/>
      <c r="L84" s="110" t="str">
        <f t="shared" si="13"/>
        <v/>
      </c>
      <c r="M84" s="80">
        <f>IF(OR(F84="",N10="",N10&lt;=0),"",IF(LEN(F84)&lt;=N10,LEN(F84),IFERROR(FIND("♦",SUBSTITUTE(LEFT(F84,N10)," ","♦",LEN(LEFT(F84,N10))-LEN(SUBSTITUTE(LEFT(F84,N10)," ","")))),FIND(" ",F84&amp;" ",N10+1)-1)))</f>
        <v>1</v>
      </c>
      <c r="N84" s="112">
        <f t="shared" si="14"/>
        <v>67</v>
      </c>
      <c r="O84" s="113" t="str">
        <f t="shared" si="15"/>
        <v>0</v>
      </c>
      <c r="P84" s="112">
        <f t="shared" si="16"/>
        <v>1</v>
      </c>
      <c r="Q84" s="112">
        <f t="shared" si="17"/>
        <v>1</v>
      </c>
    </row>
    <row r="85" spans="2:17" ht="21" customHeight="1">
      <c r="B85" s="99" t="str">
        <f t="shared" si="9"/>
        <v/>
      </c>
      <c r="C85" s="99" t="str">
        <f t="shared" si="10"/>
        <v/>
      </c>
      <c r="D85" s="99" t="str">
        <f>IF(UPPER(TRIM(N11))="X",C85,B85)</f>
        <v/>
      </c>
      <c r="E85" s="99" cm="1">
        <f t="array" ref="E85">IF(H84&lt;&gt;"",E84,IF(E84="","",IFERROR(MATCH(TRUE(),INDEX(INDEX(K:K,E84+1):K203&lt;&gt;"",0),0)+E84,"")))</f>
        <v>227</v>
      </c>
      <c r="F85" s="99" cm="1">
        <f t="array" ref="F85">IF(E85="","",IF(H84&lt;&gt;"",H84,INDEX(D:D,E85)))</f>
        <v>0</v>
      </c>
      <c r="G85" s="99" t="str">
        <f t="shared" si="11"/>
        <v>0</v>
      </c>
      <c r="H85" s="109" t="str">
        <f t="shared" si="12"/>
        <v/>
      </c>
      <c r="I85" s="114" t="str">
        <f>IF(AND(F85&lt;&gt;"",N10&gt;0,M85&gt;N10),"Mot &gt; limite","")</f>
        <v/>
      </c>
      <c r="J85" s="110" t="str">
        <f>IF(K85="","",COUNTIF(K18:K85,"&lt;&gt;"))</f>
        <v/>
      </c>
      <c r="K85" s="111"/>
      <c r="L85" s="110" t="str">
        <f t="shared" si="13"/>
        <v/>
      </c>
      <c r="M85" s="80">
        <f>IF(OR(F85="",N10="",N10&lt;=0),"",IF(LEN(F85)&lt;=N10,LEN(F85),IFERROR(FIND("♦",SUBSTITUTE(LEFT(F85,N10)," ","♦",LEN(LEFT(F85,N10))-LEN(SUBSTITUTE(LEFT(F85,N10)," ","")))),FIND(" ",F85&amp;" ",N10+1)-1)))</f>
        <v>1</v>
      </c>
      <c r="N85" s="112">
        <f t="shared" si="14"/>
        <v>68</v>
      </c>
      <c r="O85" s="113" t="str">
        <f t="shared" si="15"/>
        <v>0</v>
      </c>
      <c r="P85" s="112">
        <f t="shared" si="16"/>
        <v>1</v>
      </c>
      <c r="Q85" s="112">
        <f t="shared" si="17"/>
        <v>1</v>
      </c>
    </row>
    <row r="86" spans="2:17" ht="21" customHeight="1">
      <c r="B86" s="99" t="str">
        <f t="shared" si="9"/>
        <v/>
      </c>
      <c r="C86" s="99" t="str">
        <f t="shared" si="10"/>
        <v/>
      </c>
      <c r="D86" s="99" t="str">
        <f>IF(UPPER(TRIM(N11))="X",C86,B86)</f>
        <v/>
      </c>
      <c r="E86" s="99" cm="1">
        <f t="array" ref="E86">IF(H85&lt;&gt;"",E85,IF(E85="","",IFERROR(MATCH(TRUE(),INDEX(INDEX(K:K,E85+1):K203&lt;&gt;"",0),0)+E85,"")))</f>
        <v>228</v>
      </c>
      <c r="F86" s="99" cm="1">
        <f t="array" ref="F86">IF(E86="","",IF(H85&lt;&gt;"",H85,INDEX(D:D,E86)))</f>
        <v>0</v>
      </c>
      <c r="G86" s="99" t="str">
        <f t="shared" si="11"/>
        <v>0</v>
      </c>
      <c r="H86" s="109" t="str">
        <f t="shared" si="12"/>
        <v/>
      </c>
      <c r="I86" s="114" t="str">
        <f>IF(AND(F86&lt;&gt;"",N10&gt;0,M86&gt;N10),"Mot &gt; limite","")</f>
        <v/>
      </c>
      <c r="J86" s="110" t="str">
        <f>IF(K86="","",COUNTIF(K18:K86,"&lt;&gt;"))</f>
        <v/>
      </c>
      <c r="K86" s="111"/>
      <c r="L86" s="110" t="str">
        <f t="shared" si="13"/>
        <v/>
      </c>
      <c r="M86" s="80">
        <f>IF(OR(F86="",N10="",N10&lt;=0),"",IF(LEN(F86)&lt;=N10,LEN(F86),IFERROR(FIND("♦",SUBSTITUTE(LEFT(F86,N10)," ","♦",LEN(LEFT(F86,N10))-LEN(SUBSTITUTE(LEFT(F86,N10)," ","")))),FIND(" ",F86&amp;" ",N10+1)-1)))</f>
        <v>1</v>
      </c>
      <c r="N86" s="112">
        <f t="shared" si="14"/>
        <v>69</v>
      </c>
      <c r="O86" s="113" t="str">
        <f t="shared" si="15"/>
        <v>0</v>
      </c>
      <c r="P86" s="112">
        <f t="shared" si="16"/>
        <v>1</v>
      </c>
      <c r="Q86" s="112">
        <f t="shared" si="17"/>
        <v>1</v>
      </c>
    </row>
    <row r="87" spans="2:17" ht="21" customHeight="1">
      <c r="B87" s="99" t="str">
        <f t="shared" si="9"/>
        <v/>
      </c>
      <c r="C87" s="99" t="str">
        <f t="shared" si="10"/>
        <v/>
      </c>
      <c r="D87" s="99" t="str">
        <f>IF(UPPER(TRIM(N11))="X",C87,B87)</f>
        <v/>
      </c>
      <c r="E87" s="99" cm="1">
        <f t="array" ref="E87">IF(H86&lt;&gt;"",E86,IF(E86="","",IFERROR(MATCH(TRUE(),INDEX(INDEX(K:K,E86+1):K203&lt;&gt;"",0),0)+E86,"")))</f>
        <v>229</v>
      </c>
      <c r="F87" s="99" cm="1">
        <f t="array" ref="F87">IF(E87="","",IF(H86&lt;&gt;"",H86,INDEX(D:D,E87)))</f>
        <v>0</v>
      </c>
      <c r="G87" s="99" t="str">
        <f t="shared" si="11"/>
        <v>0</v>
      </c>
      <c r="H87" s="109" t="str">
        <f t="shared" si="12"/>
        <v/>
      </c>
      <c r="I87" s="114" t="str">
        <f>IF(AND(F87&lt;&gt;"",N10&gt;0,M87&gt;N10),"Mot &gt; limite","")</f>
        <v/>
      </c>
      <c r="J87" s="110" t="str">
        <f>IF(K87="","",COUNTIF(K18:K87,"&lt;&gt;"))</f>
        <v/>
      </c>
      <c r="K87" s="111"/>
      <c r="L87" s="110" t="str">
        <f t="shared" si="13"/>
        <v/>
      </c>
      <c r="M87" s="80">
        <f>IF(OR(F87="",N10="",N10&lt;=0),"",IF(LEN(F87)&lt;=N10,LEN(F87),IFERROR(FIND("♦",SUBSTITUTE(LEFT(F87,N10)," ","♦",LEN(LEFT(F87,N10))-LEN(SUBSTITUTE(LEFT(F87,N10)," ","")))),FIND(" ",F87&amp;" ",N10+1)-1)))</f>
        <v>1</v>
      </c>
      <c r="N87" s="112">
        <f t="shared" si="14"/>
        <v>70</v>
      </c>
      <c r="O87" s="113" t="str">
        <f t="shared" si="15"/>
        <v>0</v>
      </c>
      <c r="P87" s="112">
        <f t="shared" si="16"/>
        <v>1</v>
      </c>
      <c r="Q87" s="112">
        <f t="shared" si="17"/>
        <v>1</v>
      </c>
    </row>
    <row r="88" spans="2:17" ht="21" customHeight="1">
      <c r="B88" s="99" t="str">
        <f t="shared" si="9"/>
        <v/>
      </c>
      <c r="C88" s="99" t="str">
        <f t="shared" si="10"/>
        <v/>
      </c>
      <c r="D88" s="99" t="str">
        <f>IF(UPPER(TRIM(N11))="X",C88,B88)</f>
        <v/>
      </c>
      <c r="E88" s="99" cm="1">
        <f t="array" ref="E88">IF(H87&lt;&gt;"",E87,IF(E87="","",IFERROR(MATCH(TRUE(),INDEX(INDEX(K:K,E87+1):K203&lt;&gt;"",0),0)+E87,"")))</f>
        <v>230</v>
      </c>
      <c r="F88" s="99" cm="1">
        <f t="array" ref="F88">IF(E88="","",IF(H87&lt;&gt;"",H87,INDEX(D:D,E88)))</f>
        <v>0</v>
      </c>
      <c r="G88" s="99" t="str">
        <f t="shared" si="11"/>
        <v>0</v>
      </c>
      <c r="H88" s="109" t="str">
        <f t="shared" si="12"/>
        <v/>
      </c>
      <c r="I88" s="114" t="str">
        <f>IF(AND(F88&lt;&gt;"",N10&gt;0,M88&gt;N10),"Mot &gt; limite","")</f>
        <v/>
      </c>
      <c r="J88" s="110" t="str">
        <f>IF(K88="","",COUNTIF(K18:K88,"&lt;&gt;"))</f>
        <v/>
      </c>
      <c r="K88" s="111"/>
      <c r="L88" s="110" t="str">
        <f t="shared" si="13"/>
        <v/>
      </c>
      <c r="M88" s="80">
        <f>IF(OR(F88="",N10="",N10&lt;=0),"",IF(LEN(F88)&lt;=N10,LEN(F88),IFERROR(FIND("♦",SUBSTITUTE(LEFT(F88,N10)," ","♦",LEN(LEFT(F88,N10))-LEN(SUBSTITUTE(LEFT(F88,N10)," ","")))),FIND(" ",F88&amp;" ",N10+1)-1)))</f>
        <v>1</v>
      </c>
      <c r="N88" s="112">
        <f t="shared" si="14"/>
        <v>71</v>
      </c>
      <c r="O88" s="113" t="str">
        <f t="shared" si="15"/>
        <v>0</v>
      </c>
      <c r="P88" s="112">
        <f t="shared" si="16"/>
        <v>1</v>
      </c>
      <c r="Q88" s="112">
        <f t="shared" si="17"/>
        <v>1</v>
      </c>
    </row>
    <row r="89" spans="2:17" ht="21" customHeight="1">
      <c r="B89" s="99" t="str">
        <f t="shared" si="9"/>
        <v/>
      </c>
      <c r="C89" s="99" t="str">
        <f t="shared" si="10"/>
        <v/>
      </c>
      <c r="D89" s="99" t="str">
        <f>IF(UPPER(TRIM(N11))="X",C89,B89)</f>
        <v/>
      </c>
      <c r="E89" s="99" cm="1">
        <f t="array" ref="E89">IF(H88&lt;&gt;"",E88,IF(E88="","",IFERROR(MATCH(TRUE(),INDEX(INDEX(K:K,E88+1):K203&lt;&gt;"",0),0)+E88,"")))</f>
        <v>231</v>
      </c>
      <c r="F89" s="99" cm="1">
        <f t="array" ref="F89">IF(E89="","",IF(H88&lt;&gt;"",H88,INDEX(D:D,E89)))</f>
        <v>0</v>
      </c>
      <c r="G89" s="99" t="str">
        <f t="shared" si="11"/>
        <v>0</v>
      </c>
      <c r="H89" s="109" t="str">
        <f t="shared" si="12"/>
        <v/>
      </c>
      <c r="I89" s="114" t="str">
        <f>IF(AND(F89&lt;&gt;"",N10&gt;0,M89&gt;N10),"Mot &gt; limite","")</f>
        <v/>
      </c>
      <c r="J89" s="110" t="str">
        <f>IF(K89="","",COUNTIF(K18:K89,"&lt;&gt;"))</f>
        <v/>
      </c>
      <c r="K89" s="111"/>
      <c r="L89" s="110" t="str">
        <f t="shared" si="13"/>
        <v/>
      </c>
      <c r="M89" s="80">
        <f>IF(OR(F89="",N10="",N10&lt;=0),"",IF(LEN(F89)&lt;=N10,LEN(F89),IFERROR(FIND("♦",SUBSTITUTE(LEFT(F89,N10)," ","♦",LEN(LEFT(F89,N10))-LEN(SUBSTITUTE(LEFT(F89,N10)," ","")))),FIND(" ",F89&amp;" ",N10+1)-1)))</f>
        <v>1</v>
      </c>
      <c r="N89" s="112">
        <f t="shared" si="14"/>
        <v>72</v>
      </c>
      <c r="O89" s="113" t="str">
        <f t="shared" si="15"/>
        <v>0</v>
      </c>
      <c r="P89" s="112">
        <f t="shared" si="16"/>
        <v>1</v>
      </c>
      <c r="Q89" s="112">
        <f t="shared" si="17"/>
        <v>1</v>
      </c>
    </row>
    <row r="90" spans="2:17" ht="21" customHeight="1">
      <c r="B90" s="99" t="str">
        <f t="shared" si="9"/>
        <v/>
      </c>
      <c r="C90" s="99" t="str">
        <f t="shared" si="10"/>
        <v/>
      </c>
      <c r="D90" s="99" t="str">
        <f>IF(UPPER(TRIM(N11))="X",C90,B90)</f>
        <v/>
      </c>
      <c r="E90" s="99" cm="1">
        <f t="array" ref="E90">IF(H89&lt;&gt;"",E89,IF(E89="","",IFERROR(MATCH(TRUE(),INDEX(INDEX(K:K,E89+1):K203&lt;&gt;"",0),0)+E89,"")))</f>
        <v>232</v>
      </c>
      <c r="F90" s="99" cm="1">
        <f t="array" ref="F90">IF(E90="","",IF(H89&lt;&gt;"",H89,INDEX(D:D,E90)))</f>
        <v>0</v>
      </c>
      <c r="G90" s="99" t="str">
        <f t="shared" si="11"/>
        <v>0</v>
      </c>
      <c r="H90" s="109" t="str">
        <f t="shared" si="12"/>
        <v/>
      </c>
      <c r="I90" s="114" t="str">
        <f>IF(AND(F90&lt;&gt;"",N10&gt;0,M90&gt;N10),"Mot &gt; limite","")</f>
        <v/>
      </c>
      <c r="J90" s="110" t="str">
        <f>IF(K90="","",COUNTIF(K18:K90,"&lt;&gt;"))</f>
        <v/>
      </c>
      <c r="K90" s="111"/>
      <c r="L90" s="110" t="str">
        <f t="shared" si="13"/>
        <v/>
      </c>
      <c r="M90" s="80">
        <f>IF(OR(F90="",N10="",N10&lt;=0),"",IF(LEN(F90)&lt;=N10,LEN(F90),IFERROR(FIND("♦",SUBSTITUTE(LEFT(F90,N10)," ","♦",LEN(LEFT(F90,N10))-LEN(SUBSTITUTE(LEFT(F90,N10)," ","")))),FIND(" ",F90&amp;" ",N10+1)-1)))</f>
        <v>1</v>
      </c>
      <c r="N90" s="112">
        <f t="shared" si="14"/>
        <v>73</v>
      </c>
      <c r="O90" s="113" t="str">
        <f t="shared" si="15"/>
        <v>0</v>
      </c>
      <c r="P90" s="112">
        <f t="shared" si="16"/>
        <v>1</v>
      </c>
      <c r="Q90" s="112">
        <f t="shared" si="17"/>
        <v>1</v>
      </c>
    </row>
    <row r="91" spans="2:17" ht="21" customHeight="1">
      <c r="B91" s="99" t="str">
        <f t="shared" si="9"/>
        <v/>
      </c>
      <c r="C91" s="99" t="str">
        <f t="shared" si="10"/>
        <v/>
      </c>
      <c r="D91" s="99" t="str">
        <f>IF(UPPER(TRIM(N11))="X",C91,B91)</f>
        <v/>
      </c>
      <c r="E91" s="99" cm="1">
        <f t="array" ref="E91">IF(H90&lt;&gt;"",E90,IF(E90="","",IFERROR(MATCH(TRUE(),INDEX(INDEX(K:K,E90+1):K203&lt;&gt;"",0),0)+E90,"")))</f>
        <v>233</v>
      </c>
      <c r="F91" s="99" cm="1">
        <f t="array" ref="F91">IF(E91="","",IF(H90&lt;&gt;"",H90,INDEX(D:D,E91)))</f>
        <v>0</v>
      </c>
      <c r="G91" s="99" t="str">
        <f t="shared" si="11"/>
        <v>0</v>
      </c>
      <c r="H91" s="109" t="str">
        <f t="shared" si="12"/>
        <v/>
      </c>
      <c r="I91" s="114" t="str">
        <f>IF(AND(F91&lt;&gt;"",N10&gt;0,M91&gt;N10),"Mot &gt; limite","")</f>
        <v/>
      </c>
      <c r="J91" s="110" t="str">
        <f>IF(K91="","",COUNTIF(K18:K91,"&lt;&gt;"))</f>
        <v/>
      </c>
      <c r="K91" s="111"/>
      <c r="L91" s="110" t="str">
        <f t="shared" si="13"/>
        <v/>
      </c>
      <c r="M91" s="80">
        <f>IF(OR(F91="",N10="",N10&lt;=0),"",IF(LEN(F91)&lt;=N10,LEN(F91),IFERROR(FIND("♦",SUBSTITUTE(LEFT(F91,N10)," ","♦",LEN(LEFT(F91,N10))-LEN(SUBSTITUTE(LEFT(F91,N10)," ","")))),FIND(" ",F91&amp;" ",N10+1)-1)))</f>
        <v>1</v>
      </c>
      <c r="N91" s="112">
        <f t="shared" si="14"/>
        <v>74</v>
      </c>
      <c r="O91" s="113" t="str">
        <f t="shared" si="15"/>
        <v>0</v>
      </c>
      <c r="P91" s="112">
        <f t="shared" si="16"/>
        <v>1</v>
      </c>
      <c r="Q91" s="112">
        <f t="shared" si="17"/>
        <v>1</v>
      </c>
    </row>
    <row r="92" spans="2:17" ht="21" customHeight="1">
      <c r="B92" s="99" t="str">
        <f t="shared" si="9"/>
        <v/>
      </c>
      <c r="C92" s="99" t="str">
        <f t="shared" si="10"/>
        <v/>
      </c>
      <c r="D92" s="99" t="str">
        <f>IF(UPPER(TRIM(N11))="X",C92,B92)</f>
        <v/>
      </c>
      <c r="E92" s="99" cm="1">
        <f t="array" ref="E92">IF(H91&lt;&gt;"",E91,IF(E91="","",IFERROR(MATCH(TRUE(),INDEX(INDEX(K:K,E91+1):K203&lt;&gt;"",0),0)+E91,"")))</f>
        <v>234</v>
      </c>
      <c r="F92" s="99" cm="1">
        <f t="array" ref="F92">IF(E92="","",IF(H91&lt;&gt;"",H91,INDEX(D:D,E92)))</f>
        <v>0</v>
      </c>
      <c r="G92" s="99" t="str">
        <f t="shared" si="11"/>
        <v>0</v>
      </c>
      <c r="H92" s="109" t="str">
        <f t="shared" si="12"/>
        <v/>
      </c>
      <c r="I92" s="114" t="str">
        <f>IF(AND(F92&lt;&gt;"",N10&gt;0,M92&gt;N10),"Mot &gt; limite","")</f>
        <v/>
      </c>
      <c r="J92" s="110" t="str">
        <f>IF(K92="","",COUNTIF(K18:K92,"&lt;&gt;"))</f>
        <v/>
      </c>
      <c r="K92" s="111"/>
      <c r="L92" s="110" t="str">
        <f t="shared" si="13"/>
        <v/>
      </c>
      <c r="M92" s="80">
        <f>IF(OR(F92="",N10="",N10&lt;=0),"",IF(LEN(F92)&lt;=N10,LEN(F92),IFERROR(FIND("♦",SUBSTITUTE(LEFT(F92,N10)," ","♦",LEN(LEFT(F92,N10))-LEN(SUBSTITUTE(LEFT(F92,N10)," ","")))),FIND(" ",F92&amp;" ",N10+1)-1)))</f>
        <v>1</v>
      </c>
      <c r="N92" s="112">
        <f t="shared" si="14"/>
        <v>75</v>
      </c>
      <c r="O92" s="113" t="str">
        <f t="shared" si="15"/>
        <v>0</v>
      </c>
      <c r="P92" s="112">
        <f t="shared" si="16"/>
        <v>1</v>
      </c>
      <c r="Q92" s="112">
        <f t="shared" si="17"/>
        <v>1</v>
      </c>
    </row>
    <row r="93" spans="2:17" ht="21" customHeight="1">
      <c r="B93" s="99" t="str">
        <f t="shared" si="9"/>
        <v/>
      </c>
      <c r="C93" s="99" t="str">
        <f t="shared" si="10"/>
        <v/>
      </c>
      <c r="D93" s="99" t="str">
        <f>IF(UPPER(TRIM(N11))="X",C93,B93)</f>
        <v/>
      </c>
      <c r="E93" s="99" cm="1">
        <f t="array" ref="E93">IF(H92&lt;&gt;"",E92,IF(E92="","",IFERROR(MATCH(TRUE(),INDEX(INDEX(K:K,E92+1):K203&lt;&gt;"",0),0)+E92,"")))</f>
        <v>235</v>
      </c>
      <c r="F93" s="99" cm="1">
        <f t="array" ref="F93">IF(E93="","",IF(H92&lt;&gt;"",H92,INDEX(D:D,E93)))</f>
        <v>0</v>
      </c>
      <c r="G93" s="99" t="str">
        <f t="shared" si="11"/>
        <v>0</v>
      </c>
      <c r="H93" s="109" t="str">
        <f t="shared" si="12"/>
        <v/>
      </c>
      <c r="I93" s="114" t="str">
        <f>IF(AND(F93&lt;&gt;"",N10&gt;0,M93&gt;N10),"Mot &gt; limite","")</f>
        <v/>
      </c>
      <c r="J93" s="110" t="str">
        <f>IF(K93="","",COUNTIF(K18:K93,"&lt;&gt;"))</f>
        <v/>
      </c>
      <c r="K93" s="111"/>
      <c r="L93" s="110" t="str">
        <f t="shared" si="13"/>
        <v/>
      </c>
      <c r="M93" s="80">
        <f>IF(OR(F93="",N10="",N10&lt;=0),"",IF(LEN(F93)&lt;=N10,LEN(F93),IFERROR(FIND("♦",SUBSTITUTE(LEFT(F93,N10)," ","♦",LEN(LEFT(F93,N10))-LEN(SUBSTITUTE(LEFT(F93,N10)," ","")))),FIND(" ",F93&amp;" ",N10+1)-1)))</f>
        <v>1</v>
      </c>
      <c r="N93" s="112">
        <f t="shared" si="14"/>
        <v>76</v>
      </c>
      <c r="O93" s="113" t="str">
        <f t="shared" si="15"/>
        <v>0</v>
      </c>
      <c r="P93" s="112">
        <f t="shared" si="16"/>
        <v>1</v>
      </c>
      <c r="Q93" s="112">
        <f t="shared" si="17"/>
        <v>1</v>
      </c>
    </row>
    <row r="94" spans="2:17" ht="21" customHeight="1">
      <c r="B94" s="99" t="str">
        <f t="shared" si="9"/>
        <v/>
      </c>
      <c r="C94" s="99" t="str">
        <f t="shared" si="10"/>
        <v/>
      </c>
      <c r="D94" s="99" t="str">
        <f>IF(UPPER(TRIM(N11))="X",C94,B94)</f>
        <v/>
      </c>
      <c r="E94" s="99" cm="1">
        <f t="array" ref="E94">IF(H93&lt;&gt;"",E93,IF(E93="","",IFERROR(MATCH(TRUE(),INDEX(INDEX(K:K,E93+1):K203&lt;&gt;"",0),0)+E93,"")))</f>
        <v>236</v>
      </c>
      <c r="F94" s="99" cm="1">
        <f t="array" ref="F94">IF(E94="","",IF(H93&lt;&gt;"",H93,INDEX(D:D,E94)))</f>
        <v>0</v>
      </c>
      <c r="G94" s="99" t="str">
        <f t="shared" si="11"/>
        <v>0</v>
      </c>
      <c r="H94" s="109" t="str">
        <f t="shared" si="12"/>
        <v/>
      </c>
      <c r="I94" s="114" t="str">
        <f>IF(AND(F94&lt;&gt;"",N10&gt;0,M94&gt;N10),"Mot &gt; limite","")</f>
        <v/>
      </c>
      <c r="J94" s="110" t="str">
        <f>IF(K94="","",COUNTIF(K18:K94,"&lt;&gt;"))</f>
        <v/>
      </c>
      <c r="K94" s="111"/>
      <c r="L94" s="110" t="str">
        <f t="shared" si="13"/>
        <v/>
      </c>
      <c r="M94" s="80">
        <f>IF(OR(F94="",N10="",N10&lt;=0),"",IF(LEN(F94)&lt;=N10,LEN(F94),IFERROR(FIND("♦",SUBSTITUTE(LEFT(F94,N10)," ","♦",LEN(LEFT(F94,N10))-LEN(SUBSTITUTE(LEFT(F94,N10)," ","")))),FIND(" ",F94&amp;" ",N10+1)-1)))</f>
        <v>1</v>
      </c>
      <c r="N94" s="112">
        <f t="shared" si="14"/>
        <v>77</v>
      </c>
      <c r="O94" s="113" t="str">
        <f t="shared" si="15"/>
        <v>0</v>
      </c>
      <c r="P94" s="112">
        <f t="shared" si="16"/>
        <v>1</v>
      </c>
      <c r="Q94" s="112">
        <f t="shared" si="17"/>
        <v>1</v>
      </c>
    </row>
    <row r="95" spans="2:17" ht="21" customHeight="1">
      <c r="B95" s="99" t="str">
        <f t="shared" si="9"/>
        <v/>
      </c>
      <c r="C95" s="99" t="str">
        <f t="shared" si="10"/>
        <v/>
      </c>
      <c r="D95" s="99" t="str">
        <f>IF(UPPER(TRIM(N11))="X",C95,B95)</f>
        <v/>
      </c>
      <c r="E95" s="99" cm="1">
        <f t="array" ref="E95">IF(H94&lt;&gt;"",E94,IF(E94="","",IFERROR(MATCH(TRUE(),INDEX(INDEX(K:K,E94+1):K203&lt;&gt;"",0),0)+E94,"")))</f>
        <v>237</v>
      </c>
      <c r="F95" s="99" cm="1">
        <f t="array" ref="F95">IF(E95="","",IF(H94&lt;&gt;"",H94,INDEX(D:D,E95)))</f>
        <v>0</v>
      </c>
      <c r="G95" s="99" t="str">
        <f t="shared" si="11"/>
        <v>0</v>
      </c>
      <c r="H95" s="109" t="str">
        <f t="shared" si="12"/>
        <v/>
      </c>
      <c r="I95" s="114" t="str">
        <f>IF(AND(F95&lt;&gt;"",N10&gt;0,M95&gt;N10),"Mot &gt; limite","")</f>
        <v/>
      </c>
      <c r="J95" s="110" t="str">
        <f>IF(K95="","",COUNTIF(K18:K95,"&lt;&gt;"))</f>
        <v/>
      </c>
      <c r="K95" s="111"/>
      <c r="L95" s="110" t="str">
        <f t="shared" si="13"/>
        <v/>
      </c>
      <c r="M95" s="80">
        <f>IF(OR(F95="",N10="",N10&lt;=0),"",IF(LEN(F95)&lt;=N10,LEN(F95),IFERROR(FIND("♦",SUBSTITUTE(LEFT(F95,N10)," ","♦",LEN(LEFT(F95,N10))-LEN(SUBSTITUTE(LEFT(F95,N10)," ","")))),FIND(" ",F95&amp;" ",N10+1)-1)))</f>
        <v>1</v>
      </c>
      <c r="N95" s="112">
        <f t="shared" si="14"/>
        <v>78</v>
      </c>
      <c r="O95" s="113" t="str">
        <f t="shared" si="15"/>
        <v>0</v>
      </c>
      <c r="P95" s="112">
        <f t="shared" si="16"/>
        <v>1</v>
      </c>
      <c r="Q95" s="112">
        <f t="shared" si="17"/>
        <v>1</v>
      </c>
    </row>
    <row r="96" spans="2:17" ht="21" customHeight="1">
      <c r="B96" s="99" t="str">
        <f t="shared" si="9"/>
        <v/>
      </c>
      <c r="C96" s="99" t="str">
        <f t="shared" si="10"/>
        <v/>
      </c>
      <c r="D96" s="99" t="str">
        <f>IF(UPPER(TRIM(N11))="X",C96,B96)</f>
        <v/>
      </c>
      <c r="E96" s="99" cm="1">
        <f t="array" ref="E96">IF(H95&lt;&gt;"",E95,IF(E95="","",IFERROR(MATCH(TRUE(),INDEX(INDEX(K:K,E95+1):K203&lt;&gt;"",0),0)+E95,"")))</f>
        <v>238</v>
      </c>
      <c r="F96" s="99" cm="1">
        <f t="array" ref="F96">IF(E96="","",IF(H95&lt;&gt;"",H95,INDEX(D:D,E96)))</f>
        <v>0</v>
      </c>
      <c r="G96" s="99" t="str">
        <f t="shared" si="11"/>
        <v>0</v>
      </c>
      <c r="H96" s="109" t="str">
        <f t="shared" si="12"/>
        <v/>
      </c>
      <c r="I96" s="114" t="str">
        <f>IF(AND(F96&lt;&gt;"",N10&gt;0,M96&gt;N10),"Mot &gt; limite","")</f>
        <v/>
      </c>
      <c r="J96" s="110" t="str">
        <f>IF(K96="","",COUNTIF(K18:K96,"&lt;&gt;"))</f>
        <v/>
      </c>
      <c r="K96" s="111"/>
      <c r="L96" s="110" t="str">
        <f t="shared" si="13"/>
        <v/>
      </c>
      <c r="M96" s="80">
        <f>IF(OR(F96="",N10="",N10&lt;=0),"",IF(LEN(F96)&lt;=N10,LEN(F96),IFERROR(FIND("♦",SUBSTITUTE(LEFT(F96,N10)," ","♦",LEN(LEFT(F96,N10))-LEN(SUBSTITUTE(LEFT(F96,N10)," ","")))),FIND(" ",F96&amp;" ",N10+1)-1)))</f>
        <v>1</v>
      </c>
      <c r="N96" s="112">
        <f t="shared" si="14"/>
        <v>79</v>
      </c>
      <c r="O96" s="113" t="str">
        <f t="shared" si="15"/>
        <v>0</v>
      </c>
      <c r="P96" s="112">
        <f t="shared" si="16"/>
        <v>1</v>
      </c>
      <c r="Q96" s="112">
        <f t="shared" si="17"/>
        <v>1</v>
      </c>
    </row>
    <row r="97" spans="2:17" ht="21" customHeight="1">
      <c r="B97" s="99" t="str">
        <f t="shared" si="9"/>
        <v/>
      </c>
      <c r="C97" s="99" t="str">
        <f t="shared" si="10"/>
        <v/>
      </c>
      <c r="D97" s="99" t="str">
        <f>IF(UPPER(TRIM(N11))="X",C97,B97)</f>
        <v/>
      </c>
      <c r="E97" s="99" cm="1">
        <f t="array" ref="E97">IF(H96&lt;&gt;"",E96,IF(E96="","",IFERROR(MATCH(TRUE(),INDEX(INDEX(K:K,E96+1):K203&lt;&gt;"",0),0)+E96,"")))</f>
        <v>239</v>
      </c>
      <c r="F97" s="99" cm="1">
        <f t="array" ref="F97">IF(E97="","",IF(H96&lt;&gt;"",H96,INDEX(D:D,E97)))</f>
        <v>0</v>
      </c>
      <c r="G97" s="99" t="str">
        <f t="shared" si="11"/>
        <v>0</v>
      </c>
      <c r="H97" s="109" t="str">
        <f t="shared" si="12"/>
        <v/>
      </c>
      <c r="I97" s="114" t="str">
        <f>IF(AND(F97&lt;&gt;"",N10&gt;0,M97&gt;N10),"Mot &gt; limite","")</f>
        <v/>
      </c>
      <c r="J97" s="110" t="str">
        <f>IF(K97="","",COUNTIF(K18:K97,"&lt;&gt;"))</f>
        <v/>
      </c>
      <c r="K97" s="111"/>
      <c r="L97" s="110" t="str">
        <f t="shared" si="13"/>
        <v/>
      </c>
      <c r="M97" s="80">
        <f>IF(OR(F97="",N10="",N10&lt;=0),"",IF(LEN(F97)&lt;=N10,LEN(F97),IFERROR(FIND("♦",SUBSTITUTE(LEFT(F97,N10)," ","♦",LEN(LEFT(F97,N10))-LEN(SUBSTITUTE(LEFT(F97,N10)," ","")))),FIND(" ",F97&amp;" ",N10+1)-1)))</f>
        <v>1</v>
      </c>
      <c r="N97" s="112">
        <f t="shared" si="14"/>
        <v>80</v>
      </c>
      <c r="O97" s="113" t="str">
        <f t="shared" si="15"/>
        <v>0</v>
      </c>
      <c r="P97" s="112">
        <f t="shared" si="16"/>
        <v>1</v>
      </c>
      <c r="Q97" s="112">
        <f t="shared" si="17"/>
        <v>1</v>
      </c>
    </row>
    <row r="98" spans="2:17" ht="21" customHeight="1">
      <c r="B98" s="99" t="str">
        <f t="shared" si="9"/>
        <v/>
      </c>
      <c r="C98" s="99" t="str">
        <f t="shared" si="10"/>
        <v/>
      </c>
      <c r="D98" s="99" t="str">
        <f>IF(UPPER(TRIM(N11))="X",C98,B98)</f>
        <v/>
      </c>
      <c r="E98" s="99" cm="1">
        <f t="array" ref="E98">IF(H97&lt;&gt;"",E97,IF(E97="","",IFERROR(MATCH(TRUE(),INDEX(INDEX(K:K,E97+1):K203&lt;&gt;"",0),0)+E97,"")))</f>
        <v>240</v>
      </c>
      <c r="F98" s="99" cm="1">
        <f t="array" ref="F98">IF(E98="","",IF(H97&lt;&gt;"",H97,INDEX(D:D,E98)))</f>
        <v>0</v>
      </c>
      <c r="G98" s="99" t="str">
        <f t="shared" si="11"/>
        <v>0</v>
      </c>
      <c r="H98" s="109" t="str">
        <f t="shared" si="12"/>
        <v/>
      </c>
      <c r="I98" s="114" t="str">
        <f>IF(AND(F98&lt;&gt;"",N10&gt;0,M98&gt;N10),"Mot &gt; limite","")</f>
        <v/>
      </c>
      <c r="J98" s="110" t="str">
        <f>IF(K98="","",COUNTIF(K18:K98,"&lt;&gt;"))</f>
        <v/>
      </c>
      <c r="K98" s="111"/>
      <c r="L98" s="110" t="str">
        <f t="shared" si="13"/>
        <v/>
      </c>
      <c r="M98" s="80">
        <f>IF(OR(F98="",N10="",N10&lt;=0),"",IF(LEN(F98)&lt;=N10,LEN(F98),IFERROR(FIND("♦",SUBSTITUTE(LEFT(F98,N10)," ","♦",LEN(LEFT(F98,N10))-LEN(SUBSTITUTE(LEFT(F98,N10)," ","")))),FIND(" ",F98&amp;" ",N10+1)-1)))</f>
        <v>1</v>
      </c>
      <c r="N98" s="112">
        <f t="shared" si="14"/>
        <v>81</v>
      </c>
      <c r="O98" s="113" t="str">
        <f t="shared" si="15"/>
        <v>0</v>
      </c>
      <c r="P98" s="112">
        <f t="shared" si="16"/>
        <v>1</v>
      </c>
      <c r="Q98" s="112">
        <f t="shared" si="17"/>
        <v>1</v>
      </c>
    </row>
    <row r="99" spans="2:17" ht="21" customHeight="1">
      <c r="B99" s="99" t="str">
        <f t="shared" si="9"/>
        <v/>
      </c>
      <c r="C99" s="99" t="str">
        <f t="shared" si="10"/>
        <v/>
      </c>
      <c r="D99" s="99" t="str">
        <f>IF(UPPER(TRIM(N11))="X",C99,B99)</f>
        <v/>
      </c>
      <c r="E99" s="99" cm="1">
        <f t="array" ref="E99">IF(H98&lt;&gt;"",E98,IF(E98="","",IFERROR(MATCH(TRUE(),INDEX(INDEX(K:K,E98+1):K203&lt;&gt;"",0),0)+E98,"")))</f>
        <v>241</v>
      </c>
      <c r="F99" s="99" cm="1">
        <f t="array" ref="F99">IF(E99="","",IF(H98&lt;&gt;"",H98,INDEX(D:D,E99)))</f>
        <v>0</v>
      </c>
      <c r="G99" s="99" t="str">
        <f t="shared" si="11"/>
        <v>0</v>
      </c>
      <c r="H99" s="109" t="str">
        <f t="shared" si="12"/>
        <v/>
      </c>
      <c r="I99" s="114" t="str">
        <f>IF(AND(F99&lt;&gt;"",N10&gt;0,M99&gt;N10),"Mot &gt; limite","")</f>
        <v/>
      </c>
      <c r="J99" s="110" t="str">
        <f>IF(K99="","",COUNTIF(K18:K99,"&lt;&gt;"))</f>
        <v/>
      </c>
      <c r="K99" s="111"/>
      <c r="L99" s="110" t="str">
        <f t="shared" si="13"/>
        <v/>
      </c>
      <c r="M99" s="80">
        <f>IF(OR(F99="",N10="",N10&lt;=0),"",IF(LEN(F99)&lt;=N10,LEN(F99),IFERROR(FIND("♦",SUBSTITUTE(LEFT(F99,N10)," ","♦",LEN(LEFT(F99,N10))-LEN(SUBSTITUTE(LEFT(F99,N10)," ","")))),FIND(" ",F99&amp;" ",N10+1)-1)))</f>
        <v>1</v>
      </c>
      <c r="N99" s="112">
        <f t="shared" si="14"/>
        <v>82</v>
      </c>
      <c r="O99" s="113" t="str">
        <f t="shared" si="15"/>
        <v>0</v>
      </c>
      <c r="P99" s="112">
        <f t="shared" si="16"/>
        <v>1</v>
      </c>
      <c r="Q99" s="112">
        <f t="shared" si="17"/>
        <v>1</v>
      </c>
    </row>
    <row r="100" spans="2:17" ht="21" customHeight="1">
      <c r="B100" s="99" t="str">
        <f t="shared" si="9"/>
        <v/>
      </c>
      <c r="C100" s="99" t="str">
        <f t="shared" si="10"/>
        <v/>
      </c>
      <c r="D100" s="99" t="str">
        <f>IF(UPPER(TRIM(N11))="X",C100,B100)</f>
        <v/>
      </c>
      <c r="E100" s="99" cm="1">
        <f t="array" ref="E100">IF(H99&lt;&gt;"",E99,IF(E99="","",IFERROR(MATCH(TRUE(),INDEX(INDEX(K:K,E99+1):K203&lt;&gt;"",0),0)+E99,"")))</f>
        <v>242</v>
      </c>
      <c r="F100" s="99" cm="1">
        <f t="array" ref="F100">IF(E100="","",IF(H99&lt;&gt;"",H99,INDEX(D:D,E100)))</f>
        <v>0</v>
      </c>
      <c r="G100" s="99" t="str">
        <f t="shared" si="11"/>
        <v>0</v>
      </c>
      <c r="H100" s="109" t="str">
        <f t="shared" si="12"/>
        <v/>
      </c>
      <c r="I100" s="114" t="str">
        <f>IF(AND(F100&lt;&gt;"",N10&gt;0,M100&gt;N10),"Mot &gt; limite","")</f>
        <v/>
      </c>
      <c r="J100" s="110" t="str">
        <f>IF(K100="","",COUNTIF(K18:K100,"&lt;&gt;"))</f>
        <v/>
      </c>
      <c r="K100" s="111"/>
      <c r="L100" s="110" t="str">
        <f t="shared" si="13"/>
        <v/>
      </c>
      <c r="M100" s="80">
        <f>IF(OR(F100="",N10="",N10&lt;=0),"",IF(LEN(F100)&lt;=N10,LEN(F100),IFERROR(FIND("♦",SUBSTITUTE(LEFT(F100,N10)," ","♦",LEN(LEFT(F100,N10))-LEN(SUBSTITUTE(LEFT(F100,N10)," ","")))),FIND(" ",F100&amp;" ",N10+1)-1)))</f>
        <v>1</v>
      </c>
      <c r="N100" s="112">
        <f t="shared" si="14"/>
        <v>83</v>
      </c>
      <c r="O100" s="113" t="str">
        <f t="shared" si="15"/>
        <v>0</v>
      </c>
      <c r="P100" s="112">
        <f t="shared" si="16"/>
        <v>1</v>
      </c>
      <c r="Q100" s="112">
        <f t="shared" si="17"/>
        <v>1</v>
      </c>
    </row>
    <row r="101" spans="2:17" ht="21" customHeight="1">
      <c r="B101" s="99" t="str">
        <f t="shared" si="9"/>
        <v/>
      </c>
      <c r="C101" s="99" t="str">
        <f t="shared" si="10"/>
        <v/>
      </c>
      <c r="D101" s="99" t="str">
        <f>IF(UPPER(TRIM(N11))="X",C101,B101)</f>
        <v/>
      </c>
      <c r="E101" s="99" cm="1">
        <f t="array" ref="E101">IF(H100&lt;&gt;"",E100,IF(E100="","",IFERROR(MATCH(TRUE(),INDEX(INDEX(K:K,E100+1):K203&lt;&gt;"",0),0)+E100,"")))</f>
        <v>243</v>
      </c>
      <c r="F101" s="99" cm="1">
        <f t="array" ref="F101">IF(E101="","",IF(H100&lt;&gt;"",H100,INDEX(D:D,E101)))</f>
        <v>0</v>
      </c>
      <c r="G101" s="99" t="str">
        <f t="shared" si="11"/>
        <v>0</v>
      </c>
      <c r="H101" s="109" t="str">
        <f t="shared" si="12"/>
        <v/>
      </c>
      <c r="I101" s="114" t="str">
        <f>IF(AND(F101&lt;&gt;"",N10&gt;0,M101&gt;N10),"Mot &gt; limite","")</f>
        <v/>
      </c>
      <c r="J101" s="110" t="str">
        <f>IF(K101="","",COUNTIF(K18:K101,"&lt;&gt;"))</f>
        <v/>
      </c>
      <c r="K101" s="111"/>
      <c r="L101" s="110" t="str">
        <f t="shared" si="13"/>
        <v/>
      </c>
      <c r="M101" s="80">
        <f>IF(OR(F101="",N10="",N10&lt;=0),"",IF(LEN(F101)&lt;=N10,LEN(F101),IFERROR(FIND("♦",SUBSTITUTE(LEFT(F101,N10)," ","♦",LEN(LEFT(F101,N10))-LEN(SUBSTITUTE(LEFT(F101,N10)," ","")))),FIND(" ",F101&amp;" ",N10+1)-1)))</f>
        <v>1</v>
      </c>
      <c r="N101" s="112">
        <f t="shared" si="14"/>
        <v>84</v>
      </c>
      <c r="O101" s="113" t="str">
        <f t="shared" si="15"/>
        <v>0</v>
      </c>
      <c r="P101" s="112">
        <f t="shared" si="16"/>
        <v>1</v>
      </c>
      <c r="Q101" s="112">
        <f t="shared" si="17"/>
        <v>1</v>
      </c>
    </row>
    <row r="102" spans="2:17" ht="21" customHeight="1">
      <c r="B102" s="99" t="str">
        <f t="shared" si="9"/>
        <v/>
      </c>
      <c r="C102" s="99" t="str">
        <f t="shared" si="10"/>
        <v/>
      </c>
      <c r="D102" s="99" t="str">
        <f>IF(UPPER(TRIM(N11))="X",C102,B102)</f>
        <v/>
      </c>
      <c r="E102" s="99" cm="1">
        <f t="array" ref="E102">IF(H101&lt;&gt;"",E101,IF(E101="","",IFERROR(MATCH(TRUE(),INDEX(INDEX(K:K,E101+1):K203&lt;&gt;"",0),0)+E101,"")))</f>
        <v>244</v>
      </c>
      <c r="F102" s="99" cm="1">
        <f t="array" ref="F102">IF(E102="","",IF(H101&lt;&gt;"",H101,INDEX(D:D,E102)))</f>
        <v>0</v>
      </c>
      <c r="G102" s="99" t="str">
        <f t="shared" si="11"/>
        <v>0</v>
      </c>
      <c r="H102" s="109" t="str">
        <f t="shared" si="12"/>
        <v/>
      </c>
      <c r="I102" s="114" t="str">
        <f>IF(AND(F102&lt;&gt;"",N10&gt;0,M102&gt;N10),"Mot &gt; limite","")</f>
        <v/>
      </c>
      <c r="J102" s="110" t="str">
        <f>IF(K102="","",COUNTIF(K18:K102,"&lt;&gt;"))</f>
        <v/>
      </c>
      <c r="K102" s="111"/>
      <c r="L102" s="110" t="str">
        <f t="shared" si="13"/>
        <v/>
      </c>
      <c r="M102" s="80">
        <f>IF(OR(F102="",N10="",N10&lt;=0),"",IF(LEN(F102)&lt;=N10,LEN(F102),IFERROR(FIND("♦",SUBSTITUTE(LEFT(F102,N10)," ","♦",LEN(LEFT(F102,N10))-LEN(SUBSTITUTE(LEFT(F102,N10)," ","")))),FIND(" ",F102&amp;" ",N10+1)-1)))</f>
        <v>1</v>
      </c>
      <c r="N102" s="112">
        <f t="shared" si="14"/>
        <v>85</v>
      </c>
      <c r="O102" s="113" t="str">
        <f t="shared" si="15"/>
        <v>0</v>
      </c>
      <c r="P102" s="112">
        <f t="shared" si="16"/>
        <v>1</v>
      </c>
      <c r="Q102" s="112">
        <f t="shared" si="17"/>
        <v>1</v>
      </c>
    </row>
    <row r="103" spans="2:17" ht="21" customHeight="1">
      <c r="B103" s="99" t="str">
        <f t="shared" si="9"/>
        <v/>
      </c>
      <c r="C103" s="99" t="str">
        <f t="shared" si="10"/>
        <v/>
      </c>
      <c r="D103" s="99" t="str">
        <f>IF(UPPER(TRIM(N11))="X",C103,B103)</f>
        <v/>
      </c>
      <c r="E103" s="99" cm="1">
        <f t="array" ref="E103">IF(H102&lt;&gt;"",E102,IF(E102="","",IFERROR(MATCH(TRUE(),INDEX(INDEX(K:K,E102+1):K203&lt;&gt;"",0),0)+E102,"")))</f>
        <v>245</v>
      </c>
      <c r="F103" s="99" cm="1">
        <f t="array" ref="F103">IF(E103="","",IF(H102&lt;&gt;"",H102,INDEX(D:D,E103)))</f>
        <v>0</v>
      </c>
      <c r="G103" s="99" t="str">
        <f t="shared" si="11"/>
        <v>0</v>
      </c>
      <c r="H103" s="109" t="str">
        <f t="shared" si="12"/>
        <v/>
      </c>
      <c r="I103" s="114" t="str">
        <f>IF(AND(F103&lt;&gt;"",N10&gt;0,M103&gt;N10),"Mot &gt; limite","")</f>
        <v/>
      </c>
      <c r="J103" s="110" t="str">
        <f>IF(K103="","",COUNTIF(K18:K103,"&lt;&gt;"))</f>
        <v/>
      </c>
      <c r="K103" s="111"/>
      <c r="L103" s="110" t="str">
        <f t="shared" si="13"/>
        <v/>
      </c>
      <c r="M103" s="80">
        <f>IF(OR(F103="",N10="",N10&lt;=0),"",IF(LEN(F103)&lt;=N10,LEN(F103),IFERROR(FIND("♦",SUBSTITUTE(LEFT(F103,N10)," ","♦",LEN(LEFT(F103,N10))-LEN(SUBSTITUTE(LEFT(F103,N10)," ","")))),FIND(" ",F103&amp;" ",N10+1)-1)))</f>
        <v>1</v>
      </c>
      <c r="N103" s="112">
        <f t="shared" si="14"/>
        <v>86</v>
      </c>
      <c r="O103" s="113" t="str">
        <f t="shared" si="15"/>
        <v>0</v>
      </c>
      <c r="P103" s="112">
        <f t="shared" si="16"/>
        <v>1</v>
      </c>
      <c r="Q103" s="112">
        <f t="shared" si="17"/>
        <v>1</v>
      </c>
    </row>
    <row r="104" spans="2:17" ht="21" customHeight="1">
      <c r="B104" s="99" t="str">
        <f t="shared" si="9"/>
        <v/>
      </c>
      <c r="C104" s="99" t="str">
        <f t="shared" si="10"/>
        <v/>
      </c>
      <c r="D104" s="99" t="str">
        <f>IF(UPPER(TRIM(N11))="X",C104,B104)</f>
        <v/>
      </c>
      <c r="E104" s="99" cm="1">
        <f t="array" ref="E104">IF(H103&lt;&gt;"",E103,IF(E103="","",IFERROR(MATCH(TRUE(),INDEX(INDEX(K:K,E103+1):K203&lt;&gt;"",0),0)+E103,"")))</f>
        <v>246</v>
      </c>
      <c r="F104" s="99" cm="1">
        <f t="array" ref="F104">IF(E104="","",IF(H103&lt;&gt;"",H103,INDEX(D:D,E104)))</f>
        <v>0</v>
      </c>
      <c r="G104" s="99" t="str">
        <f t="shared" si="11"/>
        <v>0</v>
      </c>
      <c r="H104" s="109" t="str">
        <f t="shared" si="12"/>
        <v/>
      </c>
      <c r="I104" s="114" t="str">
        <f>IF(AND(F104&lt;&gt;"",N10&gt;0,M104&gt;N10),"Mot &gt; limite","")</f>
        <v/>
      </c>
      <c r="J104" s="110" t="str">
        <f>IF(K104="","",COUNTIF(K18:K104,"&lt;&gt;"))</f>
        <v/>
      </c>
      <c r="K104" s="111"/>
      <c r="L104" s="110" t="str">
        <f t="shared" si="13"/>
        <v/>
      </c>
      <c r="M104" s="80">
        <f>IF(OR(F104="",N10="",N10&lt;=0),"",IF(LEN(F104)&lt;=N10,LEN(F104),IFERROR(FIND("♦",SUBSTITUTE(LEFT(F104,N10)," ","♦",LEN(LEFT(F104,N10))-LEN(SUBSTITUTE(LEFT(F104,N10)," ","")))),FIND(" ",F104&amp;" ",N10+1)-1)))</f>
        <v>1</v>
      </c>
      <c r="N104" s="112">
        <f t="shared" si="14"/>
        <v>87</v>
      </c>
      <c r="O104" s="113" t="str">
        <f t="shared" si="15"/>
        <v>0</v>
      </c>
      <c r="P104" s="112">
        <f t="shared" si="16"/>
        <v>1</v>
      </c>
      <c r="Q104" s="112">
        <f t="shared" si="17"/>
        <v>1</v>
      </c>
    </row>
    <row r="105" spans="2:17" ht="21" customHeight="1">
      <c r="B105" s="99" t="str">
        <f t="shared" si="9"/>
        <v/>
      </c>
      <c r="C105" s="99" t="str">
        <f t="shared" si="10"/>
        <v/>
      </c>
      <c r="D105" s="99" t="str">
        <f>IF(UPPER(TRIM(N11))="X",C105,B105)</f>
        <v/>
      </c>
      <c r="E105" s="99" cm="1">
        <f t="array" ref="E105">IF(H104&lt;&gt;"",E104,IF(E104="","",IFERROR(MATCH(TRUE(),INDEX(INDEX(K:K,E104+1):K203&lt;&gt;"",0),0)+E104,"")))</f>
        <v>247</v>
      </c>
      <c r="F105" s="99" cm="1">
        <f t="array" ref="F105">IF(E105="","",IF(H104&lt;&gt;"",H104,INDEX(D:D,E105)))</f>
        <v>0</v>
      </c>
      <c r="G105" s="99" t="str">
        <f t="shared" si="11"/>
        <v>0</v>
      </c>
      <c r="H105" s="109" t="str">
        <f t="shared" si="12"/>
        <v/>
      </c>
      <c r="I105" s="114" t="str">
        <f>IF(AND(F105&lt;&gt;"",N10&gt;0,M105&gt;N10),"Mot &gt; limite","")</f>
        <v/>
      </c>
      <c r="J105" s="110" t="str">
        <f>IF(K105="","",COUNTIF(K18:K105,"&lt;&gt;"))</f>
        <v/>
      </c>
      <c r="K105" s="111"/>
      <c r="L105" s="110" t="str">
        <f t="shared" si="13"/>
        <v/>
      </c>
      <c r="M105" s="80">
        <f>IF(OR(F105="",N10="",N10&lt;=0),"",IF(LEN(F105)&lt;=N10,LEN(F105),IFERROR(FIND("♦",SUBSTITUTE(LEFT(F105,N10)," ","♦",LEN(LEFT(F105,N10))-LEN(SUBSTITUTE(LEFT(F105,N10)," ","")))),FIND(" ",F105&amp;" ",N10+1)-1)))</f>
        <v>1</v>
      </c>
      <c r="N105" s="112">
        <f t="shared" si="14"/>
        <v>88</v>
      </c>
      <c r="O105" s="113" t="str">
        <f t="shared" si="15"/>
        <v>0</v>
      </c>
      <c r="P105" s="112">
        <f t="shared" si="16"/>
        <v>1</v>
      </c>
      <c r="Q105" s="112">
        <f t="shared" si="17"/>
        <v>1</v>
      </c>
    </row>
    <row r="106" spans="2:17" ht="21" customHeight="1">
      <c r="B106" s="99" t="str">
        <f t="shared" si="9"/>
        <v/>
      </c>
      <c r="C106" s="99" t="str">
        <f t="shared" si="10"/>
        <v/>
      </c>
      <c r="D106" s="99" t="str">
        <f>IF(UPPER(TRIM(N11))="X",C106,B106)</f>
        <v/>
      </c>
      <c r="E106" s="99" cm="1">
        <f t="array" ref="E106">IF(H105&lt;&gt;"",E105,IF(E105="","",IFERROR(MATCH(TRUE(),INDEX(INDEX(K:K,E105+1):K203&lt;&gt;"",0),0)+E105,"")))</f>
        <v>248</v>
      </c>
      <c r="F106" s="99" cm="1">
        <f t="array" ref="F106">IF(E106="","",IF(H105&lt;&gt;"",H105,INDEX(D:D,E106)))</f>
        <v>0</v>
      </c>
      <c r="G106" s="99" t="str">
        <f t="shared" si="11"/>
        <v>0</v>
      </c>
      <c r="H106" s="109" t="str">
        <f t="shared" si="12"/>
        <v/>
      </c>
      <c r="I106" s="114" t="str">
        <f>IF(AND(F106&lt;&gt;"",N10&gt;0,M106&gt;N10),"Mot &gt; limite","")</f>
        <v/>
      </c>
      <c r="J106" s="110" t="str">
        <f>IF(K106="","",COUNTIF(K18:K106,"&lt;&gt;"))</f>
        <v/>
      </c>
      <c r="K106" s="111"/>
      <c r="L106" s="110" t="str">
        <f t="shared" si="13"/>
        <v/>
      </c>
      <c r="M106" s="80">
        <f>IF(OR(F106="",N10="",N10&lt;=0),"",IF(LEN(F106)&lt;=N10,LEN(F106),IFERROR(FIND("♦",SUBSTITUTE(LEFT(F106,N10)," ","♦",LEN(LEFT(F106,N10))-LEN(SUBSTITUTE(LEFT(F106,N10)," ","")))),FIND(" ",F106&amp;" ",N10+1)-1)))</f>
        <v>1</v>
      </c>
      <c r="N106" s="112">
        <f t="shared" si="14"/>
        <v>89</v>
      </c>
      <c r="O106" s="113" t="str">
        <f t="shared" si="15"/>
        <v>0</v>
      </c>
      <c r="P106" s="112">
        <f t="shared" si="16"/>
        <v>1</v>
      </c>
      <c r="Q106" s="112">
        <f t="shared" si="17"/>
        <v>1</v>
      </c>
    </row>
    <row r="107" spans="2:17" ht="21" customHeight="1">
      <c r="B107" s="99" t="str">
        <f t="shared" si="9"/>
        <v/>
      </c>
      <c r="C107" s="99" t="str">
        <f t="shared" si="10"/>
        <v/>
      </c>
      <c r="D107" s="99" t="str">
        <f>IF(UPPER(TRIM(N11))="X",C107,B107)</f>
        <v/>
      </c>
      <c r="E107" s="99" cm="1">
        <f t="array" ref="E107">IF(H106&lt;&gt;"",E106,IF(E106="","",IFERROR(MATCH(TRUE(),INDEX(INDEX(K:K,E106+1):K203&lt;&gt;"",0),0)+E106,"")))</f>
        <v>249</v>
      </c>
      <c r="F107" s="99" cm="1">
        <f t="array" ref="F107">IF(E107="","",IF(H106&lt;&gt;"",H106,INDEX(D:D,E107)))</f>
        <v>0</v>
      </c>
      <c r="G107" s="99" t="str">
        <f t="shared" si="11"/>
        <v>0</v>
      </c>
      <c r="H107" s="109" t="str">
        <f t="shared" si="12"/>
        <v/>
      </c>
      <c r="I107" s="114" t="str">
        <f>IF(AND(F107&lt;&gt;"",N10&gt;0,M107&gt;N10),"Mot &gt; limite","")</f>
        <v/>
      </c>
      <c r="J107" s="110" t="str">
        <f>IF(K107="","",COUNTIF(K18:K107,"&lt;&gt;"))</f>
        <v/>
      </c>
      <c r="K107" s="111"/>
      <c r="L107" s="110" t="str">
        <f t="shared" si="13"/>
        <v/>
      </c>
      <c r="M107" s="80">
        <f>IF(OR(F107="",N10="",N10&lt;=0),"",IF(LEN(F107)&lt;=N10,LEN(F107),IFERROR(FIND("♦",SUBSTITUTE(LEFT(F107,N10)," ","♦",LEN(LEFT(F107,N10))-LEN(SUBSTITUTE(LEFT(F107,N10)," ","")))),FIND(" ",F107&amp;" ",N10+1)-1)))</f>
        <v>1</v>
      </c>
      <c r="N107" s="112">
        <f t="shared" si="14"/>
        <v>90</v>
      </c>
      <c r="O107" s="113" t="str">
        <f t="shared" si="15"/>
        <v>0</v>
      </c>
      <c r="P107" s="112">
        <f t="shared" si="16"/>
        <v>1</v>
      </c>
      <c r="Q107" s="112">
        <f t="shared" si="17"/>
        <v>1</v>
      </c>
    </row>
    <row r="108" spans="2:17" ht="21" customHeight="1">
      <c r="B108" s="99" t="str">
        <f t="shared" si="9"/>
        <v/>
      </c>
      <c r="C108" s="99" t="str">
        <f t="shared" si="10"/>
        <v/>
      </c>
      <c r="D108" s="99" t="str">
        <f>IF(UPPER(TRIM(N11))="X",C108,B108)</f>
        <v/>
      </c>
      <c r="E108" s="99" cm="1">
        <f t="array" ref="E108">IF(H107&lt;&gt;"",E107,IF(E107="","",IFERROR(MATCH(TRUE(),INDEX(INDEX(K:K,E107+1):K203&lt;&gt;"",0),0)+E107,"")))</f>
        <v>250</v>
      </c>
      <c r="F108" s="99" cm="1">
        <f t="array" ref="F108">IF(E108="","",IF(H107&lt;&gt;"",H107,INDEX(D:D,E108)))</f>
        <v>0</v>
      </c>
      <c r="G108" s="99" t="str">
        <f t="shared" si="11"/>
        <v>0</v>
      </c>
      <c r="H108" s="109" t="str">
        <f t="shared" si="12"/>
        <v/>
      </c>
      <c r="I108" s="114" t="str">
        <f>IF(AND(F108&lt;&gt;"",N10&gt;0,M108&gt;N10),"Mot &gt; limite","")</f>
        <v/>
      </c>
      <c r="J108" s="110" t="str">
        <f>IF(K108="","",COUNTIF(K18:K108,"&lt;&gt;"))</f>
        <v/>
      </c>
      <c r="K108" s="111"/>
      <c r="L108" s="110" t="str">
        <f t="shared" si="13"/>
        <v/>
      </c>
      <c r="M108" s="80">
        <f>IF(OR(F108="",N10="",N10&lt;=0),"",IF(LEN(F108)&lt;=N10,LEN(F108),IFERROR(FIND("♦",SUBSTITUTE(LEFT(F108,N10)," ","♦",LEN(LEFT(F108,N10))-LEN(SUBSTITUTE(LEFT(F108,N10)," ","")))),FIND(" ",F108&amp;" ",N10+1)-1)))</f>
        <v>1</v>
      </c>
      <c r="N108" s="112">
        <f t="shared" si="14"/>
        <v>91</v>
      </c>
      <c r="O108" s="113" t="str">
        <f t="shared" si="15"/>
        <v>0</v>
      </c>
      <c r="P108" s="112">
        <f t="shared" si="16"/>
        <v>1</v>
      </c>
      <c r="Q108" s="112">
        <f t="shared" si="17"/>
        <v>1</v>
      </c>
    </row>
    <row r="109" spans="2:17" ht="21" customHeight="1">
      <c r="B109" s="99" t="str">
        <f t="shared" si="9"/>
        <v/>
      </c>
      <c r="C109" s="99" t="str">
        <f t="shared" si="10"/>
        <v/>
      </c>
      <c r="D109" s="99" t="str">
        <f>IF(UPPER(TRIM(N11))="X",C109,B109)</f>
        <v/>
      </c>
      <c r="E109" s="99" cm="1">
        <f t="array" ref="E109">IF(H108&lt;&gt;"",E108,IF(E108="","",IFERROR(MATCH(TRUE(),INDEX(INDEX(K:K,E108+1):K203&lt;&gt;"",0),0)+E108,"")))</f>
        <v>251</v>
      </c>
      <c r="F109" s="99" cm="1">
        <f t="array" ref="F109">IF(E109="","",IF(H108&lt;&gt;"",H108,INDEX(D:D,E109)))</f>
        <v>0</v>
      </c>
      <c r="G109" s="99" t="str">
        <f t="shared" si="11"/>
        <v>0</v>
      </c>
      <c r="H109" s="109" t="str">
        <f t="shared" si="12"/>
        <v/>
      </c>
      <c r="I109" s="114" t="str">
        <f>IF(AND(F109&lt;&gt;"",N10&gt;0,M109&gt;N10),"Mot &gt; limite","")</f>
        <v/>
      </c>
      <c r="J109" s="110" t="str">
        <f>IF(K109="","",COUNTIF(K18:K109,"&lt;&gt;"))</f>
        <v/>
      </c>
      <c r="K109" s="111"/>
      <c r="L109" s="110" t="str">
        <f t="shared" si="13"/>
        <v/>
      </c>
      <c r="M109" s="80">
        <f>IF(OR(F109="",N10="",N10&lt;=0),"",IF(LEN(F109)&lt;=N10,LEN(F109),IFERROR(FIND("♦",SUBSTITUTE(LEFT(F109,N10)," ","♦",LEN(LEFT(F109,N10))-LEN(SUBSTITUTE(LEFT(F109,N10)," ","")))),FIND(" ",F109&amp;" ",N10+1)-1)))</f>
        <v>1</v>
      </c>
      <c r="N109" s="112">
        <f t="shared" si="14"/>
        <v>92</v>
      </c>
      <c r="O109" s="113" t="str">
        <f t="shared" si="15"/>
        <v>0</v>
      </c>
      <c r="P109" s="112">
        <f t="shared" si="16"/>
        <v>1</v>
      </c>
      <c r="Q109" s="112">
        <f t="shared" si="17"/>
        <v>1</v>
      </c>
    </row>
    <row r="110" spans="2:17" ht="21" customHeight="1">
      <c r="B110" s="99" t="str">
        <f t="shared" si="9"/>
        <v/>
      </c>
      <c r="C110" s="99" t="str">
        <f t="shared" si="10"/>
        <v/>
      </c>
      <c r="D110" s="99" t="str">
        <f>IF(UPPER(TRIM(N11))="X",C110,B110)</f>
        <v/>
      </c>
      <c r="E110" s="99" cm="1">
        <f t="array" ref="E110">IF(H109&lt;&gt;"",E109,IF(E109="","",IFERROR(MATCH(TRUE(),INDEX(INDEX(K:K,E109+1):K203&lt;&gt;"",0),0)+E109,"")))</f>
        <v>252</v>
      </c>
      <c r="F110" s="99" cm="1">
        <f t="array" ref="F110">IF(E110="","",IF(H109&lt;&gt;"",H109,INDEX(D:D,E110)))</f>
        <v>0</v>
      </c>
      <c r="G110" s="99" t="str">
        <f t="shared" si="11"/>
        <v>0</v>
      </c>
      <c r="H110" s="109" t="str">
        <f t="shared" si="12"/>
        <v/>
      </c>
      <c r="I110" s="114" t="str">
        <f>IF(AND(F110&lt;&gt;"",N10&gt;0,M110&gt;N10),"Mot &gt; limite","")</f>
        <v/>
      </c>
      <c r="J110" s="110" t="str">
        <f>IF(K110="","",COUNTIF(K18:K110,"&lt;&gt;"))</f>
        <v/>
      </c>
      <c r="K110" s="111"/>
      <c r="L110" s="110" t="str">
        <f t="shared" si="13"/>
        <v/>
      </c>
      <c r="M110" s="80">
        <f>IF(OR(F110="",N10="",N10&lt;=0),"",IF(LEN(F110)&lt;=N10,LEN(F110),IFERROR(FIND("♦",SUBSTITUTE(LEFT(F110,N10)," ","♦",LEN(LEFT(F110,N10))-LEN(SUBSTITUTE(LEFT(F110,N10)," ","")))),FIND(" ",F110&amp;" ",N10+1)-1)))</f>
        <v>1</v>
      </c>
      <c r="N110" s="112">
        <f t="shared" si="14"/>
        <v>93</v>
      </c>
      <c r="O110" s="113" t="str">
        <f t="shared" si="15"/>
        <v>0</v>
      </c>
      <c r="P110" s="112">
        <f t="shared" si="16"/>
        <v>1</v>
      </c>
      <c r="Q110" s="112">
        <f t="shared" si="17"/>
        <v>1</v>
      </c>
    </row>
    <row r="111" spans="2:17" ht="21" customHeight="1">
      <c r="B111" s="99" t="str">
        <f t="shared" si="9"/>
        <v/>
      </c>
      <c r="C111" s="99" t="str">
        <f t="shared" si="10"/>
        <v/>
      </c>
      <c r="D111" s="99" t="str">
        <f>IF(UPPER(TRIM(N11))="X",C111,B111)</f>
        <v/>
      </c>
      <c r="E111" s="99" cm="1">
        <f t="array" ref="E111">IF(H110&lt;&gt;"",E110,IF(E110="","",IFERROR(MATCH(TRUE(),INDEX(INDEX(K:K,E110+1):K203&lt;&gt;"",0),0)+E110,"")))</f>
        <v>253</v>
      </c>
      <c r="F111" s="99" cm="1">
        <f t="array" ref="F111">IF(E111="","",IF(H110&lt;&gt;"",H110,INDEX(D:D,E111)))</f>
        <v>0</v>
      </c>
      <c r="G111" s="99" t="str">
        <f t="shared" si="11"/>
        <v>0</v>
      </c>
      <c r="H111" s="109" t="str">
        <f t="shared" si="12"/>
        <v/>
      </c>
      <c r="I111" s="114" t="str">
        <f>IF(AND(F111&lt;&gt;"",N10&gt;0,M111&gt;N10),"Mot &gt; limite","")</f>
        <v/>
      </c>
      <c r="J111" s="110" t="str">
        <f>IF(K111="","",COUNTIF(K18:K111,"&lt;&gt;"))</f>
        <v/>
      </c>
      <c r="K111" s="111"/>
      <c r="L111" s="110" t="str">
        <f t="shared" si="13"/>
        <v/>
      </c>
      <c r="M111" s="80">
        <f>IF(OR(F111="",N10="",N10&lt;=0),"",IF(LEN(F111)&lt;=N10,LEN(F111),IFERROR(FIND("♦",SUBSTITUTE(LEFT(F111,N10)," ","♦",LEN(LEFT(F111,N10))-LEN(SUBSTITUTE(LEFT(F111,N10)," ","")))),FIND(" ",F111&amp;" ",N10+1)-1)))</f>
        <v>1</v>
      </c>
      <c r="N111" s="112">
        <f t="shared" si="14"/>
        <v>94</v>
      </c>
      <c r="O111" s="113" t="str">
        <f t="shared" si="15"/>
        <v>0</v>
      </c>
      <c r="P111" s="112">
        <f t="shared" si="16"/>
        <v>1</v>
      </c>
      <c r="Q111" s="112">
        <f t="shared" si="17"/>
        <v>1</v>
      </c>
    </row>
    <row r="112" spans="2:17" ht="21" customHeight="1">
      <c r="B112" s="99" t="str">
        <f t="shared" si="9"/>
        <v/>
      </c>
      <c r="C112" s="99" t="str">
        <f t="shared" si="10"/>
        <v/>
      </c>
      <c r="D112" s="99" t="str">
        <f>IF(UPPER(TRIM(N11))="X",C112,B112)</f>
        <v/>
      </c>
      <c r="E112" s="99" cm="1">
        <f t="array" ref="E112">IF(H111&lt;&gt;"",E111,IF(E111="","",IFERROR(MATCH(TRUE(),INDEX(INDEX(K:K,E111+1):K203&lt;&gt;"",0),0)+E111,"")))</f>
        <v>254</v>
      </c>
      <c r="F112" s="99" cm="1">
        <f t="array" ref="F112">IF(E112="","",IF(H111&lt;&gt;"",H111,INDEX(D:D,E112)))</f>
        <v>0</v>
      </c>
      <c r="G112" s="99" t="str">
        <f t="shared" si="11"/>
        <v>0</v>
      </c>
      <c r="H112" s="109" t="str">
        <f t="shared" si="12"/>
        <v/>
      </c>
      <c r="I112" s="114" t="str">
        <f>IF(AND(F112&lt;&gt;"",N10&gt;0,M112&gt;N10),"Mot &gt; limite","")</f>
        <v/>
      </c>
      <c r="J112" s="110" t="str">
        <f>IF(K112="","",COUNTIF(K18:K112,"&lt;&gt;"))</f>
        <v/>
      </c>
      <c r="K112" s="111"/>
      <c r="L112" s="110" t="str">
        <f t="shared" si="13"/>
        <v/>
      </c>
      <c r="M112" s="80">
        <f>IF(OR(F112="",N10="",N10&lt;=0),"",IF(LEN(F112)&lt;=N10,LEN(F112),IFERROR(FIND("♦",SUBSTITUTE(LEFT(F112,N10)," ","♦",LEN(LEFT(F112,N10))-LEN(SUBSTITUTE(LEFT(F112,N10)," ","")))),FIND(" ",F112&amp;" ",N10+1)-1)))</f>
        <v>1</v>
      </c>
      <c r="N112" s="112">
        <f t="shared" si="14"/>
        <v>95</v>
      </c>
      <c r="O112" s="113" t="str">
        <f t="shared" si="15"/>
        <v>0</v>
      </c>
      <c r="P112" s="112">
        <f t="shared" si="16"/>
        <v>1</v>
      </c>
      <c r="Q112" s="112">
        <f t="shared" si="17"/>
        <v>1</v>
      </c>
    </row>
    <row r="113" spans="2:17" ht="21" customHeight="1">
      <c r="B113" s="99" t="str">
        <f t="shared" si="9"/>
        <v/>
      </c>
      <c r="C113" s="99" t="str">
        <f t="shared" si="10"/>
        <v/>
      </c>
      <c r="D113" s="99" t="str">
        <f>IF(UPPER(TRIM(N11))="X",C113,B113)</f>
        <v/>
      </c>
      <c r="E113" s="99" cm="1">
        <f t="array" ref="E113">IF(H112&lt;&gt;"",E112,IF(E112="","",IFERROR(MATCH(TRUE(),INDEX(INDEX(K:K,E112+1):K203&lt;&gt;"",0),0)+E112,"")))</f>
        <v>255</v>
      </c>
      <c r="F113" s="99" cm="1">
        <f t="array" ref="F113">IF(E113="","",IF(H112&lt;&gt;"",H112,INDEX(D:D,E113)))</f>
        <v>0</v>
      </c>
      <c r="G113" s="99" t="str">
        <f t="shared" si="11"/>
        <v>0</v>
      </c>
      <c r="H113" s="109" t="str">
        <f t="shared" si="12"/>
        <v/>
      </c>
      <c r="I113" s="114" t="str">
        <f>IF(AND(F113&lt;&gt;"",N10&gt;0,M113&gt;N10),"Mot &gt; limite","")</f>
        <v/>
      </c>
      <c r="J113" s="110" t="str">
        <f>IF(K113="","",COUNTIF(K18:K113,"&lt;&gt;"))</f>
        <v/>
      </c>
      <c r="K113" s="111"/>
      <c r="L113" s="110" t="str">
        <f t="shared" si="13"/>
        <v/>
      </c>
      <c r="M113" s="80">
        <f>IF(OR(F113="",N10="",N10&lt;=0),"",IF(LEN(F113)&lt;=N10,LEN(F113),IFERROR(FIND("♦",SUBSTITUTE(LEFT(F113,N10)," ","♦",LEN(LEFT(F113,N10))-LEN(SUBSTITUTE(LEFT(F113,N10)," ","")))),FIND(" ",F113&amp;" ",N10+1)-1)))</f>
        <v>1</v>
      </c>
      <c r="N113" s="112">
        <f t="shared" si="14"/>
        <v>96</v>
      </c>
      <c r="O113" s="113" t="str">
        <f t="shared" si="15"/>
        <v>0</v>
      </c>
      <c r="P113" s="112">
        <f t="shared" si="16"/>
        <v>1</v>
      </c>
      <c r="Q113" s="112">
        <f t="shared" si="17"/>
        <v>1</v>
      </c>
    </row>
    <row r="114" spans="2:17" ht="21" customHeight="1">
      <c r="B114" s="99" t="str">
        <f t="shared" si="9"/>
        <v/>
      </c>
      <c r="C114" s="99" t="str">
        <f t="shared" si="10"/>
        <v/>
      </c>
      <c r="D114" s="99" t="str">
        <f>IF(UPPER(TRIM(N11))="X",C114,B114)</f>
        <v/>
      </c>
      <c r="E114" s="99" cm="1">
        <f t="array" ref="E114">IF(H113&lt;&gt;"",E113,IF(E113="","",IFERROR(MATCH(TRUE(),INDEX(INDEX(K:K,E113+1):K203&lt;&gt;"",0),0)+E113,"")))</f>
        <v>256</v>
      </c>
      <c r="F114" s="99" cm="1">
        <f t="array" ref="F114">IF(E114="","",IF(H113&lt;&gt;"",H113,INDEX(D:D,E114)))</f>
        <v>0</v>
      </c>
      <c r="G114" s="99" t="str">
        <f t="shared" si="11"/>
        <v>0</v>
      </c>
      <c r="H114" s="109" t="str">
        <f t="shared" si="12"/>
        <v/>
      </c>
      <c r="I114" s="114" t="str">
        <f>IF(AND(F114&lt;&gt;"",N10&gt;0,M114&gt;N10),"Mot &gt; limite","")</f>
        <v/>
      </c>
      <c r="J114" s="110" t="str">
        <f>IF(K114="","",COUNTIF(K18:K114,"&lt;&gt;"))</f>
        <v/>
      </c>
      <c r="K114" s="111"/>
      <c r="L114" s="110" t="str">
        <f t="shared" si="13"/>
        <v/>
      </c>
      <c r="M114" s="80">
        <f>IF(OR(F114="",N10="",N10&lt;=0),"",IF(LEN(F114)&lt;=N10,LEN(F114),IFERROR(FIND("♦",SUBSTITUTE(LEFT(F114,N10)," ","♦",LEN(LEFT(F114,N10))-LEN(SUBSTITUTE(LEFT(F114,N10)," ","")))),FIND(" ",F114&amp;" ",N10+1)-1)))</f>
        <v>1</v>
      </c>
      <c r="N114" s="112">
        <f t="shared" si="14"/>
        <v>97</v>
      </c>
      <c r="O114" s="113" t="str">
        <f t="shared" si="15"/>
        <v>0</v>
      </c>
      <c r="P114" s="112">
        <f t="shared" si="16"/>
        <v>1</v>
      </c>
      <c r="Q114" s="112">
        <f t="shared" si="17"/>
        <v>1</v>
      </c>
    </row>
    <row r="115" spans="2:17" ht="21" customHeight="1">
      <c r="B115" s="99" t="str">
        <f t="shared" si="9"/>
        <v/>
      </c>
      <c r="C115" s="99" t="str">
        <f t="shared" si="10"/>
        <v/>
      </c>
      <c r="D115" s="99" t="str">
        <f>IF(UPPER(TRIM(N11))="X",C115,B115)</f>
        <v/>
      </c>
      <c r="E115" s="99" cm="1">
        <f t="array" ref="E115">IF(H114&lt;&gt;"",E114,IF(E114="","",IFERROR(MATCH(TRUE(),INDEX(INDEX(K:K,E114+1):K203&lt;&gt;"",0),0)+E114,"")))</f>
        <v>257</v>
      </c>
      <c r="F115" s="99" cm="1">
        <f t="array" ref="F115">IF(E115="","",IF(H114&lt;&gt;"",H114,INDEX(D:D,E115)))</f>
        <v>0</v>
      </c>
      <c r="G115" s="99" t="str">
        <f t="shared" si="11"/>
        <v>0</v>
      </c>
      <c r="H115" s="109" t="str">
        <f t="shared" si="12"/>
        <v/>
      </c>
      <c r="I115" s="114" t="str">
        <f>IF(AND(F115&lt;&gt;"",N10&gt;0,M115&gt;N10),"Mot &gt; limite","")</f>
        <v/>
      </c>
      <c r="J115" s="110" t="str">
        <f>IF(K115="","",COUNTIF(K18:K115,"&lt;&gt;"))</f>
        <v/>
      </c>
      <c r="K115" s="111"/>
      <c r="L115" s="110" t="str">
        <f t="shared" si="13"/>
        <v/>
      </c>
      <c r="M115" s="80">
        <f>IF(OR(F115="",N10="",N10&lt;=0),"",IF(LEN(F115)&lt;=N10,LEN(F115),IFERROR(FIND("♦",SUBSTITUTE(LEFT(F115,N10)," ","♦",LEN(LEFT(F115,N10))-LEN(SUBSTITUTE(LEFT(F115,N10)," ","")))),FIND(" ",F115&amp;" ",N10+1)-1)))</f>
        <v>1</v>
      </c>
      <c r="N115" s="112">
        <f t="shared" si="14"/>
        <v>98</v>
      </c>
      <c r="O115" s="113" t="str">
        <f t="shared" si="15"/>
        <v>0</v>
      </c>
      <c r="P115" s="112">
        <f t="shared" si="16"/>
        <v>1</v>
      </c>
      <c r="Q115" s="112">
        <f t="shared" si="17"/>
        <v>1</v>
      </c>
    </row>
    <row r="116" spans="2:17" ht="21" customHeight="1">
      <c r="B116" s="99" t="str">
        <f t="shared" si="9"/>
        <v/>
      </c>
      <c r="C116" s="99" t="str">
        <f t="shared" si="10"/>
        <v/>
      </c>
      <c r="D116" s="99" t="str">
        <f>IF(UPPER(TRIM(N11))="X",C116,B116)</f>
        <v/>
      </c>
      <c r="E116" s="99" cm="1">
        <f t="array" ref="E116">IF(H115&lt;&gt;"",E115,IF(E115="","",IFERROR(MATCH(TRUE(),INDEX(INDEX(K:K,E115+1):K203&lt;&gt;"",0),0)+E115,"")))</f>
        <v>258</v>
      </c>
      <c r="F116" s="99" cm="1">
        <f t="array" ref="F116">IF(E116="","",IF(H115&lt;&gt;"",H115,INDEX(D:D,E116)))</f>
        <v>0</v>
      </c>
      <c r="G116" s="99" t="str">
        <f t="shared" si="11"/>
        <v>0</v>
      </c>
      <c r="H116" s="109" t="str">
        <f t="shared" si="12"/>
        <v/>
      </c>
      <c r="I116" s="114" t="str">
        <f>IF(AND(F116&lt;&gt;"",N10&gt;0,M116&gt;N10),"Mot &gt; limite","")</f>
        <v/>
      </c>
      <c r="J116" s="110" t="str">
        <f>IF(K116="","",COUNTIF(K18:K116,"&lt;&gt;"))</f>
        <v/>
      </c>
      <c r="K116" s="111"/>
      <c r="L116" s="110" t="str">
        <f t="shared" si="13"/>
        <v/>
      </c>
      <c r="M116" s="80">
        <f>IF(OR(F116="",N10="",N10&lt;=0),"",IF(LEN(F116)&lt;=N10,LEN(F116),IFERROR(FIND("♦",SUBSTITUTE(LEFT(F116,N10)," ","♦",LEN(LEFT(F116,N10))-LEN(SUBSTITUTE(LEFT(F116,N10)," ","")))),FIND(" ",F116&amp;" ",N10+1)-1)))</f>
        <v>1</v>
      </c>
      <c r="N116" s="112">
        <f t="shared" si="14"/>
        <v>99</v>
      </c>
      <c r="O116" s="113" t="str">
        <f t="shared" si="15"/>
        <v>0</v>
      </c>
      <c r="P116" s="112">
        <f t="shared" si="16"/>
        <v>1</v>
      </c>
      <c r="Q116" s="112">
        <f t="shared" si="17"/>
        <v>1</v>
      </c>
    </row>
    <row r="117" spans="2:17" ht="21" customHeight="1">
      <c r="B117" s="99" t="str">
        <f t="shared" si="9"/>
        <v/>
      </c>
      <c r="C117" s="99" t="str">
        <f t="shared" si="10"/>
        <v/>
      </c>
      <c r="D117" s="99" t="str">
        <f>IF(UPPER(TRIM(N11))="X",C117,B117)</f>
        <v/>
      </c>
      <c r="E117" s="99" cm="1">
        <f t="array" ref="E117">IF(H116&lt;&gt;"",E116,IF(E116="","",IFERROR(MATCH(TRUE(),INDEX(INDEX(K:K,E116+1):K203&lt;&gt;"",0),0)+E116,"")))</f>
        <v>259</v>
      </c>
      <c r="F117" s="99" cm="1">
        <f t="array" ref="F117">IF(E117="","",IF(H116&lt;&gt;"",H116,INDEX(D:D,E117)))</f>
        <v>0</v>
      </c>
      <c r="G117" s="99" t="str">
        <f t="shared" si="11"/>
        <v>0</v>
      </c>
      <c r="H117" s="109" t="str">
        <f t="shared" si="12"/>
        <v/>
      </c>
      <c r="I117" s="114" t="str">
        <f>IF(AND(F117&lt;&gt;"",N10&gt;0,M117&gt;N10),"Mot &gt; limite","")</f>
        <v/>
      </c>
      <c r="J117" s="110" t="str">
        <f>IF(K117="","",COUNTIF(K18:K117,"&lt;&gt;"))</f>
        <v/>
      </c>
      <c r="K117" s="111"/>
      <c r="L117" s="110" t="str">
        <f t="shared" si="13"/>
        <v/>
      </c>
      <c r="M117" s="80">
        <f>IF(OR(F117="",N10="",N10&lt;=0),"",IF(LEN(F117)&lt;=N10,LEN(F117),IFERROR(FIND("♦",SUBSTITUTE(LEFT(F117,N10)," ","♦",LEN(LEFT(F117,N10))-LEN(SUBSTITUTE(LEFT(F117,N10)," ","")))),FIND(" ",F117&amp;" ",N10+1)-1)))</f>
        <v>1</v>
      </c>
      <c r="N117" s="112">
        <f t="shared" si="14"/>
        <v>100</v>
      </c>
      <c r="O117" s="113" t="str">
        <f t="shared" si="15"/>
        <v>0</v>
      </c>
      <c r="P117" s="112">
        <f t="shared" si="16"/>
        <v>1</v>
      </c>
      <c r="Q117" s="112">
        <f t="shared" si="17"/>
        <v>1</v>
      </c>
    </row>
    <row r="118" spans="2:17" ht="21" customHeight="1">
      <c r="B118" s="99" t="str">
        <f t="shared" si="9"/>
        <v/>
      </c>
      <c r="C118" s="99" t="str">
        <f t="shared" si="10"/>
        <v/>
      </c>
      <c r="D118" s="99" t="str">
        <f>IF(UPPER(TRIM(N11))="X",C118,B118)</f>
        <v/>
      </c>
      <c r="E118" s="99" cm="1">
        <f t="array" ref="E118">IF(H117&lt;&gt;"",E117,IF(E117="","",IFERROR(MATCH(TRUE(),INDEX(INDEX(K:K,E117+1):K203&lt;&gt;"",0),0)+E117,"")))</f>
        <v>260</v>
      </c>
      <c r="F118" s="99" cm="1">
        <f t="array" ref="F118">IF(E118="","",IF(H117&lt;&gt;"",H117,INDEX(D:D,E118)))</f>
        <v>0</v>
      </c>
      <c r="G118" s="99" t="str">
        <f t="shared" si="11"/>
        <v>0</v>
      </c>
      <c r="H118" s="109" t="str">
        <f t="shared" si="12"/>
        <v/>
      </c>
      <c r="I118" s="114" t="str">
        <f>IF(AND(F118&lt;&gt;"",N10&gt;0,M118&gt;N10),"Mot &gt; limite","")</f>
        <v/>
      </c>
      <c r="J118" s="110" t="str">
        <f>IF(K118="","",COUNTIF(K18:K118,"&lt;&gt;"))</f>
        <v/>
      </c>
      <c r="K118" s="111"/>
      <c r="L118" s="110" t="str">
        <f t="shared" si="13"/>
        <v/>
      </c>
      <c r="M118" s="80">
        <f>IF(OR(F118="",N10="",N10&lt;=0),"",IF(LEN(F118)&lt;=N10,LEN(F118),IFERROR(FIND("♦",SUBSTITUTE(LEFT(F118,N10)," ","♦",LEN(LEFT(F118,N10))-LEN(SUBSTITUTE(LEFT(F118,N10)," ","")))),FIND(" ",F118&amp;" ",N10+1)-1)))</f>
        <v>1</v>
      </c>
      <c r="N118" s="112">
        <f t="shared" si="14"/>
        <v>101</v>
      </c>
      <c r="O118" s="113" t="str">
        <f t="shared" si="15"/>
        <v>0</v>
      </c>
      <c r="P118" s="112">
        <f t="shared" si="16"/>
        <v>1</v>
      </c>
      <c r="Q118" s="112">
        <f t="shared" si="17"/>
        <v>1</v>
      </c>
    </row>
    <row r="119" spans="2:17" ht="21" customHeight="1">
      <c r="B119" s="99" t="str">
        <f t="shared" si="9"/>
        <v/>
      </c>
      <c r="C119" s="99" t="str">
        <f t="shared" si="10"/>
        <v/>
      </c>
      <c r="D119" s="99" t="str">
        <f>IF(UPPER(TRIM(N11))="X",C119,B119)</f>
        <v/>
      </c>
      <c r="E119" s="99" cm="1">
        <f t="array" ref="E119">IF(H118&lt;&gt;"",E118,IF(E118="","",IFERROR(MATCH(TRUE(),INDEX(INDEX(K:K,E118+1):K203&lt;&gt;"",0),0)+E118,"")))</f>
        <v>261</v>
      </c>
      <c r="F119" s="99" cm="1">
        <f t="array" ref="F119">IF(E119="","",IF(H118&lt;&gt;"",H118,INDEX(D:D,E119)))</f>
        <v>0</v>
      </c>
      <c r="G119" s="99" t="str">
        <f t="shared" si="11"/>
        <v>0</v>
      </c>
      <c r="H119" s="109" t="str">
        <f t="shared" si="12"/>
        <v/>
      </c>
      <c r="I119" s="114" t="str">
        <f>IF(AND(F119&lt;&gt;"",N10&gt;0,M119&gt;N10),"Mot &gt; limite","")</f>
        <v/>
      </c>
      <c r="J119" s="110" t="str">
        <f>IF(K119="","",COUNTIF(K18:K119,"&lt;&gt;"))</f>
        <v/>
      </c>
      <c r="K119" s="111"/>
      <c r="L119" s="110" t="str">
        <f t="shared" si="13"/>
        <v/>
      </c>
      <c r="M119" s="80">
        <f>IF(OR(F119="",N10="",N10&lt;=0),"",IF(LEN(F119)&lt;=N10,LEN(F119),IFERROR(FIND("♦",SUBSTITUTE(LEFT(F119,N10)," ","♦",LEN(LEFT(F119,N10))-LEN(SUBSTITUTE(LEFT(F119,N10)," ","")))),FIND(" ",F119&amp;" ",N10+1)-1)))</f>
        <v>1</v>
      </c>
      <c r="N119" s="112">
        <f t="shared" si="14"/>
        <v>102</v>
      </c>
      <c r="O119" s="113" t="str">
        <f t="shared" si="15"/>
        <v>0</v>
      </c>
      <c r="P119" s="112">
        <f t="shared" si="16"/>
        <v>1</v>
      </c>
      <c r="Q119" s="112">
        <f t="shared" si="17"/>
        <v>1</v>
      </c>
    </row>
    <row r="120" spans="2:17" ht="21" customHeight="1">
      <c r="B120" s="99" t="str">
        <f t="shared" si="9"/>
        <v/>
      </c>
      <c r="C120" s="99" t="str">
        <f t="shared" si="10"/>
        <v/>
      </c>
      <c r="D120" s="99" t="str">
        <f>IF(UPPER(TRIM(N11))="X",C120,B120)</f>
        <v/>
      </c>
      <c r="E120" s="99" cm="1">
        <f t="array" ref="E120">IF(H119&lt;&gt;"",E119,IF(E119="","",IFERROR(MATCH(TRUE(),INDEX(INDEX(K:K,E119+1):K203&lt;&gt;"",0),0)+E119,"")))</f>
        <v>262</v>
      </c>
      <c r="F120" s="99" cm="1">
        <f t="array" ref="F120">IF(E120="","",IF(H119&lt;&gt;"",H119,INDEX(D:D,E120)))</f>
        <v>0</v>
      </c>
      <c r="G120" s="99" t="str">
        <f t="shared" si="11"/>
        <v>0</v>
      </c>
      <c r="H120" s="109" t="str">
        <f t="shared" si="12"/>
        <v/>
      </c>
      <c r="I120" s="114" t="str">
        <f>IF(AND(F120&lt;&gt;"",N10&gt;0,M120&gt;N10),"Mot &gt; limite","")</f>
        <v/>
      </c>
      <c r="J120" s="110" t="str">
        <f>IF(K120="","",COUNTIF(K18:K120,"&lt;&gt;"))</f>
        <v/>
      </c>
      <c r="K120" s="111"/>
      <c r="L120" s="110" t="str">
        <f t="shared" si="13"/>
        <v/>
      </c>
      <c r="M120" s="80">
        <f>IF(OR(F120="",N10="",N10&lt;=0),"",IF(LEN(F120)&lt;=N10,LEN(F120),IFERROR(FIND("♦",SUBSTITUTE(LEFT(F120,N10)," ","♦",LEN(LEFT(F120,N10))-LEN(SUBSTITUTE(LEFT(F120,N10)," ","")))),FIND(" ",F120&amp;" ",N10+1)-1)))</f>
        <v>1</v>
      </c>
      <c r="N120" s="112">
        <f t="shared" si="14"/>
        <v>103</v>
      </c>
      <c r="O120" s="113" t="str">
        <f t="shared" si="15"/>
        <v>0</v>
      </c>
      <c r="P120" s="112">
        <f t="shared" si="16"/>
        <v>1</v>
      </c>
      <c r="Q120" s="112">
        <f t="shared" si="17"/>
        <v>1</v>
      </c>
    </row>
    <row r="121" spans="2:17" ht="21" customHeight="1">
      <c r="B121" s="99" t="str">
        <f t="shared" si="9"/>
        <v/>
      </c>
      <c r="C121" s="99" t="str">
        <f t="shared" si="10"/>
        <v/>
      </c>
      <c r="D121" s="99" t="str">
        <f>IF(UPPER(TRIM(N11))="X",C121,B121)</f>
        <v/>
      </c>
      <c r="E121" s="99" cm="1">
        <f t="array" ref="E121">IF(H120&lt;&gt;"",E120,IF(E120="","",IFERROR(MATCH(TRUE(),INDEX(INDEX(K:K,E120+1):K203&lt;&gt;"",0),0)+E120,"")))</f>
        <v>263</v>
      </c>
      <c r="F121" s="99" cm="1">
        <f t="array" ref="F121">IF(E121="","",IF(H120&lt;&gt;"",H120,INDEX(D:D,E121)))</f>
        <v>0</v>
      </c>
      <c r="G121" s="99" t="str">
        <f t="shared" si="11"/>
        <v>0</v>
      </c>
      <c r="H121" s="109" t="str">
        <f t="shared" si="12"/>
        <v/>
      </c>
      <c r="I121" s="114" t="str">
        <f>IF(AND(F121&lt;&gt;"",N10&gt;0,M121&gt;N10),"Mot &gt; limite","")</f>
        <v/>
      </c>
      <c r="J121" s="110" t="str">
        <f>IF(K121="","",COUNTIF(K18:K121,"&lt;&gt;"))</f>
        <v/>
      </c>
      <c r="K121" s="111"/>
      <c r="L121" s="110" t="str">
        <f t="shared" si="13"/>
        <v/>
      </c>
      <c r="M121" s="80">
        <f>IF(OR(F121="",N10="",N10&lt;=0),"",IF(LEN(F121)&lt;=N10,LEN(F121),IFERROR(FIND("♦",SUBSTITUTE(LEFT(F121,N10)," ","♦",LEN(LEFT(F121,N10))-LEN(SUBSTITUTE(LEFT(F121,N10)," ","")))),FIND(" ",F121&amp;" ",N10+1)-1)))</f>
        <v>1</v>
      </c>
      <c r="N121" s="112">
        <f t="shared" si="14"/>
        <v>104</v>
      </c>
      <c r="O121" s="113" t="str">
        <f t="shared" si="15"/>
        <v>0</v>
      </c>
      <c r="P121" s="112">
        <f t="shared" si="16"/>
        <v>1</v>
      </c>
      <c r="Q121" s="112">
        <f t="shared" si="17"/>
        <v>1</v>
      </c>
    </row>
    <row r="122" spans="2:17" ht="21" customHeight="1">
      <c r="B122" s="99" t="str">
        <f t="shared" si="9"/>
        <v/>
      </c>
      <c r="C122" s="99" t="str">
        <f t="shared" si="10"/>
        <v/>
      </c>
      <c r="D122" s="99" t="str">
        <f>IF(UPPER(TRIM(N11))="X",C122,B122)</f>
        <v/>
      </c>
      <c r="E122" s="99" cm="1">
        <f t="array" ref="E122">IF(H121&lt;&gt;"",E121,IF(E121="","",IFERROR(MATCH(TRUE(),INDEX(INDEX(K:K,E121+1):K203&lt;&gt;"",0),0)+E121,"")))</f>
        <v>264</v>
      </c>
      <c r="F122" s="99" cm="1">
        <f t="array" ref="F122">IF(E122="","",IF(H121&lt;&gt;"",H121,INDEX(D:D,E122)))</f>
        <v>0</v>
      </c>
      <c r="G122" s="99" t="str">
        <f t="shared" si="11"/>
        <v>0</v>
      </c>
      <c r="H122" s="109" t="str">
        <f t="shared" si="12"/>
        <v/>
      </c>
      <c r="I122" s="114" t="str">
        <f>IF(AND(F122&lt;&gt;"",N10&gt;0,M122&gt;N10),"Mot &gt; limite","")</f>
        <v/>
      </c>
      <c r="J122" s="110" t="str">
        <f>IF(K122="","",COUNTIF(K18:K122,"&lt;&gt;"))</f>
        <v/>
      </c>
      <c r="K122" s="111"/>
      <c r="L122" s="110" t="str">
        <f t="shared" si="13"/>
        <v/>
      </c>
      <c r="M122" s="80">
        <f>IF(OR(F122="",N10="",N10&lt;=0),"",IF(LEN(F122)&lt;=N10,LEN(F122),IFERROR(FIND("♦",SUBSTITUTE(LEFT(F122,N10)," ","♦",LEN(LEFT(F122,N10))-LEN(SUBSTITUTE(LEFT(F122,N10)," ","")))),FIND(" ",F122&amp;" ",N10+1)-1)))</f>
        <v>1</v>
      </c>
      <c r="N122" s="112">
        <f t="shared" si="14"/>
        <v>105</v>
      </c>
      <c r="O122" s="113" t="str">
        <f t="shared" si="15"/>
        <v>0</v>
      </c>
      <c r="P122" s="112">
        <f t="shared" si="16"/>
        <v>1</v>
      </c>
      <c r="Q122" s="112">
        <f t="shared" si="17"/>
        <v>1</v>
      </c>
    </row>
    <row r="123" spans="2:17" ht="21" customHeight="1">
      <c r="B123" s="99" t="str">
        <f t="shared" si="9"/>
        <v/>
      </c>
      <c r="C123" s="99" t="str">
        <f t="shared" si="10"/>
        <v/>
      </c>
      <c r="D123" s="99" t="str">
        <f>IF(UPPER(TRIM(N11))="X",C123,B123)</f>
        <v/>
      </c>
      <c r="E123" s="99" cm="1">
        <f t="array" ref="E123">IF(H122&lt;&gt;"",E122,IF(E122="","",IFERROR(MATCH(TRUE(),INDEX(INDEX(K:K,E122+1):K203&lt;&gt;"",0),0)+E122,"")))</f>
        <v>265</v>
      </c>
      <c r="F123" s="99" cm="1">
        <f t="array" ref="F123">IF(E123="","",IF(H122&lt;&gt;"",H122,INDEX(D:D,E123)))</f>
        <v>0</v>
      </c>
      <c r="G123" s="99" t="str">
        <f t="shared" si="11"/>
        <v>0</v>
      </c>
      <c r="H123" s="109" t="str">
        <f t="shared" si="12"/>
        <v/>
      </c>
      <c r="I123" s="114" t="str">
        <f>IF(AND(F123&lt;&gt;"",N10&gt;0,M123&gt;N10),"Mot &gt; limite","")</f>
        <v/>
      </c>
      <c r="J123" s="110" t="str">
        <f>IF(K123="","",COUNTIF(K18:K123,"&lt;&gt;"))</f>
        <v/>
      </c>
      <c r="K123" s="111"/>
      <c r="L123" s="110" t="str">
        <f t="shared" si="13"/>
        <v/>
      </c>
      <c r="M123" s="80">
        <f>IF(OR(F123="",N10="",N10&lt;=0),"",IF(LEN(F123)&lt;=N10,LEN(F123),IFERROR(FIND("♦",SUBSTITUTE(LEFT(F123,N10)," ","♦",LEN(LEFT(F123,N10))-LEN(SUBSTITUTE(LEFT(F123,N10)," ","")))),FIND(" ",F123&amp;" ",N10+1)-1)))</f>
        <v>1</v>
      </c>
      <c r="N123" s="112">
        <f t="shared" si="14"/>
        <v>106</v>
      </c>
      <c r="O123" s="113" t="str">
        <f t="shared" si="15"/>
        <v>0</v>
      </c>
      <c r="P123" s="112">
        <f t="shared" si="16"/>
        <v>1</v>
      </c>
      <c r="Q123" s="112">
        <f t="shared" si="17"/>
        <v>1</v>
      </c>
    </row>
    <row r="124" spans="2:17" ht="21" customHeight="1">
      <c r="B124" s="99" t="str">
        <f t="shared" si="9"/>
        <v/>
      </c>
      <c r="C124" s="99" t="str">
        <f t="shared" si="10"/>
        <v/>
      </c>
      <c r="D124" s="99" t="str">
        <f>IF(UPPER(TRIM(N11))="X",C124,B124)</f>
        <v/>
      </c>
      <c r="E124" s="99" cm="1">
        <f t="array" ref="E124">IF(H123&lt;&gt;"",E123,IF(E123="","",IFERROR(MATCH(TRUE(),INDEX(INDEX(K:K,E123+1):K203&lt;&gt;"",0),0)+E123,"")))</f>
        <v>266</v>
      </c>
      <c r="F124" s="99" cm="1">
        <f t="array" ref="F124">IF(E124="","",IF(H123&lt;&gt;"",H123,INDEX(D:D,E124)))</f>
        <v>0</v>
      </c>
      <c r="G124" s="99" t="str">
        <f t="shared" si="11"/>
        <v>0</v>
      </c>
      <c r="H124" s="109" t="str">
        <f t="shared" si="12"/>
        <v/>
      </c>
      <c r="I124" s="114" t="str">
        <f>IF(AND(F124&lt;&gt;"",N10&gt;0,M124&gt;N10),"Mot &gt; limite","")</f>
        <v/>
      </c>
      <c r="J124" s="110" t="str">
        <f>IF(K124="","",COUNTIF(K18:K124,"&lt;&gt;"))</f>
        <v/>
      </c>
      <c r="K124" s="111"/>
      <c r="L124" s="110" t="str">
        <f t="shared" si="13"/>
        <v/>
      </c>
      <c r="M124" s="80">
        <f>IF(OR(F124="",N10="",N10&lt;=0),"",IF(LEN(F124)&lt;=N10,LEN(F124),IFERROR(FIND("♦",SUBSTITUTE(LEFT(F124,N10)," ","♦",LEN(LEFT(F124,N10))-LEN(SUBSTITUTE(LEFT(F124,N10)," ","")))),FIND(" ",F124&amp;" ",N10+1)-1)))</f>
        <v>1</v>
      </c>
      <c r="N124" s="112">
        <f t="shared" si="14"/>
        <v>107</v>
      </c>
      <c r="O124" s="113" t="str">
        <f t="shared" si="15"/>
        <v>0</v>
      </c>
      <c r="P124" s="112">
        <f t="shared" si="16"/>
        <v>1</v>
      </c>
      <c r="Q124" s="112">
        <f t="shared" si="17"/>
        <v>1</v>
      </c>
    </row>
    <row r="125" spans="2:17" ht="21" customHeight="1">
      <c r="B125" s="99" t="str">
        <f t="shared" si="9"/>
        <v/>
      </c>
      <c r="C125" s="99" t="str">
        <f t="shared" si="10"/>
        <v/>
      </c>
      <c r="D125" s="99" t="str">
        <f>IF(UPPER(TRIM(N11))="X",C125,B125)</f>
        <v/>
      </c>
      <c r="E125" s="99" cm="1">
        <f t="array" ref="E125">IF(H124&lt;&gt;"",E124,IF(E124="","",IFERROR(MATCH(TRUE(),INDEX(INDEX(K:K,E124+1):K203&lt;&gt;"",0),0)+E124,"")))</f>
        <v>267</v>
      </c>
      <c r="F125" s="99" cm="1">
        <f t="array" ref="F125">IF(E125="","",IF(H124&lt;&gt;"",H124,INDEX(D:D,E125)))</f>
        <v>0</v>
      </c>
      <c r="G125" s="99" t="str">
        <f t="shared" si="11"/>
        <v>0</v>
      </c>
      <c r="H125" s="109" t="str">
        <f t="shared" si="12"/>
        <v/>
      </c>
      <c r="I125" s="114" t="str">
        <f>IF(AND(F125&lt;&gt;"",N10&gt;0,M125&gt;N10),"Mot &gt; limite","")</f>
        <v/>
      </c>
      <c r="J125" s="110" t="str">
        <f>IF(K125="","",COUNTIF(K18:K125,"&lt;&gt;"))</f>
        <v/>
      </c>
      <c r="K125" s="111"/>
      <c r="L125" s="110" t="str">
        <f t="shared" si="13"/>
        <v/>
      </c>
      <c r="M125" s="80">
        <f>IF(OR(F125="",N10="",N10&lt;=0),"",IF(LEN(F125)&lt;=N10,LEN(F125),IFERROR(FIND("♦",SUBSTITUTE(LEFT(F125,N10)," ","♦",LEN(LEFT(F125,N10))-LEN(SUBSTITUTE(LEFT(F125,N10)," ","")))),FIND(" ",F125&amp;" ",N10+1)-1)))</f>
        <v>1</v>
      </c>
      <c r="N125" s="112">
        <f t="shared" si="14"/>
        <v>108</v>
      </c>
      <c r="O125" s="113" t="str">
        <f t="shared" si="15"/>
        <v>0</v>
      </c>
      <c r="P125" s="112">
        <f t="shared" si="16"/>
        <v>1</v>
      </c>
      <c r="Q125" s="112">
        <f t="shared" si="17"/>
        <v>1</v>
      </c>
    </row>
    <row r="126" spans="2:17" ht="21" customHeight="1">
      <c r="B126" s="99" t="str">
        <f t="shared" si="9"/>
        <v/>
      </c>
      <c r="C126" s="99" t="str">
        <f t="shared" si="10"/>
        <v/>
      </c>
      <c r="D126" s="99" t="str">
        <f>IF(UPPER(TRIM(N11))="X",C126,B126)</f>
        <v/>
      </c>
      <c r="E126" s="99" cm="1">
        <f t="array" ref="E126">IF(H125&lt;&gt;"",E125,IF(E125="","",IFERROR(MATCH(TRUE(),INDEX(INDEX(K:K,E125+1):K203&lt;&gt;"",0),0)+E125,"")))</f>
        <v>268</v>
      </c>
      <c r="F126" s="99" cm="1">
        <f t="array" ref="F126">IF(E126="","",IF(H125&lt;&gt;"",H125,INDEX(D:D,E126)))</f>
        <v>0</v>
      </c>
      <c r="G126" s="99" t="str">
        <f t="shared" si="11"/>
        <v>0</v>
      </c>
      <c r="H126" s="109" t="str">
        <f t="shared" si="12"/>
        <v/>
      </c>
      <c r="I126" s="114" t="str">
        <f>IF(AND(F126&lt;&gt;"",N10&gt;0,M126&gt;N10),"Mot &gt; limite","")</f>
        <v/>
      </c>
      <c r="J126" s="110" t="str">
        <f>IF(K126="","",COUNTIF(K18:K126,"&lt;&gt;"))</f>
        <v/>
      </c>
      <c r="K126" s="111"/>
      <c r="L126" s="110" t="str">
        <f t="shared" si="13"/>
        <v/>
      </c>
      <c r="M126" s="80">
        <f>IF(OR(F126="",N10="",N10&lt;=0),"",IF(LEN(F126)&lt;=N10,LEN(F126),IFERROR(FIND("♦",SUBSTITUTE(LEFT(F126,N10)," ","♦",LEN(LEFT(F126,N10))-LEN(SUBSTITUTE(LEFT(F126,N10)," ","")))),FIND(" ",F126&amp;" ",N10+1)-1)))</f>
        <v>1</v>
      </c>
      <c r="N126" s="112">
        <f t="shared" si="14"/>
        <v>109</v>
      </c>
      <c r="O126" s="113" t="str">
        <f t="shared" si="15"/>
        <v>0</v>
      </c>
      <c r="P126" s="112">
        <f t="shared" si="16"/>
        <v>1</v>
      </c>
      <c r="Q126" s="112">
        <f t="shared" si="17"/>
        <v>1</v>
      </c>
    </row>
    <row r="127" spans="2:17" ht="21" customHeight="1">
      <c r="B127" s="99" t="str">
        <f t="shared" si="9"/>
        <v/>
      </c>
      <c r="C127" s="99" t="str">
        <f t="shared" si="10"/>
        <v/>
      </c>
      <c r="D127" s="99" t="str">
        <f>IF(UPPER(TRIM(N11))="X",C127,B127)</f>
        <v/>
      </c>
      <c r="E127" s="99" cm="1">
        <f t="array" ref="E127">IF(H126&lt;&gt;"",E126,IF(E126="","",IFERROR(MATCH(TRUE(),INDEX(INDEX(K:K,E126+1):K203&lt;&gt;"",0),0)+E126,"")))</f>
        <v>269</v>
      </c>
      <c r="F127" s="99" cm="1">
        <f t="array" ref="F127">IF(E127="","",IF(H126&lt;&gt;"",H126,INDEX(D:D,E127)))</f>
        <v>0</v>
      </c>
      <c r="G127" s="99" t="str">
        <f t="shared" si="11"/>
        <v>0</v>
      </c>
      <c r="H127" s="109" t="str">
        <f t="shared" si="12"/>
        <v/>
      </c>
      <c r="I127" s="114" t="str">
        <f>IF(AND(F127&lt;&gt;"",N10&gt;0,M127&gt;N10),"Mot &gt; limite","")</f>
        <v/>
      </c>
      <c r="J127" s="110" t="str">
        <f>IF(K127="","",COUNTIF(K18:K127,"&lt;&gt;"))</f>
        <v/>
      </c>
      <c r="K127" s="111"/>
      <c r="L127" s="110" t="str">
        <f t="shared" si="13"/>
        <v/>
      </c>
      <c r="M127" s="80">
        <f>IF(OR(F127="",N10="",N10&lt;=0),"",IF(LEN(F127)&lt;=N10,LEN(F127),IFERROR(FIND("♦",SUBSTITUTE(LEFT(F127,N10)," ","♦",LEN(LEFT(F127,N10))-LEN(SUBSTITUTE(LEFT(F127,N10)," ","")))),FIND(" ",F127&amp;" ",N10+1)-1)))</f>
        <v>1</v>
      </c>
      <c r="N127" s="112">
        <f t="shared" si="14"/>
        <v>110</v>
      </c>
      <c r="O127" s="113" t="str">
        <f t="shared" si="15"/>
        <v>0</v>
      </c>
      <c r="P127" s="112">
        <f t="shared" si="16"/>
        <v>1</v>
      </c>
      <c r="Q127" s="112">
        <f t="shared" si="17"/>
        <v>1</v>
      </c>
    </row>
    <row r="128" spans="2:17" ht="21" customHeight="1">
      <c r="B128" s="99" t="str">
        <f t="shared" si="9"/>
        <v/>
      </c>
      <c r="C128" s="99" t="str">
        <f t="shared" si="10"/>
        <v/>
      </c>
      <c r="D128" s="99" t="str">
        <f>IF(UPPER(TRIM(N11))="X",C128,B128)</f>
        <v/>
      </c>
      <c r="E128" s="99" cm="1">
        <f t="array" ref="E128">IF(H127&lt;&gt;"",E127,IF(E127="","",IFERROR(MATCH(TRUE(),INDEX(INDEX(K:K,E127+1):K203&lt;&gt;"",0),0)+E127,"")))</f>
        <v>270</v>
      </c>
      <c r="F128" s="99" cm="1">
        <f t="array" ref="F128">IF(E128="","",IF(H127&lt;&gt;"",H127,INDEX(D:D,E128)))</f>
        <v>0</v>
      </c>
      <c r="G128" s="99" t="str">
        <f t="shared" si="11"/>
        <v>0</v>
      </c>
      <c r="H128" s="109" t="str">
        <f t="shared" si="12"/>
        <v/>
      </c>
      <c r="I128" s="114" t="str">
        <f>IF(AND(F128&lt;&gt;"",N10&gt;0,M128&gt;N10),"Mot &gt; limite","")</f>
        <v/>
      </c>
      <c r="J128" s="110" t="str">
        <f>IF(K128="","",COUNTIF(K18:K128,"&lt;&gt;"))</f>
        <v/>
      </c>
      <c r="K128" s="111"/>
      <c r="L128" s="110" t="str">
        <f t="shared" si="13"/>
        <v/>
      </c>
      <c r="M128" s="80">
        <f>IF(OR(F128="",N10="",N10&lt;=0),"",IF(LEN(F128)&lt;=N10,LEN(F128),IFERROR(FIND("♦",SUBSTITUTE(LEFT(F128,N10)," ","♦",LEN(LEFT(F128,N10))-LEN(SUBSTITUTE(LEFT(F128,N10)," ","")))),FIND(" ",F128&amp;" ",N10+1)-1)))</f>
        <v>1</v>
      </c>
      <c r="N128" s="112">
        <f t="shared" si="14"/>
        <v>111</v>
      </c>
      <c r="O128" s="113" t="str">
        <f t="shared" si="15"/>
        <v>0</v>
      </c>
      <c r="P128" s="112">
        <f t="shared" si="16"/>
        <v>1</v>
      </c>
      <c r="Q128" s="112">
        <f t="shared" si="17"/>
        <v>1</v>
      </c>
    </row>
    <row r="129" spans="2:17" ht="21" customHeight="1">
      <c r="B129" s="99" t="str">
        <f t="shared" si="9"/>
        <v/>
      </c>
      <c r="C129" s="99" t="str">
        <f t="shared" si="10"/>
        <v/>
      </c>
      <c r="D129" s="99" t="str">
        <f>IF(UPPER(TRIM(N11))="X",C129,B129)</f>
        <v/>
      </c>
      <c r="E129" s="99" cm="1">
        <f t="array" ref="E129">IF(H128&lt;&gt;"",E128,IF(E128="","",IFERROR(MATCH(TRUE(),INDEX(INDEX(K:K,E128+1):K203&lt;&gt;"",0),0)+E128,"")))</f>
        <v>271</v>
      </c>
      <c r="F129" s="99" cm="1">
        <f t="array" ref="F129">IF(E129="","",IF(H128&lt;&gt;"",H128,INDEX(D:D,E129)))</f>
        <v>0</v>
      </c>
      <c r="G129" s="99" t="str">
        <f t="shared" si="11"/>
        <v>0</v>
      </c>
      <c r="H129" s="109" t="str">
        <f t="shared" si="12"/>
        <v/>
      </c>
      <c r="I129" s="114" t="str">
        <f>IF(AND(F129&lt;&gt;"",N10&gt;0,M129&gt;N10),"Mot &gt; limite","")</f>
        <v/>
      </c>
      <c r="J129" s="110" t="str">
        <f>IF(K129="","",COUNTIF(K18:K129,"&lt;&gt;"))</f>
        <v/>
      </c>
      <c r="K129" s="111"/>
      <c r="L129" s="110" t="str">
        <f t="shared" si="13"/>
        <v/>
      </c>
      <c r="M129" s="80">
        <f>IF(OR(F129="",N10="",N10&lt;=0),"",IF(LEN(F129)&lt;=N10,LEN(F129),IFERROR(FIND("♦",SUBSTITUTE(LEFT(F129,N10)," ","♦",LEN(LEFT(F129,N10))-LEN(SUBSTITUTE(LEFT(F129,N10)," ","")))),FIND(" ",F129&amp;" ",N10+1)-1)))</f>
        <v>1</v>
      </c>
      <c r="N129" s="112">
        <f t="shared" si="14"/>
        <v>112</v>
      </c>
      <c r="O129" s="113" t="str">
        <f t="shared" si="15"/>
        <v>0</v>
      </c>
      <c r="P129" s="112">
        <f t="shared" si="16"/>
        <v>1</v>
      </c>
      <c r="Q129" s="112">
        <f t="shared" si="17"/>
        <v>1</v>
      </c>
    </row>
    <row r="130" spans="2:17" ht="21" customHeight="1">
      <c r="B130" s="99" t="str">
        <f t="shared" si="9"/>
        <v/>
      </c>
      <c r="C130" s="99" t="str">
        <f t="shared" si="10"/>
        <v/>
      </c>
      <c r="D130" s="99" t="str">
        <f>IF(UPPER(TRIM(N11))="X",C130,B130)</f>
        <v/>
      </c>
      <c r="E130" s="99" cm="1">
        <f t="array" ref="E130">IF(H129&lt;&gt;"",E129,IF(E129="","",IFERROR(MATCH(TRUE(),INDEX(INDEX(K:K,E129+1):K203&lt;&gt;"",0),0)+E129,"")))</f>
        <v>272</v>
      </c>
      <c r="F130" s="99" cm="1">
        <f t="array" ref="F130">IF(E130="","",IF(H129&lt;&gt;"",H129,INDEX(D:D,E130)))</f>
        <v>0</v>
      </c>
      <c r="G130" s="99" t="str">
        <f t="shared" si="11"/>
        <v>0</v>
      </c>
      <c r="H130" s="109" t="str">
        <f t="shared" si="12"/>
        <v/>
      </c>
      <c r="I130" s="114" t="str">
        <f>IF(AND(F130&lt;&gt;"",N10&gt;0,M130&gt;N10),"Mot &gt; limite","")</f>
        <v/>
      </c>
      <c r="J130" s="110" t="str">
        <f>IF(K130="","",COUNTIF(K18:K130,"&lt;&gt;"))</f>
        <v/>
      </c>
      <c r="K130" s="111"/>
      <c r="L130" s="110" t="str">
        <f t="shared" si="13"/>
        <v/>
      </c>
      <c r="M130" s="80">
        <f>IF(OR(F130="",N10="",N10&lt;=0),"",IF(LEN(F130)&lt;=N10,LEN(F130),IFERROR(FIND("♦",SUBSTITUTE(LEFT(F130,N10)," ","♦",LEN(LEFT(F130,N10))-LEN(SUBSTITUTE(LEFT(F130,N10)," ","")))),FIND(" ",F130&amp;" ",N10+1)-1)))</f>
        <v>1</v>
      </c>
      <c r="N130" s="112">
        <f t="shared" si="14"/>
        <v>113</v>
      </c>
      <c r="O130" s="113" t="str">
        <f t="shared" si="15"/>
        <v>0</v>
      </c>
      <c r="P130" s="112">
        <f t="shared" si="16"/>
        <v>1</v>
      </c>
      <c r="Q130" s="112">
        <f t="shared" si="17"/>
        <v>1</v>
      </c>
    </row>
    <row r="131" spans="2:17" ht="21" customHeight="1">
      <c r="B131" s="99" t="str">
        <f t="shared" si="9"/>
        <v/>
      </c>
      <c r="C131" s="99" t="str">
        <f t="shared" si="10"/>
        <v/>
      </c>
      <c r="D131" s="99" t="str">
        <f>IF(UPPER(TRIM(N11))="X",C131,B131)</f>
        <v/>
      </c>
      <c r="E131" s="99" cm="1">
        <f t="array" ref="E131">IF(H130&lt;&gt;"",E130,IF(E130="","",IFERROR(MATCH(TRUE(),INDEX(INDEX(K:K,E130+1):K203&lt;&gt;"",0),0)+E130,"")))</f>
        <v>273</v>
      </c>
      <c r="F131" s="99" cm="1">
        <f t="array" ref="F131">IF(E131="","",IF(H130&lt;&gt;"",H130,INDEX(D:D,E131)))</f>
        <v>0</v>
      </c>
      <c r="G131" s="99" t="str">
        <f t="shared" si="11"/>
        <v>0</v>
      </c>
      <c r="H131" s="109" t="str">
        <f t="shared" si="12"/>
        <v/>
      </c>
      <c r="I131" s="114" t="str">
        <f>IF(AND(F131&lt;&gt;"",N10&gt;0,M131&gt;N10),"Mot &gt; limite","")</f>
        <v/>
      </c>
      <c r="J131" s="110" t="str">
        <f>IF(K131="","",COUNTIF(K18:K131,"&lt;&gt;"))</f>
        <v/>
      </c>
      <c r="K131" s="111"/>
      <c r="L131" s="110" t="str">
        <f t="shared" si="13"/>
        <v/>
      </c>
      <c r="M131" s="80">
        <f>IF(OR(F131="",N10="",N10&lt;=0),"",IF(LEN(F131)&lt;=N10,LEN(F131),IFERROR(FIND("♦",SUBSTITUTE(LEFT(F131,N10)," ","♦",LEN(LEFT(F131,N10))-LEN(SUBSTITUTE(LEFT(F131,N10)," ","")))),FIND(" ",F131&amp;" ",N10+1)-1)))</f>
        <v>1</v>
      </c>
      <c r="N131" s="112">
        <f t="shared" si="14"/>
        <v>114</v>
      </c>
      <c r="O131" s="113" t="str">
        <f t="shared" si="15"/>
        <v>0</v>
      </c>
      <c r="P131" s="112">
        <f t="shared" si="16"/>
        <v>1</v>
      </c>
      <c r="Q131" s="112">
        <f t="shared" si="17"/>
        <v>1</v>
      </c>
    </row>
    <row r="132" spans="2:17" ht="21" customHeight="1">
      <c r="B132" s="99" t="str">
        <f t="shared" si="9"/>
        <v/>
      </c>
      <c r="C132" s="99" t="str">
        <f t="shared" si="10"/>
        <v/>
      </c>
      <c r="D132" s="99" t="str">
        <f>IF(UPPER(TRIM(N11))="X",C132,B132)</f>
        <v/>
      </c>
      <c r="E132" s="99" cm="1">
        <f t="array" ref="E132">IF(H131&lt;&gt;"",E131,IF(E131="","",IFERROR(MATCH(TRUE(),INDEX(INDEX(K:K,E131+1):K203&lt;&gt;"",0),0)+E131,"")))</f>
        <v>274</v>
      </c>
      <c r="F132" s="99" cm="1">
        <f t="array" ref="F132">IF(E132="","",IF(H131&lt;&gt;"",H131,INDEX(D:D,E132)))</f>
        <v>0</v>
      </c>
      <c r="G132" s="99" t="str">
        <f t="shared" si="11"/>
        <v>0</v>
      </c>
      <c r="H132" s="109" t="str">
        <f t="shared" si="12"/>
        <v/>
      </c>
      <c r="I132" s="114" t="str">
        <f>IF(AND(F132&lt;&gt;"",N10&gt;0,M132&gt;N10),"Mot &gt; limite","")</f>
        <v/>
      </c>
      <c r="J132" s="110" t="str">
        <f>IF(K132="","",COUNTIF(K18:K132,"&lt;&gt;"))</f>
        <v/>
      </c>
      <c r="K132" s="111"/>
      <c r="L132" s="110" t="str">
        <f t="shared" si="13"/>
        <v/>
      </c>
      <c r="M132" s="80">
        <f>IF(OR(F132="",N10="",N10&lt;=0),"",IF(LEN(F132)&lt;=N10,LEN(F132),IFERROR(FIND("♦",SUBSTITUTE(LEFT(F132,N10)," ","♦",LEN(LEFT(F132,N10))-LEN(SUBSTITUTE(LEFT(F132,N10)," ","")))),FIND(" ",F132&amp;" ",N10+1)-1)))</f>
        <v>1</v>
      </c>
      <c r="N132" s="112">
        <f t="shared" si="14"/>
        <v>115</v>
      </c>
      <c r="O132" s="113" t="str">
        <f t="shared" si="15"/>
        <v>0</v>
      </c>
      <c r="P132" s="112">
        <f t="shared" si="16"/>
        <v>1</v>
      </c>
      <c r="Q132" s="112">
        <f t="shared" si="17"/>
        <v>1</v>
      </c>
    </row>
    <row r="133" spans="2:17" ht="21" customHeight="1">
      <c r="B133" s="99" t="str">
        <f t="shared" si="9"/>
        <v/>
      </c>
      <c r="C133" s="99" t="str">
        <f t="shared" si="10"/>
        <v/>
      </c>
      <c r="D133" s="99" t="str">
        <f>IF(UPPER(TRIM(N11))="X",C133,B133)</f>
        <v/>
      </c>
      <c r="E133" s="99" cm="1">
        <f t="array" ref="E133">IF(H132&lt;&gt;"",E132,IF(E132="","",IFERROR(MATCH(TRUE(),INDEX(INDEX(K:K,E132+1):K203&lt;&gt;"",0),0)+E132,"")))</f>
        <v>275</v>
      </c>
      <c r="F133" s="99" cm="1">
        <f t="array" ref="F133">IF(E133="","",IF(H132&lt;&gt;"",H132,INDEX(D:D,E133)))</f>
        <v>0</v>
      </c>
      <c r="G133" s="99" t="str">
        <f t="shared" si="11"/>
        <v>0</v>
      </c>
      <c r="H133" s="109" t="str">
        <f t="shared" si="12"/>
        <v/>
      </c>
      <c r="I133" s="114" t="str">
        <f>IF(AND(F133&lt;&gt;"",N10&gt;0,M133&gt;N10),"Mot &gt; limite","")</f>
        <v/>
      </c>
      <c r="J133" s="110" t="str">
        <f>IF(K133="","",COUNTIF(K18:K133,"&lt;&gt;"))</f>
        <v/>
      </c>
      <c r="K133" s="111"/>
      <c r="L133" s="110" t="str">
        <f t="shared" si="13"/>
        <v/>
      </c>
      <c r="M133" s="80">
        <f>IF(OR(F133="",N10="",N10&lt;=0),"",IF(LEN(F133)&lt;=N10,LEN(F133),IFERROR(FIND("♦",SUBSTITUTE(LEFT(F133,N10)," ","♦",LEN(LEFT(F133,N10))-LEN(SUBSTITUTE(LEFT(F133,N10)," ","")))),FIND(" ",F133&amp;" ",N10+1)-1)))</f>
        <v>1</v>
      </c>
      <c r="N133" s="112">
        <f t="shared" si="14"/>
        <v>116</v>
      </c>
      <c r="O133" s="113" t="str">
        <f t="shared" si="15"/>
        <v>0</v>
      </c>
      <c r="P133" s="112">
        <f t="shared" si="16"/>
        <v>1</v>
      </c>
      <c r="Q133" s="112">
        <f t="shared" si="17"/>
        <v>1</v>
      </c>
    </row>
    <row r="134" spans="2:17" ht="21" customHeight="1">
      <c r="B134" s="99" t="str">
        <f t="shared" si="9"/>
        <v/>
      </c>
      <c r="C134" s="99" t="str">
        <f t="shared" si="10"/>
        <v/>
      </c>
      <c r="D134" s="99" t="str">
        <f>IF(UPPER(TRIM(N11))="X",C134,B134)</f>
        <v/>
      </c>
      <c r="E134" s="99" cm="1">
        <f t="array" ref="E134">IF(H133&lt;&gt;"",E133,IF(E133="","",IFERROR(MATCH(TRUE(),INDEX(INDEX(K:K,E133+1):K203&lt;&gt;"",0),0)+E133,"")))</f>
        <v>276</v>
      </c>
      <c r="F134" s="99" cm="1">
        <f t="array" ref="F134">IF(E134="","",IF(H133&lt;&gt;"",H133,INDEX(D:D,E134)))</f>
        <v>0</v>
      </c>
      <c r="G134" s="99" t="str">
        <f t="shared" si="11"/>
        <v>0</v>
      </c>
      <c r="H134" s="109" t="str">
        <f t="shared" si="12"/>
        <v/>
      </c>
      <c r="I134" s="114" t="str">
        <f>IF(AND(F134&lt;&gt;"",N10&gt;0,M134&gt;N10),"Mot &gt; limite","")</f>
        <v/>
      </c>
      <c r="J134" s="110" t="str">
        <f>IF(K134="","",COUNTIF(K18:K134,"&lt;&gt;"))</f>
        <v/>
      </c>
      <c r="K134" s="111"/>
      <c r="L134" s="110" t="str">
        <f t="shared" si="13"/>
        <v/>
      </c>
      <c r="M134" s="80">
        <f>IF(OR(F134="",N10="",N10&lt;=0),"",IF(LEN(F134)&lt;=N10,LEN(F134),IFERROR(FIND("♦",SUBSTITUTE(LEFT(F134,N10)," ","♦",LEN(LEFT(F134,N10))-LEN(SUBSTITUTE(LEFT(F134,N10)," ","")))),FIND(" ",F134&amp;" ",N10+1)-1)))</f>
        <v>1</v>
      </c>
      <c r="N134" s="112">
        <f t="shared" si="14"/>
        <v>117</v>
      </c>
      <c r="O134" s="113" t="str">
        <f t="shared" si="15"/>
        <v>0</v>
      </c>
      <c r="P134" s="112">
        <f t="shared" si="16"/>
        <v>1</v>
      </c>
      <c r="Q134" s="112">
        <f t="shared" si="17"/>
        <v>1</v>
      </c>
    </row>
    <row r="135" spans="2:17" ht="21" customHeight="1">
      <c r="B135" s="99" t="str">
        <f t="shared" si="9"/>
        <v/>
      </c>
      <c r="C135" s="99" t="str">
        <f t="shared" si="10"/>
        <v/>
      </c>
      <c r="D135" s="99" t="str">
        <f>IF(UPPER(TRIM(N11))="X",C135,B135)</f>
        <v/>
      </c>
      <c r="E135" s="99" cm="1">
        <f t="array" ref="E135">IF(H134&lt;&gt;"",E134,IF(E134="","",IFERROR(MATCH(TRUE(),INDEX(INDEX(K:K,E134+1):K203&lt;&gt;"",0),0)+E134,"")))</f>
        <v>277</v>
      </c>
      <c r="F135" s="99" cm="1">
        <f t="array" ref="F135">IF(E135="","",IF(H134&lt;&gt;"",H134,INDEX(D:D,E135)))</f>
        <v>0</v>
      </c>
      <c r="G135" s="99" t="str">
        <f t="shared" si="11"/>
        <v>0</v>
      </c>
      <c r="H135" s="109" t="str">
        <f t="shared" si="12"/>
        <v/>
      </c>
      <c r="I135" s="114" t="str">
        <f>IF(AND(F135&lt;&gt;"",N10&gt;0,M135&gt;N10),"Mot &gt; limite","")</f>
        <v/>
      </c>
      <c r="J135" s="110" t="str">
        <f>IF(K135="","",COUNTIF(K18:K135,"&lt;&gt;"))</f>
        <v/>
      </c>
      <c r="K135" s="111"/>
      <c r="L135" s="110" t="str">
        <f t="shared" si="13"/>
        <v/>
      </c>
      <c r="M135" s="80">
        <f>IF(OR(F135="",N10="",N10&lt;=0),"",IF(LEN(F135)&lt;=N10,LEN(F135),IFERROR(FIND("♦",SUBSTITUTE(LEFT(F135,N10)," ","♦",LEN(LEFT(F135,N10))-LEN(SUBSTITUTE(LEFT(F135,N10)," ","")))),FIND(" ",F135&amp;" ",N10+1)-1)))</f>
        <v>1</v>
      </c>
      <c r="N135" s="112">
        <f t="shared" si="14"/>
        <v>118</v>
      </c>
      <c r="O135" s="113" t="str">
        <f t="shared" si="15"/>
        <v>0</v>
      </c>
      <c r="P135" s="112">
        <f t="shared" si="16"/>
        <v>1</v>
      </c>
      <c r="Q135" s="112">
        <f t="shared" si="17"/>
        <v>1</v>
      </c>
    </row>
    <row r="136" spans="2:17" ht="21" customHeight="1">
      <c r="B136" s="99" t="str">
        <f t="shared" si="9"/>
        <v/>
      </c>
      <c r="C136" s="99" t="str">
        <f t="shared" si="10"/>
        <v/>
      </c>
      <c r="D136" s="99" t="str">
        <f>IF(UPPER(TRIM(N11))="X",C136,B136)</f>
        <v/>
      </c>
      <c r="E136" s="99" cm="1">
        <f t="array" ref="E136">IF(H135&lt;&gt;"",E135,IF(E135="","",IFERROR(MATCH(TRUE(),INDEX(INDEX(K:K,E135+1):K203&lt;&gt;"",0),0)+E135,"")))</f>
        <v>278</v>
      </c>
      <c r="F136" s="99" cm="1">
        <f t="array" ref="F136">IF(E136="","",IF(H135&lt;&gt;"",H135,INDEX(D:D,E136)))</f>
        <v>0</v>
      </c>
      <c r="G136" s="99" t="str">
        <f t="shared" si="11"/>
        <v>0</v>
      </c>
      <c r="H136" s="109" t="str">
        <f t="shared" si="12"/>
        <v/>
      </c>
      <c r="I136" s="114" t="str">
        <f>IF(AND(F136&lt;&gt;"",N10&gt;0,M136&gt;N10),"Mot &gt; limite","")</f>
        <v/>
      </c>
      <c r="J136" s="110" t="str">
        <f>IF(K136="","",COUNTIF(K18:K136,"&lt;&gt;"))</f>
        <v/>
      </c>
      <c r="K136" s="111"/>
      <c r="L136" s="110" t="str">
        <f t="shared" si="13"/>
        <v/>
      </c>
      <c r="M136" s="80">
        <f>IF(OR(F136="",N10="",N10&lt;=0),"",IF(LEN(F136)&lt;=N10,LEN(F136),IFERROR(FIND("♦",SUBSTITUTE(LEFT(F136,N10)," ","♦",LEN(LEFT(F136,N10))-LEN(SUBSTITUTE(LEFT(F136,N10)," ","")))),FIND(" ",F136&amp;" ",N10+1)-1)))</f>
        <v>1</v>
      </c>
      <c r="N136" s="112">
        <f t="shared" si="14"/>
        <v>119</v>
      </c>
      <c r="O136" s="113" t="str">
        <f t="shared" si="15"/>
        <v>0</v>
      </c>
      <c r="P136" s="112">
        <f t="shared" si="16"/>
        <v>1</v>
      </c>
      <c r="Q136" s="112">
        <f t="shared" si="17"/>
        <v>1</v>
      </c>
    </row>
    <row r="137" spans="2:17" ht="21" customHeight="1">
      <c r="B137" s="99" t="str">
        <f t="shared" si="9"/>
        <v/>
      </c>
      <c r="C137" s="99" t="str">
        <f t="shared" si="10"/>
        <v/>
      </c>
      <c r="D137" s="99" t="str">
        <f>IF(UPPER(TRIM(N11))="X",C137,B137)</f>
        <v/>
      </c>
      <c r="E137" s="99" cm="1">
        <f t="array" ref="E137">IF(H136&lt;&gt;"",E136,IF(E136="","",IFERROR(MATCH(TRUE(),INDEX(INDEX(K:K,E136+1):K203&lt;&gt;"",0),0)+E136,"")))</f>
        <v>279</v>
      </c>
      <c r="F137" s="99" cm="1">
        <f t="array" ref="F137">IF(E137="","",IF(H136&lt;&gt;"",H136,INDEX(D:D,E137)))</f>
        <v>0</v>
      </c>
      <c r="G137" s="99" t="str">
        <f t="shared" si="11"/>
        <v>0</v>
      </c>
      <c r="H137" s="109" t="str">
        <f t="shared" si="12"/>
        <v/>
      </c>
      <c r="I137" s="114" t="str">
        <f>IF(AND(F137&lt;&gt;"",N10&gt;0,M137&gt;N10),"Mot &gt; limite","")</f>
        <v/>
      </c>
      <c r="J137" s="110" t="str">
        <f>IF(K137="","",COUNTIF(K18:K137,"&lt;&gt;"))</f>
        <v/>
      </c>
      <c r="K137" s="111"/>
      <c r="L137" s="110" t="str">
        <f t="shared" si="13"/>
        <v/>
      </c>
      <c r="M137" s="80">
        <f>IF(OR(F137="",N10="",N10&lt;=0),"",IF(LEN(F137)&lt;=N10,LEN(F137),IFERROR(FIND("♦",SUBSTITUTE(LEFT(F137,N10)," ","♦",LEN(LEFT(F137,N10))-LEN(SUBSTITUTE(LEFT(F137,N10)," ","")))),FIND(" ",F137&amp;" ",N10+1)-1)))</f>
        <v>1</v>
      </c>
      <c r="N137" s="112">
        <f t="shared" si="14"/>
        <v>120</v>
      </c>
      <c r="O137" s="113" t="str">
        <f t="shared" si="15"/>
        <v>0</v>
      </c>
      <c r="P137" s="112">
        <f t="shared" si="16"/>
        <v>1</v>
      </c>
      <c r="Q137" s="112">
        <f t="shared" si="17"/>
        <v>1</v>
      </c>
    </row>
    <row r="138" spans="2:17" ht="21" customHeight="1">
      <c r="B138" s="99" t="str">
        <f t="shared" si="9"/>
        <v/>
      </c>
      <c r="C138" s="99" t="str">
        <f t="shared" si="10"/>
        <v/>
      </c>
      <c r="D138" s="99" t="str">
        <f>IF(UPPER(TRIM(N11))="X",C138,B138)</f>
        <v/>
      </c>
      <c r="E138" s="99" cm="1">
        <f t="array" ref="E138">IF(H137&lt;&gt;"",E137,IF(E137="","",IFERROR(MATCH(TRUE(),INDEX(INDEX(K:K,E137+1):K203&lt;&gt;"",0),0)+E137,"")))</f>
        <v>280</v>
      </c>
      <c r="F138" s="99" cm="1">
        <f t="array" ref="F138">IF(E138="","",IF(H137&lt;&gt;"",H137,INDEX(D:D,E138)))</f>
        <v>0</v>
      </c>
      <c r="G138" s="99" t="str">
        <f t="shared" si="11"/>
        <v>0</v>
      </c>
      <c r="H138" s="109" t="str">
        <f t="shared" si="12"/>
        <v/>
      </c>
      <c r="I138" s="114" t="str">
        <f>IF(AND(F138&lt;&gt;"",N10&gt;0,M138&gt;N10),"Mot &gt; limite","")</f>
        <v/>
      </c>
      <c r="J138" s="110" t="str">
        <f>IF(K138="","",COUNTIF(K18:K138,"&lt;&gt;"))</f>
        <v/>
      </c>
      <c r="K138" s="111"/>
      <c r="L138" s="110" t="str">
        <f t="shared" si="13"/>
        <v/>
      </c>
      <c r="M138" s="80">
        <f>IF(OR(F138="",N10="",N10&lt;=0),"",IF(LEN(F138)&lt;=N10,LEN(F138),IFERROR(FIND("♦",SUBSTITUTE(LEFT(F138,N10)," ","♦",LEN(LEFT(F138,N10))-LEN(SUBSTITUTE(LEFT(F138,N10)," ","")))),FIND(" ",F138&amp;" ",N10+1)-1)))</f>
        <v>1</v>
      </c>
      <c r="N138" s="112">
        <f t="shared" si="14"/>
        <v>121</v>
      </c>
      <c r="O138" s="113" t="str">
        <f t="shared" si="15"/>
        <v>0</v>
      </c>
      <c r="P138" s="112">
        <f t="shared" si="16"/>
        <v>1</v>
      </c>
      <c r="Q138" s="112">
        <f t="shared" si="17"/>
        <v>1</v>
      </c>
    </row>
    <row r="139" spans="2:17" ht="21" customHeight="1">
      <c r="B139" s="99" t="str">
        <f t="shared" si="9"/>
        <v/>
      </c>
      <c r="C139" s="99" t="str">
        <f t="shared" si="10"/>
        <v/>
      </c>
      <c r="D139" s="99" t="str">
        <f>IF(UPPER(TRIM(N11))="X",C139,B139)</f>
        <v/>
      </c>
      <c r="E139" s="99" cm="1">
        <f t="array" ref="E139">IF(H138&lt;&gt;"",E138,IF(E138="","",IFERROR(MATCH(TRUE(),INDEX(INDEX(K:K,E138+1):K203&lt;&gt;"",0),0)+E138,"")))</f>
        <v>281</v>
      </c>
      <c r="F139" s="99" cm="1">
        <f t="array" ref="F139">IF(E139="","",IF(H138&lt;&gt;"",H138,INDEX(D:D,E139)))</f>
        <v>0</v>
      </c>
      <c r="G139" s="99" t="str">
        <f t="shared" si="11"/>
        <v>0</v>
      </c>
      <c r="H139" s="109" t="str">
        <f t="shared" si="12"/>
        <v/>
      </c>
      <c r="I139" s="114" t="str">
        <f>IF(AND(F139&lt;&gt;"",N10&gt;0,M139&gt;N10),"Mot &gt; limite","")</f>
        <v/>
      </c>
      <c r="J139" s="110" t="str">
        <f>IF(K139="","",COUNTIF(K18:K139,"&lt;&gt;"))</f>
        <v/>
      </c>
      <c r="K139" s="111"/>
      <c r="L139" s="110" t="str">
        <f t="shared" si="13"/>
        <v/>
      </c>
      <c r="M139" s="80">
        <f>IF(OR(F139="",N10="",N10&lt;=0),"",IF(LEN(F139)&lt;=N10,LEN(F139),IFERROR(FIND("♦",SUBSTITUTE(LEFT(F139,N10)," ","♦",LEN(LEFT(F139,N10))-LEN(SUBSTITUTE(LEFT(F139,N10)," ","")))),FIND(" ",F139&amp;" ",N10+1)-1)))</f>
        <v>1</v>
      </c>
      <c r="N139" s="112">
        <f t="shared" si="14"/>
        <v>122</v>
      </c>
      <c r="O139" s="113" t="str">
        <f t="shared" si="15"/>
        <v>0</v>
      </c>
      <c r="P139" s="112">
        <f t="shared" si="16"/>
        <v>1</v>
      </c>
      <c r="Q139" s="112">
        <f t="shared" si="17"/>
        <v>1</v>
      </c>
    </row>
    <row r="140" spans="2:17" ht="21" customHeight="1">
      <c r="B140" s="99" t="str">
        <f t="shared" si="9"/>
        <v/>
      </c>
      <c r="C140" s="99" t="str">
        <f t="shared" si="10"/>
        <v/>
      </c>
      <c r="D140" s="99" t="str">
        <f>IF(UPPER(TRIM(N11))="X",C140,B140)</f>
        <v/>
      </c>
      <c r="E140" s="99" cm="1">
        <f t="array" ref="E140">IF(H139&lt;&gt;"",E139,IF(E139="","",IFERROR(MATCH(TRUE(),INDEX(INDEX(K:K,E139+1):K203&lt;&gt;"",0),0)+E139,"")))</f>
        <v>282</v>
      </c>
      <c r="F140" s="99" cm="1">
        <f t="array" ref="F140">IF(E140="","",IF(H139&lt;&gt;"",H139,INDEX(D:D,E140)))</f>
        <v>0</v>
      </c>
      <c r="G140" s="99" t="str">
        <f t="shared" si="11"/>
        <v>0</v>
      </c>
      <c r="H140" s="109" t="str">
        <f t="shared" si="12"/>
        <v/>
      </c>
      <c r="I140" s="114" t="str">
        <f>IF(AND(F140&lt;&gt;"",N10&gt;0,M140&gt;N10),"Mot &gt; limite","")</f>
        <v/>
      </c>
      <c r="J140" s="110" t="str">
        <f>IF(K140="","",COUNTIF(K18:K140,"&lt;&gt;"))</f>
        <v/>
      </c>
      <c r="K140" s="111"/>
      <c r="L140" s="110" t="str">
        <f t="shared" si="13"/>
        <v/>
      </c>
      <c r="M140" s="80">
        <f>IF(OR(F140="",N10="",N10&lt;=0),"",IF(LEN(F140)&lt;=N10,LEN(F140),IFERROR(FIND("♦",SUBSTITUTE(LEFT(F140,N10)," ","♦",LEN(LEFT(F140,N10))-LEN(SUBSTITUTE(LEFT(F140,N10)," ","")))),FIND(" ",F140&amp;" ",N10+1)-1)))</f>
        <v>1</v>
      </c>
      <c r="N140" s="112">
        <f t="shared" si="14"/>
        <v>123</v>
      </c>
      <c r="O140" s="113" t="str">
        <f t="shared" si="15"/>
        <v>0</v>
      </c>
      <c r="P140" s="112">
        <f t="shared" si="16"/>
        <v>1</v>
      </c>
      <c r="Q140" s="112">
        <f t="shared" si="17"/>
        <v>1</v>
      </c>
    </row>
    <row r="141" spans="2:17" ht="21" customHeight="1">
      <c r="B141" s="99" t="str">
        <f t="shared" si="9"/>
        <v/>
      </c>
      <c r="C141" s="99" t="str">
        <f t="shared" si="10"/>
        <v/>
      </c>
      <c r="D141" s="99" t="str">
        <f>IF(UPPER(TRIM(N11))="X",C141,B141)</f>
        <v/>
      </c>
      <c r="E141" s="99" cm="1">
        <f t="array" ref="E141">IF(H140&lt;&gt;"",E140,IF(E140="","",IFERROR(MATCH(TRUE(),INDEX(INDEX(K:K,E140+1):K203&lt;&gt;"",0),0)+E140,"")))</f>
        <v>283</v>
      </c>
      <c r="F141" s="99" cm="1">
        <f t="array" ref="F141">IF(E141="","",IF(H140&lt;&gt;"",H140,INDEX(D:D,E141)))</f>
        <v>0</v>
      </c>
      <c r="G141" s="99" t="str">
        <f t="shared" si="11"/>
        <v>0</v>
      </c>
      <c r="H141" s="109" t="str">
        <f t="shared" si="12"/>
        <v/>
      </c>
      <c r="I141" s="114" t="str">
        <f>IF(AND(F141&lt;&gt;"",N10&gt;0,M141&gt;N10),"Mot &gt; limite","")</f>
        <v/>
      </c>
      <c r="J141" s="110" t="str">
        <f>IF(K141="","",COUNTIF(K18:K141,"&lt;&gt;"))</f>
        <v/>
      </c>
      <c r="K141" s="111"/>
      <c r="L141" s="110" t="str">
        <f t="shared" si="13"/>
        <v/>
      </c>
      <c r="M141" s="80">
        <f>IF(OR(F141="",N10="",N10&lt;=0),"",IF(LEN(F141)&lt;=N10,LEN(F141),IFERROR(FIND("♦",SUBSTITUTE(LEFT(F141,N10)," ","♦",LEN(LEFT(F141,N10))-LEN(SUBSTITUTE(LEFT(F141,N10)," ","")))),FIND(" ",F141&amp;" ",N10+1)-1)))</f>
        <v>1</v>
      </c>
      <c r="N141" s="112">
        <f t="shared" si="14"/>
        <v>124</v>
      </c>
      <c r="O141" s="113" t="str">
        <f t="shared" si="15"/>
        <v>0</v>
      </c>
      <c r="P141" s="112">
        <f t="shared" si="16"/>
        <v>1</v>
      </c>
      <c r="Q141" s="112">
        <f t="shared" si="17"/>
        <v>1</v>
      </c>
    </row>
    <row r="142" spans="2:17" ht="21" customHeight="1">
      <c r="B142" s="99" t="str">
        <f t="shared" si="9"/>
        <v/>
      </c>
      <c r="C142" s="99" t="str">
        <f t="shared" si="10"/>
        <v/>
      </c>
      <c r="D142" s="99" t="str">
        <f>IF(UPPER(TRIM(N11))="X",C142,B142)</f>
        <v/>
      </c>
      <c r="E142" s="99" cm="1">
        <f t="array" ref="E142">IF(H141&lt;&gt;"",E141,IF(E141="","",IFERROR(MATCH(TRUE(),INDEX(INDEX(K:K,E141+1):K203&lt;&gt;"",0),0)+E141,"")))</f>
        <v>284</v>
      </c>
      <c r="F142" s="99" cm="1">
        <f t="array" ref="F142">IF(E142="","",IF(H141&lt;&gt;"",H141,INDEX(D:D,E142)))</f>
        <v>0</v>
      </c>
      <c r="G142" s="99" t="str">
        <f t="shared" si="11"/>
        <v>0</v>
      </c>
      <c r="H142" s="109" t="str">
        <f t="shared" si="12"/>
        <v/>
      </c>
      <c r="I142" s="114" t="str">
        <f>IF(AND(F142&lt;&gt;"",N10&gt;0,M142&gt;N10),"Mot &gt; limite","")</f>
        <v/>
      </c>
      <c r="J142" s="110" t="str">
        <f>IF(K142="","",COUNTIF(K18:K142,"&lt;&gt;"))</f>
        <v/>
      </c>
      <c r="K142" s="111"/>
      <c r="L142" s="110" t="str">
        <f t="shared" si="13"/>
        <v/>
      </c>
      <c r="M142" s="80">
        <f>IF(OR(F142="",N10="",N10&lt;=0),"",IF(LEN(F142)&lt;=N10,LEN(F142),IFERROR(FIND("♦",SUBSTITUTE(LEFT(F142,N10)," ","♦",LEN(LEFT(F142,N10))-LEN(SUBSTITUTE(LEFT(F142,N10)," ","")))),FIND(" ",F142&amp;" ",N10+1)-1)))</f>
        <v>1</v>
      </c>
      <c r="N142" s="112">
        <f t="shared" si="14"/>
        <v>125</v>
      </c>
      <c r="O142" s="113" t="str">
        <f t="shared" si="15"/>
        <v>0</v>
      </c>
      <c r="P142" s="112">
        <f t="shared" si="16"/>
        <v>1</v>
      </c>
      <c r="Q142" s="112">
        <f t="shared" si="17"/>
        <v>1</v>
      </c>
    </row>
    <row r="143" spans="2:17" ht="21" customHeight="1">
      <c r="B143" s="99" t="str">
        <f t="shared" si="9"/>
        <v/>
      </c>
      <c r="C143" s="99" t="str">
        <f t="shared" si="10"/>
        <v/>
      </c>
      <c r="D143" s="99" t="str">
        <f>IF(UPPER(TRIM(N11))="X",C143,B143)</f>
        <v/>
      </c>
      <c r="E143" s="99" cm="1">
        <f t="array" ref="E143">IF(H142&lt;&gt;"",E142,IF(E142="","",IFERROR(MATCH(TRUE(),INDEX(INDEX(K:K,E142+1):K203&lt;&gt;"",0),0)+E142,"")))</f>
        <v>285</v>
      </c>
      <c r="F143" s="99" cm="1">
        <f t="array" ref="F143">IF(E143="","",IF(H142&lt;&gt;"",H142,INDEX(D:D,E143)))</f>
        <v>0</v>
      </c>
      <c r="G143" s="99" t="str">
        <f t="shared" si="11"/>
        <v>0</v>
      </c>
      <c r="H143" s="109" t="str">
        <f t="shared" si="12"/>
        <v/>
      </c>
      <c r="I143" s="114" t="str">
        <f>IF(AND(F143&lt;&gt;"",N10&gt;0,M143&gt;N10),"Mot &gt; limite","")</f>
        <v/>
      </c>
      <c r="J143" s="110" t="str">
        <f>IF(K143="","",COUNTIF(K18:K143,"&lt;&gt;"))</f>
        <v/>
      </c>
      <c r="K143" s="111"/>
      <c r="L143" s="110" t="str">
        <f t="shared" si="13"/>
        <v/>
      </c>
      <c r="M143" s="80">
        <f>IF(OR(F143="",N10="",N10&lt;=0),"",IF(LEN(F143)&lt;=N10,LEN(F143),IFERROR(FIND("♦",SUBSTITUTE(LEFT(F143,N10)," ","♦",LEN(LEFT(F143,N10))-LEN(SUBSTITUTE(LEFT(F143,N10)," ","")))),FIND(" ",F143&amp;" ",N10+1)-1)))</f>
        <v>1</v>
      </c>
      <c r="N143" s="112">
        <f t="shared" si="14"/>
        <v>126</v>
      </c>
      <c r="O143" s="113" t="str">
        <f t="shared" si="15"/>
        <v>0</v>
      </c>
      <c r="P143" s="112">
        <f t="shared" si="16"/>
        <v>1</v>
      </c>
      <c r="Q143" s="112">
        <f t="shared" si="17"/>
        <v>1</v>
      </c>
    </row>
    <row r="144" spans="2:17" ht="21" customHeight="1">
      <c r="B144" s="99" t="str">
        <f t="shared" si="9"/>
        <v/>
      </c>
      <c r="C144" s="99" t="str">
        <f t="shared" si="10"/>
        <v/>
      </c>
      <c r="D144" s="99" t="str">
        <f>IF(UPPER(TRIM(N11))="X",C144,B144)</f>
        <v/>
      </c>
      <c r="E144" s="99" cm="1">
        <f t="array" ref="E144">IF(H143&lt;&gt;"",E143,IF(E143="","",IFERROR(MATCH(TRUE(),INDEX(INDEX(K:K,E143+1):K203&lt;&gt;"",0),0)+E143,"")))</f>
        <v>286</v>
      </c>
      <c r="F144" s="99" cm="1">
        <f t="array" ref="F144">IF(E144="","",IF(H143&lt;&gt;"",H143,INDEX(D:D,E144)))</f>
        <v>0</v>
      </c>
      <c r="G144" s="99" t="str">
        <f t="shared" si="11"/>
        <v>0</v>
      </c>
      <c r="H144" s="109" t="str">
        <f t="shared" si="12"/>
        <v/>
      </c>
      <c r="I144" s="114" t="str">
        <f>IF(AND(F144&lt;&gt;"",N10&gt;0,M144&gt;N10),"Mot &gt; limite","")</f>
        <v/>
      </c>
      <c r="J144" s="110" t="str">
        <f>IF(K144="","",COUNTIF(K18:K144,"&lt;&gt;"))</f>
        <v/>
      </c>
      <c r="K144" s="111"/>
      <c r="L144" s="110" t="str">
        <f t="shared" si="13"/>
        <v/>
      </c>
      <c r="M144" s="80">
        <f>IF(OR(F144="",N10="",N10&lt;=0),"",IF(LEN(F144)&lt;=N10,LEN(F144),IFERROR(FIND("♦",SUBSTITUTE(LEFT(F144,N10)," ","♦",LEN(LEFT(F144,N10))-LEN(SUBSTITUTE(LEFT(F144,N10)," ","")))),FIND(" ",F144&amp;" ",N10+1)-1)))</f>
        <v>1</v>
      </c>
      <c r="N144" s="112">
        <f t="shared" si="14"/>
        <v>127</v>
      </c>
      <c r="O144" s="113" t="str">
        <f t="shared" si="15"/>
        <v>0</v>
      </c>
      <c r="P144" s="112">
        <f t="shared" si="16"/>
        <v>1</v>
      </c>
      <c r="Q144" s="112">
        <f t="shared" si="17"/>
        <v>1</v>
      </c>
    </row>
    <row r="145" spans="2:17" ht="21" customHeight="1">
      <c r="B145" s="99" t="str">
        <f t="shared" si="9"/>
        <v/>
      </c>
      <c r="C145" s="99" t="str">
        <f t="shared" si="10"/>
        <v/>
      </c>
      <c r="D145" s="99" t="str">
        <f>IF(UPPER(TRIM(N11))="X",C145,B145)</f>
        <v/>
      </c>
      <c r="E145" s="99" cm="1">
        <f t="array" ref="E145">IF(H144&lt;&gt;"",E144,IF(E144="","",IFERROR(MATCH(TRUE(),INDEX(INDEX(K:K,E144+1):K203&lt;&gt;"",0),0)+E144,"")))</f>
        <v>287</v>
      </c>
      <c r="F145" s="99" cm="1">
        <f t="array" ref="F145">IF(E145="","",IF(H144&lt;&gt;"",H144,INDEX(D:D,E145)))</f>
        <v>0</v>
      </c>
      <c r="G145" s="99" t="str">
        <f t="shared" si="11"/>
        <v>0</v>
      </c>
      <c r="H145" s="109" t="str">
        <f t="shared" si="12"/>
        <v/>
      </c>
      <c r="I145" s="114" t="str">
        <f>IF(AND(F145&lt;&gt;"",N10&gt;0,M145&gt;N10),"Mot &gt; limite","")</f>
        <v/>
      </c>
      <c r="J145" s="110" t="str">
        <f>IF(K145="","",COUNTIF(K18:K145,"&lt;&gt;"))</f>
        <v/>
      </c>
      <c r="K145" s="111"/>
      <c r="L145" s="110" t="str">
        <f t="shared" si="13"/>
        <v/>
      </c>
      <c r="M145" s="80">
        <f>IF(OR(F145="",N10="",N10&lt;=0),"",IF(LEN(F145)&lt;=N10,LEN(F145),IFERROR(FIND("♦",SUBSTITUTE(LEFT(F145,N10)," ","♦",LEN(LEFT(F145,N10))-LEN(SUBSTITUTE(LEFT(F145,N10)," ","")))),FIND(" ",F145&amp;" ",N10+1)-1)))</f>
        <v>1</v>
      </c>
      <c r="N145" s="112">
        <f t="shared" si="14"/>
        <v>128</v>
      </c>
      <c r="O145" s="113" t="str">
        <f t="shared" si="15"/>
        <v>0</v>
      </c>
      <c r="P145" s="112">
        <f t="shared" si="16"/>
        <v>1</v>
      </c>
      <c r="Q145" s="112">
        <f t="shared" si="17"/>
        <v>1</v>
      </c>
    </row>
    <row r="146" spans="2:17" ht="21" customHeight="1">
      <c r="B146" s="99" t="str">
        <f t="shared" ref="B146:B203" si="18">IF(TRIM(SUBSTITUTE(K146,CHAR(160),""))="","",TRIM(SUBSTITUTE(SUBSTITUTE(SUBSTITUTE(SUBSTITUTE(CLEAN(K146),CHAR(160)," "),CHAR(9)," "),CHAR(10)," "),CHAR(13)," ")))</f>
        <v/>
      </c>
      <c r="C146" s="99" t="str">
        <f t="shared" ref="C146:C203" si="19">IF(B146="","",TRIM(SUBSTITUTE(SUBSTITUTE(SUBSTITUTE(SUBSTITUTE(SUBSTITUTE(SUBSTITUTE(SUBSTITUTE(SUBSTITUTE(SUBSTITUTE(SUBSTITUTE(B146,","," "),";"," "),":"," "),"."," "),"?"," "), "!"," "),"/"," "), "("," "), ")"," "), "-"," ")))</f>
        <v/>
      </c>
      <c r="D146" s="99" t="str">
        <f>IF(UPPER(TRIM(N11))="X",C146,B146)</f>
        <v/>
      </c>
      <c r="E146" s="99" cm="1">
        <f t="array" ref="E146">IF(H145&lt;&gt;"",E145,IF(E145="","",IFERROR(MATCH(TRUE(),INDEX(INDEX(K:K,E145+1):K203&lt;&gt;"",0),0)+E145,"")))</f>
        <v>288</v>
      </c>
      <c r="F146" s="99" cm="1">
        <f t="array" ref="F146">IF(E146="","",IF(H145&lt;&gt;"",H145,INDEX(D:D,E146)))</f>
        <v>0</v>
      </c>
      <c r="G146" s="99" t="str">
        <f t="shared" ref="G146:G209" si="20">IF(OR(F146="",M146=""),"",LEFT(F146,M146))</f>
        <v>0</v>
      </c>
      <c r="H146" s="109" t="str">
        <f t="shared" ref="H146:H209" si="21">IF(OR(F146="",M146=""),"",TRIM(MID(F146,M146+1,99999)))</f>
        <v/>
      </c>
      <c r="I146" s="114" t="str">
        <f>IF(AND(F146&lt;&gt;"",N10&gt;0,M146&gt;N10),"Mot &gt; limite","")</f>
        <v/>
      </c>
      <c r="J146" s="110" t="str">
        <f>IF(K146="","",COUNTIF(K18:K146,"&lt;&gt;"))</f>
        <v/>
      </c>
      <c r="K146" s="111"/>
      <c r="L146" s="110" t="str">
        <f t="shared" ref="L146:L203" si="22">IF(TRIM(SUBSTITUTE(K146,CHAR(160),""))="","",LEN(K146))</f>
        <v/>
      </c>
      <c r="M146" s="80">
        <f>IF(OR(F146="",N10="",N10&lt;=0),"",IF(LEN(F146)&lt;=N10,LEN(F146),IFERROR(FIND("♦",SUBSTITUTE(LEFT(F146,N10)," ","♦",LEN(LEFT(F146,N10))-LEN(SUBSTITUTE(LEFT(F146,N10)," ","")))),FIND(" ",F146&amp;" ",N10+1)-1)))</f>
        <v>1</v>
      </c>
      <c r="N146" s="112">
        <f t="shared" ref="N146:N209" si="23">IF(O146="","",ROW()-17)</f>
        <v>129</v>
      </c>
      <c r="O146" s="113" t="str">
        <f t="shared" ref="O146:O209" si="24">G146</f>
        <v>0</v>
      </c>
      <c r="P146" s="112">
        <f t="shared" ref="P146:P209" si="25">IF(O146="","",LEN(TRIM(O146))-LEN(SUBSTITUTE(TRIM(O146)," ",""))+1)</f>
        <v>1</v>
      </c>
      <c r="Q146" s="112">
        <f t="shared" ref="Q146:Q209" si="26">IF(O146="","",LEN(O146))</f>
        <v>1</v>
      </c>
    </row>
    <row r="147" spans="2:17" ht="21" customHeight="1">
      <c r="B147" s="99" t="str">
        <f t="shared" si="18"/>
        <v/>
      </c>
      <c r="C147" s="99" t="str">
        <f t="shared" si="19"/>
        <v/>
      </c>
      <c r="D147" s="99" t="str">
        <f>IF(UPPER(TRIM(N11))="X",C147,B147)</f>
        <v/>
      </c>
      <c r="E147" s="99" cm="1">
        <f t="array" ref="E147">IF(H146&lt;&gt;"",E146,IF(E146="","",IFERROR(MATCH(TRUE(),INDEX(INDEX(K:K,E146+1):K203&lt;&gt;"",0),0)+E146,"")))</f>
        <v>289</v>
      </c>
      <c r="F147" s="99" cm="1">
        <f t="array" ref="F147">IF(E147="","",IF(H146&lt;&gt;"",H146,INDEX(D:D,E147)))</f>
        <v>0</v>
      </c>
      <c r="G147" s="99" t="str">
        <f t="shared" si="20"/>
        <v>0</v>
      </c>
      <c r="H147" s="109" t="str">
        <f t="shared" si="21"/>
        <v/>
      </c>
      <c r="I147" s="114" t="str">
        <f>IF(AND(F147&lt;&gt;"",N10&gt;0,M147&gt;N10),"Mot &gt; limite","")</f>
        <v/>
      </c>
      <c r="J147" s="110" t="str">
        <f>IF(K147="","",COUNTIF(K18:K147,"&lt;&gt;"))</f>
        <v/>
      </c>
      <c r="K147" s="111"/>
      <c r="L147" s="110" t="str">
        <f t="shared" si="22"/>
        <v/>
      </c>
      <c r="M147" s="80">
        <f>IF(OR(F147="",N10="",N10&lt;=0),"",IF(LEN(F147)&lt;=N10,LEN(F147),IFERROR(FIND("♦",SUBSTITUTE(LEFT(F147,N10)," ","♦",LEN(LEFT(F147,N10))-LEN(SUBSTITUTE(LEFT(F147,N10)," ","")))),FIND(" ",F147&amp;" ",N10+1)-1)))</f>
        <v>1</v>
      </c>
      <c r="N147" s="112">
        <f t="shared" si="23"/>
        <v>130</v>
      </c>
      <c r="O147" s="113" t="str">
        <f t="shared" si="24"/>
        <v>0</v>
      </c>
      <c r="P147" s="112">
        <f t="shared" si="25"/>
        <v>1</v>
      </c>
      <c r="Q147" s="112">
        <f t="shared" si="26"/>
        <v>1</v>
      </c>
    </row>
    <row r="148" spans="2:17" ht="21" customHeight="1">
      <c r="B148" s="99" t="str">
        <f t="shared" si="18"/>
        <v/>
      </c>
      <c r="C148" s="99" t="str">
        <f t="shared" si="19"/>
        <v/>
      </c>
      <c r="D148" s="99" t="str">
        <f>IF(UPPER(TRIM(N11))="X",C148,B148)</f>
        <v/>
      </c>
      <c r="E148" s="99" cm="1">
        <f t="array" ref="E148">IF(H147&lt;&gt;"",E147,IF(E147="","",IFERROR(MATCH(TRUE(),INDEX(INDEX(K:K,E147+1):K203&lt;&gt;"",0),0)+E147,"")))</f>
        <v>290</v>
      </c>
      <c r="F148" s="99" cm="1">
        <f t="array" ref="F148">IF(E148="","",IF(H147&lt;&gt;"",H147,INDEX(D:D,E148)))</f>
        <v>0</v>
      </c>
      <c r="G148" s="99" t="str">
        <f t="shared" si="20"/>
        <v>0</v>
      </c>
      <c r="H148" s="109" t="str">
        <f t="shared" si="21"/>
        <v/>
      </c>
      <c r="I148" s="114" t="str">
        <f>IF(AND(F148&lt;&gt;"",N10&gt;0,M148&gt;N10),"Mot &gt; limite","")</f>
        <v/>
      </c>
      <c r="J148" s="110" t="str">
        <f>IF(K148="","",COUNTIF(K18:K148,"&lt;&gt;"))</f>
        <v/>
      </c>
      <c r="K148" s="111"/>
      <c r="L148" s="110" t="str">
        <f t="shared" si="22"/>
        <v/>
      </c>
      <c r="M148" s="80">
        <f>IF(OR(F148="",N10="",N10&lt;=0),"",IF(LEN(F148)&lt;=N10,LEN(F148),IFERROR(FIND("♦",SUBSTITUTE(LEFT(F148,N10)," ","♦",LEN(LEFT(F148,N10))-LEN(SUBSTITUTE(LEFT(F148,N10)," ","")))),FIND(" ",F148&amp;" ",N10+1)-1)))</f>
        <v>1</v>
      </c>
      <c r="N148" s="112">
        <f t="shared" si="23"/>
        <v>131</v>
      </c>
      <c r="O148" s="113" t="str">
        <f t="shared" si="24"/>
        <v>0</v>
      </c>
      <c r="P148" s="112">
        <f t="shared" si="25"/>
        <v>1</v>
      </c>
      <c r="Q148" s="112">
        <f t="shared" si="26"/>
        <v>1</v>
      </c>
    </row>
    <row r="149" spans="2:17" ht="21" customHeight="1">
      <c r="B149" s="99" t="str">
        <f t="shared" si="18"/>
        <v/>
      </c>
      <c r="C149" s="99" t="str">
        <f t="shared" si="19"/>
        <v/>
      </c>
      <c r="D149" s="99" t="str">
        <f>IF(UPPER(TRIM(N11))="X",C149,B149)</f>
        <v/>
      </c>
      <c r="E149" s="99" cm="1">
        <f t="array" ref="E149">IF(H148&lt;&gt;"",E148,IF(E148="","",IFERROR(MATCH(TRUE(),INDEX(INDEX(K:K,E148+1):K203&lt;&gt;"",0),0)+E148,"")))</f>
        <v>291</v>
      </c>
      <c r="F149" s="99" cm="1">
        <f t="array" ref="F149">IF(E149="","",IF(H148&lt;&gt;"",H148,INDEX(D:D,E149)))</f>
        <v>0</v>
      </c>
      <c r="G149" s="99" t="str">
        <f t="shared" si="20"/>
        <v>0</v>
      </c>
      <c r="H149" s="109" t="str">
        <f t="shared" si="21"/>
        <v/>
      </c>
      <c r="I149" s="114" t="str">
        <f>IF(AND(F149&lt;&gt;"",N10&gt;0,M149&gt;N10),"Mot &gt; limite","")</f>
        <v/>
      </c>
      <c r="J149" s="110" t="str">
        <f>IF(K149="","",COUNTIF(K18:K149,"&lt;&gt;"))</f>
        <v/>
      </c>
      <c r="K149" s="111"/>
      <c r="L149" s="110" t="str">
        <f t="shared" si="22"/>
        <v/>
      </c>
      <c r="M149" s="80">
        <f>IF(OR(F149="",N10="",N10&lt;=0),"",IF(LEN(F149)&lt;=N10,LEN(F149),IFERROR(FIND("♦",SUBSTITUTE(LEFT(F149,N10)," ","♦",LEN(LEFT(F149,N10))-LEN(SUBSTITUTE(LEFT(F149,N10)," ","")))),FIND(" ",F149&amp;" ",N10+1)-1)))</f>
        <v>1</v>
      </c>
      <c r="N149" s="112">
        <f t="shared" si="23"/>
        <v>132</v>
      </c>
      <c r="O149" s="113" t="str">
        <f t="shared" si="24"/>
        <v>0</v>
      </c>
      <c r="P149" s="112">
        <f t="shared" si="25"/>
        <v>1</v>
      </c>
      <c r="Q149" s="112">
        <f t="shared" si="26"/>
        <v>1</v>
      </c>
    </row>
    <row r="150" spans="2:17" ht="21" customHeight="1">
      <c r="B150" s="99" t="str">
        <f t="shared" si="18"/>
        <v/>
      </c>
      <c r="C150" s="99" t="str">
        <f t="shared" si="19"/>
        <v/>
      </c>
      <c r="D150" s="99" t="str">
        <f>IF(UPPER(TRIM(N11))="X",C150,B150)</f>
        <v/>
      </c>
      <c r="E150" s="99" cm="1">
        <f t="array" ref="E150">IF(H149&lt;&gt;"",E149,IF(E149="","",IFERROR(MATCH(TRUE(),INDEX(INDEX(K:K,E149+1):K203&lt;&gt;"",0),0)+E149,"")))</f>
        <v>292</v>
      </c>
      <c r="F150" s="99" cm="1">
        <f t="array" ref="F150">IF(E150="","",IF(H149&lt;&gt;"",H149,INDEX(D:D,E150)))</f>
        <v>0</v>
      </c>
      <c r="G150" s="99" t="str">
        <f t="shared" si="20"/>
        <v>0</v>
      </c>
      <c r="H150" s="109" t="str">
        <f t="shared" si="21"/>
        <v/>
      </c>
      <c r="I150" s="114" t="str">
        <f>IF(AND(F150&lt;&gt;"",N10&gt;0,M150&gt;N10),"Mot &gt; limite","")</f>
        <v/>
      </c>
      <c r="J150" s="110" t="str">
        <f>IF(K150="","",COUNTIF(K18:K150,"&lt;&gt;"))</f>
        <v/>
      </c>
      <c r="K150" s="111"/>
      <c r="L150" s="110" t="str">
        <f t="shared" si="22"/>
        <v/>
      </c>
      <c r="M150" s="80">
        <f>IF(OR(F150="",N10="",N10&lt;=0),"",IF(LEN(F150)&lt;=N10,LEN(F150),IFERROR(FIND("♦",SUBSTITUTE(LEFT(F150,N10)," ","♦",LEN(LEFT(F150,N10))-LEN(SUBSTITUTE(LEFT(F150,N10)," ","")))),FIND(" ",F150&amp;" ",N10+1)-1)))</f>
        <v>1</v>
      </c>
      <c r="N150" s="112">
        <f t="shared" si="23"/>
        <v>133</v>
      </c>
      <c r="O150" s="113" t="str">
        <f t="shared" si="24"/>
        <v>0</v>
      </c>
      <c r="P150" s="112">
        <f t="shared" si="25"/>
        <v>1</v>
      </c>
      <c r="Q150" s="112">
        <f t="shared" si="26"/>
        <v>1</v>
      </c>
    </row>
    <row r="151" spans="2:17" ht="21" customHeight="1">
      <c r="B151" s="99" t="str">
        <f t="shared" si="18"/>
        <v/>
      </c>
      <c r="C151" s="99" t="str">
        <f t="shared" si="19"/>
        <v/>
      </c>
      <c r="D151" s="99" t="str">
        <f>IF(UPPER(TRIM(N11))="X",C151,B151)</f>
        <v/>
      </c>
      <c r="E151" s="99" cm="1">
        <f t="array" ref="E151">IF(H150&lt;&gt;"",E150,IF(E150="","",IFERROR(MATCH(TRUE(),INDEX(INDEX(K:K,E150+1):K203&lt;&gt;"",0),0)+E150,"")))</f>
        <v>293</v>
      </c>
      <c r="F151" s="99" cm="1">
        <f t="array" ref="F151">IF(E151="","",IF(H150&lt;&gt;"",H150,INDEX(D:D,E151)))</f>
        <v>0</v>
      </c>
      <c r="G151" s="99" t="str">
        <f t="shared" si="20"/>
        <v>0</v>
      </c>
      <c r="H151" s="109" t="str">
        <f t="shared" si="21"/>
        <v/>
      </c>
      <c r="I151" s="114" t="str">
        <f>IF(AND(F151&lt;&gt;"",N10&gt;0,M151&gt;N10),"Mot &gt; limite","")</f>
        <v/>
      </c>
      <c r="J151" s="110" t="str">
        <f>IF(K151="","",COUNTIF(K18:K151,"&lt;&gt;"))</f>
        <v/>
      </c>
      <c r="K151" s="111"/>
      <c r="L151" s="110" t="str">
        <f t="shared" si="22"/>
        <v/>
      </c>
      <c r="M151" s="80">
        <f>IF(OR(F151="",N10="",N10&lt;=0),"",IF(LEN(F151)&lt;=N10,LEN(F151),IFERROR(FIND("♦",SUBSTITUTE(LEFT(F151,N10)," ","♦",LEN(LEFT(F151,N10))-LEN(SUBSTITUTE(LEFT(F151,N10)," ","")))),FIND(" ",F151&amp;" ",N10+1)-1)))</f>
        <v>1</v>
      </c>
      <c r="N151" s="112">
        <f t="shared" si="23"/>
        <v>134</v>
      </c>
      <c r="O151" s="113" t="str">
        <f t="shared" si="24"/>
        <v>0</v>
      </c>
      <c r="P151" s="112">
        <f t="shared" si="25"/>
        <v>1</v>
      </c>
      <c r="Q151" s="112">
        <f t="shared" si="26"/>
        <v>1</v>
      </c>
    </row>
    <row r="152" spans="2:17" ht="21" customHeight="1">
      <c r="B152" s="99" t="str">
        <f t="shared" si="18"/>
        <v/>
      </c>
      <c r="C152" s="99" t="str">
        <f t="shared" si="19"/>
        <v/>
      </c>
      <c r="D152" s="99" t="str">
        <f>IF(UPPER(TRIM(N11))="X",C152,B152)</f>
        <v/>
      </c>
      <c r="E152" s="99" cm="1">
        <f t="array" ref="E152">IF(H151&lt;&gt;"",E151,IF(E151="","",IFERROR(MATCH(TRUE(),INDEX(INDEX(K:K,E151+1):K203&lt;&gt;"",0),0)+E151,"")))</f>
        <v>294</v>
      </c>
      <c r="F152" s="99" cm="1">
        <f t="array" ref="F152">IF(E152="","",IF(H151&lt;&gt;"",H151,INDEX(D:D,E152)))</f>
        <v>0</v>
      </c>
      <c r="G152" s="99" t="str">
        <f t="shared" si="20"/>
        <v>0</v>
      </c>
      <c r="H152" s="109" t="str">
        <f t="shared" si="21"/>
        <v/>
      </c>
      <c r="I152" s="114" t="str">
        <f>IF(AND(F152&lt;&gt;"",N10&gt;0,M152&gt;N10),"Mot &gt; limite","")</f>
        <v/>
      </c>
      <c r="J152" s="110" t="str">
        <f>IF(K152="","",COUNTIF(K18:K152,"&lt;&gt;"))</f>
        <v/>
      </c>
      <c r="K152" s="111"/>
      <c r="L152" s="110" t="str">
        <f t="shared" si="22"/>
        <v/>
      </c>
      <c r="M152" s="80">
        <f>IF(OR(F152="",N10="",N10&lt;=0),"",IF(LEN(F152)&lt;=N10,LEN(F152),IFERROR(FIND("♦",SUBSTITUTE(LEFT(F152,N10)," ","♦",LEN(LEFT(F152,N10))-LEN(SUBSTITUTE(LEFT(F152,N10)," ","")))),FIND(" ",F152&amp;" ",N10+1)-1)))</f>
        <v>1</v>
      </c>
      <c r="N152" s="112">
        <f t="shared" si="23"/>
        <v>135</v>
      </c>
      <c r="O152" s="113" t="str">
        <f t="shared" si="24"/>
        <v>0</v>
      </c>
      <c r="P152" s="112">
        <f t="shared" si="25"/>
        <v>1</v>
      </c>
      <c r="Q152" s="112">
        <f t="shared" si="26"/>
        <v>1</v>
      </c>
    </row>
    <row r="153" spans="2:17" ht="21" customHeight="1">
      <c r="B153" s="99" t="str">
        <f t="shared" si="18"/>
        <v/>
      </c>
      <c r="C153" s="99" t="str">
        <f t="shared" si="19"/>
        <v/>
      </c>
      <c r="D153" s="99" t="str">
        <f>IF(UPPER(TRIM(N11))="X",C153,B153)</f>
        <v/>
      </c>
      <c r="E153" s="99" cm="1">
        <f t="array" ref="E153">IF(H152&lt;&gt;"",E152,IF(E152="","",IFERROR(MATCH(TRUE(),INDEX(INDEX(K:K,E152+1):K203&lt;&gt;"",0),0)+E152,"")))</f>
        <v>295</v>
      </c>
      <c r="F153" s="99" cm="1">
        <f t="array" ref="F153">IF(E153="","",IF(H152&lt;&gt;"",H152,INDEX(D:D,E153)))</f>
        <v>0</v>
      </c>
      <c r="G153" s="99" t="str">
        <f t="shared" si="20"/>
        <v>0</v>
      </c>
      <c r="H153" s="109" t="str">
        <f t="shared" si="21"/>
        <v/>
      </c>
      <c r="I153" s="114" t="str">
        <f>IF(AND(F153&lt;&gt;"",N10&gt;0,M153&gt;N10),"Mot &gt; limite","")</f>
        <v/>
      </c>
      <c r="J153" s="110" t="str">
        <f>IF(K153="","",COUNTIF(K18:K153,"&lt;&gt;"))</f>
        <v/>
      </c>
      <c r="K153" s="111"/>
      <c r="L153" s="110" t="str">
        <f t="shared" si="22"/>
        <v/>
      </c>
      <c r="M153" s="80">
        <f>IF(OR(F153="",N10="",N10&lt;=0),"",IF(LEN(F153)&lt;=N10,LEN(F153),IFERROR(FIND("♦",SUBSTITUTE(LEFT(F153,N10)," ","♦",LEN(LEFT(F153,N10))-LEN(SUBSTITUTE(LEFT(F153,N10)," ","")))),FIND(" ",F153&amp;" ",N10+1)-1)))</f>
        <v>1</v>
      </c>
      <c r="N153" s="112">
        <f t="shared" si="23"/>
        <v>136</v>
      </c>
      <c r="O153" s="113" t="str">
        <f t="shared" si="24"/>
        <v>0</v>
      </c>
      <c r="P153" s="112">
        <f t="shared" si="25"/>
        <v>1</v>
      </c>
      <c r="Q153" s="112">
        <f t="shared" si="26"/>
        <v>1</v>
      </c>
    </row>
    <row r="154" spans="2:17" ht="21" customHeight="1">
      <c r="B154" s="99" t="str">
        <f t="shared" si="18"/>
        <v/>
      </c>
      <c r="C154" s="99" t="str">
        <f t="shared" si="19"/>
        <v/>
      </c>
      <c r="D154" s="99" t="str">
        <f>IF(UPPER(TRIM(N11))="X",C154,B154)</f>
        <v/>
      </c>
      <c r="E154" s="99" cm="1">
        <f t="array" ref="E154">IF(H153&lt;&gt;"",E153,IF(E153="","",IFERROR(MATCH(TRUE(),INDEX(INDEX(K:K,E153+1):K203&lt;&gt;"",0),0)+E153,"")))</f>
        <v>296</v>
      </c>
      <c r="F154" s="99" cm="1">
        <f t="array" ref="F154">IF(E154="","",IF(H153&lt;&gt;"",H153,INDEX(D:D,E154)))</f>
        <v>0</v>
      </c>
      <c r="G154" s="99" t="str">
        <f t="shared" si="20"/>
        <v>0</v>
      </c>
      <c r="H154" s="109" t="str">
        <f t="shared" si="21"/>
        <v/>
      </c>
      <c r="I154" s="114" t="str">
        <f>IF(AND(F154&lt;&gt;"",N10&gt;0,M154&gt;N10),"Mot &gt; limite","")</f>
        <v/>
      </c>
      <c r="J154" s="110" t="str">
        <f>IF(K154="","",COUNTIF(K18:K154,"&lt;&gt;"))</f>
        <v/>
      </c>
      <c r="K154" s="111"/>
      <c r="L154" s="110" t="str">
        <f t="shared" si="22"/>
        <v/>
      </c>
      <c r="M154" s="80">
        <f>IF(OR(F154="",N10="",N10&lt;=0),"",IF(LEN(F154)&lt;=N10,LEN(F154),IFERROR(FIND("♦",SUBSTITUTE(LEFT(F154,N10)," ","♦",LEN(LEFT(F154,N10))-LEN(SUBSTITUTE(LEFT(F154,N10)," ","")))),FIND(" ",F154&amp;" ",N10+1)-1)))</f>
        <v>1</v>
      </c>
      <c r="N154" s="112">
        <f t="shared" si="23"/>
        <v>137</v>
      </c>
      <c r="O154" s="113" t="str">
        <f t="shared" si="24"/>
        <v>0</v>
      </c>
      <c r="P154" s="112">
        <f t="shared" si="25"/>
        <v>1</v>
      </c>
      <c r="Q154" s="112">
        <f t="shared" si="26"/>
        <v>1</v>
      </c>
    </row>
    <row r="155" spans="2:17" ht="21" customHeight="1">
      <c r="B155" s="99" t="str">
        <f t="shared" si="18"/>
        <v/>
      </c>
      <c r="C155" s="99" t="str">
        <f t="shared" si="19"/>
        <v/>
      </c>
      <c r="D155" s="99" t="str">
        <f>IF(UPPER(TRIM(N11))="X",C155,B155)</f>
        <v/>
      </c>
      <c r="E155" s="99" cm="1">
        <f t="array" ref="E155">IF(H154&lt;&gt;"",E154,IF(E154="","",IFERROR(MATCH(TRUE(),INDEX(INDEX(K:K,E154+1):K203&lt;&gt;"",0),0)+E154,"")))</f>
        <v>297</v>
      </c>
      <c r="F155" s="99" cm="1">
        <f t="array" ref="F155">IF(E155="","",IF(H154&lt;&gt;"",H154,INDEX(D:D,E155)))</f>
        <v>0</v>
      </c>
      <c r="G155" s="99" t="str">
        <f t="shared" si="20"/>
        <v>0</v>
      </c>
      <c r="H155" s="109" t="str">
        <f t="shared" si="21"/>
        <v/>
      </c>
      <c r="I155" s="114" t="str">
        <f>IF(AND(F155&lt;&gt;"",N10&gt;0,M155&gt;N10),"Mot &gt; limite","")</f>
        <v/>
      </c>
      <c r="J155" s="110" t="str">
        <f>IF(K155="","",COUNTIF(K18:K155,"&lt;&gt;"))</f>
        <v/>
      </c>
      <c r="K155" s="111"/>
      <c r="L155" s="110" t="str">
        <f t="shared" si="22"/>
        <v/>
      </c>
      <c r="M155" s="80">
        <f>IF(OR(F155="",N10="",N10&lt;=0),"",IF(LEN(F155)&lt;=N10,LEN(F155),IFERROR(FIND("♦",SUBSTITUTE(LEFT(F155,N10)," ","♦",LEN(LEFT(F155,N10))-LEN(SUBSTITUTE(LEFT(F155,N10)," ","")))),FIND(" ",F155&amp;" ",N10+1)-1)))</f>
        <v>1</v>
      </c>
      <c r="N155" s="112">
        <f t="shared" si="23"/>
        <v>138</v>
      </c>
      <c r="O155" s="113" t="str">
        <f t="shared" si="24"/>
        <v>0</v>
      </c>
      <c r="P155" s="112">
        <f t="shared" si="25"/>
        <v>1</v>
      </c>
      <c r="Q155" s="112">
        <f t="shared" si="26"/>
        <v>1</v>
      </c>
    </row>
    <row r="156" spans="2:17" ht="21" customHeight="1">
      <c r="B156" s="99" t="str">
        <f t="shared" si="18"/>
        <v/>
      </c>
      <c r="C156" s="99" t="str">
        <f t="shared" si="19"/>
        <v/>
      </c>
      <c r="D156" s="99" t="str">
        <f>IF(UPPER(TRIM(N11))="X",C156,B156)</f>
        <v/>
      </c>
      <c r="E156" s="99" cm="1">
        <f t="array" ref="E156">IF(H155&lt;&gt;"",E155,IF(E155="","",IFERROR(MATCH(TRUE(),INDEX(INDEX(K:K,E155+1):K203&lt;&gt;"",0),0)+E155,"")))</f>
        <v>298</v>
      </c>
      <c r="F156" s="99" cm="1">
        <f t="array" ref="F156">IF(E156="","",IF(H155&lt;&gt;"",H155,INDEX(D:D,E156)))</f>
        <v>0</v>
      </c>
      <c r="G156" s="99" t="str">
        <f t="shared" si="20"/>
        <v>0</v>
      </c>
      <c r="H156" s="109" t="str">
        <f t="shared" si="21"/>
        <v/>
      </c>
      <c r="I156" s="114" t="str">
        <f>IF(AND(F156&lt;&gt;"",N10&gt;0,M156&gt;N10),"Mot &gt; limite","")</f>
        <v/>
      </c>
      <c r="J156" s="110" t="str">
        <f>IF(K156="","",COUNTIF(K18:K156,"&lt;&gt;"))</f>
        <v/>
      </c>
      <c r="K156" s="111"/>
      <c r="L156" s="110" t="str">
        <f t="shared" si="22"/>
        <v/>
      </c>
      <c r="M156" s="80">
        <f>IF(OR(F156="",N10="",N10&lt;=0),"",IF(LEN(F156)&lt;=N10,LEN(F156),IFERROR(FIND("♦",SUBSTITUTE(LEFT(F156,N10)," ","♦",LEN(LEFT(F156,N10))-LEN(SUBSTITUTE(LEFT(F156,N10)," ","")))),FIND(" ",F156&amp;" ",N10+1)-1)))</f>
        <v>1</v>
      </c>
      <c r="N156" s="112">
        <f t="shared" si="23"/>
        <v>139</v>
      </c>
      <c r="O156" s="113" t="str">
        <f t="shared" si="24"/>
        <v>0</v>
      </c>
      <c r="P156" s="112">
        <f t="shared" si="25"/>
        <v>1</v>
      </c>
      <c r="Q156" s="112">
        <f t="shared" si="26"/>
        <v>1</v>
      </c>
    </row>
    <row r="157" spans="2:17" ht="21" customHeight="1">
      <c r="B157" s="99" t="str">
        <f t="shared" si="18"/>
        <v/>
      </c>
      <c r="C157" s="99" t="str">
        <f t="shared" si="19"/>
        <v/>
      </c>
      <c r="D157" s="99" t="str">
        <f>IF(UPPER(TRIM(N11))="X",C157,B157)</f>
        <v/>
      </c>
      <c r="E157" s="99" cm="1">
        <f t="array" ref="E157">IF(H156&lt;&gt;"",E156,IF(E156="","",IFERROR(MATCH(TRUE(),INDEX(INDEX(K:K,E156+1):K203&lt;&gt;"",0),0)+E156,"")))</f>
        <v>299</v>
      </c>
      <c r="F157" s="99" cm="1">
        <f t="array" ref="F157">IF(E157="","",IF(H156&lt;&gt;"",H156,INDEX(D:D,E157)))</f>
        <v>0</v>
      </c>
      <c r="G157" s="99" t="str">
        <f t="shared" si="20"/>
        <v>0</v>
      </c>
      <c r="H157" s="109" t="str">
        <f t="shared" si="21"/>
        <v/>
      </c>
      <c r="I157" s="114" t="str">
        <f>IF(AND(F157&lt;&gt;"",N10&gt;0,M157&gt;N10),"Mot &gt; limite","")</f>
        <v/>
      </c>
      <c r="J157" s="110" t="str">
        <f>IF(K157="","",COUNTIF(K18:K157,"&lt;&gt;"))</f>
        <v/>
      </c>
      <c r="K157" s="111"/>
      <c r="L157" s="110" t="str">
        <f t="shared" si="22"/>
        <v/>
      </c>
      <c r="M157" s="80">
        <f>IF(OR(F157="",N10="",N10&lt;=0),"",IF(LEN(F157)&lt;=N10,LEN(F157),IFERROR(FIND("♦",SUBSTITUTE(LEFT(F157,N10)," ","♦",LEN(LEFT(F157,N10))-LEN(SUBSTITUTE(LEFT(F157,N10)," ","")))),FIND(" ",F157&amp;" ",N10+1)-1)))</f>
        <v>1</v>
      </c>
      <c r="N157" s="112">
        <f t="shared" si="23"/>
        <v>140</v>
      </c>
      <c r="O157" s="113" t="str">
        <f t="shared" si="24"/>
        <v>0</v>
      </c>
      <c r="P157" s="112">
        <f t="shared" si="25"/>
        <v>1</v>
      </c>
      <c r="Q157" s="112">
        <f t="shared" si="26"/>
        <v>1</v>
      </c>
    </row>
    <row r="158" spans="2:17" ht="21" customHeight="1">
      <c r="B158" s="99" t="str">
        <f t="shared" si="18"/>
        <v/>
      </c>
      <c r="C158" s="99" t="str">
        <f t="shared" si="19"/>
        <v/>
      </c>
      <c r="D158" s="99" t="str">
        <f>IF(UPPER(TRIM(N11))="X",C158,B158)</f>
        <v/>
      </c>
      <c r="E158" s="99" cm="1">
        <f t="array" ref="E158">IF(H157&lt;&gt;"",E157,IF(E157="","",IFERROR(MATCH(TRUE(),INDEX(INDEX(K:K,E157+1):K203&lt;&gt;"",0),0)+E157,"")))</f>
        <v>300</v>
      </c>
      <c r="F158" s="99" cm="1">
        <f t="array" ref="F158">IF(E158="","",IF(H157&lt;&gt;"",H157,INDEX(D:D,E158)))</f>
        <v>0</v>
      </c>
      <c r="G158" s="99" t="str">
        <f t="shared" si="20"/>
        <v>0</v>
      </c>
      <c r="H158" s="109" t="str">
        <f t="shared" si="21"/>
        <v/>
      </c>
      <c r="I158" s="114" t="str">
        <f>IF(AND(F158&lt;&gt;"",N10&gt;0,M158&gt;N10),"Mot &gt; limite","")</f>
        <v/>
      </c>
      <c r="J158" s="110" t="str">
        <f>IF(K158="","",COUNTIF(K18:K158,"&lt;&gt;"))</f>
        <v/>
      </c>
      <c r="K158" s="111"/>
      <c r="L158" s="110" t="str">
        <f t="shared" si="22"/>
        <v/>
      </c>
      <c r="M158" s="80">
        <f>IF(OR(F158="",N10="",N10&lt;=0),"",IF(LEN(F158)&lt;=N10,LEN(F158),IFERROR(FIND("♦",SUBSTITUTE(LEFT(F158,N10)," ","♦",LEN(LEFT(F158,N10))-LEN(SUBSTITUTE(LEFT(F158,N10)," ","")))),FIND(" ",F158&amp;" ",N10+1)-1)))</f>
        <v>1</v>
      </c>
      <c r="N158" s="112">
        <f t="shared" si="23"/>
        <v>141</v>
      </c>
      <c r="O158" s="113" t="str">
        <f t="shared" si="24"/>
        <v>0</v>
      </c>
      <c r="P158" s="112">
        <f t="shared" si="25"/>
        <v>1</v>
      </c>
      <c r="Q158" s="112">
        <f t="shared" si="26"/>
        <v>1</v>
      </c>
    </row>
    <row r="159" spans="2:17" ht="21" customHeight="1">
      <c r="B159" s="99" t="str">
        <f t="shared" si="18"/>
        <v/>
      </c>
      <c r="C159" s="99" t="str">
        <f t="shared" si="19"/>
        <v/>
      </c>
      <c r="D159" s="99" t="str">
        <f>IF(UPPER(TRIM(N11))="X",C159,B159)</f>
        <v/>
      </c>
      <c r="E159" s="99" cm="1">
        <f t="array" ref="E159">IF(H158&lt;&gt;"",E158,IF(E158="","",IFERROR(MATCH(TRUE(),INDEX(INDEX(K:K,E158+1):K203&lt;&gt;"",0),0)+E158,"")))</f>
        <v>301</v>
      </c>
      <c r="F159" s="99" cm="1">
        <f t="array" ref="F159">IF(E159="","",IF(H158&lt;&gt;"",H158,INDEX(D:D,E159)))</f>
        <v>0</v>
      </c>
      <c r="G159" s="99" t="str">
        <f t="shared" si="20"/>
        <v>0</v>
      </c>
      <c r="H159" s="109" t="str">
        <f t="shared" si="21"/>
        <v/>
      </c>
      <c r="I159" s="114" t="str">
        <f>IF(AND(F159&lt;&gt;"",N10&gt;0,M159&gt;N10),"Mot &gt; limite","")</f>
        <v/>
      </c>
      <c r="J159" s="110" t="str">
        <f>IF(K159="","",COUNTIF(K18:K159,"&lt;&gt;"))</f>
        <v/>
      </c>
      <c r="K159" s="111"/>
      <c r="L159" s="110" t="str">
        <f t="shared" si="22"/>
        <v/>
      </c>
      <c r="M159" s="80">
        <f>IF(OR(F159="",N10="",N10&lt;=0),"",IF(LEN(F159)&lt;=N10,LEN(F159),IFERROR(FIND("♦",SUBSTITUTE(LEFT(F159,N10)," ","♦",LEN(LEFT(F159,N10))-LEN(SUBSTITUTE(LEFT(F159,N10)," ","")))),FIND(" ",F159&amp;" ",N10+1)-1)))</f>
        <v>1</v>
      </c>
      <c r="N159" s="112">
        <f t="shared" si="23"/>
        <v>142</v>
      </c>
      <c r="O159" s="113" t="str">
        <f t="shared" si="24"/>
        <v>0</v>
      </c>
      <c r="P159" s="112">
        <f t="shared" si="25"/>
        <v>1</v>
      </c>
      <c r="Q159" s="112">
        <f t="shared" si="26"/>
        <v>1</v>
      </c>
    </row>
    <row r="160" spans="2:17" ht="21" customHeight="1">
      <c r="B160" s="99" t="str">
        <f t="shared" si="18"/>
        <v/>
      </c>
      <c r="C160" s="99" t="str">
        <f t="shared" si="19"/>
        <v/>
      </c>
      <c r="D160" s="99" t="str">
        <f>IF(UPPER(TRIM(N11))="X",C160,B160)</f>
        <v/>
      </c>
      <c r="E160" s="99" cm="1">
        <f t="array" ref="E160">IF(H159&lt;&gt;"",E159,IF(E159="","",IFERROR(MATCH(TRUE(),INDEX(INDEX(K:K,E159+1):K203&lt;&gt;"",0),0)+E159,"")))</f>
        <v>302</v>
      </c>
      <c r="F160" s="99" cm="1">
        <f t="array" ref="F160">IF(E160="","",IF(H159&lt;&gt;"",H159,INDEX(D:D,E160)))</f>
        <v>0</v>
      </c>
      <c r="G160" s="99" t="str">
        <f t="shared" si="20"/>
        <v>0</v>
      </c>
      <c r="H160" s="109" t="str">
        <f t="shared" si="21"/>
        <v/>
      </c>
      <c r="I160" s="114" t="str">
        <f>IF(AND(F160&lt;&gt;"",N10&gt;0,M160&gt;N10),"Mot &gt; limite","")</f>
        <v/>
      </c>
      <c r="J160" s="110" t="str">
        <f>IF(K160="","",COUNTIF(K18:K160,"&lt;&gt;"))</f>
        <v/>
      </c>
      <c r="K160" s="111"/>
      <c r="L160" s="110" t="str">
        <f t="shared" si="22"/>
        <v/>
      </c>
      <c r="M160" s="80">
        <f>IF(OR(F160="",N10="",N10&lt;=0),"",IF(LEN(F160)&lt;=N10,LEN(F160),IFERROR(FIND("♦",SUBSTITUTE(LEFT(F160,N10)," ","♦",LEN(LEFT(F160,N10))-LEN(SUBSTITUTE(LEFT(F160,N10)," ","")))),FIND(" ",F160&amp;" ",N10+1)-1)))</f>
        <v>1</v>
      </c>
      <c r="N160" s="112">
        <f t="shared" si="23"/>
        <v>143</v>
      </c>
      <c r="O160" s="113" t="str">
        <f t="shared" si="24"/>
        <v>0</v>
      </c>
      <c r="P160" s="112">
        <f t="shared" si="25"/>
        <v>1</v>
      </c>
      <c r="Q160" s="112">
        <f t="shared" si="26"/>
        <v>1</v>
      </c>
    </row>
    <row r="161" spans="2:17" ht="21" customHeight="1">
      <c r="B161" s="99" t="str">
        <f t="shared" si="18"/>
        <v/>
      </c>
      <c r="C161" s="99" t="str">
        <f t="shared" si="19"/>
        <v/>
      </c>
      <c r="D161" s="99" t="str">
        <f>IF(UPPER(TRIM(N11))="X",C161,B161)</f>
        <v/>
      </c>
      <c r="E161" s="99" cm="1">
        <f t="array" ref="E161">IF(H160&lt;&gt;"",E160,IF(E160="","",IFERROR(MATCH(TRUE(),INDEX(INDEX(K:K,E160+1):K203&lt;&gt;"",0),0)+E160,"")))</f>
        <v>303</v>
      </c>
      <c r="F161" s="99" cm="1">
        <f t="array" ref="F161">IF(E161="","",IF(H160&lt;&gt;"",H160,INDEX(D:D,E161)))</f>
        <v>0</v>
      </c>
      <c r="G161" s="99" t="str">
        <f t="shared" si="20"/>
        <v>0</v>
      </c>
      <c r="H161" s="109" t="str">
        <f t="shared" si="21"/>
        <v/>
      </c>
      <c r="I161" s="114" t="str">
        <f>IF(AND(F161&lt;&gt;"",N10&gt;0,M161&gt;N10),"Mot &gt; limite","")</f>
        <v/>
      </c>
      <c r="J161" s="110" t="str">
        <f>IF(K161="","",COUNTIF(K18:K161,"&lt;&gt;"))</f>
        <v/>
      </c>
      <c r="K161" s="111"/>
      <c r="L161" s="110" t="str">
        <f t="shared" si="22"/>
        <v/>
      </c>
      <c r="M161" s="80">
        <f>IF(OR(F161="",N10="",N10&lt;=0),"",IF(LEN(F161)&lt;=N10,LEN(F161),IFERROR(FIND("♦",SUBSTITUTE(LEFT(F161,N10)," ","♦",LEN(LEFT(F161,N10))-LEN(SUBSTITUTE(LEFT(F161,N10)," ","")))),FIND(" ",F161&amp;" ",N10+1)-1)))</f>
        <v>1</v>
      </c>
      <c r="N161" s="112">
        <f t="shared" si="23"/>
        <v>144</v>
      </c>
      <c r="O161" s="113" t="str">
        <f t="shared" si="24"/>
        <v>0</v>
      </c>
      <c r="P161" s="112">
        <f t="shared" si="25"/>
        <v>1</v>
      </c>
      <c r="Q161" s="112">
        <f t="shared" si="26"/>
        <v>1</v>
      </c>
    </row>
    <row r="162" spans="2:17" ht="21" customHeight="1">
      <c r="B162" s="99" t="str">
        <f t="shared" si="18"/>
        <v/>
      </c>
      <c r="C162" s="99" t="str">
        <f t="shared" si="19"/>
        <v/>
      </c>
      <c r="D162" s="99" t="str">
        <f>IF(UPPER(TRIM(N11))="X",C162,B162)</f>
        <v/>
      </c>
      <c r="E162" s="99" cm="1">
        <f t="array" ref="E162">IF(H161&lt;&gt;"",E161,IF(E161="","",IFERROR(MATCH(TRUE(),INDEX(INDEX(K:K,E161+1):K203&lt;&gt;"",0),0)+E161,"")))</f>
        <v>304</v>
      </c>
      <c r="F162" s="99" cm="1">
        <f t="array" ref="F162">IF(E162="","",IF(H161&lt;&gt;"",H161,INDEX(D:D,E162)))</f>
        <v>0</v>
      </c>
      <c r="G162" s="99" t="str">
        <f t="shared" si="20"/>
        <v>0</v>
      </c>
      <c r="H162" s="109" t="str">
        <f t="shared" si="21"/>
        <v/>
      </c>
      <c r="I162" s="114" t="str">
        <f>IF(AND(F162&lt;&gt;"",N10&gt;0,M162&gt;N10),"Mot &gt; limite","")</f>
        <v/>
      </c>
      <c r="J162" s="110" t="str">
        <f>IF(K162="","",COUNTIF(K18:K162,"&lt;&gt;"))</f>
        <v/>
      </c>
      <c r="K162" s="111"/>
      <c r="L162" s="110" t="str">
        <f t="shared" si="22"/>
        <v/>
      </c>
      <c r="M162" s="80">
        <f>IF(OR(F162="",N10="",N10&lt;=0),"",IF(LEN(F162)&lt;=N10,LEN(F162),IFERROR(FIND("♦",SUBSTITUTE(LEFT(F162,N10)," ","♦",LEN(LEFT(F162,N10))-LEN(SUBSTITUTE(LEFT(F162,N10)," ","")))),FIND(" ",F162&amp;" ",N10+1)-1)))</f>
        <v>1</v>
      </c>
      <c r="N162" s="112">
        <f t="shared" si="23"/>
        <v>145</v>
      </c>
      <c r="O162" s="113" t="str">
        <f t="shared" si="24"/>
        <v>0</v>
      </c>
      <c r="P162" s="112">
        <f t="shared" si="25"/>
        <v>1</v>
      </c>
      <c r="Q162" s="112">
        <f t="shared" si="26"/>
        <v>1</v>
      </c>
    </row>
    <row r="163" spans="2:17" ht="21" customHeight="1">
      <c r="B163" s="99" t="str">
        <f t="shared" si="18"/>
        <v/>
      </c>
      <c r="C163" s="99" t="str">
        <f t="shared" si="19"/>
        <v/>
      </c>
      <c r="D163" s="99" t="str">
        <f>IF(UPPER(TRIM(N11))="X",C163,B163)</f>
        <v/>
      </c>
      <c r="E163" s="99" cm="1">
        <f t="array" ref="E163">IF(H162&lt;&gt;"",E162,IF(E162="","",IFERROR(MATCH(TRUE(),INDEX(INDEX(K:K,E162+1):K203&lt;&gt;"",0),0)+E162,"")))</f>
        <v>305</v>
      </c>
      <c r="F163" s="99" cm="1">
        <f t="array" ref="F163">IF(E163="","",IF(H162&lt;&gt;"",H162,INDEX(D:D,E163)))</f>
        <v>0</v>
      </c>
      <c r="G163" s="99" t="str">
        <f t="shared" si="20"/>
        <v>0</v>
      </c>
      <c r="H163" s="109" t="str">
        <f t="shared" si="21"/>
        <v/>
      </c>
      <c r="I163" s="114" t="str">
        <f>IF(AND(F163&lt;&gt;"",N10&gt;0,M163&gt;N10),"Mot &gt; limite","")</f>
        <v/>
      </c>
      <c r="J163" s="110" t="str">
        <f>IF(K163="","",COUNTIF(K18:K163,"&lt;&gt;"))</f>
        <v/>
      </c>
      <c r="K163" s="111"/>
      <c r="L163" s="110" t="str">
        <f t="shared" si="22"/>
        <v/>
      </c>
      <c r="M163" s="80">
        <f>IF(OR(F163="",N10="",N10&lt;=0),"",IF(LEN(F163)&lt;=N10,LEN(F163),IFERROR(FIND("♦",SUBSTITUTE(LEFT(F163,N10)," ","♦",LEN(LEFT(F163,N10))-LEN(SUBSTITUTE(LEFT(F163,N10)," ","")))),FIND(" ",F163&amp;" ",N10+1)-1)))</f>
        <v>1</v>
      </c>
      <c r="N163" s="112">
        <f t="shared" si="23"/>
        <v>146</v>
      </c>
      <c r="O163" s="113" t="str">
        <f t="shared" si="24"/>
        <v>0</v>
      </c>
      <c r="P163" s="112">
        <f t="shared" si="25"/>
        <v>1</v>
      </c>
      <c r="Q163" s="112">
        <f t="shared" si="26"/>
        <v>1</v>
      </c>
    </row>
    <row r="164" spans="2:17" ht="21" customHeight="1">
      <c r="B164" s="99" t="str">
        <f t="shared" si="18"/>
        <v/>
      </c>
      <c r="C164" s="99" t="str">
        <f t="shared" si="19"/>
        <v/>
      </c>
      <c r="D164" s="99" t="str">
        <f>IF(UPPER(TRIM(N11))="X",C164,B164)</f>
        <v/>
      </c>
      <c r="E164" s="99" cm="1">
        <f t="array" ref="E164">IF(H163&lt;&gt;"",E163,IF(E163="","",IFERROR(MATCH(TRUE(),INDEX(INDEX(K:K,E163+1):K203&lt;&gt;"",0),0)+E163,"")))</f>
        <v>306</v>
      </c>
      <c r="F164" s="99" cm="1">
        <f t="array" ref="F164">IF(E164="","",IF(H163&lt;&gt;"",H163,INDEX(D:D,E164)))</f>
        <v>0</v>
      </c>
      <c r="G164" s="99" t="str">
        <f t="shared" si="20"/>
        <v>0</v>
      </c>
      <c r="H164" s="109" t="str">
        <f t="shared" si="21"/>
        <v/>
      </c>
      <c r="I164" s="114" t="str">
        <f>IF(AND(F164&lt;&gt;"",N10&gt;0,M164&gt;N10),"Mot &gt; limite","")</f>
        <v/>
      </c>
      <c r="J164" s="110" t="str">
        <f>IF(K164="","",COUNTIF(K18:K164,"&lt;&gt;"))</f>
        <v/>
      </c>
      <c r="K164" s="111"/>
      <c r="L164" s="110" t="str">
        <f t="shared" si="22"/>
        <v/>
      </c>
      <c r="M164" s="80">
        <f>IF(OR(F164="",N10="",N10&lt;=0),"",IF(LEN(F164)&lt;=N10,LEN(F164),IFERROR(FIND("♦",SUBSTITUTE(LEFT(F164,N10)," ","♦",LEN(LEFT(F164,N10))-LEN(SUBSTITUTE(LEFT(F164,N10)," ","")))),FIND(" ",F164&amp;" ",N10+1)-1)))</f>
        <v>1</v>
      </c>
      <c r="N164" s="112">
        <f t="shared" si="23"/>
        <v>147</v>
      </c>
      <c r="O164" s="113" t="str">
        <f t="shared" si="24"/>
        <v>0</v>
      </c>
      <c r="P164" s="112">
        <f t="shared" si="25"/>
        <v>1</v>
      </c>
      <c r="Q164" s="112">
        <f t="shared" si="26"/>
        <v>1</v>
      </c>
    </row>
    <row r="165" spans="2:17" ht="21" customHeight="1">
      <c r="B165" s="99" t="str">
        <f t="shared" si="18"/>
        <v/>
      </c>
      <c r="C165" s="99" t="str">
        <f t="shared" si="19"/>
        <v/>
      </c>
      <c r="D165" s="99" t="str">
        <f>IF(UPPER(TRIM(N11))="X",C165,B165)</f>
        <v/>
      </c>
      <c r="E165" s="99" cm="1">
        <f t="array" ref="E165">IF(H164&lt;&gt;"",E164,IF(E164="","",IFERROR(MATCH(TRUE(),INDEX(INDEX(K:K,E164+1):K203&lt;&gt;"",0),0)+E164,"")))</f>
        <v>307</v>
      </c>
      <c r="F165" s="99" cm="1">
        <f t="array" ref="F165">IF(E165="","",IF(H164&lt;&gt;"",H164,INDEX(D:D,E165)))</f>
        <v>0</v>
      </c>
      <c r="G165" s="99" t="str">
        <f t="shared" si="20"/>
        <v>0</v>
      </c>
      <c r="H165" s="109" t="str">
        <f t="shared" si="21"/>
        <v/>
      </c>
      <c r="I165" s="114" t="str">
        <f>IF(AND(F165&lt;&gt;"",N10&gt;0,M165&gt;N10),"Mot &gt; limite","")</f>
        <v/>
      </c>
      <c r="J165" s="110" t="str">
        <f>IF(K165="","",COUNTIF(K18:K165,"&lt;&gt;"))</f>
        <v/>
      </c>
      <c r="K165" s="111"/>
      <c r="L165" s="110" t="str">
        <f t="shared" si="22"/>
        <v/>
      </c>
      <c r="M165" s="80">
        <f>IF(OR(F165="",N10="",N10&lt;=0),"",IF(LEN(F165)&lt;=N10,LEN(F165),IFERROR(FIND("♦",SUBSTITUTE(LEFT(F165,N10)," ","♦",LEN(LEFT(F165,N10))-LEN(SUBSTITUTE(LEFT(F165,N10)," ","")))),FIND(" ",F165&amp;" ",N10+1)-1)))</f>
        <v>1</v>
      </c>
      <c r="N165" s="112">
        <f t="shared" si="23"/>
        <v>148</v>
      </c>
      <c r="O165" s="113" t="str">
        <f t="shared" si="24"/>
        <v>0</v>
      </c>
      <c r="P165" s="112">
        <f t="shared" si="25"/>
        <v>1</v>
      </c>
      <c r="Q165" s="112">
        <f t="shared" si="26"/>
        <v>1</v>
      </c>
    </row>
    <row r="166" spans="2:17" ht="21" customHeight="1">
      <c r="B166" s="99" t="str">
        <f t="shared" si="18"/>
        <v/>
      </c>
      <c r="C166" s="99" t="str">
        <f t="shared" si="19"/>
        <v/>
      </c>
      <c r="D166" s="99" t="str">
        <f>IF(UPPER(TRIM(N11))="X",C166,B166)</f>
        <v/>
      </c>
      <c r="E166" s="99" cm="1">
        <f t="array" ref="E166">IF(H165&lt;&gt;"",E165,IF(E165="","",IFERROR(MATCH(TRUE(),INDEX(INDEX(K:K,E165+1):K203&lt;&gt;"",0),0)+E165,"")))</f>
        <v>308</v>
      </c>
      <c r="F166" s="99" cm="1">
        <f t="array" ref="F166">IF(E166="","",IF(H165&lt;&gt;"",H165,INDEX(D:D,E166)))</f>
        <v>0</v>
      </c>
      <c r="G166" s="99" t="str">
        <f t="shared" si="20"/>
        <v>0</v>
      </c>
      <c r="H166" s="109" t="str">
        <f t="shared" si="21"/>
        <v/>
      </c>
      <c r="I166" s="114" t="str">
        <f>IF(AND(F166&lt;&gt;"",N10&gt;0,M166&gt;N10),"Mot &gt; limite","")</f>
        <v/>
      </c>
      <c r="J166" s="110" t="str">
        <f>IF(K166="","",COUNTIF(K18:K166,"&lt;&gt;"))</f>
        <v/>
      </c>
      <c r="K166" s="111"/>
      <c r="L166" s="110" t="str">
        <f t="shared" si="22"/>
        <v/>
      </c>
      <c r="M166" s="80">
        <f>IF(OR(F166="",N10="",N10&lt;=0),"",IF(LEN(F166)&lt;=N10,LEN(F166),IFERROR(FIND("♦",SUBSTITUTE(LEFT(F166,N10)," ","♦",LEN(LEFT(F166,N10))-LEN(SUBSTITUTE(LEFT(F166,N10)," ","")))),FIND(" ",F166&amp;" ",N10+1)-1)))</f>
        <v>1</v>
      </c>
      <c r="N166" s="112">
        <f t="shared" si="23"/>
        <v>149</v>
      </c>
      <c r="O166" s="113" t="str">
        <f t="shared" si="24"/>
        <v>0</v>
      </c>
      <c r="P166" s="112">
        <f t="shared" si="25"/>
        <v>1</v>
      </c>
      <c r="Q166" s="112">
        <f t="shared" si="26"/>
        <v>1</v>
      </c>
    </row>
    <row r="167" spans="2:17" ht="21" customHeight="1">
      <c r="B167" s="99" t="str">
        <f t="shared" si="18"/>
        <v/>
      </c>
      <c r="C167" s="99" t="str">
        <f t="shared" si="19"/>
        <v/>
      </c>
      <c r="D167" s="99" t="str">
        <f>IF(UPPER(TRIM(N11))="X",C167,B167)</f>
        <v/>
      </c>
      <c r="E167" s="99" cm="1">
        <f t="array" ref="E167">IF(H166&lt;&gt;"",E166,IF(E166="","",IFERROR(MATCH(TRUE(),INDEX(INDEX(K:K,E166+1):K203&lt;&gt;"",0),0)+E166,"")))</f>
        <v>309</v>
      </c>
      <c r="F167" s="99" cm="1">
        <f t="array" ref="F167">IF(E167="","",IF(H166&lt;&gt;"",H166,INDEX(D:D,E167)))</f>
        <v>0</v>
      </c>
      <c r="G167" s="99" t="str">
        <f t="shared" si="20"/>
        <v>0</v>
      </c>
      <c r="H167" s="109" t="str">
        <f t="shared" si="21"/>
        <v/>
      </c>
      <c r="I167" s="114" t="str">
        <f>IF(AND(F167&lt;&gt;"",N10&gt;0,M167&gt;N10),"Mot &gt; limite","")</f>
        <v/>
      </c>
      <c r="J167" s="110" t="str">
        <f>IF(K167="","",COUNTIF(K18:K167,"&lt;&gt;"))</f>
        <v/>
      </c>
      <c r="K167" s="111"/>
      <c r="L167" s="110" t="str">
        <f t="shared" si="22"/>
        <v/>
      </c>
      <c r="M167" s="80">
        <f>IF(OR(F167="",N10="",N10&lt;=0),"",IF(LEN(F167)&lt;=N10,LEN(F167),IFERROR(FIND("♦",SUBSTITUTE(LEFT(F167,N10)," ","♦",LEN(LEFT(F167,N10))-LEN(SUBSTITUTE(LEFT(F167,N10)," ","")))),FIND(" ",F167&amp;" ",N10+1)-1)))</f>
        <v>1</v>
      </c>
      <c r="N167" s="112">
        <f t="shared" si="23"/>
        <v>150</v>
      </c>
      <c r="O167" s="113" t="str">
        <f t="shared" si="24"/>
        <v>0</v>
      </c>
      <c r="P167" s="112">
        <f t="shared" si="25"/>
        <v>1</v>
      </c>
      <c r="Q167" s="112">
        <f t="shared" si="26"/>
        <v>1</v>
      </c>
    </row>
    <row r="168" spans="2:17" ht="21" customHeight="1">
      <c r="B168" s="99" t="str">
        <f t="shared" si="18"/>
        <v/>
      </c>
      <c r="C168" s="99" t="str">
        <f t="shared" si="19"/>
        <v/>
      </c>
      <c r="D168" s="99" t="str">
        <f>IF(UPPER(TRIM(N11))="X",C168,B168)</f>
        <v/>
      </c>
      <c r="E168" s="99" cm="1">
        <f t="array" ref="E168">IF(H167&lt;&gt;"",E167,IF(E167="","",IFERROR(MATCH(TRUE(),INDEX(INDEX(K:K,E167+1):K203&lt;&gt;"",0),0)+E167,"")))</f>
        <v>310</v>
      </c>
      <c r="F168" s="99" cm="1">
        <f t="array" ref="F168">IF(E168="","",IF(H167&lt;&gt;"",H167,INDEX(D:D,E168)))</f>
        <v>0</v>
      </c>
      <c r="G168" s="99" t="str">
        <f t="shared" si="20"/>
        <v>0</v>
      </c>
      <c r="H168" s="109" t="str">
        <f t="shared" si="21"/>
        <v/>
      </c>
      <c r="I168" s="114" t="str">
        <f>IF(AND(F168&lt;&gt;"",N10&gt;0,M168&gt;N10),"Mot &gt; limite","")</f>
        <v/>
      </c>
      <c r="J168" s="110" t="str">
        <f>IF(K168="","",COUNTIF(K18:K168,"&lt;&gt;"))</f>
        <v/>
      </c>
      <c r="K168" s="111"/>
      <c r="L168" s="110" t="str">
        <f t="shared" si="22"/>
        <v/>
      </c>
      <c r="M168" s="80">
        <f>IF(OR(F168="",N10="",N10&lt;=0),"",IF(LEN(F168)&lt;=N10,LEN(F168),IFERROR(FIND("♦",SUBSTITUTE(LEFT(F168,N10)," ","♦",LEN(LEFT(F168,N10))-LEN(SUBSTITUTE(LEFT(F168,N10)," ","")))),FIND(" ",F168&amp;" ",N10+1)-1)))</f>
        <v>1</v>
      </c>
      <c r="N168" s="112">
        <f t="shared" si="23"/>
        <v>151</v>
      </c>
      <c r="O168" s="113" t="str">
        <f t="shared" si="24"/>
        <v>0</v>
      </c>
      <c r="P168" s="112">
        <f t="shared" si="25"/>
        <v>1</v>
      </c>
      <c r="Q168" s="112">
        <f t="shared" si="26"/>
        <v>1</v>
      </c>
    </row>
    <row r="169" spans="2:17" ht="21" customHeight="1">
      <c r="B169" s="99" t="str">
        <f t="shared" si="18"/>
        <v/>
      </c>
      <c r="C169" s="99" t="str">
        <f t="shared" si="19"/>
        <v/>
      </c>
      <c r="D169" s="99" t="str">
        <f>IF(UPPER(TRIM(N11))="X",C169,B169)</f>
        <v/>
      </c>
      <c r="E169" s="99" cm="1">
        <f t="array" ref="E169">IF(H168&lt;&gt;"",E168,IF(E168="","",IFERROR(MATCH(TRUE(),INDEX(INDEX(K:K,E168+1):K203&lt;&gt;"",0),0)+E168,"")))</f>
        <v>311</v>
      </c>
      <c r="F169" s="99" cm="1">
        <f t="array" ref="F169">IF(E169="","",IF(H168&lt;&gt;"",H168,INDEX(D:D,E169)))</f>
        <v>0</v>
      </c>
      <c r="G169" s="99" t="str">
        <f t="shared" si="20"/>
        <v>0</v>
      </c>
      <c r="H169" s="109" t="str">
        <f t="shared" si="21"/>
        <v/>
      </c>
      <c r="I169" s="114" t="str">
        <f>IF(AND(F169&lt;&gt;"",N10&gt;0,M169&gt;N10),"Mot &gt; limite","")</f>
        <v/>
      </c>
      <c r="J169" s="110" t="str">
        <f>IF(K169="","",COUNTIF(K18:K169,"&lt;&gt;"))</f>
        <v/>
      </c>
      <c r="K169" s="111"/>
      <c r="L169" s="110" t="str">
        <f t="shared" si="22"/>
        <v/>
      </c>
      <c r="M169" s="80">
        <f>IF(OR(F169="",N10="",N10&lt;=0),"",IF(LEN(F169)&lt;=N10,LEN(F169),IFERROR(FIND("♦",SUBSTITUTE(LEFT(F169,N10)," ","♦",LEN(LEFT(F169,N10))-LEN(SUBSTITUTE(LEFT(F169,N10)," ","")))),FIND(" ",F169&amp;" ",N10+1)-1)))</f>
        <v>1</v>
      </c>
      <c r="N169" s="112">
        <f t="shared" si="23"/>
        <v>152</v>
      </c>
      <c r="O169" s="113" t="str">
        <f t="shared" si="24"/>
        <v>0</v>
      </c>
      <c r="P169" s="112">
        <f t="shared" si="25"/>
        <v>1</v>
      </c>
      <c r="Q169" s="112">
        <f t="shared" si="26"/>
        <v>1</v>
      </c>
    </row>
    <row r="170" spans="2:17" ht="21" customHeight="1">
      <c r="B170" s="99" t="str">
        <f t="shared" si="18"/>
        <v/>
      </c>
      <c r="C170" s="99" t="str">
        <f t="shared" si="19"/>
        <v/>
      </c>
      <c r="D170" s="99" t="str">
        <f>IF(UPPER(TRIM(N11))="X",C170,B170)</f>
        <v/>
      </c>
      <c r="E170" s="99" cm="1">
        <f t="array" ref="E170">IF(H169&lt;&gt;"",E169,IF(E169="","",IFERROR(MATCH(TRUE(),INDEX(INDEX(K:K,E169+1):K203&lt;&gt;"",0),0)+E169,"")))</f>
        <v>312</v>
      </c>
      <c r="F170" s="99" cm="1">
        <f t="array" ref="F170">IF(E170="","",IF(H169&lt;&gt;"",H169,INDEX(D:D,E170)))</f>
        <v>0</v>
      </c>
      <c r="G170" s="99" t="str">
        <f t="shared" si="20"/>
        <v>0</v>
      </c>
      <c r="H170" s="109" t="str">
        <f t="shared" si="21"/>
        <v/>
      </c>
      <c r="I170" s="114" t="str">
        <f>IF(AND(F170&lt;&gt;"",N10&gt;0,M170&gt;N10),"Mot &gt; limite","")</f>
        <v/>
      </c>
      <c r="J170" s="110" t="str">
        <f>IF(K170="","",COUNTIF(K18:K170,"&lt;&gt;"))</f>
        <v/>
      </c>
      <c r="K170" s="111"/>
      <c r="L170" s="110" t="str">
        <f t="shared" si="22"/>
        <v/>
      </c>
      <c r="M170" s="80">
        <f>IF(OR(F170="",N10="",N10&lt;=0),"",IF(LEN(F170)&lt;=N10,LEN(F170),IFERROR(FIND("♦",SUBSTITUTE(LEFT(F170,N10)," ","♦",LEN(LEFT(F170,N10))-LEN(SUBSTITUTE(LEFT(F170,N10)," ","")))),FIND(" ",F170&amp;" ",N10+1)-1)))</f>
        <v>1</v>
      </c>
      <c r="N170" s="112">
        <f t="shared" si="23"/>
        <v>153</v>
      </c>
      <c r="O170" s="113" t="str">
        <f t="shared" si="24"/>
        <v>0</v>
      </c>
      <c r="P170" s="112">
        <f t="shared" si="25"/>
        <v>1</v>
      </c>
      <c r="Q170" s="112">
        <f t="shared" si="26"/>
        <v>1</v>
      </c>
    </row>
    <row r="171" spans="2:17" ht="21" customHeight="1">
      <c r="B171" s="99" t="str">
        <f t="shared" si="18"/>
        <v/>
      </c>
      <c r="C171" s="99" t="str">
        <f t="shared" si="19"/>
        <v/>
      </c>
      <c r="D171" s="99" t="str">
        <f>IF(UPPER(TRIM(N11))="X",C171,B171)</f>
        <v/>
      </c>
      <c r="E171" s="99" cm="1">
        <f t="array" ref="E171">IF(H170&lt;&gt;"",E170,IF(E170="","",IFERROR(MATCH(TRUE(),INDEX(INDEX(K:K,E170+1):K203&lt;&gt;"",0),0)+E170,"")))</f>
        <v>313</v>
      </c>
      <c r="F171" s="99" cm="1">
        <f t="array" ref="F171">IF(E171="","",IF(H170&lt;&gt;"",H170,INDEX(D:D,E171)))</f>
        <v>0</v>
      </c>
      <c r="G171" s="99" t="str">
        <f t="shared" si="20"/>
        <v>0</v>
      </c>
      <c r="H171" s="109" t="str">
        <f t="shared" si="21"/>
        <v/>
      </c>
      <c r="I171" s="114" t="str">
        <f>IF(AND(F171&lt;&gt;"",N10&gt;0,M171&gt;N10),"Mot &gt; limite","")</f>
        <v/>
      </c>
      <c r="J171" s="110" t="str">
        <f>IF(K171="","",COUNTIF(K18:K171,"&lt;&gt;"))</f>
        <v/>
      </c>
      <c r="K171" s="111"/>
      <c r="L171" s="110" t="str">
        <f t="shared" si="22"/>
        <v/>
      </c>
      <c r="M171" s="80">
        <f>IF(OR(F171="",N10="",N10&lt;=0),"",IF(LEN(F171)&lt;=N10,LEN(F171),IFERROR(FIND("♦",SUBSTITUTE(LEFT(F171,N10)," ","♦",LEN(LEFT(F171,N10))-LEN(SUBSTITUTE(LEFT(F171,N10)," ","")))),FIND(" ",F171&amp;" ",N10+1)-1)))</f>
        <v>1</v>
      </c>
      <c r="N171" s="112">
        <f t="shared" si="23"/>
        <v>154</v>
      </c>
      <c r="O171" s="113" t="str">
        <f t="shared" si="24"/>
        <v>0</v>
      </c>
      <c r="P171" s="112">
        <f t="shared" si="25"/>
        <v>1</v>
      </c>
      <c r="Q171" s="112">
        <f t="shared" si="26"/>
        <v>1</v>
      </c>
    </row>
    <row r="172" spans="2:17" ht="21" customHeight="1">
      <c r="B172" s="99" t="str">
        <f t="shared" si="18"/>
        <v/>
      </c>
      <c r="C172" s="99" t="str">
        <f t="shared" si="19"/>
        <v/>
      </c>
      <c r="D172" s="99" t="str">
        <f>IF(UPPER(TRIM(N11))="X",C172,B172)</f>
        <v/>
      </c>
      <c r="E172" s="99" cm="1">
        <f t="array" ref="E172">IF(H171&lt;&gt;"",E171,IF(E171="","",IFERROR(MATCH(TRUE(),INDEX(INDEX(K:K,E171+1):K203&lt;&gt;"",0),0)+E171,"")))</f>
        <v>314</v>
      </c>
      <c r="F172" s="99" cm="1">
        <f t="array" ref="F172">IF(E172="","",IF(H171&lt;&gt;"",H171,INDEX(D:D,E172)))</f>
        <v>0</v>
      </c>
      <c r="G172" s="99" t="str">
        <f t="shared" si="20"/>
        <v>0</v>
      </c>
      <c r="H172" s="109" t="str">
        <f t="shared" si="21"/>
        <v/>
      </c>
      <c r="I172" s="114" t="str">
        <f>IF(AND(F172&lt;&gt;"",N10&gt;0,M172&gt;N10),"Mot &gt; limite","")</f>
        <v/>
      </c>
      <c r="J172" s="110" t="str">
        <f>IF(K172="","",COUNTIF(K18:K172,"&lt;&gt;"))</f>
        <v/>
      </c>
      <c r="K172" s="111"/>
      <c r="L172" s="110" t="str">
        <f t="shared" si="22"/>
        <v/>
      </c>
      <c r="M172" s="80">
        <f>IF(OR(F172="",N10="",N10&lt;=0),"",IF(LEN(F172)&lt;=N10,LEN(F172),IFERROR(FIND("♦",SUBSTITUTE(LEFT(F172,N10)," ","♦",LEN(LEFT(F172,N10))-LEN(SUBSTITUTE(LEFT(F172,N10)," ","")))),FIND(" ",F172&amp;" ",N10+1)-1)))</f>
        <v>1</v>
      </c>
      <c r="N172" s="112">
        <f t="shared" si="23"/>
        <v>155</v>
      </c>
      <c r="O172" s="113" t="str">
        <f t="shared" si="24"/>
        <v>0</v>
      </c>
      <c r="P172" s="112">
        <f t="shared" si="25"/>
        <v>1</v>
      </c>
      <c r="Q172" s="112">
        <f t="shared" si="26"/>
        <v>1</v>
      </c>
    </row>
    <row r="173" spans="2:17" ht="21" customHeight="1">
      <c r="B173" s="99" t="str">
        <f t="shared" si="18"/>
        <v/>
      </c>
      <c r="C173" s="99" t="str">
        <f t="shared" si="19"/>
        <v/>
      </c>
      <c r="D173" s="99" t="str">
        <f>IF(UPPER(TRIM(N11))="X",C173,B173)</f>
        <v/>
      </c>
      <c r="E173" s="99" cm="1">
        <f t="array" ref="E173">IF(H172&lt;&gt;"",E172,IF(E172="","",IFERROR(MATCH(TRUE(),INDEX(INDEX(K:K,E172+1):K203&lt;&gt;"",0),0)+E172,"")))</f>
        <v>315</v>
      </c>
      <c r="F173" s="99" cm="1">
        <f t="array" ref="F173">IF(E173="","",IF(H172&lt;&gt;"",H172,INDEX(D:D,E173)))</f>
        <v>0</v>
      </c>
      <c r="G173" s="99" t="str">
        <f t="shared" si="20"/>
        <v>0</v>
      </c>
      <c r="H173" s="109" t="str">
        <f t="shared" si="21"/>
        <v/>
      </c>
      <c r="I173" s="114" t="str">
        <f>IF(AND(F173&lt;&gt;"",N10&gt;0,M173&gt;N10),"Mot &gt; limite","")</f>
        <v/>
      </c>
      <c r="J173" s="110" t="str">
        <f>IF(K173="","",COUNTIF(K18:K173,"&lt;&gt;"))</f>
        <v/>
      </c>
      <c r="K173" s="111"/>
      <c r="L173" s="110" t="str">
        <f t="shared" si="22"/>
        <v/>
      </c>
      <c r="M173" s="80">
        <f>IF(OR(F173="",N10="",N10&lt;=0),"",IF(LEN(F173)&lt;=N10,LEN(F173),IFERROR(FIND("♦",SUBSTITUTE(LEFT(F173,N10)," ","♦",LEN(LEFT(F173,N10))-LEN(SUBSTITUTE(LEFT(F173,N10)," ","")))),FIND(" ",F173&amp;" ",N10+1)-1)))</f>
        <v>1</v>
      </c>
      <c r="N173" s="112">
        <f t="shared" si="23"/>
        <v>156</v>
      </c>
      <c r="O173" s="113" t="str">
        <f t="shared" si="24"/>
        <v>0</v>
      </c>
      <c r="P173" s="112">
        <f t="shared" si="25"/>
        <v>1</v>
      </c>
      <c r="Q173" s="112">
        <f t="shared" si="26"/>
        <v>1</v>
      </c>
    </row>
    <row r="174" spans="2:17" ht="21" customHeight="1">
      <c r="B174" s="99" t="str">
        <f t="shared" si="18"/>
        <v/>
      </c>
      <c r="C174" s="99" t="str">
        <f t="shared" si="19"/>
        <v/>
      </c>
      <c r="D174" s="99" t="str">
        <f>IF(UPPER(TRIM(N11))="X",C174,B174)</f>
        <v/>
      </c>
      <c r="E174" s="99" cm="1">
        <f t="array" ref="E174">IF(H173&lt;&gt;"",E173,IF(E173="","",IFERROR(MATCH(TRUE(),INDEX(INDEX(K:K,E173+1):K203&lt;&gt;"",0),0)+E173,"")))</f>
        <v>316</v>
      </c>
      <c r="F174" s="99" cm="1">
        <f t="array" ref="F174">IF(E174="","",IF(H173&lt;&gt;"",H173,INDEX(D:D,E174)))</f>
        <v>0</v>
      </c>
      <c r="G174" s="99" t="str">
        <f t="shared" si="20"/>
        <v>0</v>
      </c>
      <c r="H174" s="109" t="str">
        <f t="shared" si="21"/>
        <v/>
      </c>
      <c r="I174" s="114" t="str">
        <f>IF(AND(F174&lt;&gt;"",N10&gt;0,M174&gt;N10),"Mot &gt; limite","")</f>
        <v/>
      </c>
      <c r="J174" s="110" t="str">
        <f>IF(K174="","",COUNTIF(K18:K174,"&lt;&gt;"))</f>
        <v/>
      </c>
      <c r="K174" s="111"/>
      <c r="L174" s="110" t="str">
        <f t="shared" si="22"/>
        <v/>
      </c>
      <c r="M174" s="80">
        <f>IF(OR(F174="",N10="",N10&lt;=0),"",IF(LEN(F174)&lt;=N10,LEN(F174),IFERROR(FIND("♦",SUBSTITUTE(LEFT(F174,N10)," ","♦",LEN(LEFT(F174,N10))-LEN(SUBSTITUTE(LEFT(F174,N10)," ","")))),FIND(" ",F174&amp;" ",N10+1)-1)))</f>
        <v>1</v>
      </c>
      <c r="N174" s="112">
        <f t="shared" si="23"/>
        <v>157</v>
      </c>
      <c r="O174" s="113" t="str">
        <f t="shared" si="24"/>
        <v>0</v>
      </c>
      <c r="P174" s="112">
        <f t="shared" si="25"/>
        <v>1</v>
      </c>
      <c r="Q174" s="112">
        <f t="shared" si="26"/>
        <v>1</v>
      </c>
    </row>
    <row r="175" spans="2:17" ht="21" customHeight="1">
      <c r="B175" s="99" t="str">
        <f t="shared" si="18"/>
        <v/>
      </c>
      <c r="C175" s="99" t="str">
        <f t="shared" si="19"/>
        <v/>
      </c>
      <c r="D175" s="99" t="str">
        <f>IF(UPPER(TRIM(N11))="X",C175,B175)</f>
        <v/>
      </c>
      <c r="E175" s="99" cm="1">
        <f t="array" ref="E175">IF(H174&lt;&gt;"",E174,IF(E174="","",IFERROR(MATCH(TRUE(),INDEX(INDEX(K:K,E174+1):K203&lt;&gt;"",0),0)+E174,"")))</f>
        <v>317</v>
      </c>
      <c r="F175" s="99" cm="1">
        <f t="array" ref="F175">IF(E175="","",IF(H174&lt;&gt;"",H174,INDEX(D:D,E175)))</f>
        <v>0</v>
      </c>
      <c r="G175" s="99" t="str">
        <f t="shared" si="20"/>
        <v>0</v>
      </c>
      <c r="H175" s="109" t="str">
        <f t="shared" si="21"/>
        <v/>
      </c>
      <c r="I175" s="114" t="str">
        <f>IF(AND(F175&lt;&gt;"",N10&gt;0,M175&gt;N10),"Mot &gt; limite","")</f>
        <v/>
      </c>
      <c r="J175" s="110" t="str">
        <f>IF(K175="","",COUNTIF(K18:K175,"&lt;&gt;"))</f>
        <v/>
      </c>
      <c r="K175" s="111"/>
      <c r="L175" s="110" t="str">
        <f t="shared" si="22"/>
        <v/>
      </c>
      <c r="M175" s="80">
        <f>IF(OR(F175="",N10="",N10&lt;=0),"",IF(LEN(F175)&lt;=N10,LEN(F175),IFERROR(FIND("♦",SUBSTITUTE(LEFT(F175,N10)," ","♦",LEN(LEFT(F175,N10))-LEN(SUBSTITUTE(LEFT(F175,N10)," ","")))),FIND(" ",F175&amp;" ",N10+1)-1)))</f>
        <v>1</v>
      </c>
      <c r="N175" s="112">
        <f t="shared" si="23"/>
        <v>158</v>
      </c>
      <c r="O175" s="113" t="str">
        <f t="shared" si="24"/>
        <v>0</v>
      </c>
      <c r="P175" s="112">
        <f t="shared" si="25"/>
        <v>1</v>
      </c>
      <c r="Q175" s="112">
        <f t="shared" si="26"/>
        <v>1</v>
      </c>
    </row>
    <row r="176" spans="2:17" ht="21" customHeight="1">
      <c r="B176" s="99" t="str">
        <f t="shared" si="18"/>
        <v/>
      </c>
      <c r="C176" s="99" t="str">
        <f t="shared" si="19"/>
        <v/>
      </c>
      <c r="D176" s="99" t="str">
        <f>IF(UPPER(TRIM(N11))="X",C176,B176)</f>
        <v/>
      </c>
      <c r="E176" s="99" cm="1">
        <f t="array" ref="E176">IF(H175&lt;&gt;"",E175,IF(E175="","",IFERROR(MATCH(TRUE(),INDEX(INDEX(K:K,E175+1):K203&lt;&gt;"",0),0)+E175,"")))</f>
        <v>318</v>
      </c>
      <c r="F176" s="99" cm="1">
        <f t="array" ref="F176">IF(E176="","",IF(H175&lt;&gt;"",H175,INDEX(D:D,E176)))</f>
        <v>0</v>
      </c>
      <c r="G176" s="99" t="str">
        <f t="shared" si="20"/>
        <v>0</v>
      </c>
      <c r="H176" s="109" t="str">
        <f t="shared" si="21"/>
        <v/>
      </c>
      <c r="I176" s="114" t="str">
        <f>IF(AND(F176&lt;&gt;"",N10&gt;0,M176&gt;N10),"Mot &gt; limite","")</f>
        <v/>
      </c>
      <c r="J176" s="110" t="str">
        <f>IF(K176="","",COUNTIF(K18:K176,"&lt;&gt;"))</f>
        <v/>
      </c>
      <c r="K176" s="111"/>
      <c r="L176" s="110" t="str">
        <f t="shared" si="22"/>
        <v/>
      </c>
      <c r="M176" s="80">
        <f>IF(OR(F176="",N10="",N10&lt;=0),"",IF(LEN(F176)&lt;=N10,LEN(F176),IFERROR(FIND("♦",SUBSTITUTE(LEFT(F176,N10)," ","♦",LEN(LEFT(F176,N10))-LEN(SUBSTITUTE(LEFT(F176,N10)," ","")))),FIND(" ",F176&amp;" ",N10+1)-1)))</f>
        <v>1</v>
      </c>
      <c r="N176" s="112">
        <f t="shared" si="23"/>
        <v>159</v>
      </c>
      <c r="O176" s="113" t="str">
        <f t="shared" si="24"/>
        <v>0</v>
      </c>
      <c r="P176" s="112">
        <f t="shared" si="25"/>
        <v>1</v>
      </c>
      <c r="Q176" s="112">
        <f t="shared" si="26"/>
        <v>1</v>
      </c>
    </row>
    <row r="177" spans="2:17" ht="21" customHeight="1">
      <c r="B177" s="99" t="str">
        <f t="shared" si="18"/>
        <v/>
      </c>
      <c r="C177" s="99" t="str">
        <f t="shared" si="19"/>
        <v/>
      </c>
      <c r="D177" s="99" t="str">
        <f>IF(UPPER(TRIM(N11))="X",C177,B177)</f>
        <v/>
      </c>
      <c r="E177" s="99" cm="1">
        <f t="array" ref="E177">IF(H176&lt;&gt;"",E176,IF(E176="","",IFERROR(MATCH(TRUE(),INDEX(INDEX(K:K,E176+1):K203&lt;&gt;"",0),0)+E176,"")))</f>
        <v>319</v>
      </c>
      <c r="F177" s="99" cm="1">
        <f t="array" ref="F177">IF(E177="","",IF(H176&lt;&gt;"",H176,INDEX(D:D,E177)))</f>
        <v>0</v>
      </c>
      <c r="G177" s="99" t="str">
        <f t="shared" si="20"/>
        <v>0</v>
      </c>
      <c r="H177" s="109" t="str">
        <f t="shared" si="21"/>
        <v/>
      </c>
      <c r="I177" s="114" t="str">
        <f>IF(AND(F177&lt;&gt;"",N10&gt;0,M177&gt;N10),"Mot &gt; limite","")</f>
        <v/>
      </c>
      <c r="J177" s="110" t="str">
        <f>IF(K177="","",COUNTIF(K18:K177,"&lt;&gt;"))</f>
        <v/>
      </c>
      <c r="K177" s="111"/>
      <c r="L177" s="110" t="str">
        <f t="shared" si="22"/>
        <v/>
      </c>
      <c r="M177" s="80">
        <f>IF(OR(F177="",N10="",N10&lt;=0),"",IF(LEN(F177)&lt;=N10,LEN(F177),IFERROR(FIND("♦",SUBSTITUTE(LEFT(F177,N10)," ","♦",LEN(LEFT(F177,N10))-LEN(SUBSTITUTE(LEFT(F177,N10)," ","")))),FIND(" ",F177&amp;" ",N10+1)-1)))</f>
        <v>1</v>
      </c>
      <c r="N177" s="112">
        <f t="shared" si="23"/>
        <v>160</v>
      </c>
      <c r="O177" s="113" t="str">
        <f t="shared" si="24"/>
        <v>0</v>
      </c>
      <c r="P177" s="112">
        <f t="shared" si="25"/>
        <v>1</v>
      </c>
      <c r="Q177" s="112">
        <f t="shared" si="26"/>
        <v>1</v>
      </c>
    </row>
    <row r="178" spans="2:17" ht="21" customHeight="1">
      <c r="B178" s="99" t="str">
        <f t="shared" si="18"/>
        <v/>
      </c>
      <c r="C178" s="99" t="str">
        <f t="shared" si="19"/>
        <v/>
      </c>
      <c r="D178" s="99" t="str">
        <f>IF(UPPER(TRIM(N11))="X",C178,B178)</f>
        <v/>
      </c>
      <c r="E178" s="99" cm="1">
        <f t="array" ref="E178">IF(H177&lt;&gt;"",E177,IF(E177="","",IFERROR(MATCH(TRUE(),INDEX(INDEX(K:K,E177+1):K203&lt;&gt;"",0),0)+E177,"")))</f>
        <v>320</v>
      </c>
      <c r="F178" s="99" cm="1">
        <f t="array" ref="F178">IF(E178="","",IF(H177&lt;&gt;"",H177,INDEX(D:D,E178)))</f>
        <v>0</v>
      </c>
      <c r="G178" s="99" t="str">
        <f t="shared" si="20"/>
        <v>0</v>
      </c>
      <c r="H178" s="109" t="str">
        <f t="shared" si="21"/>
        <v/>
      </c>
      <c r="I178" s="114" t="str">
        <f>IF(AND(F178&lt;&gt;"",N10&gt;0,M178&gt;N10),"Mot &gt; limite","")</f>
        <v/>
      </c>
      <c r="J178" s="110" t="str">
        <f>IF(K178="","",COUNTIF(K18:K178,"&lt;&gt;"))</f>
        <v/>
      </c>
      <c r="K178" s="111"/>
      <c r="L178" s="110" t="str">
        <f t="shared" si="22"/>
        <v/>
      </c>
      <c r="M178" s="80">
        <f>IF(OR(F178="",N10="",N10&lt;=0),"",IF(LEN(F178)&lt;=N10,LEN(F178),IFERROR(FIND("♦",SUBSTITUTE(LEFT(F178,N10)," ","♦",LEN(LEFT(F178,N10))-LEN(SUBSTITUTE(LEFT(F178,N10)," ","")))),FIND(" ",F178&amp;" ",N10+1)-1)))</f>
        <v>1</v>
      </c>
      <c r="N178" s="112">
        <f t="shared" si="23"/>
        <v>161</v>
      </c>
      <c r="O178" s="113" t="str">
        <f t="shared" si="24"/>
        <v>0</v>
      </c>
      <c r="P178" s="112">
        <f t="shared" si="25"/>
        <v>1</v>
      </c>
      <c r="Q178" s="112">
        <f t="shared" si="26"/>
        <v>1</v>
      </c>
    </row>
    <row r="179" spans="2:17" ht="21" customHeight="1">
      <c r="B179" s="99" t="str">
        <f t="shared" si="18"/>
        <v/>
      </c>
      <c r="C179" s="99" t="str">
        <f t="shared" si="19"/>
        <v/>
      </c>
      <c r="D179" s="99" t="str">
        <f>IF(UPPER(TRIM(N11))="X",C179,B179)</f>
        <v/>
      </c>
      <c r="E179" s="99" cm="1">
        <f t="array" ref="E179">IF(H178&lt;&gt;"",E178,IF(E178="","",IFERROR(MATCH(TRUE(),INDEX(INDEX(K:K,E178+1):K203&lt;&gt;"",0),0)+E178,"")))</f>
        <v>321</v>
      </c>
      <c r="F179" s="99" cm="1">
        <f t="array" ref="F179">IF(E179="","",IF(H178&lt;&gt;"",H178,INDEX(D:D,E179)))</f>
        <v>0</v>
      </c>
      <c r="G179" s="99" t="str">
        <f t="shared" si="20"/>
        <v>0</v>
      </c>
      <c r="H179" s="109" t="str">
        <f t="shared" si="21"/>
        <v/>
      </c>
      <c r="I179" s="114" t="str">
        <f>IF(AND(F179&lt;&gt;"",N10&gt;0,M179&gt;N10),"Mot &gt; limite","")</f>
        <v/>
      </c>
      <c r="J179" s="110" t="str">
        <f>IF(K179="","",COUNTIF(K18:K179,"&lt;&gt;"))</f>
        <v/>
      </c>
      <c r="K179" s="111"/>
      <c r="L179" s="110" t="str">
        <f t="shared" si="22"/>
        <v/>
      </c>
      <c r="M179" s="80">
        <f>IF(OR(F179="",N10="",N10&lt;=0),"",IF(LEN(F179)&lt;=N10,LEN(F179),IFERROR(FIND("♦",SUBSTITUTE(LEFT(F179,N10)," ","♦",LEN(LEFT(F179,N10))-LEN(SUBSTITUTE(LEFT(F179,N10)," ","")))),FIND(" ",F179&amp;" ",N10+1)-1)))</f>
        <v>1</v>
      </c>
      <c r="N179" s="112">
        <f t="shared" si="23"/>
        <v>162</v>
      </c>
      <c r="O179" s="113" t="str">
        <f t="shared" si="24"/>
        <v>0</v>
      </c>
      <c r="P179" s="112">
        <f t="shared" si="25"/>
        <v>1</v>
      </c>
      <c r="Q179" s="112">
        <f t="shared" si="26"/>
        <v>1</v>
      </c>
    </row>
    <row r="180" spans="2:17" ht="21" customHeight="1">
      <c r="B180" s="99" t="str">
        <f t="shared" si="18"/>
        <v/>
      </c>
      <c r="C180" s="99" t="str">
        <f t="shared" si="19"/>
        <v/>
      </c>
      <c r="D180" s="99" t="str">
        <f>IF(UPPER(TRIM(N11))="X",C180,B180)</f>
        <v/>
      </c>
      <c r="E180" s="99" cm="1">
        <f t="array" ref="E180">IF(H179&lt;&gt;"",E179,IF(E179="","",IFERROR(MATCH(TRUE(),INDEX(INDEX(K:K,E179+1):K203&lt;&gt;"",0),0)+E179,"")))</f>
        <v>322</v>
      </c>
      <c r="F180" s="99" cm="1">
        <f t="array" ref="F180">IF(E180="","",IF(H179&lt;&gt;"",H179,INDEX(D:D,E180)))</f>
        <v>0</v>
      </c>
      <c r="G180" s="99" t="str">
        <f t="shared" si="20"/>
        <v>0</v>
      </c>
      <c r="H180" s="109" t="str">
        <f t="shared" si="21"/>
        <v/>
      </c>
      <c r="I180" s="114" t="str">
        <f>IF(AND(F180&lt;&gt;"",N10&gt;0,M180&gt;N10),"Mot &gt; limite","")</f>
        <v/>
      </c>
      <c r="J180" s="110" t="str">
        <f>IF(K180="","",COUNTIF(K18:K180,"&lt;&gt;"))</f>
        <v/>
      </c>
      <c r="K180" s="111"/>
      <c r="L180" s="110" t="str">
        <f t="shared" si="22"/>
        <v/>
      </c>
      <c r="M180" s="80">
        <f>IF(OR(F180="",N10="",N10&lt;=0),"",IF(LEN(F180)&lt;=N10,LEN(F180),IFERROR(FIND("♦",SUBSTITUTE(LEFT(F180,N10)," ","♦",LEN(LEFT(F180,N10))-LEN(SUBSTITUTE(LEFT(F180,N10)," ","")))),FIND(" ",F180&amp;" ",N10+1)-1)))</f>
        <v>1</v>
      </c>
      <c r="N180" s="112">
        <f t="shared" si="23"/>
        <v>163</v>
      </c>
      <c r="O180" s="113" t="str">
        <f t="shared" si="24"/>
        <v>0</v>
      </c>
      <c r="P180" s="112">
        <f t="shared" si="25"/>
        <v>1</v>
      </c>
      <c r="Q180" s="112">
        <f t="shared" si="26"/>
        <v>1</v>
      </c>
    </row>
    <row r="181" spans="2:17" ht="21" customHeight="1">
      <c r="B181" s="99" t="str">
        <f t="shared" si="18"/>
        <v/>
      </c>
      <c r="C181" s="99" t="str">
        <f t="shared" si="19"/>
        <v/>
      </c>
      <c r="D181" s="99" t="str">
        <f>IF(UPPER(TRIM(N11))="X",C181,B181)</f>
        <v/>
      </c>
      <c r="E181" s="99" cm="1">
        <f t="array" ref="E181">IF(H180&lt;&gt;"",E180,IF(E180="","",IFERROR(MATCH(TRUE(),INDEX(INDEX(K:K,E180+1):K203&lt;&gt;"",0),0)+E180,"")))</f>
        <v>323</v>
      </c>
      <c r="F181" s="99" cm="1">
        <f t="array" ref="F181">IF(E181="","",IF(H180&lt;&gt;"",H180,INDEX(D:D,E181)))</f>
        <v>0</v>
      </c>
      <c r="G181" s="99" t="str">
        <f t="shared" si="20"/>
        <v>0</v>
      </c>
      <c r="H181" s="109" t="str">
        <f t="shared" si="21"/>
        <v/>
      </c>
      <c r="I181" s="114" t="str">
        <f>IF(AND(F181&lt;&gt;"",N10&gt;0,M181&gt;N10),"Mot &gt; limite","")</f>
        <v/>
      </c>
      <c r="J181" s="110" t="str">
        <f>IF(K181="","",COUNTIF(K18:K181,"&lt;&gt;"))</f>
        <v/>
      </c>
      <c r="K181" s="111"/>
      <c r="L181" s="110" t="str">
        <f t="shared" si="22"/>
        <v/>
      </c>
      <c r="M181" s="80">
        <f>IF(OR(F181="",N10="",N10&lt;=0),"",IF(LEN(F181)&lt;=N10,LEN(F181),IFERROR(FIND("♦",SUBSTITUTE(LEFT(F181,N10)," ","♦",LEN(LEFT(F181,N10))-LEN(SUBSTITUTE(LEFT(F181,N10)," ","")))),FIND(" ",F181&amp;" ",N10+1)-1)))</f>
        <v>1</v>
      </c>
      <c r="N181" s="112">
        <f t="shared" si="23"/>
        <v>164</v>
      </c>
      <c r="O181" s="113" t="str">
        <f t="shared" si="24"/>
        <v>0</v>
      </c>
      <c r="P181" s="112">
        <f t="shared" si="25"/>
        <v>1</v>
      </c>
      <c r="Q181" s="112">
        <f t="shared" si="26"/>
        <v>1</v>
      </c>
    </row>
    <row r="182" spans="2:17" ht="21" customHeight="1">
      <c r="B182" s="99" t="str">
        <f t="shared" si="18"/>
        <v/>
      </c>
      <c r="C182" s="99" t="str">
        <f t="shared" si="19"/>
        <v/>
      </c>
      <c r="D182" s="99" t="str">
        <f>IF(UPPER(TRIM(N11))="X",C182,B182)</f>
        <v/>
      </c>
      <c r="E182" s="99" cm="1">
        <f t="array" ref="E182">IF(H181&lt;&gt;"",E181,IF(E181="","",IFERROR(MATCH(TRUE(),INDEX(INDEX(K:K,E181+1):K203&lt;&gt;"",0),0)+E181,"")))</f>
        <v>324</v>
      </c>
      <c r="F182" s="99" cm="1">
        <f t="array" ref="F182">IF(E182="","",IF(H181&lt;&gt;"",H181,INDEX(D:D,E182)))</f>
        <v>0</v>
      </c>
      <c r="G182" s="99" t="str">
        <f t="shared" si="20"/>
        <v>0</v>
      </c>
      <c r="H182" s="109" t="str">
        <f t="shared" si="21"/>
        <v/>
      </c>
      <c r="I182" s="114" t="str">
        <f>IF(AND(F182&lt;&gt;"",N10&gt;0,M182&gt;N10),"Mot &gt; limite","")</f>
        <v/>
      </c>
      <c r="J182" s="110" t="str">
        <f>IF(K182="","",COUNTIF(K18:K182,"&lt;&gt;"))</f>
        <v/>
      </c>
      <c r="K182" s="111"/>
      <c r="L182" s="110" t="str">
        <f t="shared" si="22"/>
        <v/>
      </c>
      <c r="M182" s="80">
        <f>IF(OR(F182="",N10="",N10&lt;=0),"",IF(LEN(F182)&lt;=N10,LEN(F182),IFERROR(FIND("♦",SUBSTITUTE(LEFT(F182,N10)," ","♦",LEN(LEFT(F182,N10))-LEN(SUBSTITUTE(LEFT(F182,N10)," ","")))),FIND(" ",F182&amp;" ",N10+1)-1)))</f>
        <v>1</v>
      </c>
      <c r="N182" s="112">
        <f t="shared" si="23"/>
        <v>165</v>
      </c>
      <c r="O182" s="113" t="str">
        <f t="shared" si="24"/>
        <v>0</v>
      </c>
      <c r="P182" s="112">
        <f t="shared" si="25"/>
        <v>1</v>
      </c>
      <c r="Q182" s="112">
        <f t="shared" si="26"/>
        <v>1</v>
      </c>
    </row>
    <row r="183" spans="2:17" ht="21" customHeight="1">
      <c r="B183" s="99" t="str">
        <f t="shared" si="18"/>
        <v/>
      </c>
      <c r="C183" s="99" t="str">
        <f t="shared" si="19"/>
        <v/>
      </c>
      <c r="D183" s="99" t="str">
        <f>IF(UPPER(TRIM(N11))="X",C183,B183)</f>
        <v/>
      </c>
      <c r="E183" s="99" cm="1">
        <f t="array" ref="E183">IF(H182&lt;&gt;"",E182,IF(E182="","",IFERROR(MATCH(TRUE(),INDEX(INDEX(K:K,E182+1):K203&lt;&gt;"",0),0)+E182,"")))</f>
        <v>325</v>
      </c>
      <c r="F183" s="99" cm="1">
        <f t="array" ref="F183">IF(E183="","",IF(H182&lt;&gt;"",H182,INDEX(D:D,E183)))</f>
        <v>0</v>
      </c>
      <c r="G183" s="99" t="str">
        <f t="shared" si="20"/>
        <v>0</v>
      </c>
      <c r="H183" s="109" t="str">
        <f t="shared" si="21"/>
        <v/>
      </c>
      <c r="I183" s="114" t="str">
        <f>IF(AND(F183&lt;&gt;"",N10&gt;0,M183&gt;N10),"Mot &gt; limite","")</f>
        <v/>
      </c>
      <c r="J183" s="110" t="str">
        <f>IF(K183="","",COUNTIF(K18:K183,"&lt;&gt;"))</f>
        <v/>
      </c>
      <c r="K183" s="111"/>
      <c r="L183" s="110" t="str">
        <f t="shared" si="22"/>
        <v/>
      </c>
      <c r="M183" s="80">
        <f>IF(OR(F183="",N10="",N10&lt;=0),"",IF(LEN(F183)&lt;=N10,LEN(F183),IFERROR(FIND("♦",SUBSTITUTE(LEFT(F183,N10)," ","♦",LEN(LEFT(F183,N10))-LEN(SUBSTITUTE(LEFT(F183,N10)," ","")))),FIND(" ",F183&amp;" ",N10+1)-1)))</f>
        <v>1</v>
      </c>
      <c r="N183" s="112">
        <f t="shared" si="23"/>
        <v>166</v>
      </c>
      <c r="O183" s="113" t="str">
        <f t="shared" si="24"/>
        <v>0</v>
      </c>
      <c r="P183" s="112">
        <f t="shared" si="25"/>
        <v>1</v>
      </c>
      <c r="Q183" s="112">
        <f t="shared" si="26"/>
        <v>1</v>
      </c>
    </row>
    <row r="184" spans="2:17" ht="21" customHeight="1">
      <c r="B184" s="99" t="str">
        <f t="shared" si="18"/>
        <v/>
      </c>
      <c r="C184" s="99" t="str">
        <f t="shared" si="19"/>
        <v/>
      </c>
      <c r="D184" s="99" t="str">
        <f>IF(UPPER(TRIM(N11))="X",C184,B184)</f>
        <v/>
      </c>
      <c r="E184" s="99" cm="1">
        <f t="array" ref="E184">IF(H183&lt;&gt;"",E183,IF(E183="","",IFERROR(MATCH(TRUE(),INDEX(INDEX(K:K,E183+1):K203&lt;&gt;"",0),0)+E183,"")))</f>
        <v>326</v>
      </c>
      <c r="F184" s="99" cm="1">
        <f t="array" ref="F184">IF(E184="","",IF(H183&lt;&gt;"",H183,INDEX(D:D,E184)))</f>
        <v>0</v>
      </c>
      <c r="G184" s="99" t="str">
        <f t="shared" si="20"/>
        <v>0</v>
      </c>
      <c r="H184" s="109" t="str">
        <f t="shared" si="21"/>
        <v/>
      </c>
      <c r="I184" s="114" t="str">
        <f>IF(AND(F184&lt;&gt;"",N10&gt;0,M184&gt;N10),"Mot &gt; limite","")</f>
        <v/>
      </c>
      <c r="J184" s="110" t="str">
        <f>IF(K184="","",COUNTIF(K18:K184,"&lt;&gt;"))</f>
        <v/>
      </c>
      <c r="K184" s="111"/>
      <c r="L184" s="110" t="str">
        <f t="shared" si="22"/>
        <v/>
      </c>
      <c r="M184" s="80">
        <f>IF(OR(F184="",N10="",N10&lt;=0),"",IF(LEN(F184)&lt;=N10,LEN(F184),IFERROR(FIND("♦",SUBSTITUTE(LEFT(F184,N10)," ","♦",LEN(LEFT(F184,N10))-LEN(SUBSTITUTE(LEFT(F184,N10)," ","")))),FIND(" ",F184&amp;" ",N10+1)-1)))</f>
        <v>1</v>
      </c>
      <c r="N184" s="112">
        <f t="shared" si="23"/>
        <v>167</v>
      </c>
      <c r="O184" s="113" t="str">
        <f t="shared" si="24"/>
        <v>0</v>
      </c>
      <c r="P184" s="112">
        <f t="shared" si="25"/>
        <v>1</v>
      </c>
      <c r="Q184" s="112">
        <f t="shared" si="26"/>
        <v>1</v>
      </c>
    </row>
    <row r="185" spans="2:17" ht="21" customHeight="1">
      <c r="B185" s="99" t="str">
        <f t="shared" si="18"/>
        <v/>
      </c>
      <c r="C185" s="99" t="str">
        <f t="shared" si="19"/>
        <v/>
      </c>
      <c r="D185" s="99" t="str">
        <f>IF(UPPER(TRIM(N11))="X",C185,B185)</f>
        <v/>
      </c>
      <c r="E185" s="99" cm="1">
        <f t="array" ref="E185">IF(H184&lt;&gt;"",E184,IF(E184="","",IFERROR(MATCH(TRUE(),INDEX(INDEX(K:K,E184+1):K203&lt;&gt;"",0),0)+E184,"")))</f>
        <v>327</v>
      </c>
      <c r="F185" s="99" cm="1">
        <f t="array" ref="F185">IF(E185="","",IF(H184&lt;&gt;"",H184,INDEX(D:D,E185)))</f>
        <v>0</v>
      </c>
      <c r="G185" s="99" t="str">
        <f t="shared" si="20"/>
        <v>0</v>
      </c>
      <c r="H185" s="109" t="str">
        <f t="shared" si="21"/>
        <v/>
      </c>
      <c r="I185" s="114" t="str">
        <f>IF(AND(F185&lt;&gt;"",N10&gt;0,M185&gt;N10),"Mot &gt; limite","")</f>
        <v/>
      </c>
      <c r="J185" s="110" t="str">
        <f>IF(K185="","",COUNTIF(K18:K185,"&lt;&gt;"))</f>
        <v/>
      </c>
      <c r="K185" s="111"/>
      <c r="L185" s="110" t="str">
        <f t="shared" si="22"/>
        <v/>
      </c>
      <c r="M185" s="80">
        <f>IF(OR(F185="",N10="",N10&lt;=0),"",IF(LEN(F185)&lt;=N10,LEN(F185),IFERROR(FIND("♦",SUBSTITUTE(LEFT(F185,N10)," ","♦",LEN(LEFT(F185,N10))-LEN(SUBSTITUTE(LEFT(F185,N10)," ","")))),FIND(" ",F185&amp;" ",N10+1)-1)))</f>
        <v>1</v>
      </c>
      <c r="N185" s="112">
        <f t="shared" si="23"/>
        <v>168</v>
      </c>
      <c r="O185" s="113" t="str">
        <f t="shared" si="24"/>
        <v>0</v>
      </c>
      <c r="P185" s="112">
        <f t="shared" si="25"/>
        <v>1</v>
      </c>
      <c r="Q185" s="112">
        <f t="shared" si="26"/>
        <v>1</v>
      </c>
    </row>
    <row r="186" spans="2:17" ht="21" customHeight="1">
      <c r="B186" s="99" t="str">
        <f t="shared" si="18"/>
        <v/>
      </c>
      <c r="C186" s="99" t="str">
        <f t="shared" si="19"/>
        <v/>
      </c>
      <c r="D186" s="99" t="str">
        <f>IF(UPPER(TRIM(N11))="X",C186,B186)</f>
        <v/>
      </c>
      <c r="E186" s="99" cm="1">
        <f t="array" ref="E186">IF(H185&lt;&gt;"",E185,IF(E185="","",IFERROR(MATCH(TRUE(),INDEX(INDEX(K:K,E185+1):K203&lt;&gt;"",0),0)+E185,"")))</f>
        <v>328</v>
      </c>
      <c r="F186" s="99" cm="1">
        <f t="array" ref="F186">IF(E186="","",IF(H185&lt;&gt;"",H185,INDEX(D:D,E186)))</f>
        <v>0</v>
      </c>
      <c r="G186" s="99" t="str">
        <f t="shared" si="20"/>
        <v>0</v>
      </c>
      <c r="H186" s="109" t="str">
        <f t="shared" si="21"/>
        <v/>
      </c>
      <c r="I186" s="114" t="str">
        <f>IF(AND(F186&lt;&gt;"",N10&gt;0,M186&gt;N10),"Mot &gt; limite","")</f>
        <v/>
      </c>
      <c r="J186" s="110" t="str">
        <f>IF(K186="","",COUNTIF(K18:K186,"&lt;&gt;"))</f>
        <v/>
      </c>
      <c r="K186" s="111"/>
      <c r="L186" s="110" t="str">
        <f t="shared" si="22"/>
        <v/>
      </c>
      <c r="M186" s="80">
        <f>IF(OR(F186="",N10="",N10&lt;=0),"",IF(LEN(F186)&lt;=N10,LEN(F186),IFERROR(FIND("♦",SUBSTITUTE(LEFT(F186,N10)," ","♦",LEN(LEFT(F186,N10))-LEN(SUBSTITUTE(LEFT(F186,N10)," ","")))),FIND(" ",F186&amp;" ",N10+1)-1)))</f>
        <v>1</v>
      </c>
      <c r="N186" s="112">
        <f t="shared" si="23"/>
        <v>169</v>
      </c>
      <c r="O186" s="113" t="str">
        <f t="shared" si="24"/>
        <v>0</v>
      </c>
      <c r="P186" s="112">
        <f t="shared" si="25"/>
        <v>1</v>
      </c>
      <c r="Q186" s="112">
        <f t="shared" si="26"/>
        <v>1</v>
      </c>
    </row>
    <row r="187" spans="2:17" ht="21" customHeight="1">
      <c r="B187" s="99" t="str">
        <f t="shared" si="18"/>
        <v/>
      </c>
      <c r="C187" s="99" t="str">
        <f t="shared" si="19"/>
        <v/>
      </c>
      <c r="D187" s="99" t="str">
        <f>IF(UPPER(TRIM(N11))="X",C187,B187)</f>
        <v/>
      </c>
      <c r="E187" s="99" cm="1">
        <f t="array" ref="E187">IF(H186&lt;&gt;"",E186,IF(E186="","",IFERROR(MATCH(TRUE(),INDEX(INDEX(K:K,E186+1):K203&lt;&gt;"",0),0)+E186,"")))</f>
        <v>329</v>
      </c>
      <c r="F187" s="99" cm="1">
        <f t="array" ref="F187">IF(E187="","",IF(H186&lt;&gt;"",H186,INDEX(D:D,E187)))</f>
        <v>0</v>
      </c>
      <c r="G187" s="99" t="str">
        <f t="shared" si="20"/>
        <v>0</v>
      </c>
      <c r="H187" s="109" t="str">
        <f t="shared" si="21"/>
        <v/>
      </c>
      <c r="I187" s="114" t="str">
        <f>IF(AND(F187&lt;&gt;"",N10&gt;0,M187&gt;N10),"Mot &gt; limite","")</f>
        <v/>
      </c>
      <c r="J187" s="110" t="str">
        <f>IF(K187="","",COUNTIF(K18:K187,"&lt;&gt;"))</f>
        <v/>
      </c>
      <c r="K187" s="111"/>
      <c r="L187" s="110" t="str">
        <f t="shared" si="22"/>
        <v/>
      </c>
      <c r="M187" s="80">
        <f>IF(OR(F187="",N10="",N10&lt;=0),"",IF(LEN(F187)&lt;=N10,LEN(F187),IFERROR(FIND("♦",SUBSTITUTE(LEFT(F187,N10)," ","♦",LEN(LEFT(F187,N10))-LEN(SUBSTITUTE(LEFT(F187,N10)," ","")))),FIND(" ",F187&amp;" ",N10+1)-1)))</f>
        <v>1</v>
      </c>
      <c r="N187" s="112">
        <f t="shared" si="23"/>
        <v>170</v>
      </c>
      <c r="O187" s="113" t="str">
        <f t="shared" si="24"/>
        <v>0</v>
      </c>
      <c r="P187" s="112">
        <f t="shared" si="25"/>
        <v>1</v>
      </c>
      <c r="Q187" s="112">
        <f t="shared" si="26"/>
        <v>1</v>
      </c>
    </row>
    <row r="188" spans="2:17" ht="21" customHeight="1">
      <c r="B188" s="99" t="str">
        <f t="shared" si="18"/>
        <v/>
      </c>
      <c r="C188" s="99" t="str">
        <f t="shared" si="19"/>
        <v/>
      </c>
      <c r="D188" s="99" t="str">
        <f>IF(UPPER(TRIM(N11))="X",C188,B188)</f>
        <v/>
      </c>
      <c r="E188" s="99" cm="1">
        <f t="array" ref="E188">IF(H187&lt;&gt;"",E187,IF(E187="","",IFERROR(MATCH(TRUE(),INDEX(INDEX(K:K,E187+1):K203&lt;&gt;"",0),0)+E187,"")))</f>
        <v>330</v>
      </c>
      <c r="F188" s="99" cm="1">
        <f t="array" ref="F188">IF(E188="","",IF(H187&lt;&gt;"",H187,INDEX(D:D,E188)))</f>
        <v>0</v>
      </c>
      <c r="G188" s="99" t="str">
        <f t="shared" si="20"/>
        <v>0</v>
      </c>
      <c r="H188" s="109" t="str">
        <f t="shared" si="21"/>
        <v/>
      </c>
      <c r="I188" s="114" t="str">
        <f>IF(AND(F188&lt;&gt;"",N10&gt;0,M188&gt;N10),"Mot &gt; limite","")</f>
        <v/>
      </c>
      <c r="J188" s="110" t="str">
        <f>IF(K188="","",COUNTIF(K18:K188,"&lt;&gt;"))</f>
        <v/>
      </c>
      <c r="K188" s="111"/>
      <c r="L188" s="110" t="str">
        <f t="shared" si="22"/>
        <v/>
      </c>
      <c r="M188" s="80">
        <f>IF(OR(F188="",N10="",N10&lt;=0),"",IF(LEN(F188)&lt;=N10,LEN(F188),IFERROR(FIND("♦",SUBSTITUTE(LEFT(F188,N10)," ","♦",LEN(LEFT(F188,N10))-LEN(SUBSTITUTE(LEFT(F188,N10)," ","")))),FIND(" ",F188&amp;" ",N10+1)-1)))</f>
        <v>1</v>
      </c>
      <c r="N188" s="112">
        <f t="shared" si="23"/>
        <v>171</v>
      </c>
      <c r="O188" s="113" t="str">
        <f t="shared" si="24"/>
        <v>0</v>
      </c>
      <c r="P188" s="112">
        <f t="shared" si="25"/>
        <v>1</v>
      </c>
      <c r="Q188" s="112">
        <f t="shared" si="26"/>
        <v>1</v>
      </c>
    </row>
    <row r="189" spans="2:17" ht="21" customHeight="1">
      <c r="B189" s="99" t="str">
        <f t="shared" si="18"/>
        <v/>
      </c>
      <c r="C189" s="99" t="str">
        <f t="shared" si="19"/>
        <v/>
      </c>
      <c r="D189" s="99" t="str">
        <f>IF(UPPER(TRIM(N11))="X",C189,B189)</f>
        <v/>
      </c>
      <c r="E189" s="99" cm="1">
        <f t="array" ref="E189">IF(H188&lt;&gt;"",E188,IF(E188="","",IFERROR(MATCH(TRUE(),INDEX(INDEX(K:K,E188+1):K203&lt;&gt;"",0),0)+E188,"")))</f>
        <v>331</v>
      </c>
      <c r="F189" s="99" cm="1">
        <f t="array" ref="F189">IF(E189="","",IF(H188&lt;&gt;"",H188,INDEX(D:D,E189)))</f>
        <v>0</v>
      </c>
      <c r="G189" s="99" t="str">
        <f t="shared" si="20"/>
        <v>0</v>
      </c>
      <c r="H189" s="109" t="str">
        <f t="shared" si="21"/>
        <v/>
      </c>
      <c r="I189" s="114" t="str">
        <f>IF(AND(F189&lt;&gt;"",N10&gt;0,M189&gt;N10),"Mot &gt; limite","")</f>
        <v/>
      </c>
      <c r="J189" s="110" t="str">
        <f>IF(K189="","",COUNTIF(K18:K189,"&lt;&gt;"))</f>
        <v/>
      </c>
      <c r="K189" s="111"/>
      <c r="L189" s="110" t="str">
        <f t="shared" si="22"/>
        <v/>
      </c>
      <c r="M189" s="80">
        <f>IF(OR(F189="",N10="",N10&lt;=0),"",IF(LEN(F189)&lt;=N10,LEN(F189),IFERROR(FIND("♦",SUBSTITUTE(LEFT(F189,N10)," ","♦",LEN(LEFT(F189,N10))-LEN(SUBSTITUTE(LEFT(F189,N10)," ","")))),FIND(" ",F189&amp;" ",N10+1)-1)))</f>
        <v>1</v>
      </c>
      <c r="N189" s="112">
        <f t="shared" si="23"/>
        <v>172</v>
      </c>
      <c r="O189" s="113" t="str">
        <f t="shared" si="24"/>
        <v>0</v>
      </c>
      <c r="P189" s="112">
        <f t="shared" si="25"/>
        <v>1</v>
      </c>
      <c r="Q189" s="112">
        <f t="shared" si="26"/>
        <v>1</v>
      </c>
    </row>
    <row r="190" spans="2:17" ht="21" customHeight="1">
      <c r="B190" s="99" t="str">
        <f t="shared" si="18"/>
        <v/>
      </c>
      <c r="C190" s="99" t="str">
        <f t="shared" si="19"/>
        <v/>
      </c>
      <c r="D190" s="99" t="str">
        <f>IF(UPPER(TRIM(N11))="X",C190,B190)</f>
        <v/>
      </c>
      <c r="E190" s="99" cm="1">
        <f t="array" ref="E190">IF(H189&lt;&gt;"",E189,IF(E189="","",IFERROR(MATCH(TRUE(),INDEX(INDEX(K:K,E189+1):K203&lt;&gt;"",0),0)+E189,"")))</f>
        <v>332</v>
      </c>
      <c r="F190" s="99" cm="1">
        <f t="array" ref="F190">IF(E190="","",IF(H189&lt;&gt;"",H189,INDEX(D:D,E190)))</f>
        <v>0</v>
      </c>
      <c r="G190" s="99" t="str">
        <f t="shared" si="20"/>
        <v>0</v>
      </c>
      <c r="H190" s="109" t="str">
        <f t="shared" si="21"/>
        <v/>
      </c>
      <c r="I190" s="114" t="str">
        <f>IF(AND(F190&lt;&gt;"",N10&gt;0,M190&gt;N10),"Mot &gt; limite","")</f>
        <v/>
      </c>
      <c r="J190" s="110" t="str">
        <f>IF(K190="","",COUNTIF(K18:K190,"&lt;&gt;"))</f>
        <v/>
      </c>
      <c r="K190" s="111"/>
      <c r="L190" s="110" t="str">
        <f t="shared" si="22"/>
        <v/>
      </c>
      <c r="M190" s="80">
        <f>IF(OR(F190="",N10="",N10&lt;=0),"",IF(LEN(F190)&lt;=N10,LEN(F190),IFERROR(FIND("♦",SUBSTITUTE(LEFT(F190,N10)," ","♦",LEN(LEFT(F190,N10))-LEN(SUBSTITUTE(LEFT(F190,N10)," ","")))),FIND(" ",F190&amp;" ",N10+1)-1)))</f>
        <v>1</v>
      </c>
      <c r="N190" s="112">
        <f t="shared" si="23"/>
        <v>173</v>
      </c>
      <c r="O190" s="113" t="str">
        <f t="shared" si="24"/>
        <v>0</v>
      </c>
      <c r="P190" s="112">
        <f t="shared" si="25"/>
        <v>1</v>
      </c>
      <c r="Q190" s="112">
        <f t="shared" si="26"/>
        <v>1</v>
      </c>
    </row>
    <row r="191" spans="2:17" ht="21" customHeight="1">
      <c r="B191" s="99" t="str">
        <f t="shared" si="18"/>
        <v/>
      </c>
      <c r="C191" s="99" t="str">
        <f t="shared" si="19"/>
        <v/>
      </c>
      <c r="D191" s="99" t="str">
        <f>IF(UPPER(TRIM(N11))="X",C191,B191)</f>
        <v/>
      </c>
      <c r="E191" s="99" cm="1">
        <f t="array" ref="E191">IF(H190&lt;&gt;"",E190,IF(E190="","",IFERROR(MATCH(TRUE(),INDEX(INDEX(K:K,E190+1):K203&lt;&gt;"",0),0)+E190,"")))</f>
        <v>333</v>
      </c>
      <c r="F191" s="99" cm="1">
        <f t="array" ref="F191">IF(E191="","",IF(H190&lt;&gt;"",H190,INDEX(D:D,E191)))</f>
        <v>0</v>
      </c>
      <c r="G191" s="99" t="str">
        <f t="shared" si="20"/>
        <v>0</v>
      </c>
      <c r="H191" s="109" t="str">
        <f t="shared" si="21"/>
        <v/>
      </c>
      <c r="I191" s="114" t="str">
        <f>IF(AND(F191&lt;&gt;"",N10&gt;0,M191&gt;N10),"Mot &gt; limite","")</f>
        <v/>
      </c>
      <c r="J191" s="110" t="str">
        <f>IF(K191="","",COUNTIF(K18:K191,"&lt;&gt;"))</f>
        <v/>
      </c>
      <c r="K191" s="111"/>
      <c r="L191" s="110" t="str">
        <f t="shared" si="22"/>
        <v/>
      </c>
      <c r="M191" s="80">
        <f>IF(OR(F191="",N10="",N10&lt;=0),"",IF(LEN(F191)&lt;=N10,LEN(F191),IFERROR(FIND("♦",SUBSTITUTE(LEFT(F191,N10)," ","♦",LEN(LEFT(F191,N10))-LEN(SUBSTITUTE(LEFT(F191,N10)," ","")))),FIND(" ",F191&amp;" ",N10+1)-1)))</f>
        <v>1</v>
      </c>
      <c r="N191" s="112">
        <f t="shared" si="23"/>
        <v>174</v>
      </c>
      <c r="O191" s="113" t="str">
        <f t="shared" si="24"/>
        <v>0</v>
      </c>
      <c r="P191" s="112">
        <f t="shared" si="25"/>
        <v>1</v>
      </c>
      <c r="Q191" s="112">
        <f t="shared" si="26"/>
        <v>1</v>
      </c>
    </row>
    <row r="192" spans="2:17" ht="21" customHeight="1">
      <c r="B192" s="99" t="str">
        <f t="shared" si="18"/>
        <v/>
      </c>
      <c r="C192" s="99" t="str">
        <f t="shared" si="19"/>
        <v/>
      </c>
      <c r="D192" s="99" t="str">
        <f>IF(UPPER(TRIM(N11))="X",C192,B192)</f>
        <v/>
      </c>
      <c r="E192" s="99" cm="1">
        <f t="array" ref="E192">IF(H191&lt;&gt;"",E191,IF(E191="","",IFERROR(MATCH(TRUE(),INDEX(INDEX(K:K,E191+1):K203&lt;&gt;"",0),0)+E191,"")))</f>
        <v>334</v>
      </c>
      <c r="F192" s="99" cm="1">
        <f t="array" ref="F192">IF(E192="","",IF(H191&lt;&gt;"",H191,INDEX(D:D,E192)))</f>
        <v>0</v>
      </c>
      <c r="G192" s="99" t="str">
        <f t="shared" si="20"/>
        <v>0</v>
      </c>
      <c r="H192" s="109" t="str">
        <f t="shared" si="21"/>
        <v/>
      </c>
      <c r="I192" s="114" t="str">
        <f>IF(AND(F192&lt;&gt;"",N10&gt;0,M192&gt;N10),"Mot &gt; limite","")</f>
        <v/>
      </c>
      <c r="J192" s="110" t="str">
        <f>IF(K192="","",COUNTIF(K18:K192,"&lt;&gt;"))</f>
        <v/>
      </c>
      <c r="K192" s="111"/>
      <c r="L192" s="110" t="str">
        <f t="shared" si="22"/>
        <v/>
      </c>
      <c r="M192" s="80">
        <f>IF(OR(F192="",N10="",N10&lt;=0),"",IF(LEN(F192)&lt;=N10,LEN(F192),IFERROR(FIND("♦",SUBSTITUTE(LEFT(F192,N10)," ","♦",LEN(LEFT(F192,N10))-LEN(SUBSTITUTE(LEFT(F192,N10)," ","")))),FIND(" ",F192&amp;" ",N10+1)-1)))</f>
        <v>1</v>
      </c>
      <c r="N192" s="112">
        <f t="shared" si="23"/>
        <v>175</v>
      </c>
      <c r="O192" s="113" t="str">
        <f t="shared" si="24"/>
        <v>0</v>
      </c>
      <c r="P192" s="112">
        <f t="shared" si="25"/>
        <v>1</v>
      </c>
      <c r="Q192" s="112">
        <f t="shared" si="26"/>
        <v>1</v>
      </c>
    </row>
    <row r="193" spans="2:17" ht="21" customHeight="1">
      <c r="B193" s="99" t="str">
        <f t="shared" si="18"/>
        <v/>
      </c>
      <c r="C193" s="99" t="str">
        <f t="shared" si="19"/>
        <v/>
      </c>
      <c r="D193" s="99" t="str">
        <f>IF(UPPER(TRIM(N11))="X",C193,B193)</f>
        <v/>
      </c>
      <c r="E193" s="99" cm="1">
        <f t="array" ref="E193">IF(H192&lt;&gt;"",E192,IF(E192="","",IFERROR(MATCH(TRUE(),INDEX(INDEX(K:K,E192+1):K203&lt;&gt;"",0),0)+E192,"")))</f>
        <v>335</v>
      </c>
      <c r="F193" s="99" cm="1">
        <f t="array" ref="F193">IF(E193="","",IF(H192&lt;&gt;"",H192,INDEX(D:D,E193)))</f>
        <v>0</v>
      </c>
      <c r="G193" s="99" t="str">
        <f t="shared" si="20"/>
        <v>0</v>
      </c>
      <c r="H193" s="109" t="str">
        <f t="shared" si="21"/>
        <v/>
      </c>
      <c r="I193" s="114" t="str">
        <f>IF(AND(F193&lt;&gt;"",N10&gt;0,M193&gt;N10),"Mot &gt; limite","")</f>
        <v/>
      </c>
      <c r="J193" s="110" t="str">
        <f>IF(K193="","",COUNTIF(K18:K193,"&lt;&gt;"))</f>
        <v/>
      </c>
      <c r="K193" s="111"/>
      <c r="L193" s="110" t="str">
        <f t="shared" si="22"/>
        <v/>
      </c>
      <c r="M193" s="80">
        <f>IF(OR(F193="",N10="",N10&lt;=0),"",IF(LEN(F193)&lt;=N10,LEN(F193),IFERROR(FIND("♦",SUBSTITUTE(LEFT(F193,N10)," ","♦",LEN(LEFT(F193,N10))-LEN(SUBSTITUTE(LEFT(F193,N10)," ","")))),FIND(" ",F193&amp;" ",N10+1)-1)))</f>
        <v>1</v>
      </c>
      <c r="N193" s="112">
        <f t="shared" si="23"/>
        <v>176</v>
      </c>
      <c r="O193" s="113" t="str">
        <f t="shared" si="24"/>
        <v>0</v>
      </c>
      <c r="P193" s="112">
        <f t="shared" si="25"/>
        <v>1</v>
      </c>
      <c r="Q193" s="112">
        <f t="shared" si="26"/>
        <v>1</v>
      </c>
    </row>
    <row r="194" spans="2:17" ht="21" customHeight="1">
      <c r="B194" s="99" t="str">
        <f t="shared" si="18"/>
        <v/>
      </c>
      <c r="C194" s="99" t="str">
        <f t="shared" si="19"/>
        <v/>
      </c>
      <c r="D194" s="99" t="str">
        <f>IF(UPPER(TRIM(N11))="X",C194,B194)</f>
        <v/>
      </c>
      <c r="E194" s="99" cm="1">
        <f t="array" ref="E194">IF(H193&lt;&gt;"",E193,IF(E193="","",IFERROR(MATCH(TRUE(),INDEX(INDEX(K:K,E193+1):K203&lt;&gt;"",0),0)+E193,"")))</f>
        <v>336</v>
      </c>
      <c r="F194" s="99" cm="1">
        <f t="array" ref="F194">IF(E194="","",IF(H193&lt;&gt;"",H193,INDEX(D:D,E194)))</f>
        <v>0</v>
      </c>
      <c r="G194" s="99" t="str">
        <f t="shared" si="20"/>
        <v>0</v>
      </c>
      <c r="H194" s="109" t="str">
        <f t="shared" si="21"/>
        <v/>
      </c>
      <c r="I194" s="114" t="str">
        <f>IF(AND(F194&lt;&gt;"",N10&gt;0,M194&gt;N10),"Mot &gt; limite","")</f>
        <v/>
      </c>
      <c r="J194" s="110" t="str">
        <f>IF(K194="","",COUNTIF(K18:K194,"&lt;&gt;"))</f>
        <v/>
      </c>
      <c r="K194" s="111"/>
      <c r="L194" s="110" t="str">
        <f t="shared" si="22"/>
        <v/>
      </c>
      <c r="M194" s="80">
        <f>IF(OR(F194="",N10="",N10&lt;=0),"",IF(LEN(F194)&lt;=N10,LEN(F194),IFERROR(FIND("♦",SUBSTITUTE(LEFT(F194,N10)," ","♦",LEN(LEFT(F194,N10))-LEN(SUBSTITUTE(LEFT(F194,N10)," ","")))),FIND(" ",F194&amp;" ",N10+1)-1)))</f>
        <v>1</v>
      </c>
      <c r="N194" s="112">
        <f t="shared" si="23"/>
        <v>177</v>
      </c>
      <c r="O194" s="113" t="str">
        <f t="shared" si="24"/>
        <v>0</v>
      </c>
      <c r="P194" s="112">
        <f t="shared" si="25"/>
        <v>1</v>
      </c>
      <c r="Q194" s="112">
        <f t="shared" si="26"/>
        <v>1</v>
      </c>
    </row>
    <row r="195" spans="2:17" ht="21" customHeight="1">
      <c r="B195" s="99" t="str">
        <f t="shared" si="18"/>
        <v/>
      </c>
      <c r="C195" s="99" t="str">
        <f t="shared" si="19"/>
        <v/>
      </c>
      <c r="D195" s="99" t="str">
        <f>IF(UPPER(TRIM(N11))="X",C195,B195)</f>
        <v/>
      </c>
      <c r="E195" s="99" cm="1">
        <f t="array" ref="E195">IF(H194&lt;&gt;"",E194,IF(E194="","",IFERROR(MATCH(TRUE(),INDEX(INDEX(K:K,E194+1):K203&lt;&gt;"",0),0)+E194,"")))</f>
        <v>337</v>
      </c>
      <c r="F195" s="99" cm="1">
        <f t="array" ref="F195">IF(E195="","",IF(H194&lt;&gt;"",H194,INDEX(D:D,E195)))</f>
        <v>0</v>
      </c>
      <c r="G195" s="99" t="str">
        <f t="shared" si="20"/>
        <v>0</v>
      </c>
      <c r="H195" s="109" t="str">
        <f t="shared" si="21"/>
        <v/>
      </c>
      <c r="I195" s="114" t="str">
        <f>IF(AND(F195&lt;&gt;"",N10&gt;0,M195&gt;N10),"Mot &gt; limite","")</f>
        <v/>
      </c>
      <c r="J195" s="110" t="str">
        <f>IF(K195="","",COUNTIF(K18:K195,"&lt;&gt;"))</f>
        <v/>
      </c>
      <c r="K195" s="111"/>
      <c r="L195" s="110" t="str">
        <f t="shared" si="22"/>
        <v/>
      </c>
      <c r="M195" s="80">
        <f>IF(OR(F195="",N10="",N10&lt;=0),"",IF(LEN(F195)&lt;=N10,LEN(F195),IFERROR(FIND("♦",SUBSTITUTE(LEFT(F195,N10)," ","♦",LEN(LEFT(F195,N10))-LEN(SUBSTITUTE(LEFT(F195,N10)," ","")))),FIND(" ",F195&amp;" ",N10+1)-1)))</f>
        <v>1</v>
      </c>
      <c r="N195" s="112">
        <f t="shared" si="23"/>
        <v>178</v>
      </c>
      <c r="O195" s="113" t="str">
        <f t="shared" si="24"/>
        <v>0</v>
      </c>
      <c r="P195" s="112">
        <f t="shared" si="25"/>
        <v>1</v>
      </c>
      <c r="Q195" s="112">
        <f t="shared" si="26"/>
        <v>1</v>
      </c>
    </row>
    <row r="196" spans="2:17" ht="21" customHeight="1">
      <c r="B196" s="99" t="str">
        <f t="shared" si="18"/>
        <v/>
      </c>
      <c r="C196" s="99" t="str">
        <f t="shared" si="19"/>
        <v/>
      </c>
      <c r="D196" s="99" t="str">
        <f>IF(UPPER(TRIM(N11))="X",C196,B196)</f>
        <v/>
      </c>
      <c r="E196" s="99" cm="1">
        <f t="array" ref="E196">IF(H195&lt;&gt;"",E195,IF(E195="","",IFERROR(MATCH(TRUE(),INDEX(INDEX(K:K,E195+1):K203&lt;&gt;"",0),0)+E195,"")))</f>
        <v>338</v>
      </c>
      <c r="F196" s="99" cm="1">
        <f t="array" ref="F196">IF(E196="","",IF(H195&lt;&gt;"",H195,INDEX(D:D,E196)))</f>
        <v>0</v>
      </c>
      <c r="G196" s="99" t="str">
        <f t="shared" si="20"/>
        <v>0</v>
      </c>
      <c r="H196" s="109" t="str">
        <f t="shared" si="21"/>
        <v/>
      </c>
      <c r="I196" s="114" t="str">
        <f>IF(AND(F196&lt;&gt;"",N10&gt;0,M196&gt;N10),"Mot &gt; limite","")</f>
        <v/>
      </c>
      <c r="J196" s="110" t="str">
        <f>IF(K196="","",COUNTIF(K18:K196,"&lt;&gt;"))</f>
        <v/>
      </c>
      <c r="K196" s="111"/>
      <c r="L196" s="110" t="str">
        <f t="shared" si="22"/>
        <v/>
      </c>
      <c r="M196" s="80">
        <f>IF(OR(F196="",N10="",N10&lt;=0),"",IF(LEN(F196)&lt;=N10,LEN(F196),IFERROR(FIND("♦",SUBSTITUTE(LEFT(F196,N10)," ","♦",LEN(LEFT(F196,N10))-LEN(SUBSTITUTE(LEFT(F196,N10)," ","")))),FIND(" ",F196&amp;" ",N10+1)-1)))</f>
        <v>1</v>
      </c>
      <c r="N196" s="112">
        <f t="shared" si="23"/>
        <v>179</v>
      </c>
      <c r="O196" s="113" t="str">
        <f t="shared" si="24"/>
        <v>0</v>
      </c>
      <c r="P196" s="112">
        <f t="shared" si="25"/>
        <v>1</v>
      </c>
      <c r="Q196" s="112">
        <f t="shared" si="26"/>
        <v>1</v>
      </c>
    </row>
    <row r="197" spans="2:17" ht="21" customHeight="1">
      <c r="B197" s="99" t="str">
        <f t="shared" si="18"/>
        <v/>
      </c>
      <c r="C197" s="99" t="str">
        <f t="shared" si="19"/>
        <v/>
      </c>
      <c r="D197" s="99" t="str">
        <f>IF(UPPER(TRIM(N11))="X",C197,B197)</f>
        <v/>
      </c>
      <c r="E197" s="99" cm="1">
        <f t="array" ref="E197">IF(H196&lt;&gt;"",E196,IF(E196="","",IFERROR(MATCH(TRUE(),INDEX(INDEX(K:K,E196+1):K203&lt;&gt;"",0),0)+E196,"")))</f>
        <v>339</v>
      </c>
      <c r="F197" s="99" cm="1">
        <f t="array" ref="F197">IF(E197="","",IF(H196&lt;&gt;"",H196,INDEX(D:D,E197)))</f>
        <v>0</v>
      </c>
      <c r="G197" s="99" t="str">
        <f t="shared" si="20"/>
        <v>0</v>
      </c>
      <c r="H197" s="109" t="str">
        <f t="shared" si="21"/>
        <v/>
      </c>
      <c r="I197" s="114" t="str">
        <f>IF(AND(F197&lt;&gt;"",N10&gt;0,M197&gt;N10),"Mot &gt; limite","")</f>
        <v/>
      </c>
      <c r="J197" s="110" t="str">
        <f>IF(K197="","",COUNTIF(K18:K197,"&lt;&gt;"))</f>
        <v/>
      </c>
      <c r="K197" s="111"/>
      <c r="L197" s="110" t="str">
        <f t="shared" si="22"/>
        <v/>
      </c>
      <c r="M197" s="80">
        <f>IF(OR(F197="",N10="",N10&lt;=0),"",IF(LEN(F197)&lt;=N10,LEN(F197),IFERROR(FIND("♦",SUBSTITUTE(LEFT(F197,N10)," ","♦",LEN(LEFT(F197,N10))-LEN(SUBSTITUTE(LEFT(F197,N10)," ","")))),FIND(" ",F197&amp;" ",N10+1)-1)))</f>
        <v>1</v>
      </c>
      <c r="N197" s="112">
        <f t="shared" si="23"/>
        <v>180</v>
      </c>
      <c r="O197" s="113" t="str">
        <f t="shared" si="24"/>
        <v>0</v>
      </c>
      <c r="P197" s="112">
        <f t="shared" si="25"/>
        <v>1</v>
      </c>
      <c r="Q197" s="112">
        <f t="shared" si="26"/>
        <v>1</v>
      </c>
    </row>
    <row r="198" spans="2:17" ht="21" customHeight="1">
      <c r="B198" s="99" t="str">
        <f t="shared" si="18"/>
        <v/>
      </c>
      <c r="C198" s="99" t="str">
        <f t="shared" si="19"/>
        <v/>
      </c>
      <c r="D198" s="99" t="str">
        <f>IF(UPPER(TRIM(N11))="X",C198,B198)</f>
        <v/>
      </c>
      <c r="E198" s="99" cm="1">
        <f t="array" ref="E198">IF(H197&lt;&gt;"",E197,IF(E197="","",IFERROR(MATCH(TRUE(),INDEX(INDEX(K:K,E197+1):K203&lt;&gt;"",0),0)+E197,"")))</f>
        <v>340</v>
      </c>
      <c r="F198" s="99" cm="1">
        <f t="array" ref="F198">IF(E198="","",IF(H197&lt;&gt;"",H197,INDEX(D:D,E198)))</f>
        <v>0</v>
      </c>
      <c r="G198" s="99" t="str">
        <f t="shared" si="20"/>
        <v>0</v>
      </c>
      <c r="H198" s="109" t="str">
        <f t="shared" si="21"/>
        <v/>
      </c>
      <c r="I198" s="114" t="str">
        <f>IF(AND(F198&lt;&gt;"",N10&gt;0,M198&gt;N10),"Mot &gt; limite","")</f>
        <v/>
      </c>
      <c r="J198" s="110" t="str">
        <f>IF(K198="","",COUNTIF(K18:K198,"&lt;&gt;"))</f>
        <v/>
      </c>
      <c r="K198" s="111"/>
      <c r="L198" s="110" t="str">
        <f t="shared" si="22"/>
        <v/>
      </c>
      <c r="M198" s="80">
        <f>IF(OR(F198="",N10="",N10&lt;=0),"",IF(LEN(F198)&lt;=N10,LEN(F198),IFERROR(FIND("♦",SUBSTITUTE(LEFT(F198,N10)," ","♦",LEN(LEFT(F198,N10))-LEN(SUBSTITUTE(LEFT(F198,N10)," ","")))),FIND(" ",F198&amp;" ",N10+1)-1)))</f>
        <v>1</v>
      </c>
      <c r="N198" s="112">
        <f t="shared" si="23"/>
        <v>181</v>
      </c>
      <c r="O198" s="113" t="str">
        <f t="shared" si="24"/>
        <v>0</v>
      </c>
      <c r="P198" s="112">
        <f t="shared" si="25"/>
        <v>1</v>
      </c>
      <c r="Q198" s="112">
        <f t="shared" si="26"/>
        <v>1</v>
      </c>
    </row>
    <row r="199" spans="2:17" ht="21" customHeight="1">
      <c r="B199" s="99" t="str">
        <f t="shared" si="18"/>
        <v/>
      </c>
      <c r="C199" s="99" t="str">
        <f t="shared" si="19"/>
        <v/>
      </c>
      <c r="D199" s="99" t="str">
        <f>IF(UPPER(TRIM(N11))="X",C199,B199)</f>
        <v/>
      </c>
      <c r="E199" s="99" cm="1">
        <f t="array" ref="E199">IF(H198&lt;&gt;"",E198,IF(E198="","",IFERROR(MATCH(TRUE(),INDEX(INDEX(K:K,E198+1):K203&lt;&gt;"",0),0)+E198,"")))</f>
        <v>341</v>
      </c>
      <c r="F199" s="99" cm="1">
        <f t="array" ref="F199">IF(E199="","",IF(H198&lt;&gt;"",H198,INDEX(D:D,E199)))</f>
        <v>0</v>
      </c>
      <c r="G199" s="99" t="str">
        <f t="shared" si="20"/>
        <v>0</v>
      </c>
      <c r="H199" s="109" t="str">
        <f t="shared" si="21"/>
        <v/>
      </c>
      <c r="I199" s="114" t="str">
        <f>IF(AND(F199&lt;&gt;"",N10&gt;0,M199&gt;N10),"Mot &gt; limite","")</f>
        <v/>
      </c>
      <c r="J199" s="110" t="str">
        <f>IF(K199="","",COUNTIF(K18:K199,"&lt;&gt;"))</f>
        <v/>
      </c>
      <c r="K199" s="111"/>
      <c r="L199" s="110" t="str">
        <f t="shared" si="22"/>
        <v/>
      </c>
      <c r="M199" s="80">
        <f>IF(OR(F199="",N10="",N10&lt;=0),"",IF(LEN(F199)&lt;=N10,LEN(F199),IFERROR(FIND("♦",SUBSTITUTE(LEFT(F199,N10)," ","♦",LEN(LEFT(F199,N10))-LEN(SUBSTITUTE(LEFT(F199,N10)," ","")))),FIND(" ",F199&amp;" ",N10+1)-1)))</f>
        <v>1</v>
      </c>
      <c r="N199" s="112">
        <f t="shared" si="23"/>
        <v>182</v>
      </c>
      <c r="O199" s="113" t="str">
        <f t="shared" si="24"/>
        <v>0</v>
      </c>
      <c r="P199" s="112">
        <f t="shared" si="25"/>
        <v>1</v>
      </c>
      <c r="Q199" s="112">
        <f t="shared" si="26"/>
        <v>1</v>
      </c>
    </row>
    <row r="200" spans="2:17" ht="21" customHeight="1">
      <c r="B200" s="99" t="str">
        <f t="shared" si="18"/>
        <v/>
      </c>
      <c r="C200" s="99" t="str">
        <f t="shared" si="19"/>
        <v/>
      </c>
      <c r="D200" s="99" t="str">
        <f>IF(UPPER(TRIM(N11))="X",C200,B200)</f>
        <v/>
      </c>
      <c r="E200" s="99" cm="1">
        <f t="array" ref="E200">IF(H199&lt;&gt;"",E199,IF(E199="","",IFERROR(MATCH(TRUE(),INDEX(INDEX(K:K,E199+1):K203&lt;&gt;"",0),0)+E199,"")))</f>
        <v>342</v>
      </c>
      <c r="F200" s="99" cm="1">
        <f t="array" ref="F200">IF(E200="","",IF(H199&lt;&gt;"",H199,INDEX(D:D,E200)))</f>
        <v>0</v>
      </c>
      <c r="G200" s="99" t="str">
        <f t="shared" si="20"/>
        <v>0</v>
      </c>
      <c r="H200" s="109" t="str">
        <f t="shared" si="21"/>
        <v/>
      </c>
      <c r="I200" s="114" t="str">
        <f>IF(AND(F200&lt;&gt;"",N10&gt;0,M200&gt;N10),"Mot &gt; limite","")</f>
        <v/>
      </c>
      <c r="J200" s="110" t="str">
        <f>IF(K200="","",COUNTIF(K18:K200,"&lt;&gt;"))</f>
        <v/>
      </c>
      <c r="K200" s="111"/>
      <c r="L200" s="110" t="str">
        <f t="shared" si="22"/>
        <v/>
      </c>
      <c r="M200" s="80">
        <f>IF(OR(F200="",N10="",N10&lt;=0),"",IF(LEN(F200)&lt;=N10,LEN(F200),IFERROR(FIND("♦",SUBSTITUTE(LEFT(F200,N10)," ","♦",LEN(LEFT(F200,N10))-LEN(SUBSTITUTE(LEFT(F200,N10)," ","")))),FIND(" ",F200&amp;" ",N10+1)-1)))</f>
        <v>1</v>
      </c>
      <c r="N200" s="112">
        <f t="shared" si="23"/>
        <v>183</v>
      </c>
      <c r="O200" s="113" t="str">
        <f t="shared" si="24"/>
        <v>0</v>
      </c>
      <c r="P200" s="112">
        <f t="shared" si="25"/>
        <v>1</v>
      </c>
      <c r="Q200" s="112">
        <f t="shared" si="26"/>
        <v>1</v>
      </c>
    </row>
    <row r="201" spans="2:17" ht="21" customHeight="1">
      <c r="B201" s="99" t="str">
        <f t="shared" si="18"/>
        <v/>
      </c>
      <c r="C201" s="99" t="str">
        <f t="shared" si="19"/>
        <v/>
      </c>
      <c r="D201" s="99" t="str">
        <f>IF(UPPER(TRIM(N11))="X",C201,B201)</f>
        <v/>
      </c>
      <c r="E201" s="99" cm="1">
        <f t="array" ref="E201">IF(H200&lt;&gt;"",E200,IF(E200="","",IFERROR(MATCH(TRUE(),INDEX(INDEX(K:K,E200+1):K203&lt;&gt;"",0),0)+E200,"")))</f>
        <v>343</v>
      </c>
      <c r="F201" s="99" cm="1">
        <f t="array" ref="F201">IF(E201="","",IF(H200&lt;&gt;"",H200,INDEX(D:D,E201)))</f>
        <v>0</v>
      </c>
      <c r="G201" s="99" t="str">
        <f t="shared" si="20"/>
        <v>0</v>
      </c>
      <c r="H201" s="109" t="str">
        <f t="shared" si="21"/>
        <v/>
      </c>
      <c r="I201" s="114" t="str">
        <f>IF(AND(F201&lt;&gt;"",N10&gt;0,M201&gt;N10),"Mot &gt; limite","")</f>
        <v/>
      </c>
      <c r="J201" s="110" t="str">
        <f>IF(K201="","",COUNTIF(K18:K201,"&lt;&gt;"))</f>
        <v/>
      </c>
      <c r="K201" s="111"/>
      <c r="L201" s="110" t="str">
        <f t="shared" si="22"/>
        <v/>
      </c>
      <c r="M201" s="80">
        <f>IF(OR(F201="",N10="",N10&lt;=0),"",IF(LEN(F201)&lt;=N10,LEN(F201),IFERROR(FIND("♦",SUBSTITUTE(LEFT(F201,N10)," ","♦",LEN(LEFT(F201,N10))-LEN(SUBSTITUTE(LEFT(F201,N10)," ","")))),FIND(" ",F201&amp;" ",N10+1)-1)))</f>
        <v>1</v>
      </c>
      <c r="N201" s="112">
        <f t="shared" si="23"/>
        <v>184</v>
      </c>
      <c r="O201" s="113" t="str">
        <f t="shared" si="24"/>
        <v>0</v>
      </c>
      <c r="P201" s="112">
        <f t="shared" si="25"/>
        <v>1</v>
      </c>
      <c r="Q201" s="112">
        <f t="shared" si="26"/>
        <v>1</v>
      </c>
    </row>
    <row r="202" spans="2:17" ht="21" customHeight="1">
      <c r="B202" s="99" t="str">
        <f t="shared" si="18"/>
        <v/>
      </c>
      <c r="C202" s="99" t="str">
        <f t="shared" si="19"/>
        <v/>
      </c>
      <c r="D202" s="99" t="str">
        <f>IF(UPPER(TRIM(N11))="X",C202,B202)</f>
        <v/>
      </c>
      <c r="E202" s="99" cm="1">
        <f t="array" ref="E202">IF(H201&lt;&gt;"",E201,IF(E201="","",IFERROR(MATCH(TRUE(),INDEX(INDEX(K:K,E201+1):K203&lt;&gt;"",0),0)+E201,"")))</f>
        <v>344</v>
      </c>
      <c r="F202" s="99" cm="1">
        <f t="array" ref="F202">IF(E202="","",IF(H201&lt;&gt;"",H201,INDEX(D:D,E202)))</f>
        <v>0</v>
      </c>
      <c r="G202" s="99" t="str">
        <f t="shared" si="20"/>
        <v>0</v>
      </c>
      <c r="H202" s="109" t="str">
        <f t="shared" si="21"/>
        <v/>
      </c>
      <c r="I202" s="114" t="str">
        <f>IF(AND(F202&lt;&gt;"",N10&gt;0,M202&gt;N10),"Mot &gt; limite","")</f>
        <v/>
      </c>
      <c r="J202" s="110" t="str">
        <f>IF(K202="","",COUNTIF(K18:K202,"&lt;&gt;"))</f>
        <v/>
      </c>
      <c r="K202" s="111"/>
      <c r="L202" s="110" t="str">
        <f t="shared" si="22"/>
        <v/>
      </c>
      <c r="M202" s="80">
        <f>IF(OR(F202="",N10="",N10&lt;=0),"",IF(LEN(F202)&lt;=N10,LEN(F202),IFERROR(FIND("♦",SUBSTITUTE(LEFT(F202,N10)," ","♦",LEN(LEFT(F202,N10))-LEN(SUBSTITUTE(LEFT(F202,N10)," ","")))),FIND(" ",F202&amp;" ",N10+1)-1)))</f>
        <v>1</v>
      </c>
      <c r="N202" s="112">
        <f t="shared" si="23"/>
        <v>185</v>
      </c>
      <c r="O202" s="113" t="str">
        <f t="shared" si="24"/>
        <v>0</v>
      </c>
      <c r="P202" s="112">
        <f t="shared" si="25"/>
        <v>1</v>
      </c>
      <c r="Q202" s="112">
        <f t="shared" si="26"/>
        <v>1</v>
      </c>
    </row>
    <row r="203" spans="2:17" ht="21" customHeight="1">
      <c r="B203" s="99" t="str">
        <f t="shared" si="18"/>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C203" s="99" t="str">
        <f t="shared" si="19"/>
        <v>Si vous récupérez du texte sur internet collez le d’abord dans la colonne 1️⃣ pour le “nettoyer” cela supprime les espaces insécables tabulations invisibles et autres “pollutions” ◄ 2️⃣ Saisissez la largeur du document dans lequel vous collerez ensuite le texte ◄ 3️⃣ saisissez un nombre de caractères par lignes ◄ 4️⃣ Si vous ne voulez pas de ponctuation saisissez un X dans la cellule Ensuite dans la colonne B copiez le texte nettoyé puis dans votre document faites Collage spécial &gt; 1 2 3 Valeurs pour ne coller que le texte sans formules</v>
      </c>
      <c r="D203" s="99" t="str">
        <f>IF(UPPER(TRIM(N11))="X",C203,B203)</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E203" s="99" cm="1">
        <f t="array" ref="E203">IF(H202&lt;&gt;"",E202,IF(E202="","",IFERROR(MATCH(TRUE(),INDEX(INDEX(K:K,E202+1):K203&lt;&gt;"",0),0)+E202,"")))</f>
        <v>345</v>
      </c>
      <c r="F203" s="99" cm="1">
        <f t="array" ref="F203">IF(E203="","",IF(H202&lt;&gt;"",H202,INDEX(D:D,E203)))</f>
        <v>0</v>
      </c>
      <c r="G203" s="99" t="str">
        <f t="shared" si="20"/>
        <v>0</v>
      </c>
      <c r="H203" s="109" t="str">
        <f t="shared" si="21"/>
        <v/>
      </c>
      <c r="I203" s="114" t="str">
        <f>IF(AND(F203&lt;&gt;"",N10&gt;0,M203&gt;N10),"Mot &gt; limite","")</f>
        <v/>
      </c>
      <c r="J203" s="110">
        <f>IF(K203="","",COUNTIF(K18:K203,"&lt;&gt;"))</f>
        <v>28</v>
      </c>
      <c r="K203" s="111" t="s">
        <v>53</v>
      </c>
      <c r="L203" s="110">
        <f t="shared" si="22"/>
        <v>558</v>
      </c>
      <c r="M203" s="80">
        <f>IF(OR(F203="",N10="",N10&lt;=0),"",IF(LEN(F203)&lt;=N10,LEN(F203),IFERROR(FIND("♦",SUBSTITUTE(LEFT(F203,N10)," ","♦",LEN(LEFT(F203,N10))-LEN(SUBSTITUTE(LEFT(F203,N10)," ","")))),FIND(" ",F203&amp;" ",N10+1)-1)))</f>
        <v>1</v>
      </c>
      <c r="N203" s="112">
        <f t="shared" si="23"/>
        <v>186</v>
      </c>
      <c r="O203" s="113" t="str">
        <f t="shared" si="24"/>
        <v>0</v>
      </c>
      <c r="P203" s="112">
        <f t="shared" si="25"/>
        <v>1</v>
      </c>
      <c r="Q203" s="112">
        <f t="shared" si="26"/>
        <v>1</v>
      </c>
    </row>
    <row r="204" spans="2:17">
      <c r="B204" s="116"/>
      <c r="C204" s="116"/>
      <c r="D204" s="116"/>
      <c r="E204" s="116" cm="1">
        <f t="array" ref="E204">IF(H203&lt;&gt;"",E203,IF(E203="","",IFERROR(MATCH(TRUE(),INDEX(INDEX(K:K,E203+1):K203&lt;&gt;"",0),0)+E203,"")))</f>
        <v>346</v>
      </c>
      <c r="F204" s="117" cm="1">
        <f t="array" ref="F204">IF(E204="","",IF(H203&lt;&gt;"",H203,INDEX(D:D,E204)))</f>
        <v>0</v>
      </c>
      <c r="G204" s="117" t="str">
        <f t="shared" si="20"/>
        <v>0</v>
      </c>
      <c r="H204" s="118" t="str">
        <f t="shared" si="21"/>
        <v/>
      </c>
      <c r="I204" s="116" t="str">
        <f>IF(AND(F204&lt;&gt;"",N10&gt;0,M204&gt;N10),"Mot &gt; limite","")</f>
        <v/>
      </c>
      <c r="M204" s="70">
        <f>IF(OR(F204="",N10="",N10&lt;=0),"",IF(LEN(F204)&lt;=N10,LEN(F204),IFERROR(FIND("♦",SUBSTITUTE(LEFT(F204,N10)," ","♦",LEN(LEFT(F204,N10))-LEN(SUBSTITUTE(LEFT(F204,N10)," ","")))),FIND(" ",F204&amp;" ",N10+1)-1)))</f>
        <v>1</v>
      </c>
      <c r="N204" s="119">
        <f t="shared" si="23"/>
        <v>187</v>
      </c>
      <c r="O204" s="99" t="str">
        <f t="shared" si="24"/>
        <v>0</v>
      </c>
      <c r="P204" s="119">
        <f t="shared" si="25"/>
        <v>1</v>
      </c>
      <c r="Q204" s="119">
        <f t="shared" si="26"/>
        <v>1</v>
      </c>
    </row>
    <row r="205" spans="2:17">
      <c r="B205" s="116"/>
      <c r="C205" s="116"/>
      <c r="D205" s="116"/>
      <c r="E205" s="116" cm="1">
        <f t="array" ref="E205">IF(H204&lt;&gt;"",E204,IF(E204="","",IFERROR(MATCH(TRUE(),INDEX(INDEX(K:K,E204+1):K203&lt;&gt;"",0),0)+E204,"")))</f>
        <v>347</v>
      </c>
      <c r="F205" s="117" cm="1">
        <f t="array" ref="F205">IF(E205="","",IF(H204&lt;&gt;"",H204,INDEX(D:D,E205)))</f>
        <v>0</v>
      </c>
      <c r="G205" s="117" t="str">
        <f t="shared" si="20"/>
        <v>0</v>
      </c>
      <c r="H205" s="118" t="str">
        <f t="shared" si="21"/>
        <v/>
      </c>
      <c r="I205" s="116" t="str">
        <f>IF(AND(F205&lt;&gt;"",N10&gt;0,M205&gt;N10),"Mot &gt; limite","")</f>
        <v/>
      </c>
      <c r="M205" s="70">
        <f>IF(OR(F205="",N10="",N10&lt;=0),"",IF(LEN(F205)&lt;=N10,LEN(F205),IFERROR(FIND("♦",SUBSTITUTE(LEFT(F205,N10)," ","♦",LEN(LEFT(F205,N10))-LEN(SUBSTITUTE(LEFT(F205,N10)," ","")))),FIND(" ",F205&amp;" ",N10+1)-1)))</f>
        <v>1</v>
      </c>
      <c r="N205" s="119">
        <f t="shared" si="23"/>
        <v>188</v>
      </c>
      <c r="O205" s="99" t="str">
        <f t="shared" si="24"/>
        <v>0</v>
      </c>
      <c r="P205" s="119">
        <f t="shared" si="25"/>
        <v>1</v>
      </c>
      <c r="Q205" s="119">
        <f t="shared" si="26"/>
        <v>1</v>
      </c>
    </row>
    <row r="206" spans="2:17">
      <c r="B206" s="116"/>
      <c r="C206" s="116"/>
      <c r="D206" s="116"/>
      <c r="E206" s="116" cm="1">
        <f t="array" ref="E206">IF(H205&lt;&gt;"",E205,IF(E205="","",IFERROR(MATCH(TRUE(),INDEX(INDEX(K:K,E205+1):K203&lt;&gt;"",0),0)+E205,"")))</f>
        <v>348</v>
      </c>
      <c r="F206" s="117" cm="1">
        <f t="array" ref="F206">IF(E206="","",IF(H205&lt;&gt;"",H205,INDEX(D:D,E206)))</f>
        <v>0</v>
      </c>
      <c r="G206" s="117" t="str">
        <f t="shared" si="20"/>
        <v>0</v>
      </c>
      <c r="H206" s="118" t="str">
        <f t="shared" si="21"/>
        <v/>
      </c>
      <c r="I206" s="116" t="str">
        <f>IF(AND(F206&lt;&gt;"",N10&gt;0,M206&gt;N10),"Mot &gt; limite","")</f>
        <v/>
      </c>
      <c r="M206" s="70">
        <f>IF(OR(F206="",N10="",N10&lt;=0),"",IF(LEN(F206)&lt;=N10,LEN(F206),IFERROR(FIND("♦",SUBSTITUTE(LEFT(F206,N10)," ","♦",LEN(LEFT(F206,N10))-LEN(SUBSTITUTE(LEFT(F206,N10)," ","")))),FIND(" ",F206&amp;" ",N10+1)-1)))</f>
        <v>1</v>
      </c>
      <c r="N206" s="119">
        <f t="shared" si="23"/>
        <v>189</v>
      </c>
      <c r="O206" s="99" t="str">
        <f t="shared" si="24"/>
        <v>0</v>
      </c>
      <c r="P206" s="119">
        <f t="shared" si="25"/>
        <v>1</v>
      </c>
      <c r="Q206" s="119">
        <f t="shared" si="26"/>
        <v>1</v>
      </c>
    </row>
    <row r="207" spans="2:17">
      <c r="B207" s="116"/>
      <c r="C207" s="116"/>
      <c r="D207" s="116"/>
      <c r="E207" s="116" cm="1">
        <f t="array" ref="E207">IF(H206&lt;&gt;"",E206,IF(E206="","",IFERROR(MATCH(TRUE(),INDEX(INDEX(K:K,E206+1):K203&lt;&gt;"",0),0)+E206,"")))</f>
        <v>349</v>
      </c>
      <c r="F207" s="117" cm="1">
        <f t="array" ref="F207">IF(E207="","",IF(H206&lt;&gt;"",H206,INDEX(D:D,E207)))</f>
        <v>0</v>
      </c>
      <c r="G207" s="117" t="str">
        <f t="shared" si="20"/>
        <v>0</v>
      </c>
      <c r="H207" s="118" t="str">
        <f t="shared" si="21"/>
        <v/>
      </c>
      <c r="I207" s="116" t="str">
        <f>IF(AND(F207&lt;&gt;"",N10&gt;0,M207&gt;N10),"Mot &gt; limite","")</f>
        <v/>
      </c>
      <c r="M207" s="70">
        <f>IF(OR(F207="",N10="",N10&lt;=0),"",IF(LEN(F207)&lt;=N10,LEN(F207),IFERROR(FIND("♦",SUBSTITUTE(LEFT(F207,N10)," ","♦",LEN(LEFT(F207,N10))-LEN(SUBSTITUTE(LEFT(F207,N10)," ","")))),FIND(" ",F207&amp;" ",N10+1)-1)))</f>
        <v>1</v>
      </c>
      <c r="N207" s="119">
        <f t="shared" si="23"/>
        <v>190</v>
      </c>
      <c r="O207" s="99" t="str">
        <f t="shared" si="24"/>
        <v>0</v>
      </c>
      <c r="P207" s="119">
        <f t="shared" si="25"/>
        <v>1</v>
      </c>
      <c r="Q207" s="119">
        <f t="shared" si="26"/>
        <v>1</v>
      </c>
    </row>
    <row r="208" spans="2:17">
      <c r="B208" s="116"/>
      <c r="C208" s="116"/>
      <c r="D208" s="116"/>
      <c r="E208" s="116" cm="1">
        <f t="array" ref="E208">IF(H207&lt;&gt;"",E207,IF(E207="","",IFERROR(MATCH(TRUE(),INDEX(INDEX(K:K,E207+1):K203&lt;&gt;"",0),0)+E207,"")))</f>
        <v>350</v>
      </c>
      <c r="F208" s="117" cm="1">
        <f t="array" ref="F208">IF(E208="","",IF(H207&lt;&gt;"",H207,INDEX(D:D,E208)))</f>
        <v>0</v>
      </c>
      <c r="G208" s="117" t="str">
        <f t="shared" si="20"/>
        <v>0</v>
      </c>
      <c r="H208" s="118" t="str">
        <f t="shared" si="21"/>
        <v/>
      </c>
      <c r="I208" s="116" t="str">
        <f>IF(AND(F208&lt;&gt;"",N10&gt;0,M208&gt;N10),"Mot &gt; limite","")</f>
        <v/>
      </c>
      <c r="M208" s="70">
        <f>IF(OR(F208="",N10="",N10&lt;=0),"",IF(LEN(F208)&lt;=N10,LEN(F208),IFERROR(FIND("♦",SUBSTITUTE(LEFT(F208,N10)," ","♦",LEN(LEFT(F208,N10))-LEN(SUBSTITUTE(LEFT(F208,N10)," ","")))),FIND(" ",F208&amp;" ",N10+1)-1)))</f>
        <v>1</v>
      </c>
      <c r="N208" s="119">
        <f t="shared" si="23"/>
        <v>191</v>
      </c>
      <c r="O208" s="99" t="str">
        <f t="shared" si="24"/>
        <v>0</v>
      </c>
      <c r="P208" s="119">
        <f t="shared" si="25"/>
        <v>1</v>
      </c>
      <c r="Q208" s="119">
        <f t="shared" si="26"/>
        <v>1</v>
      </c>
    </row>
    <row r="209" spans="2:17">
      <c r="B209" s="116"/>
      <c r="C209" s="116"/>
      <c r="D209" s="116"/>
      <c r="E209" s="116" cm="1">
        <f t="array" ref="E209">IF(H208&lt;&gt;"",E208,IF(E208="","",IFERROR(MATCH(TRUE(),INDEX(INDEX(K:K,E208+1):K203&lt;&gt;"",0),0)+E208,"")))</f>
        <v>351</v>
      </c>
      <c r="F209" s="117" cm="1">
        <f t="array" ref="F209">IF(E209="","",IF(H208&lt;&gt;"",H208,INDEX(D:D,E209)))</f>
        <v>0</v>
      </c>
      <c r="G209" s="117" t="str">
        <f t="shared" si="20"/>
        <v>0</v>
      </c>
      <c r="H209" s="118" t="str">
        <f t="shared" si="21"/>
        <v/>
      </c>
      <c r="I209" s="116" t="str">
        <f>IF(AND(F209&lt;&gt;"",N10&gt;0,M209&gt;N10),"Mot &gt; limite","")</f>
        <v/>
      </c>
      <c r="M209" s="70">
        <f>IF(OR(F209="",N10="",N10&lt;=0),"",IF(LEN(F209)&lt;=N10,LEN(F209),IFERROR(FIND("♦",SUBSTITUTE(LEFT(F209,N10)," ","♦",LEN(LEFT(F209,N10))-LEN(SUBSTITUTE(LEFT(F209,N10)," ","")))),FIND(" ",F209&amp;" ",N10+1)-1)))</f>
        <v>1</v>
      </c>
      <c r="N209" s="119">
        <f t="shared" si="23"/>
        <v>192</v>
      </c>
      <c r="O209" s="99" t="str">
        <f t="shared" si="24"/>
        <v>0</v>
      </c>
      <c r="P209" s="119">
        <f t="shared" si="25"/>
        <v>1</v>
      </c>
      <c r="Q209" s="119">
        <f t="shared" si="26"/>
        <v>1</v>
      </c>
    </row>
    <row r="210" spans="2:17">
      <c r="B210" s="116"/>
      <c r="C210" s="116"/>
      <c r="D210" s="116"/>
      <c r="E210" s="116" cm="1">
        <f t="array" ref="E210">IF(H209&lt;&gt;"",E209,IF(E209="","",IFERROR(MATCH(TRUE(),INDEX(INDEX(K:K,E209+1):K203&lt;&gt;"",0),0)+E209,"")))</f>
        <v>352</v>
      </c>
      <c r="F210" s="117" cm="1">
        <f t="array" ref="F210">IF(E210="","",IF(H209&lt;&gt;"",H209,INDEX(D:D,E210)))</f>
        <v>0</v>
      </c>
      <c r="G210" s="117" t="str">
        <f t="shared" ref="G210:G273" si="27">IF(OR(F210="",M210=""),"",LEFT(F210,M210))</f>
        <v>0</v>
      </c>
      <c r="H210" s="118" t="str">
        <f t="shared" ref="H210:H273" si="28">IF(OR(F210="",M210=""),"",TRIM(MID(F210,M210+1,99999)))</f>
        <v/>
      </c>
      <c r="I210" s="116" t="str">
        <f>IF(AND(F210&lt;&gt;"",N10&gt;0,M210&gt;N10),"Mot &gt; limite","")</f>
        <v/>
      </c>
      <c r="M210" s="70">
        <f>IF(OR(F210="",N10="",N10&lt;=0),"",IF(LEN(F210)&lt;=N10,LEN(F210),IFERROR(FIND("♦",SUBSTITUTE(LEFT(F210,N10)," ","♦",LEN(LEFT(F210,N10))-LEN(SUBSTITUTE(LEFT(F210,N10)," ","")))),FIND(" ",F210&amp;" ",N10+1)-1)))</f>
        <v>1</v>
      </c>
      <c r="N210" s="119">
        <f t="shared" ref="N210:N273" si="29">IF(O210="","",ROW()-17)</f>
        <v>193</v>
      </c>
      <c r="O210" s="99" t="str">
        <f t="shared" ref="O210:O273" si="30">G210</f>
        <v>0</v>
      </c>
      <c r="P210" s="119">
        <f t="shared" ref="P210:P273" si="31">IF(O210="","",LEN(TRIM(O210))-LEN(SUBSTITUTE(TRIM(O210)," ",""))+1)</f>
        <v>1</v>
      </c>
      <c r="Q210" s="119">
        <f t="shared" ref="Q210:Q273" si="32">IF(O210="","",LEN(O210))</f>
        <v>1</v>
      </c>
    </row>
    <row r="211" spans="2:17">
      <c r="B211" s="116"/>
      <c r="C211" s="116"/>
      <c r="D211" s="116"/>
      <c r="E211" s="116" cm="1">
        <f t="array" ref="E211">IF(H210&lt;&gt;"",E210,IF(E210="","",IFERROR(MATCH(TRUE(),INDEX(INDEX(K:K,E210+1):K203&lt;&gt;"",0),0)+E210,"")))</f>
        <v>353</v>
      </c>
      <c r="F211" s="117" cm="1">
        <f t="array" ref="F211">IF(E211="","",IF(H210&lt;&gt;"",H210,INDEX(D:D,E211)))</f>
        <v>0</v>
      </c>
      <c r="G211" s="117" t="str">
        <f t="shared" si="27"/>
        <v>0</v>
      </c>
      <c r="H211" s="118" t="str">
        <f t="shared" si="28"/>
        <v/>
      </c>
      <c r="I211" s="116" t="str">
        <f>IF(AND(F211&lt;&gt;"",N10&gt;0,M211&gt;N10),"Mot &gt; limite","")</f>
        <v/>
      </c>
      <c r="M211" s="70">
        <f>IF(OR(F211="",N10="",N10&lt;=0),"",IF(LEN(F211)&lt;=N10,LEN(F211),IFERROR(FIND("♦",SUBSTITUTE(LEFT(F211,N10)," ","♦",LEN(LEFT(F211,N10))-LEN(SUBSTITUTE(LEFT(F211,N10)," ","")))),FIND(" ",F211&amp;" ",N10+1)-1)))</f>
        <v>1</v>
      </c>
      <c r="N211" s="119">
        <f t="shared" si="29"/>
        <v>194</v>
      </c>
      <c r="O211" s="99" t="str">
        <f t="shared" si="30"/>
        <v>0</v>
      </c>
      <c r="P211" s="119">
        <f t="shared" si="31"/>
        <v>1</v>
      </c>
      <c r="Q211" s="119">
        <f t="shared" si="32"/>
        <v>1</v>
      </c>
    </row>
    <row r="212" spans="2:17">
      <c r="B212" s="116"/>
      <c r="C212" s="116"/>
      <c r="D212" s="116"/>
      <c r="E212" s="116" cm="1">
        <f t="array" ref="E212">IF(H211&lt;&gt;"",E211,IF(E211="","",IFERROR(MATCH(TRUE(),INDEX(INDEX(K:K,E211+1):K203&lt;&gt;"",0),0)+E211,"")))</f>
        <v>354</v>
      </c>
      <c r="F212" s="117" cm="1">
        <f t="array" ref="F212">IF(E212="","",IF(H211&lt;&gt;"",H211,INDEX(D:D,E212)))</f>
        <v>0</v>
      </c>
      <c r="G212" s="117" t="str">
        <f t="shared" si="27"/>
        <v>0</v>
      </c>
      <c r="H212" s="118" t="str">
        <f t="shared" si="28"/>
        <v/>
      </c>
      <c r="I212" s="116" t="str">
        <f>IF(AND(F212&lt;&gt;"",N10&gt;0,M212&gt;N10),"Mot &gt; limite","")</f>
        <v/>
      </c>
      <c r="M212" s="70">
        <f>IF(OR(F212="",N10="",N10&lt;=0),"",IF(LEN(F212)&lt;=N10,LEN(F212),IFERROR(FIND("♦",SUBSTITUTE(LEFT(F212,N10)," ","♦",LEN(LEFT(F212,N10))-LEN(SUBSTITUTE(LEFT(F212,N10)," ","")))),FIND(" ",F212&amp;" ",N10+1)-1)))</f>
        <v>1</v>
      </c>
      <c r="N212" s="119">
        <f t="shared" si="29"/>
        <v>195</v>
      </c>
      <c r="O212" s="99" t="str">
        <f t="shared" si="30"/>
        <v>0</v>
      </c>
      <c r="P212" s="119">
        <f t="shared" si="31"/>
        <v>1</v>
      </c>
      <c r="Q212" s="119">
        <f t="shared" si="32"/>
        <v>1</v>
      </c>
    </row>
    <row r="213" spans="2:17">
      <c r="B213" s="116"/>
      <c r="C213" s="116"/>
      <c r="D213" s="116"/>
      <c r="E213" s="116" cm="1">
        <f t="array" ref="E213">IF(H212&lt;&gt;"",E212,IF(E212="","",IFERROR(MATCH(TRUE(),INDEX(INDEX(K:K,E212+1):K203&lt;&gt;"",0),0)+E212,"")))</f>
        <v>355</v>
      </c>
      <c r="F213" s="117" cm="1">
        <f t="array" ref="F213">IF(E213="","",IF(H212&lt;&gt;"",H212,INDEX(D:D,E213)))</f>
        <v>0</v>
      </c>
      <c r="G213" s="117" t="str">
        <f t="shared" si="27"/>
        <v>0</v>
      </c>
      <c r="H213" s="118" t="str">
        <f t="shared" si="28"/>
        <v/>
      </c>
      <c r="I213" s="116" t="str">
        <f>IF(AND(F213&lt;&gt;"",N10&gt;0,M213&gt;N10),"Mot &gt; limite","")</f>
        <v/>
      </c>
      <c r="M213" s="70">
        <f>IF(OR(F213="",N10="",N10&lt;=0),"",IF(LEN(F213)&lt;=N10,LEN(F213),IFERROR(FIND("♦",SUBSTITUTE(LEFT(F213,N10)," ","♦",LEN(LEFT(F213,N10))-LEN(SUBSTITUTE(LEFT(F213,N10)," ","")))),FIND(" ",F213&amp;" ",N10+1)-1)))</f>
        <v>1</v>
      </c>
      <c r="N213" s="119">
        <f t="shared" si="29"/>
        <v>196</v>
      </c>
      <c r="O213" s="99" t="str">
        <f t="shared" si="30"/>
        <v>0</v>
      </c>
      <c r="P213" s="119">
        <f t="shared" si="31"/>
        <v>1</v>
      </c>
      <c r="Q213" s="119">
        <f t="shared" si="32"/>
        <v>1</v>
      </c>
    </row>
    <row r="214" spans="2:17">
      <c r="B214" s="116"/>
      <c r="C214" s="116"/>
      <c r="D214" s="116"/>
      <c r="E214" s="116" cm="1">
        <f t="array" ref="E214">IF(H213&lt;&gt;"",E213,IF(E213="","",IFERROR(MATCH(TRUE(),INDEX(INDEX(K:K,E213+1):K203&lt;&gt;"",0),0)+E213,"")))</f>
        <v>356</v>
      </c>
      <c r="F214" s="117" cm="1">
        <f t="array" ref="F214">IF(E214="","",IF(H213&lt;&gt;"",H213,INDEX(D:D,E214)))</f>
        <v>0</v>
      </c>
      <c r="G214" s="117" t="str">
        <f t="shared" si="27"/>
        <v>0</v>
      </c>
      <c r="H214" s="118" t="str">
        <f t="shared" si="28"/>
        <v/>
      </c>
      <c r="I214" s="116" t="str">
        <f>IF(AND(F214&lt;&gt;"",N10&gt;0,M214&gt;N10),"Mot &gt; limite","")</f>
        <v/>
      </c>
      <c r="M214" s="70">
        <f>IF(OR(F214="",N10="",N10&lt;=0),"",IF(LEN(F214)&lt;=N10,LEN(F214),IFERROR(FIND("♦",SUBSTITUTE(LEFT(F214,N10)," ","♦",LEN(LEFT(F214,N10))-LEN(SUBSTITUTE(LEFT(F214,N10)," ","")))),FIND(" ",F214&amp;" ",N10+1)-1)))</f>
        <v>1</v>
      </c>
      <c r="N214" s="119">
        <f t="shared" si="29"/>
        <v>197</v>
      </c>
      <c r="O214" s="99" t="str">
        <f t="shared" si="30"/>
        <v>0</v>
      </c>
      <c r="P214" s="119">
        <f t="shared" si="31"/>
        <v>1</v>
      </c>
      <c r="Q214" s="119">
        <f t="shared" si="32"/>
        <v>1</v>
      </c>
    </row>
    <row r="215" spans="2:17">
      <c r="B215" s="116"/>
      <c r="C215" s="116"/>
      <c r="D215" s="116"/>
      <c r="E215" s="116" cm="1">
        <f t="array" ref="E215">IF(H214&lt;&gt;"",E214,IF(E214="","",IFERROR(MATCH(TRUE(),INDEX(INDEX(K:K,E214+1):K203&lt;&gt;"",0),0)+E214,"")))</f>
        <v>357</v>
      </c>
      <c r="F215" s="117" cm="1">
        <f t="array" ref="F215">IF(E215="","",IF(H214&lt;&gt;"",H214,INDEX(D:D,E215)))</f>
        <v>0</v>
      </c>
      <c r="G215" s="117" t="str">
        <f t="shared" si="27"/>
        <v>0</v>
      </c>
      <c r="H215" s="118" t="str">
        <f t="shared" si="28"/>
        <v/>
      </c>
      <c r="I215" s="116" t="str">
        <f>IF(AND(F215&lt;&gt;"",N10&gt;0,M215&gt;N10),"Mot &gt; limite","")</f>
        <v/>
      </c>
      <c r="M215" s="70">
        <f>IF(OR(F215="",N10="",N10&lt;=0),"",IF(LEN(F215)&lt;=N10,LEN(F215),IFERROR(FIND("♦",SUBSTITUTE(LEFT(F215,N10)," ","♦",LEN(LEFT(F215,N10))-LEN(SUBSTITUTE(LEFT(F215,N10)," ","")))),FIND(" ",F215&amp;" ",N10+1)-1)))</f>
        <v>1</v>
      </c>
      <c r="N215" s="119">
        <f t="shared" si="29"/>
        <v>198</v>
      </c>
      <c r="O215" s="99" t="str">
        <f t="shared" si="30"/>
        <v>0</v>
      </c>
      <c r="P215" s="119">
        <f t="shared" si="31"/>
        <v>1</v>
      </c>
      <c r="Q215" s="119">
        <f t="shared" si="32"/>
        <v>1</v>
      </c>
    </row>
    <row r="216" spans="2:17">
      <c r="B216" s="116"/>
      <c r="C216" s="116"/>
      <c r="D216" s="116"/>
      <c r="E216" s="116" cm="1">
        <f t="array" ref="E216">IF(H215&lt;&gt;"",E215,IF(E215="","",IFERROR(MATCH(TRUE(),INDEX(INDEX(K:K,E215+1):K203&lt;&gt;"",0),0)+E215,"")))</f>
        <v>358</v>
      </c>
      <c r="F216" s="117" cm="1">
        <f t="array" ref="F216">IF(E216="","",IF(H215&lt;&gt;"",H215,INDEX(D:D,E216)))</f>
        <v>0</v>
      </c>
      <c r="G216" s="117" t="str">
        <f t="shared" si="27"/>
        <v>0</v>
      </c>
      <c r="H216" s="118" t="str">
        <f t="shared" si="28"/>
        <v/>
      </c>
      <c r="I216" s="116" t="str">
        <f>IF(AND(F216&lt;&gt;"",N10&gt;0,M216&gt;N10),"Mot &gt; limite","")</f>
        <v/>
      </c>
      <c r="M216" s="70">
        <f>IF(OR(F216="",N10="",N10&lt;=0),"",IF(LEN(F216)&lt;=N10,LEN(F216),IFERROR(FIND("♦",SUBSTITUTE(LEFT(F216,N10)," ","♦",LEN(LEFT(F216,N10))-LEN(SUBSTITUTE(LEFT(F216,N10)," ","")))),FIND(" ",F216&amp;" ",N10+1)-1)))</f>
        <v>1</v>
      </c>
      <c r="N216" s="119">
        <f t="shared" si="29"/>
        <v>199</v>
      </c>
      <c r="O216" s="99" t="str">
        <f t="shared" si="30"/>
        <v>0</v>
      </c>
      <c r="P216" s="119">
        <f t="shared" si="31"/>
        <v>1</v>
      </c>
      <c r="Q216" s="119">
        <f t="shared" si="32"/>
        <v>1</v>
      </c>
    </row>
    <row r="217" spans="2:17">
      <c r="B217" s="116"/>
      <c r="C217" s="116"/>
      <c r="D217" s="116"/>
      <c r="E217" s="116" cm="1">
        <f t="array" ref="E217">IF(H216&lt;&gt;"",E216,IF(E216="","",IFERROR(MATCH(TRUE(),INDEX(INDEX(K:K,E216+1):K203&lt;&gt;"",0),0)+E216,"")))</f>
        <v>359</v>
      </c>
      <c r="F217" s="117" cm="1">
        <f t="array" ref="F217">IF(E217="","",IF(H216&lt;&gt;"",H216,INDEX(D:D,E217)))</f>
        <v>0</v>
      </c>
      <c r="G217" s="117" t="str">
        <f t="shared" si="27"/>
        <v>0</v>
      </c>
      <c r="H217" s="118" t="str">
        <f t="shared" si="28"/>
        <v/>
      </c>
      <c r="I217" s="116" t="str">
        <f>IF(AND(F217&lt;&gt;"",N10&gt;0,M217&gt;N10),"Mot &gt; limite","")</f>
        <v/>
      </c>
      <c r="M217" s="70">
        <f>IF(OR(F217="",N10="",N10&lt;=0),"",IF(LEN(F217)&lt;=N10,LEN(F217),IFERROR(FIND("♦",SUBSTITUTE(LEFT(F217,N10)," ","♦",LEN(LEFT(F217,N10))-LEN(SUBSTITUTE(LEFT(F217,N10)," ","")))),FIND(" ",F217&amp;" ",N10+1)-1)))</f>
        <v>1</v>
      </c>
      <c r="N217" s="119">
        <f t="shared" si="29"/>
        <v>200</v>
      </c>
      <c r="O217" s="99" t="str">
        <f t="shared" si="30"/>
        <v>0</v>
      </c>
      <c r="P217" s="119">
        <f t="shared" si="31"/>
        <v>1</v>
      </c>
      <c r="Q217" s="119">
        <f t="shared" si="32"/>
        <v>1</v>
      </c>
    </row>
    <row r="218" spans="2:17">
      <c r="B218" s="116"/>
      <c r="C218" s="116"/>
      <c r="D218" s="116"/>
      <c r="E218" s="116" cm="1">
        <f t="array" ref="E218">IF(H217&lt;&gt;"",E217,IF(E217="","",IFERROR(MATCH(TRUE(),INDEX(INDEX(K:K,E217+1):K203&lt;&gt;"",0),0)+E217,"")))</f>
        <v>360</v>
      </c>
      <c r="F218" s="117" cm="1">
        <f t="array" ref="F218">IF(E218="","",IF(H217&lt;&gt;"",H217,INDEX(D:D,E218)))</f>
        <v>0</v>
      </c>
      <c r="G218" s="117" t="str">
        <f t="shared" si="27"/>
        <v>0</v>
      </c>
      <c r="H218" s="118" t="str">
        <f t="shared" si="28"/>
        <v/>
      </c>
      <c r="I218" s="116" t="str">
        <f>IF(AND(F218&lt;&gt;"",N10&gt;0,M218&gt;N10),"Mot &gt; limite","")</f>
        <v/>
      </c>
      <c r="M218" s="70">
        <f>IF(OR(F218="",N10="",N10&lt;=0),"",IF(LEN(F218)&lt;=N10,LEN(F218),IFERROR(FIND("♦",SUBSTITUTE(LEFT(F218,N10)," ","♦",LEN(LEFT(F218,N10))-LEN(SUBSTITUTE(LEFT(F218,N10)," ","")))),FIND(" ",F218&amp;" ",N10+1)-1)))</f>
        <v>1</v>
      </c>
      <c r="N218" s="119">
        <f t="shared" si="29"/>
        <v>201</v>
      </c>
      <c r="O218" s="99" t="str">
        <f t="shared" si="30"/>
        <v>0</v>
      </c>
      <c r="P218" s="119">
        <f t="shared" si="31"/>
        <v>1</v>
      </c>
      <c r="Q218" s="119">
        <f t="shared" si="32"/>
        <v>1</v>
      </c>
    </row>
    <row r="219" spans="2:17">
      <c r="B219" s="116"/>
      <c r="C219" s="116"/>
      <c r="D219" s="116"/>
      <c r="E219" s="116" cm="1">
        <f t="array" ref="E219">IF(H218&lt;&gt;"",E218,IF(E218="","",IFERROR(MATCH(TRUE(),INDEX(INDEX(K:K,E218+1):K203&lt;&gt;"",0),0)+E218,"")))</f>
        <v>361</v>
      </c>
      <c r="F219" s="117" cm="1">
        <f t="array" ref="F219">IF(E219="","",IF(H218&lt;&gt;"",H218,INDEX(D:D,E219)))</f>
        <v>0</v>
      </c>
      <c r="G219" s="117" t="str">
        <f t="shared" si="27"/>
        <v>0</v>
      </c>
      <c r="H219" s="118" t="str">
        <f t="shared" si="28"/>
        <v/>
      </c>
      <c r="I219" s="116" t="str">
        <f>IF(AND(F219&lt;&gt;"",N10&gt;0,M219&gt;N10),"Mot &gt; limite","")</f>
        <v/>
      </c>
      <c r="M219" s="70">
        <f>IF(OR(F219="",N10="",N10&lt;=0),"",IF(LEN(F219)&lt;=N10,LEN(F219),IFERROR(FIND("♦",SUBSTITUTE(LEFT(F219,N10)," ","♦",LEN(LEFT(F219,N10))-LEN(SUBSTITUTE(LEFT(F219,N10)," ","")))),FIND(" ",F219&amp;" ",N10+1)-1)))</f>
        <v>1</v>
      </c>
      <c r="N219" s="119">
        <f t="shared" si="29"/>
        <v>202</v>
      </c>
      <c r="O219" s="99" t="str">
        <f t="shared" si="30"/>
        <v>0</v>
      </c>
      <c r="P219" s="119">
        <f t="shared" si="31"/>
        <v>1</v>
      </c>
      <c r="Q219" s="119">
        <f t="shared" si="32"/>
        <v>1</v>
      </c>
    </row>
    <row r="220" spans="2:17">
      <c r="B220" s="116"/>
      <c r="C220" s="116"/>
      <c r="D220" s="116"/>
      <c r="E220" s="116" cm="1">
        <f t="array" ref="E220">IF(H219&lt;&gt;"",E219,IF(E219="","",IFERROR(MATCH(TRUE(),INDEX(INDEX(K:K,E219+1):K203&lt;&gt;"",0),0)+E219,"")))</f>
        <v>362</v>
      </c>
      <c r="F220" s="117" cm="1">
        <f t="array" ref="F220">IF(E220="","",IF(H219&lt;&gt;"",H219,INDEX(D:D,E220)))</f>
        <v>0</v>
      </c>
      <c r="G220" s="117" t="str">
        <f t="shared" si="27"/>
        <v>0</v>
      </c>
      <c r="H220" s="118" t="str">
        <f t="shared" si="28"/>
        <v/>
      </c>
      <c r="I220" s="116" t="str">
        <f>IF(AND(F220&lt;&gt;"",N10&gt;0,M220&gt;N10),"Mot &gt; limite","")</f>
        <v/>
      </c>
      <c r="M220" s="70">
        <f>IF(OR(F220="",N10="",N10&lt;=0),"",IF(LEN(F220)&lt;=N10,LEN(F220),IFERROR(FIND("♦",SUBSTITUTE(LEFT(F220,N10)," ","♦",LEN(LEFT(F220,N10))-LEN(SUBSTITUTE(LEFT(F220,N10)," ","")))),FIND(" ",F220&amp;" ",N10+1)-1)))</f>
        <v>1</v>
      </c>
      <c r="N220" s="119">
        <f t="shared" si="29"/>
        <v>203</v>
      </c>
      <c r="O220" s="99" t="str">
        <f t="shared" si="30"/>
        <v>0</v>
      </c>
      <c r="P220" s="119">
        <f t="shared" si="31"/>
        <v>1</v>
      </c>
      <c r="Q220" s="119">
        <f t="shared" si="32"/>
        <v>1</v>
      </c>
    </row>
    <row r="221" spans="2:17">
      <c r="B221" s="116"/>
      <c r="C221" s="116"/>
      <c r="D221" s="116"/>
      <c r="E221" s="116" cm="1">
        <f t="array" ref="E221">IF(H220&lt;&gt;"",E220,IF(E220="","",IFERROR(MATCH(TRUE(),INDEX(INDEX(K:K,E220+1):K203&lt;&gt;"",0),0)+E220,"")))</f>
        <v>363</v>
      </c>
      <c r="F221" s="117" cm="1">
        <f t="array" ref="F221">IF(E221="","",IF(H220&lt;&gt;"",H220,INDEX(D:D,E221)))</f>
        <v>0</v>
      </c>
      <c r="G221" s="117" t="str">
        <f t="shared" si="27"/>
        <v>0</v>
      </c>
      <c r="H221" s="118" t="str">
        <f t="shared" si="28"/>
        <v/>
      </c>
      <c r="I221" s="116" t="str">
        <f>IF(AND(F221&lt;&gt;"",N10&gt;0,M221&gt;N10),"Mot &gt; limite","")</f>
        <v/>
      </c>
      <c r="M221" s="70">
        <f>IF(OR(F221="",N10="",N10&lt;=0),"",IF(LEN(F221)&lt;=N10,LEN(F221),IFERROR(FIND("♦",SUBSTITUTE(LEFT(F221,N10)," ","♦",LEN(LEFT(F221,N10))-LEN(SUBSTITUTE(LEFT(F221,N10)," ","")))),FIND(" ",F221&amp;" ",N10+1)-1)))</f>
        <v>1</v>
      </c>
      <c r="N221" s="119">
        <f t="shared" si="29"/>
        <v>204</v>
      </c>
      <c r="O221" s="99" t="str">
        <f t="shared" si="30"/>
        <v>0</v>
      </c>
      <c r="P221" s="119">
        <f t="shared" si="31"/>
        <v>1</v>
      </c>
      <c r="Q221" s="119">
        <f t="shared" si="32"/>
        <v>1</v>
      </c>
    </row>
    <row r="222" spans="2:17">
      <c r="B222" s="116"/>
      <c r="C222" s="116"/>
      <c r="D222" s="116"/>
      <c r="E222" s="116" cm="1">
        <f t="array" ref="E222">IF(H221&lt;&gt;"",E221,IF(E221="","",IFERROR(MATCH(TRUE(),INDEX(INDEX(K:K,E221+1):K203&lt;&gt;"",0),0)+E221,"")))</f>
        <v>364</v>
      </c>
      <c r="F222" s="117" cm="1">
        <f t="array" ref="F222">IF(E222="","",IF(H221&lt;&gt;"",H221,INDEX(D:D,E222)))</f>
        <v>0</v>
      </c>
      <c r="G222" s="117" t="str">
        <f t="shared" si="27"/>
        <v>0</v>
      </c>
      <c r="H222" s="118" t="str">
        <f t="shared" si="28"/>
        <v/>
      </c>
      <c r="I222" s="116" t="str">
        <f>IF(AND(F222&lt;&gt;"",N10&gt;0,M222&gt;N10),"Mot &gt; limite","")</f>
        <v/>
      </c>
      <c r="M222" s="70">
        <f>IF(OR(F222="",N10="",N10&lt;=0),"",IF(LEN(F222)&lt;=N10,LEN(F222),IFERROR(FIND("♦",SUBSTITUTE(LEFT(F222,N10)," ","♦",LEN(LEFT(F222,N10))-LEN(SUBSTITUTE(LEFT(F222,N10)," ","")))),FIND(" ",F222&amp;" ",N10+1)-1)))</f>
        <v>1</v>
      </c>
      <c r="N222" s="119">
        <f t="shared" si="29"/>
        <v>205</v>
      </c>
      <c r="O222" s="99" t="str">
        <f t="shared" si="30"/>
        <v>0</v>
      </c>
      <c r="P222" s="119">
        <f t="shared" si="31"/>
        <v>1</v>
      </c>
      <c r="Q222" s="119">
        <f t="shared" si="32"/>
        <v>1</v>
      </c>
    </row>
    <row r="223" spans="2:17">
      <c r="B223" s="116"/>
      <c r="C223" s="116"/>
      <c r="D223" s="116"/>
      <c r="E223" s="116" cm="1">
        <f t="array" ref="E223">IF(H222&lt;&gt;"",E222,IF(E222="","",IFERROR(MATCH(TRUE(),INDEX(INDEX(K:K,E222+1):K203&lt;&gt;"",0),0)+E222,"")))</f>
        <v>365</v>
      </c>
      <c r="F223" s="117" cm="1">
        <f t="array" ref="F223">IF(E223="","",IF(H222&lt;&gt;"",H222,INDEX(D:D,E223)))</f>
        <v>0</v>
      </c>
      <c r="G223" s="117" t="str">
        <f t="shared" si="27"/>
        <v>0</v>
      </c>
      <c r="H223" s="118" t="str">
        <f t="shared" si="28"/>
        <v/>
      </c>
      <c r="I223" s="116" t="str">
        <f>IF(AND(F223&lt;&gt;"",N10&gt;0,M223&gt;N10),"Mot &gt; limite","")</f>
        <v/>
      </c>
      <c r="M223" s="70">
        <f>IF(OR(F223="",N10="",N10&lt;=0),"",IF(LEN(F223)&lt;=N10,LEN(F223),IFERROR(FIND("♦",SUBSTITUTE(LEFT(F223,N10)," ","♦",LEN(LEFT(F223,N10))-LEN(SUBSTITUTE(LEFT(F223,N10)," ","")))),FIND(" ",F223&amp;" ",N10+1)-1)))</f>
        <v>1</v>
      </c>
      <c r="N223" s="119">
        <f t="shared" si="29"/>
        <v>206</v>
      </c>
      <c r="O223" s="99" t="str">
        <f t="shared" si="30"/>
        <v>0</v>
      </c>
      <c r="P223" s="119">
        <f t="shared" si="31"/>
        <v>1</v>
      </c>
      <c r="Q223" s="119">
        <f t="shared" si="32"/>
        <v>1</v>
      </c>
    </row>
    <row r="224" spans="2:17">
      <c r="B224" s="116"/>
      <c r="C224" s="116"/>
      <c r="D224" s="116"/>
      <c r="E224" s="116" cm="1">
        <f t="array" ref="E224">IF(H223&lt;&gt;"",E223,IF(E223="","",IFERROR(MATCH(TRUE(),INDEX(INDEX(K:K,E223+1):K203&lt;&gt;"",0),0)+E223,"")))</f>
        <v>366</v>
      </c>
      <c r="F224" s="117" cm="1">
        <f t="array" ref="F224">IF(E224="","",IF(H223&lt;&gt;"",H223,INDEX(D:D,E224)))</f>
        <v>0</v>
      </c>
      <c r="G224" s="117" t="str">
        <f t="shared" si="27"/>
        <v>0</v>
      </c>
      <c r="H224" s="118" t="str">
        <f t="shared" si="28"/>
        <v/>
      </c>
      <c r="I224" s="116" t="str">
        <f>IF(AND(F224&lt;&gt;"",N10&gt;0,M224&gt;N10),"Mot &gt; limite","")</f>
        <v/>
      </c>
      <c r="M224" s="70">
        <f>IF(OR(F224="",N10="",N10&lt;=0),"",IF(LEN(F224)&lt;=N10,LEN(F224),IFERROR(FIND("♦",SUBSTITUTE(LEFT(F224,N10)," ","♦",LEN(LEFT(F224,N10))-LEN(SUBSTITUTE(LEFT(F224,N10)," ","")))),FIND(" ",F224&amp;" ",N10+1)-1)))</f>
        <v>1</v>
      </c>
      <c r="N224" s="119">
        <f t="shared" si="29"/>
        <v>207</v>
      </c>
      <c r="O224" s="99" t="str">
        <f t="shared" si="30"/>
        <v>0</v>
      </c>
      <c r="P224" s="119">
        <f t="shared" si="31"/>
        <v>1</v>
      </c>
      <c r="Q224" s="119">
        <f t="shared" si="32"/>
        <v>1</v>
      </c>
    </row>
    <row r="225" spans="2:17">
      <c r="B225" s="116"/>
      <c r="C225" s="116"/>
      <c r="D225" s="116"/>
      <c r="E225" s="116" cm="1">
        <f t="array" ref="E225">IF(H224&lt;&gt;"",E224,IF(E224="","",IFERROR(MATCH(TRUE(),INDEX(INDEX(K:K,E224+1):K203&lt;&gt;"",0),0)+E224,"")))</f>
        <v>367</v>
      </c>
      <c r="F225" s="117" cm="1">
        <f t="array" ref="F225">IF(E225="","",IF(H224&lt;&gt;"",H224,INDEX(D:D,E225)))</f>
        <v>0</v>
      </c>
      <c r="G225" s="117" t="str">
        <f t="shared" si="27"/>
        <v>0</v>
      </c>
      <c r="H225" s="118" t="str">
        <f t="shared" si="28"/>
        <v/>
      </c>
      <c r="I225" s="116" t="str">
        <f>IF(AND(F225&lt;&gt;"",N10&gt;0,M225&gt;N10),"Mot &gt; limite","")</f>
        <v/>
      </c>
      <c r="M225" s="70">
        <f>IF(OR(F225="",N10="",N10&lt;=0),"",IF(LEN(F225)&lt;=N10,LEN(F225),IFERROR(FIND("♦",SUBSTITUTE(LEFT(F225,N10)," ","♦",LEN(LEFT(F225,N10))-LEN(SUBSTITUTE(LEFT(F225,N10)," ","")))),FIND(" ",F225&amp;" ",N10+1)-1)))</f>
        <v>1</v>
      </c>
      <c r="N225" s="119">
        <f t="shared" si="29"/>
        <v>208</v>
      </c>
      <c r="O225" s="99" t="str">
        <f t="shared" si="30"/>
        <v>0</v>
      </c>
      <c r="P225" s="119">
        <f t="shared" si="31"/>
        <v>1</v>
      </c>
      <c r="Q225" s="119">
        <f t="shared" si="32"/>
        <v>1</v>
      </c>
    </row>
    <row r="226" spans="2:17">
      <c r="B226" s="116"/>
      <c r="C226" s="116"/>
      <c r="D226" s="116"/>
      <c r="E226" s="116" cm="1">
        <f t="array" ref="E226">IF(H225&lt;&gt;"",E225,IF(E225="","",IFERROR(MATCH(TRUE(),INDEX(INDEX(K:K,E225+1):K203&lt;&gt;"",0),0)+E225,"")))</f>
        <v>368</v>
      </c>
      <c r="F226" s="117" cm="1">
        <f t="array" ref="F226">IF(E226="","",IF(H225&lt;&gt;"",H225,INDEX(D:D,E226)))</f>
        <v>0</v>
      </c>
      <c r="G226" s="117" t="str">
        <f t="shared" si="27"/>
        <v>0</v>
      </c>
      <c r="H226" s="118" t="str">
        <f t="shared" si="28"/>
        <v/>
      </c>
      <c r="I226" s="116" t="str">
        <f>IF(AND(F226&lt;&gt;"",N10&gt;0,M226&gt;N10),"Mot &gt; limite","")</f>
        <v/>
      </c>
      <c r="M226" s="70">
        <f>IF(OR(F226="",N10="",N10&lt;=0),"",IF(LEN(F226)&lt;=N10,LEN(F226),IFERROR(FIND("♦",SUBSTITUTE(LEFT(F226,N10)," ","♦",LEN(LEFT(F226,N10))-LEN(SUBSTITUTE(LEFT(F226,N10)," ","")))),FIND(" ",F226&amp;" ",N10+1)-1)))</f>
        <v>1</v>
      </c>
      <c r="N226" s="119">
        <f t="shared" si="29"/>
        <v>209</v>
      </c>
      <c r="O226" s="99" t="str">
        <f t="shared" si="30"/>
        <v>0</v>
      </c>
      <c r="P226" s="119">
        <f t="shared" si="31"/>
        <v>1</v>
      </c>
      <c r="Q226" s="119">
        <f t="shared" si="32"/>
        <v>1</v>
      </c>
    </row>
    <row r="227" spans="2:17">
      <c r="B227" s="116"/>
      <c r="C227" s="116"/>
      <c r="D227" s="116"/>
      <c r="E227" s="116" cm="1">
        <f t="array" ref="E227">IF(H226&lt;&gt;"",E226,IF(E226="","",IFERROR(MATCH(TRUE(),INDEX(INDEX(K:K,E226+1):K203&lt;&gt;"",0),0)+E226,"")))</f>
        <v>369</v>
      </c>
      <c r="F227" s="117" cm="1">
        <f t="array" ref="F227">IF(E227="","",IF(H226&lt;&gt;"",H226,INDEX(D:D,E227)))</f>
        <v>0</v>
      </c>
      <c r="G227" s="117" t="str">
        <f t="shared" si="27"/>
        <v>0</v>
      </c>
      <c r="H227" s="118" t="str">
        <f t="shared" si="28"/>
        <v/>
      </c>
      <c r="I227" s="116" t="str">
        <f>IF(AND(F227&lt;&gt;"",N10&gt;0,M227&gt;N10),"Mot &gt; limite","")</f>
        <v/>
      </c>
      <c r="M227" s="70">
        <f>IF(OR(F227="",N10="",N10&lt;=0),"",IF(LEN(F227)&lt;=N10,LEN(F227),IFERROR(FIND("♦",SUBSTITUTE(LEFT(F227,N10)," ","♦",LEN(LEFT(F227,N10))-LEN(SUBSTITUTE(LEFT(F227,N10)," ","")))),FIND(" ",F227&amp;" ",N10+1)-1)))</f>
        <v>1</v>
      </c>
      <c r="N227" s="119">
        <f t="shared" si="29"/>
        <v>210</v>
      </c>
      <c r="O227" s="99" t="str">
        <f t="shared" si="30"/>
        <v>0</v>
      </c>
      <c r="P227" s="119">
        <f t="shared" si="31"/>
        <v>1</v>
      </c>
      <c r="Q227" s="119">
        <f t="shared" si="32"/>
        <v>1</v>
      </c>
    </row>
    <row r="228" spans="2:17">
      <c r="B228" s="116"/>
      <c r="C228" s="116"/>
      <c r="D228" s="116"/>
      <c r="E228" s="116" cm="1">
        <f t="array" ref="E228">IF(H227&lt;&gt;"",E227,IF(E227="","",IFERROR(MATCH(TRUE(),INDEX(INDEX(K:K,E227+1):K203&lt;&gt;"",0),0)+E227,"")))</f>
        <v>370</v>
      </c>
      <c r="F228" s="117" cm="1">
        <f t="array" ref="F228">IF(E228="","",IF(H227&lt;&gt;"",H227,INDEX(D:D,E228)))</f>
        <v>0</v>
      </c>
      <c r="G228" s="117" t="str">
        <f t="shared" si="27"/>
        <v>0</v>
      </c>
      <c r="H228" s="118" t="str">
        <f t="shared" si="28"/>
        <v/>
      </c>
      <c r="I228" s="116" t="str">
        <f>IF(AND(F228&lt;&gt;"",N10&gt;0,M228&gt;N10),"Mot &gt; limite","")</f>
        <v/>
      </c>
      <c r="M228" s="70">
        <f>IF(OR(F228="",N10="",N10&lt;=0),"",IF(LEN(F228)&lt;=N10,LEN(F228),IFERROR(FIND("♦",SUBSTITUTE(LEFT(F228,N10)," ","♦",LEN(LEFT(F228,N10))-LEN(SUBSTITUTE(LEFT(F228,N10)," ","")))),FIND(" ",F228&amp;" ",N10+1)-1)))</f>
        <v>1</v>
      </c>
      <c r="N228" s="119">
        <f t="shared" si="29"/>
        <v>211</v>
      </c>
      <c r="O228" s="99" t="str">
        <f t="shared" si="30"/>
        <v>0</v>
      </c>
      <c r="P228" s="119">
        <f t="shared" si="31"/>
        <v>1</v>
      </c>
      <c r="Q228" s="119">
        <f t="shared" si="32"/>
        <v>1</v>
      </c>
    </row>
    <row r="229" spans="2:17">
      <c r="B229" s="116"/>
      <c r="C229" s="116"/>
      <c r="D229" s="116"/>
      <c r="E229" s="116" cm="1">
        <f t="array" ref="E229">IF(H228&lt;&gt;"",E228,IF(E228="","",IFERROR(MATCH(TRUE(),INDEX(INDEX(K:K,E228+1):K203&lt;&gt;"",0),0)+E228,"")))</f>
        <v>371</v>
      </c>
      <c r="F229" s="117" cm="1">
        <f t="array" ref="F229">IF(E229="","",IF(H228&lt;&gt;"",H228,INDEX(D:D,E229)))</f>
        <v>0</v>
      </c>
      <c r="G229" s="117" t="str">
        <f t="shared" si="27"/>
        <v>0</v>
      </c>
      <c r="H229" s="118" t="str">
        <f t="shared" si="28"/>
        <v/>
      </c>
      <c r="I229" s="116" t="str">
        <f>IF(AND(F229&lt;&gt;"",N10&gt;0,M229&gt;N10),"Mot &gt; limite","")</f>
        <v/>
      </c>
      <c r="M229" s="70">
        <f>IF(OR(F229="",N10="",N10&lt;=0),"",IF(LEN(F229)&lt;=N10,LEN(F229),IFERROR(FIND("♦",SUBSTITUTE(LEFT(F229,N10)," ","♦",LEN(LEFT(F229,N10))-LEN(SUBSTITUTE(LEFT(F229,N10)," ","")))),FIND(" ",F229&amp;" ",N10+1)-1)))</f>
        <v>1</v>
      </c>
      <c r="N229" s="119">
        <f t="shared" si="29"/>
        <v>212</v>
      </c>
      <c r="O229" s="99" t="str">
        <f t="shared" si="30"/>
        <v>0</v>
      </c>
      <c r="P229" s="119">
        <f t="shared" si="31"/>
        <v>1</v>
      </c>
      <c r="Q229" s="119">
        <f t="shared" si="32"/>
        <v>1</v>
      </c>
    </row>
    <row r="230" spans="2:17">
      <c r="B230" s="116"/>
      <c r="C230" s="116"/>
      <c r="D230" s="116"/>
      <c r="E230" s="116" cm="1">
        <f t="array" ref="E230">IF(H229&lt;&gt;"",E229,IF(E229="","",IFERROR(MATCH(TRUE(),INDEX(INDEX(K:K,E229+1):K203&lt;&gt;"",0),0)+E229,"")))</f>
        <v>372</v>
      </c>
      <c r="F230" s="117" cm="1">
        <f t="array" ref="F230">IF(E230="","",IF(H229&lt;&gt;"",H229,INDEX(D:D,E230)))</f>
        <v>0</v>
      </c>
      <c r="G230" s="117" t="str">
        <f t="shared" si="27"/>
        <v>0</v>
      </c>
      <c r="H230" s="118" t="str">
        <f t="shared" si="28"/>
        <v/>
      </c>
      <c r="I230" s="116" t="str">
        <f>IF(AND(F230&lt;&gt;"",N10&gt;0,M230&gt;N10),"Mot &gt; limite","")</f>
        <v/>
      </c>
      <c r="M230" s="70">
        <f>IF(OR(F230="",N10="",N10&lt;=0),"",IF(LEN(F230)&lt;=N10,LEN(F230),IFERROR(FIND("♦",SUBSTITUTE(LEFT(F230,N10)," ","♦",LEN(LEFT(F230,N10))-LEN(SUBSTITUTE(LEFT(F230,N10)," ","")))),FIND(" ",F230&amp;" ",N10+1)-1)))</f>
        <v>1</v>
      </c>
      <c r="N230" s="119">
        <f t="shared" si="29"/>
        <v>213</v>
      </c>
      <c r="O230" s="99" t="str">
        <f t="shared" si="30"/>
        <v>0</v>
      </c>
      <c r="P230" s="119">
        <f t="shared" si="31"/>
        <v>1</v>
      </c>
      <c r="Q230" s="119">
        <f t="shared" si="32"/>
        <v>1</v>
      </c>
    </row>
    <row r="231" spans="2:17">
      <c r="B231" s="116"/>
      <c r="C231" s="116"/>
      <c r="D231" s="116"/>
      <c r="E231" s="116" cm="1">
        <f t="array" ref="E231">IF(H230&lt;&gt;"",E230,IF(E230="","",IFERROR(MATCH(TRUE(),INDEX(INDEX(K:K,E230+1):K203&lt;&gt;"",0),0)+E230,"")))</f>
        <v>373</v>
      </c>
      <c r="F231" s="117" cm="1">
        <f t="array" ref="F231">IF(E231="","",IF(H230&lt;&gt;"",H230,INDEX(D:D,E231)))</f>
        <v>0</v>
      </c>
      <c r="G231" s="117" t="str">
        <f t="shared" si="27"/>
        <v>0</v>
      </c>
      <c r="H231" s="118" t="str">
        <f t="shared" si="28"/>
        <v/>
      </c>
      <c r="I231" s="116" t="str">
        <f>IF(AND(F231&lt;&gt;"",N10&gt;0,M231&gt;N10),"Mot &gt; limite","")</f>
        <v/>
      </c>
      <c r="M231" s="70">
        <f>IF(OR(F231="",N10="",N10&lt;=0),"",IF(LEN(F231)&lt;=N10,LEN(F231),IFERROR(FIND("♦",SUBSTITUTE(LEFT(F231,N10)," ","♦",LEN(LEFT(F231,N10))-LEN(SUBSTITUTE(LEFT(F231,N10)," ","")))),FIND(" ",F231&amp;" ",N10+1)-1)))</f>
        <v>1</v>
      </c>
      <c r="N231" s="119">
        <f t="shared" si="29"/>
        <v>214</v>
      </c>
      <c r="O231" s="99" t="str">
        <f t="shared" si="30"/>
        <v>0</v>
      </c>
      <c r="P231" s="119">
        <f t="shared" si="31"/>
        <v>1</v>
      </c>
      <c r="Q231" s="119">
        <f t="shared" si="32"/>
        <v>1</v>
      </c>
    </row>
    <row r="232" spans="2:17">
      <c r="B232" s="116"/>
      <c r="C232" s="116"/>
      <c r="D232" s="116"/>
      <c r="E232" s="116" cm="1">
        <f t="array" ref="E232">IF(H231&lt;&gt;"",E231,IF(E231="","",IFERROR(MATCH(TRUE(),INDEX(INDEX(K:K,E231+1):K203&lt;&gt;"",0),0)+E231,"")))</f>
        <v>374</v>
      </c>
      <c r="F232" s="117" cm="1">
        <f t="array" ref="F232">IF(E232="","",IF(H231&lt;&gt;"",H231,INDEX(D:D,E232)))</f>
        <v>0</v>
      </c>
      <c r="G232" s="117" t="str">
        <f t="shared" si="27"/>
        <v>0</v>
      </c>
      <c r="H232" s="118" t="str">
        <f t="shared" si="28"/>
        <v/>
      </c>
      <c r="I232" s="116" t="str">
        <f>IF(AND(F232&lt;&gt;"",N10&gt;0,M232&gt;N10),"Mot &gt; limite","")</f>
        <v/>
      </c>
      <c r="M232" s="70">
        <f>IF(OR(F232="",N10="",N10&lt;=0),"",IF(LEN(F232)&lt;=N10,LEN(F232),IFERROR(FIND("♦",SUBSTITUTE(LEFT(F232,N10)," ","♦",LEN(LEFT(F232,N10))-LEN(SUBSTITUTE(LEFT(F232,N10)," ","")))),FIND(" ",F232&amp;" ",N10+1)-1)))</f>
        <v>1</v>
      </c>
      <c r="N232" s="119">
        <f t="shared" si="29"/>
        <v>215</v>
      </c>
      <c r="O232" s="99" t="str">
        <f t="shared" si="30"/>
        <v>0</v>
      </c>
      <c r="P232" s="119">
        <f t="shared" si="31"/>
        <v>1</v>
      </c>
      <c r="Q232" s="119">
        <f t="shared" si="32"/>
        <v>1</v>
      </c>
    </row>
    <row r="233" spans="2:17">
      <c r="B233" s="116"/>
      <c r="C233" s="116"/>
      <c r="D233" s="116"/>
      <c r="E233" s="116" cm="1">
        <f t="array" ref="E233">IF(H232&lt;&gt;"",E232,IF(E232="","",IFERROR(MATCH(TRUE(),INDEX(INDEX(K:K,E232+1):K203&lt;&gt;"",0),0)+E232,"")))</f>
        <v>375</v>
      </c>
      <c r="F233" s="117" cm="1">
        <f t="array" ref="F233">IF(E233="","",IF(H232&lt;&gt;"",H232,INDEX(D:D,E233)))</f>
        <v>0</v>
      </c>
      <c r="G233" s="117" t="str">
        <f t="shared" si="27"/>
        <v>0</v>
      </c>
      <c r="H233" s="118" t="str">
        <f t="shared" si="28"/>
        <v/>
      </c>
      <c r="I233" s="116" t="str">
        <f>IF(AND(F233&lt;&gt;"",N10&gt;0,M233&gt;N10),"Mot &gt; limite","")</f>
        <v/>
      </c>
      <c r="M233" s="70">
        <f>IF(OR(F233="",N10="",N10&lt;=0),"",IF(LEN(F233)&lt;=N10,LEN(F233),IFERROR(FIND("♦",SUBSTITUTE(LEFT(F233,N10)," ","♦",LEN(LEFT(F233,N10))-LEN(SUBSTITUTE(LEFT(F233,N10)," ","")))),FIND(" ",F233&amp;" ",N10+1)-1)))</f>
        <v>1</v>
      </c>
      <c r="N233" s="119">
        <f t="shared" si="29"/>
        <v>216</v>
      </c>
      <c r="O233" s="99" t="str">
        <f t="shared" si="30"/>
        <v>0</v>
      </c>
      <c r="P233" s="119">
        <f t="shared" si="31"/>
        <v>1</v>
      </c>
      <c r="Q233" s="119">
        <f t="shared" si="32"/>
        <v>1</v>
      </c>
    </row>
    <row r="234" spans="2:17">
      <c r="B234" s="116"/>
      <c r="C234" s="116"/>
      <c r="D234" s="116"/>
      <c r="E234" s="116" cm="1">
        <f t="array" ref="E234">IF(H233&lt;&gt;"",E233,IF(E233="","",IFERROR(MATCH(TRUE(),INDEX(INDEX(K:K,E233+1):K203&lt;&gt;"",0),0)+E233,"")))</f>
        <v>376</v>
      </c>
      <c r="F234" s="117" cm="1">
        <f t="array" ref="F234">IF(E234="","",IF(H233&lt;&gt;"",H233,INDEX(D:D,E234)))</f>
        <v>0</v>
      </c>
      <c r="G234" s="117" t="str">
        <f t="shared" si="27"/>
        <v>0</v>
      </c>
      <c r="H234" s="118" t="str">
        <f t="shared" si="28"/>
        <v/>
      </c>
      <c r="I234" s="116" t="str">
        <f>IF(AND(F234&lt;&gt;"",N10&gt;0,M234&gt;N10),"Mot &gt; limite","")</f>
        <v/>
      </c>
      <c r="M234" s="70">
        <f>IF(OR(F234="",N10="",N10&lt;=0),"",IF(LEN(F234)&lt;=N10,LEN(F234),IFERROR(FIND("♦",SUBSTITUTE(LEFT(F234,N10)," ","♦",LEN(LEFT(F234,N10))-LEN(SUBSTITUTE(LEFT(F234,N10)," ","")))),FIND(" ",F234&amp;" ",N10+1)-1)))</f>
        <v>1</v>
      </c>
      <c r="N234" s="119">
        <f t="shared" si="29"/>
        <v>217</v>
      </c>
      <c r="O234" s="99" t="str">
        <f t="shared" si="30"/>
        <v>0</v>
      </c>
      <c r="P234" s="119">
        <f t="shared" si="31"/>
        <v>1</v>
      </c>
      <c r="Q234" s="119">
        <f t="shared" si="32"/>
        <v>1</v>
      </c>
    </row>
    <row r="235" spans="2:17">
      <c r="B235" s="116"/>
      <c r="C235" s="116"/>
      <c r="D235" s="116"/>
      <c r="E235" s="116" cm="1">
        <f t="array" ref="E235">IF(H234&lt;&gt;"",E234,IF(E234="","",IFERROR(MATCH(TRUE(),INDEX(INDEX(K:K,E234+1):K203&lt;&gt;"",0),0)+E234,"")))</f>
        <v>377</v>
      </c>
      <c r="F235" s="117" cm="1">
        <f t="array" ref="F235">IF(E235="","",IF(H234&lt;&gt;"",H234,INDEX(D:D,E235)))</f>
        <v>0</v>
      </c>
      <c r="G235" s="117" t="str">
        <f t="shared" si="27"/>
        <v>0</v>
      </c>
      <c r="H235" s="118" t="str">
        <f t="shared" si="28"/>
        <v/>
      </c>
      <c r="I235" s="116" t="str">
        <f>IF(AND(F235&lt;&gt;"",N10&gt;0,M235&gt;N10),"Mot &gt; limite","")</f>
        <v/>
      </c>
      <c r="M235" s="70">
        <f>IF(OR(F235="",N10="",N10&lt;=0),"",IF(LEN(F235)&lt;=N10,LEN(F235),IFERROR(FIND("♦",SUBSTITUTE(LEFT(F235,N10)," ","♦",LEN(LEFT(F235,N10))-LEN(SUBSTITUTE(LEFT(F235,N10)," ","")))),FIND(" ",F235&amp;" ",N10+1)-1)))</f>
        <v>1</v>
      </c>
      <c r="N235" s="119">
        <f t="shared" si="29"/>
        <v>218</v>
      </c>
      <c r="O235" s="99" t="str">
        <f t="shared" si="30"/>
        <v>0</v>
      </c>
      <c r="P235" s="119">
        <f t="shared" si="31"/>
        <v>1</v>
      </c>
      <c r="Q235" s="119">
        <f t="shared" si="32"/>
        <v>1</v>
      </c>
    </row>
    <row r="236" spans="2:17">
      <c r="B236" s="116"/>
      <c r="C236" s="116"/>
      <c r="D236" s="116"/>
      <c r="E236" s="116" cm="1">
        <f t="array" ref="E236">IF(H235&lt;&gt;"",E235,IF(E235="","",IFERROR(MATCH(TRUE(),INDEX(INDEX(K:K,E235+1):K203&lt;&gt;"",0),0)+E235,"")))</f>
        <v>378</v>
      </c>
      <c r="F236" s="117" cm="1">
        <f t="array" ref="F236">IF(E236="","",IF(H235&lt;&gt;"",H235,INDEX(D:D,E236)))</f>
        <v>0</v>
      </c>
      <c r="G236" s="117" t="str">
        <f t="shared" si="27"/>
        <v>0</v>
      </c>
      <c r="H236" s="118" t="str">
        <f t="shared" si="28"/>
        <v/>
      </c>
      <c r="I236" s="116" t="str">
        <f>IF(AND(F236&lt;&gt;"",N10&gt;0,M236&gt;N10),"Mot &gt; limite","")</f>
        <v/>
      </c>
      <c r="M236" s="70">
        <f>IF(OR(F236="",N10="",N10&lt;=0),"",IF(LEN(F236)&lt;=N10,LEN(F236),IFERROR(FIND("♦",SUBSTITUTE(LEFT(F236,N10)," ","♦",LEN(LEFT(F236,N10))-LEN(SUBSTITUTE(LEFT(F236,N10)," ","")))),FIND(" ",F236&amp;" ",N10+1)-1)))</f>
        <v>1</v>
      </c>
      <c r="N236" s="119">
        <f t="shared" si="29"/>
        <v>219</v>
      </c>
      <c r="O236" s="99" t="str">
        <f t="shared" si="30"/>
        <v>0</v>
      </c>
      <c r="P236" s="119">
        <f t="shared" si="31"/>
        <v>1</v>
      </c>
      <c r="Q236" s="119">
        <f t="shared" si="32"/>
        <v>1</v>
      </c>
    </row>
    <row r="237" spans="2:17">
      <c r="B237" s="116"/>
      <c r="C237" s="116"/>
      <c r="D237" s="116"/>
      <c r="E237" s="116" cm="1">
        <f t="array" ref="E237">IF(H236&lt;&gt;"",E236,IF(E236="","",IFERROR(MATCH(TRUE(),INDEX(INDEX(K:K,E236+1):K203&lt;&gt;"",0),0)+E236,"")))</f>
        <v>379</v>
      </c>
      <c r="F237" s="117" cm="1">
        <f t="array" ref="F237">IF(E237="","",IF(H236&lt;&gt;"",H236,INDEX(D:D,E237)))</f>
        <v>0</v>
      </c>
      <c r="G237" s="117" t="str">
        <f t="shared" si="27"/>
        <v>0</v>
      </c>
      <c r="H237" s="118" t="str">
        <f t="shared" si="28"/>
        <v/>
      </c>
      <c r="I237" s="116" t="str">
        <f>IF(AND(F237&lt;&gt;"",N10&gt;0,M237&gt;N10),"Mot &gt; limite","")</f>
        <v/>
      </c>
      <c r="M237" s="70">
        <f>IF(OR(F237="",N10="",N10&lt;=0),"",IF(LEN(F237)&lt;=N10,LEN(F237),IFERROR(FIND("♦",SUBSTITUTE(LEFT(F237,N10)," ","♦",LEN(LEFT(F237,N10))-LEN(SUBSTITUTE(LEFT(F237,N10)," ","")))),FIND(" ",F237&amp;" ",N10+1)-1)))</f>
        <v>1</v>
      </c>
      <c r="N237" s="119">
        <f t="shared" si="29"/>
        <v>220</v>
      </c>
      <c r="O237" s="99" t="str">
        <f t="shared" si="30"/>
        <v>0</v>
      </c>
      <c r="P237" s="119">
        <f t="shared" si="31"/>
        <v>1</v>
      </c>
      <c r="Q237" s="119">
        <f t="shared" si="32"/>
        <v>1</v>
      </c>
    </row>
    <row r="238" spans="2:17">
      <c r="B238" s="116"/>
      <c r="C238" s="116"/>
      <c r="D238" s="116"/>
      <c r="E238" s="116" cm="1">
        <f t="array" ref="E238">IF(H237&lt;&gt;"",E237,IF(E237="","",IFERROR(MATCH(TRUE(),INDEX(INDEX(K:K,E237+1):K203&lt;&gt;"",0),0)+E237,"")))</f>
        <v>380</v>
      </c>
      <c r="F238" s="117" cm="1">
        <f t="array" ref="F238">IF(E238="","",IF(H237&lt;&gt;"",H237,INDEX(D:D,E238)))</f>
        <v>0</v>
      </c>
      <c r="G238" s="117" t="str">
        <f t="shared" si="27"/>
        <v>0</v>
      </c>
      <c r="H238" s="118" t="str">
        <f t="shared" si="28"/>
        <v/>
      </c>
      <c r="I238" s="116" t="str">
        <f>IF(AND(F238&lt;&gt;"",N10&gt;0,M238&gt;N10),"Mot &gt; limite","")</f>
        <v/>
      </c>
      <c r="M238" s="70">
        <f>IF(OR(F238="",N10="",N10&lt;=0),"",IF(LEN(F238)&lt;=N10,LEN(F238),IFERROR(FIND("♦",SUBSTITUTE(LEFT(F238,N10)," ","♦",LEN(LEFT(F238,N10))-LEN(SUBSTITUTE(LEFT(F238,N10)," ","")))),FIND(" ",F238&amp;" ",N10+1)-1)))</f>
        <v>1</v>
      </c>
      <c r="N238" s="119">
        <f t="shared" si="29"/>
        <v>221</v>
      </c>
      <c r="O238" s="99" t="str">
        <f t="shared" si="30"/>
        <v>0</v>
      </c>
      <c r="P238" s="119">
        <f t="shared" si="31"/>
        <v>1</v>
      </c>
      <c r="Q238" s="119">
        <f t="shared" si="32"/>
        <v>1</v>
      </c>
    </row>
    <row r="239" spans="2:17">
      <c r="B239" s="116"/>
      <c r="C239" s="116"/>
      <c r="D239" s="116"/>
      <c r="E239" s="116" cm="1">
        <f t="array" ref="E239">IF(H238&lt;&gt;"",E238,IF(E238="","",IFERROR(MATCH(TRUE(),INDEX(INDEX(K:K,E238+1):K203&lt;&gt;"",0),0)+E238,"")))</f>
        <v>381</v>
      </c>
      <c r="F239" s="117" cm="1">
        <f t="array" ref="F239">IF(E239="","",IF(H238&lt;&gt;"",H238,INDEX(D:D,E239)))</f>
        <v>0</v>
      </c>
      <c r="G239" s="117" t="str">
        <f t="shared" si="27"/>
        <v>0</v>
      </c>
      <c r="H239" s="118" t="str">
        <f t="shared" si="28"/>
        <v/>
      </c>
      <c r="I239" s="116" t="str">
        <f>IF(AND(F239&lt;&gt;"",N10&gt;0,M239&gt;N10),"Mot &gt; limite","")</f>
        <v/>
      </c>
      <c r="M239" s="70">
        <f>IF(OR(F239="",N10="",N10&lt;=0),"",IF(LEN(F239)&lt;=N10,LEN(F239),IFERROR(FIND("♦",SUBSTITUTE(LEFT(F239,N10)," ","♦",LEN(LEFT(F239,N10))-LEN(SUBSTITUTE(LEFT(F239,N10)," ","")))),FIND(" ",F239&amp;" ",N10+1)-1)))</f>
        <v>1</v>
      </c>
      <c r="N239" s="119">
        <f t="shared" si="29"/>
        <v>222</v>
      </c>
      <c r="O239" s="99" t="str">
        <f t="shared" si="30"/>
        <v>0</v>
      </c>
      <c r="P239" s="119">
        <f t="shared" si="31"/>
        <v>1</v>
      </c>
      <c r="Q239" s="119">
        <f t="shared" si="32"/>
        <v>1</v>
      </c>
    </row>
    <row r="240" spans="2:17">
      <c r="B240" s="116"/>
      <c r="C240" s="116"/>
      <c r="D240" s="116"/>
      <c r="E240" s="116" cm="1">
        <f t="array" ref="E240">IF(H239&lt;&gt;"",E239,IF(E239="","",IFERROR(MATCH(TRUE(),INDEX(INDEX(K:K,E239+1):K203&lt;&gt;"",0),0)+E239,"")))</f>
        <v>382</v>
      </c>
      <c r="F240" s="117" cm="1">
        <f t="array" ref="F240">IF(E240="","",IF(H239&lt;&gt;"",H239,INDEX(D:D,E240)))</f>
        <v>0</v>
      </c>
      <c r="G240" s="117" t="str">
        <f t="shared" si="27"/>
        <v>0</v>
      </c>
      <c r="H240" s="118" t="str">
        <f t="shared" si="28"/>
        <v/>
      </c>
      <c r="I240" s="116" t="str">
        <f>IF(AND(F240&lt;&gt;"",N10&gt;0,M240&gt;N10),"Mot &gt; limite","")</f>
        <v/>
      </c>
      <c r="M240" s="70">
        <f>IF(OR(F240="",N10="",N10&lt;=0),"",IF(LEN(F240)&lt;=N10,LEN(F240),IFERROR(FIND("♦",SUBSTITUTE(LEFT(F240,N10)," ","♦",LEN(LEFT(F240,N10))-LEN(SUBSTITUTE(LEFT(F240,N10)," ","")))),FIND(" ",F240&amp;" ",N10+1)-1)))</f>
        <v>1</v>
      </c>
      <c r="N240" s="119">
        <f t="shared" si="29"/>
        <v>223</v>
      </c>
      <c r="O240" s="99" t="str">
        <f t="shared" si="30"/>
        <v>0</v>
      </c>
      <c r="P240" s="119">
        <f t="shared" si="31"/>
        <v>1</v>
      </c>
      <c r="Q240" s="119">
        <f t="shared" si="32"/>
        <v>1</v>
      </c>
    </row>
    <row r="241" spans="2:17">
      <c r="B241" s="116"/>
      <c r="C241" s="116"/>
      <c r="D241" s="116"/>
      <c r="E241" s="116" cm="1">
        <f t="array" ref="E241">IF(H240&lt;&gt;"",E240,IF(E240="","",IFERROR(MATCH(TRUE(),INDEX(INDEX(K:K,E240+1):K203&lt;&gt;"",0),0)+E240,"")))</f>
        <v>383</v>
      </c>
      <c r="F241" s="117" cm="1">
        <f t="array" ref="F241">IF(E241="","",IF(H240&lt;&gt;"",H240,INDEX(D:D,E241)))</f>
        <v>0</v>
      </c>
      <c r="G241" s="117" t="str">
        <f t="shared" si="27"/>
        <v>0</v>
      </c>
      <c r="H241" s="118" t="str">
        <f t="shared" si="28"/>
        <v/>
      </c>
      <c r="I241" s="116" t="str">
        <f>IF(AND(F241&lt;&gt;"",N10&gt;0,M241&gt;N10),"Mot &gt; limite","")</f>
        <v/>
      </c>
      <c r="M241" s="70">
        <f>IF(OR(F241="",N10="",N10&lt;=0),"",IF(LEN(F241)&lt;=N10,LEN(F241),IFERROR(FIND("♦",SUBSTITUTE(LEFT(F241,N10)," ","♦",LEN(LEFT(F241,N10))-LEN(SUBSTITUTE(LEFT(F241,N10)," ","")))),FIND(" ",F241&amp;" ",N10+1)-1)))</f>
        <v>1</v>
      </c>
      <c r="N241" s="119">
        <f t="shared" si="29"/>
        <v>224</v>
      </c>
      <c r="O241" s="99" t="str">
        <f t="shared" si="30"/>
        <v>0</v>
      </c>
      <c r="P241" s="119">
        <f t="shared" si="31"/>
        <v>1</v>
      </c>
      <c r="Q241" s="119">
        <f t="shared" si="32"/>
        <v>1</v>
      </c>
    </row>
    <row r="242" spans="2:17">
      <c r="B242" s="116"/>
      <c r="C242" s="116"/>
      <c r="D242" s="116"/>
      <c r="E242" s="116" cm="1">
        <f t="array" ref="E242">IF(H241&lt;&gt;"",E241,IF(E241="","",IFERROR(MATCH(TRUE(),INDEX(INDEX(K:K,E241+1):K203&lt;&gt;"",0),0)+E241,"")))</f>
        <v>384</v>
      </c>
      <c r="F242" s="117" cm="1">
        <f t="array" ref="F242">IF(E242="","",IF(H241&lt;&gt;"",H241,INDEX(D:D,E242)))</f>
        <v>0</v>
      </c>
      <c r="G242" s="117" t="str">
        <f t="shared" si="27"/>
        <v>0</v>
      </c>
      <c r="H242" s="118" t="str">
        <f t="shared" si="28"/>
        <v/>
      </c>
      <c r="I242" s="116" t="str">
        <f>IF(AND(F242&lt;&gt;"",N10&gt;0,M242&gt;N10),"Mot &gt; limite","")</f>
        <v/>
      </c>
      <c r="M242" s="70">
        <f>IF(OR(F242="",N10="",N10&lt;=0),"",IF(LEN(F242)&lt;=N10,LEN(F242),IFERROR(FIND("♦",SUBSTITUTE(LEFT(F242,N10)," ","♦",LEN(LEFT(F242,N10))-LEN(SUBSTITUTE(LEFT(F242,N10)," ","")))),FIND(" ",F242&amp;" ",N10+1)-1)))</f>
        <v>1</v>
      </c>
      <c r="N242" s="119">
        <f t="shared" si="29"/>
        <v>225</v>
      </c>
      <c r="O242" s="99" t="str">
        <f t="shared" si="30"/>
        <v>0</v>
      </c>
      <c r="P242" s="119">
        <f t="shared" si="31"/>
        <v>1</v>
      </c>
      <c r="Q242" s="119">
        <f t="shared" si="32"/>
        <v>1</v>
      </c>
    </row>
    <row r="243" spans="2:17">
      <c r="B243" s="116"/>
      <c r="C243" s="116"/>
      <c r="D243" s="116"/>
      <c r="E243" s="116" cm="1">
        <f t="array" ref="E243">IF(H242&lt;&gt;"",E242,IF(E242="","",IFERROR(MATCH(TRUE(),INDEX(INDEX(K:K,E242+1):K203&lt;&gt;"",0),0)+E242,"")))</f>
        <v>385</v>
      </c>
      <c r="F243" s="117" cm="1">
        <f t="array" ref="F243">IF(E243="","",IF(H242&lt;&gt;"",H242,INDEX(D:D,E243)))</f>
        <v>0</v>
      </c>
      <c r="G243" s="117" t="str">
        <f t="shared" si="27"/>
        <v>0</v>
      </c>
      <c r="H243" s="118" t="str">
        <f t="shared" si="28"/>
        <v/>
      </c>
      <c r="I243" s="116" t="str">
        <f>IF(AND(F243&lt;&gt;"",N10&gt;0,M243&gt;N10),"Mot &gt; limite","")</f>
        <v/>
      </c>
      <c r="M243" s="70">
        <f>IF(OR(F243="",N10="",N10&lt;=0),"",IF(LEN(F243)&lt;=N10,LEN(F243),IFERROR(FIND("♦",SUBSTITUTE(LEFT(F243,N10)," ","♦",LEN(LEFT(F243,N10))-LEN(SUBSTITUTE(LEFT(F243,N10)," ","")))),FIND(" ",F243&amp;" ",N10+1)-1)))</f>
        <v>1</v>
      </c>
      <c r="N243" s="119">
        <f t="shared" si="29"/>
        <v>226</v>
      </c>
      <c r="O243" s="99" t="str">
        <f t="shared" si="30"/>
        <v>0</v>
      </c>
      <c r="P243" s="119">
        <f t="shared" si="31"/>
        <v>1</v>
      </c>
      <c r="Q243" s="119">
        <f t="shared" si="32"/>
        <v>1</v>
      </c>
    </row>
    <row r="244" spans="2:17">
      <c r="B244" s="116"/>
      <c r="C244" s="116"/>
      <c r="D244" s="116"/>
      <c r="E244" s="116" cm="1">
        <f t="array" ref="E244">IF(H243&lt;&gt;"",E243,IF(E243="","",IFERROR(MATCH(TRUE(),INDEX(INDEX(K:K,E243+1):K203&lt;&gt;"",0),0)+E243,"")))</f>
        <v>386</v>
      </c>
      <c r="F244" s="117" cm="1">
        <f t="array" ref="F244">IF(E244="","",IF(H243&lt;&gt;"",H243,INDEX(D:D,E244)))</f>
        <v>0</v>
      </c>
      <c r="G244" s="117" t="str">
        <f t="shared" si="27"/>
        <v>0</v>
      </c>
      <c r="H244" s="118" t="str">
        <f t="shared" si="28"/>
        <v/>
      </c>
      <c r="I244" s="116" t="str">
        <f>IF(AND(F244&lt;&gt;"",N10&gt;0,M244&gt;N10),"Mot &gt; limite","")</f>
        <v/>
      </c>
      <c r="M244" s="70">
        <f>IF(OR(F244="",N10="",N10&lt;=0),"",IF(LEN(F244)&lt;=N10,LEN(F244),IFERROR(FIND("♦",SUBSTITUTE(LEFT(F244,N10)," ","♦",LEN(LEFT(F244,N10))-LEN(SUBSTITUTE(LEFT(F244,N10)," ","")))),FIND(" ",F244&amp;" ",N10+1)-1)))</f>
        <v>1</v>
      </c>
      <c r="N244" s="119">
        <f t="shared" si="29"/>
        <v>227</v>
      </c>
      <c r="O244" s="99" t="str">
        <f t="shared" si="30"/>
        <v>0</v>
      </c>
      <c r="P244" s="119">
        <f t="shared" si="31"/>
        <v>1</v>
      </c>
      <c r="Q244" s="119">
        <f t="shared" si="32"/>
        <v>1</v>
      </c>
    </row>
    <row r="245" spans="2:17">
      <c r="B245" s="116"/>
      <c r="C245" s="116"/>
      <c r="D245" s="116"/>
      <c r="E245" s="116" cm="1">
        <f t="array" ref="E245">IF(H244&lt;&gt;"",E244,IF(E244="","",IFERROR(MATCH(TRUE(),INDEX(INDEX(K:K,E244+1):K203&lt;&gt;"",0),0)+E244,"")))</f>
        <v>387</v>
      </c>
      <c r="F245" s="117" cm="1">
        <f t="array" ref="F245">IF(E245="","",IF(H244&lt;&gt;"",H244,INDEX(D:D,E245)))</f>
        <v>0</v>
      </c>
      <c r="G245" s="117" t="str">
        <f t="shared" si="27"/>
        <v>0</v>
      </c>
      <c r="H245" s="118" t="str">
        <f t="shared" si="28"/>
        <v/>
      </c>
      <c r="I245" s="116" t="str">
        <f>IF(AND(F245&lt;&gt;"",N10&gt;0,M245&gt;N10),"Mot &gt; limite","")</f>
        <v/>
      </c>
      <c r="M245" s="70">
        <f>IF(OR(F245="",N10="",N10&lt;=0),"",IF(LEN(F245)&lt;=N10,LEN(F245),IFERROR(FIND("♦",SUBSTITUTE(LEFT(F245,N10)," ","♦",LEN(LEFT(F245,N10))-LEN(SUBSTITUTE(LEFT(F245,N10)," ","")))),FIND(" ",F245&amp;" ",N10+1)-1)))</f>
        <v>1</v>
      </c>
      <c r="N245" s="119">
        <f t="shared" si="29"/>
        <v>228</v>
      </c>
      <c r="O245" s="99" t="str">
        <f t="shared" si="30"/>
        <v>0</v>
      </c>
      <c r="P245" s="119">
        <f t="shared" si="31"/>
        <v>1</v>
      </c>
      <c r="Q245" s="119">
        <f t="shared" si="32"/>
        <v>1</v>
      </c>
    </row>
    <row r="246" spans="2:17">
      <c r="B246" s="116"/>
      <c r="C246" s="116"/>
      <c r="D246" s="116"/>
      <c r="E246" s="116" cm="1">
        <f t="array" ref="E246">IF(H245&lt;&gt;"",E245,IF(E245="","",IFERROR(MATCH(TRUE(),INDEX(INDEX(K:K,E245+1):K203&lt;&gt;"",0),0)+E245,"")))</f>
        <v>388</v>
      </c>
      <c r="F246" s="117" cm="1">
        <f t="array" ref="F246">IF(E246="","",IF(H245&lt;&gt;"",H245,INDEX(D:D,E246)))</f>
        <v>0</v>
      </c>
      <c r="G246" s="117" t="str">
        <f t="shared" si="27"/>
        <v>0</v>
      </c>
      <c r="H246" s="118" t="str">
        <f t="shared" si="28"/>
        <v/>
      </c>
      <c r="I246" s="116" t="str">
        <f>IF(AND(F246&lt;&gt;"",N10&gt;0,M246&gt;N10),"Mot &gt; limite","")</f>
        <v/>
      </c>
      <c r="M246" s="70">
        <f>IF(OR(F246="",N10="",N10&lt;=0),"",IF(LEN(F246)&lt;=N10,LEN(F246),IFERROR(FIND("♦",SUBSTITUTE(LEFT(F246,N10)," ","♦",LEN(LEFT(F246,N10))-LEN(SUBSTITUTE(LEFT(F246,N10)," ","")))),FIND(" ",F246&amp;" ",N10+1)-1)))</f>
        <v>1</v>
      </c>
      <c r="N246" s="119">
        <f t="shared" si="29"/>
        <v>229</v>
      </c>
      <c r="O246" s="99" t="str">
        <f t="shared" si="30"/>
        <v>0</v>
      </c>
      <c r="P246" s="119">
        <f t="shared" si="31"/>
        <v>1</v>
      </c>
      <c r="Q246" s="119">
        <f t="shared" si="32"/>
        <v>1</v>
      </c>
    </row>
    <row r="247" spans="2:17">
      <c r="B247" s="116"/>
      <c r="C247" s="116"/>
      <c r="D247" s="116"/>
      <c r="E247" s="116" cm="1">
        <f t="array" ref="E247">IF(H246&lt;&gt;"",E246,IF(E246="","",IFERROR(MATCH(TRUE(),INDEX(INDEX(K:K,E246+1):K203&lt;&gt;"",0),0)+E246,"")))</f>
        <v>389</v>
      </c>
      <c r="F247" s="117" cm="1">
        <f t="array" ref="F247">IF(E247="","",IF(H246&lt;&gt;"",H246,INDEX(D:D,E247)))</f>
        <v>0</v>
      </c>
      <c r="G247" s="117" t="str">
        <f t="shared" si="27"/>
        <v>0</v>
      </c>
      <c r="H247" s="118" t="str">
        <f t="shared" si="28"/>
        <v/>
      </c>
      <c r="I247" s="116" t="str">
        <f>IF(AND(F247&lt;&gt;"",N10&gt;0,M247&gt;N10),"Mot &gt; limite","")</f>
        <v/>
      </c>
      <c r="M247" s="70">
        <f>IF(OR(F247="",N10="",N10&lt;=0),"",IF(LEN(F247)&lt;=N10,LEN(F247),IFERROR(FIND("♦",SUBSTITUTE(LEFT(F247,N10)," ","♦",LEN(LEFT(F247,N10))-LEN(SUBSTITUTE(LEFT(F247,N10)," ","")))),FIND(" ",F247&amp;" ",N10+1)-1)))</f>
        <v>1</v>
      </c>
      <c r="N247" s="119">
        <f t="shared" si="29"/>
        <v>230</v>
      </c>
      <c r="O247" s="99" t="str">
        <f t="shared" si="30"/>
        <v>0</v>
      </c>
      <c r="P247" s="119">
        <f t="shared" si="31"/>
        <v>1</v>
      </c>
      <c r="Q247" s="119">
        <f t="shared" si="32"/>
        <v>1</v>
      </c>
    </row>
    <row r="248" spans="2:17">
      <c r="B248" s="116"/>
      <c r="C248" s="116"/>
      <c r="D248" s="116"/>
      <c r="E248" s="116" cm="1">
        <f t="array" ref="E248">IF(H247&lt;&gt;"",E247,IF(E247="","",IFERROR(MATCH(TRUE(),INDEX(INDEX(K:K,E247+1):K203&lt;&gt;"",0),0)+E247,"")))</f>
        <v>390</v>
      </c>
      <c r="F248" s="117" cm="1">
        <f t="array" ref="F248">IF(E248="","",IF(H247&lt;&gt;"",H247,INDEX(D:D,E248)))</f>
        <v>0</v>
      </c>
      <c r="G248" s="117" t="str">
        <f t="shared" si="27"/>
        <v>0</v>
      </c>
      <c r="H248" s="118" t="str">
        <f t="shared" si="28"/>
        <v/>
      </c>
      <c r="I248" s="116" t="str">
        <f>IF(AND(F248&lt;&gt;"",N10&gt;0,M248&gt;N10),"Mot &gt; limite","")</f>
        <v/>
      </c>
      <c r="M248" s="70">
        <f>IF(OR(F248="",N10="",N10&lt;=0),"",IF(LEN(F248)&lt;=N10,LEN(F248),IFERROR(FIND("♦",SUBSTITUTE(LEFT(F248,N10)," ","♦",LEN(LEFT(F248,N10))-LEN(SUBSTITUTE(LEFT(F248,N10)," ","")))),FIND(" ",F248&amp;" ",N10+1)-1)))</f>
        <v>1</v>
      </c>
      <c r="N248" s="119">
        <f t="shared" si="29"/>
        <v>231</v>
      </c>
      <c r="O248" s="99" t="str">
        <f t="shared" si="30"/>
        <v>0</v>
      </c>
      <c r="P248" s="119">
        <f t="shared" si="31"/>
        <v>1</v>
      </c>
      <c r="Q248" s="119">
        <f t="shared" si="32"/>
        <v>1</v>
      </c>
    </row>
    <row r="249" spans="2:17">
      <c r="B249" s="116"/>
      <c r="C249" s="116"/>
      <c r="D249" s="116"/>
      <c r="E249" s="116" cm="1">
        <f t="array" ref="E249">IF(H248&lt;&gt;"",E248,IF(E248="","",IFERROR(MATCH(TRUE(),INDEX(INDEX(K:K,E248+1):K203&lt;&gt;"",0),0)+E248,"")))</f>
        <v>391</v>
      </c>
      <c r="F249" s="117" cm="1">
        <f t="array" ref="F249">IF(E249="","",IF(H248&lt;&gt;"",H248,INDEX(D:D,E249)))</f>
        <v>0</v>
      </c>
      <c r="G249" s="117" t="str">
        <f t="shared" si="27"/>
        <v>0</v>
      </c>
      <c r="H249" s="118" t="str">
        <f t="shared" si="28"/>
        <v/>
      </c>
      <c r="I249" s="116" t="str">
        <f>IF(AND(F249&lt;&gt;"",N10&gt;0,M249&gt;N10),"Mot &gt; limite","")</f>
        <v/>
      </c>
      <c r="M249" s="70">
        <f>IF(OR(F249="",N10="",N10&lt;=0),"",IF(LEN(F249)&lt;=N10,LEN(F249),IFERROR(FIND("♦",SUBSTITUTE(LEFT(F249,N10)," ","♦",LEN(LEFT(F249,N10))-LEN(SUBSTITUTE(LEFT(F249,N10)," ","")))),FIND(" ",F249&amp;" ",N10+1)-1)))</f>
        <v>1</v>
      </c>
      <c r="N249" s="119">
        <f t="shared" si="29"/>
        <v>232</v>
      </c>
      <c r="O249" s="99" t="str">
        <f t="shared" si="30"/>
        <v>0</v>
      </c>
      <c r="P249" s="119">
        <f t="shared" si="31"/>
        <v>1</v>
      </c>
      <c r="Q249" s="119">
        <f t="shared" si="32"/>
        <v>1</v>
      </c>
    </row>
    <row r="250" spans="2:17">
      <c r="B250" s="116"/>
      <c r="C250" s="116"/>
      <c r="D250" s="116"/>
      <c r="E250" s="116" cm="1">
        <f t="array" ref="E250">IF(H249&lt;&gt;"",E249,IF(E249="","",IFERROR(MATCH(TRUE(),INDEX(INDEX(K:K,E249+1):K203&lt;&gt;"",0),0)+E249,"")))</f>
        <v>392</v>
      </c>
      <c r="F250" s="117" cm="1">
        <f t="array" ref="F250">IF(E250="","",IF(H249&lt;&gt;"",H249,INDEX(D:D,E250)))</f>
        <v>0</v>
      </c>
      <c r="G250" s="117" t="str">
        <f t="shared" si="27"/>
        <v>0</v>
      </c>
      <c r="H250" s="118" t="str">
        <f t="shared" si="28"/>
        <v/>
      </c>
      <c r="I250" s="116" t="str">
        <f>IF(AND(F250&lt;&gt;"",N10&gt;0,M250&gt;N10),"Mot &gt; limite","")</f>
        <v/>
      </c>
      <c r="M250" s="70">
        <f>IF(OR(F250="",N10="",N10&lt;=0),"",IF(LEN(F250)&lt;=N10,LEN(F250),IFERROR(FIND("♦",SUBSTITUTE(LEFT(F250,N10)," ","♦",LEN(LEFT(F250,N10))-LEN(SUBSTITUTE(LEFT(F250,N10)," ","")))),FIND(" ",F250&amp;" ",N10+1)-1)))</f>
        <v>1</v>
      </c>
      <c r="N250" s="119">
        <f t="shared" si="29"/>
        <v>233</v>
      </c>
      <c r="O250" s="99" t="str">
        <f t="shared" si="30"/>
        <v>0</v>
      </c>
      <c r="P250" s="119">
        <f t="shared" si="31"/>
        <v>1</v>
      </c>
      <c r="Q250" s="119">
        <f t="shared" si="32"/>
        <v>1</v>
      </c>
    </row>
    <row r="251" spans="2:17">
      <c r="B251" s="116"/>
      <c r="C251" s="116"/>
      <c r="D251" s="116"/>
      <c r="E251" s="116" cm="1">
        <f t="array" ref="E251">IF(H250&lt;&gt;"",E250,IF(E250="","",IFERROR(MATCH(TRUE(),INDEX(INDEX(K:K,E250+1):K203&lt;&gt;"",0),0)+E250,"")))</f>
        <v>393</v>
      </c>
      <c r="F251" s="117" cm="1">
        <f t="array" ref="F251">IF(E251="","",IF(H250&lt;&gt;"",H250,INDEX(D:D,E251)))</f>
        <v>0</v>
      </c>
      <c r="G251" s="117" t="str">
        <f t="shared" si="27"/>
        <v>0</v>
      </c>
      <c r="H251" s="118" t="str">
        <f t="shared" si="28"/>
        <v/>
      </c>
      <c r="I251" s="116" t="str">
        <f>IF(AND(F251&lt;&gt;"",N10&gt;0,M251&gt;N10),"Mot &gt; limite","")</f>
        <v/>
      </c>
      <c r="M251" s="70">
        <f>IF(OR(F251="",N10="",N10&lt;=0),"",IF(LEN(F251)&lt;=N10,LEN(F251),IFERROR(FIND("♦",SUBSTITUTE(LEFT(F251,N10)," ","♦",LEN(LEFT(F251,N10))-LEN(SUBSTITUTE(LEFT(F251,N10)," ","")))),FIND(" ",F251&amp;" ",N10+1)-1)))</f>
        <v>1</v>
      </c>
      <c r="N251" s="119">
        <f t="shared" si="29"/>
        <v>234</v>
      </c>
      <c r="O251" s="99" t="str">
        <f t="shared" si="30"/>
        <v>0</v>
      </c>
      <c r="P251" s="119">
        <f t="shared" si="31"/>
        <v>1</v>
      </c>
      <c r="Q251" s="119">
        <f t="shared" si="32"/>
        <v>1</v>
      </c>
    </row>
    <row r="252" spans="2:17">
      <c r="B252" s="116"/>
      <c r="C252" s="116"/>
      <c r="D252" s="116"/>
      <c r="E252" s="116" cm="1">
        <f t="array" ref="E252">IF(H251&lt;&gt;"",E251,IF(E251="","",IFERROR(MATCH(TRUE(),INDEX(INDEX(K:K,E251+1):K203&lt;&gt;"",0),0)+E251,"")))</f>
        <v>394</v>
      </c>
      <c r="F252" s="117" cm="1">
        <f t="array" ref="F252">IF(E252="","",IF(H251&lt;&gt;"",H251,INDEX(D:D,E252)))</f>
        <v>0</v>
      </c>
      <c r="G252" s="117" t="str">
        <f t="shared" si="27"/>
        <v>0</v>
      </c>
      <c r="H252" s="118" t="str">
        <f t="shared" si="28"/>
        <v/>
      </c>
      <c r="I252" s="116" t="str">
        <f>IF(AND(F252&lt;&gt;"",N10&gt;0,M252&gt;N10),"Mot &gt; limite","")</f>
        <v/>
      </c>
      <c r="M252" s="70">
        <f>IF(OR(F252="",N10="",N10&lt;=0),"",IF(LEN(F252)&lt;=N10,LEN(F252),IFERROR(FIND("♦",SUBSTITUTE(LEFT(F252,N10)," ","♦",LEN(LEFT(F252,N10))-LEN(SUBSTITUTE(LEFT(F252,N10)," ","")))),FIND(" ",F252&amp;" ",N10+1)-1)))</f>
        <v>1</v>
      </c>
      <c r="N252" s="119">
        <f t="shared" si="29"/>
        <v>235</v>
      </c>
      <c r="O252" s="99" t="str">
        <f t="shared" si="30"/>
        <v>0</v>
      </c>
      <c r="P252" s="119">
        <f t="shared" si="31"/>
        <v>1</v>
      </c>
      <c r="Q252" s="119">
        <f t="shared" si="32"/>
        <v>1</v>
      </c>
    </row>
    <row r="253" spans="2:17">
      <c r="B253" s="116"/>
      <c r="C253" s="116"/>
      <c r="D253" s="116"/>
      <c r="E253" s="116" cm="1">
        <f t="array" ref="E253">IF(H252&lt;&gt;"",E252,IF(E252="","",IFERROR(MATCH(TRUE(),INDEX(INDEX(K:K,E252+1):K203&lt;&gt;"",0),0)+E252,"")))</f>
        <v>395</v>
      </c>
      <c r="F253" s="117" cm="1">
        <f t="array" ref="F253">IF(E253="","",IF(H252&lt;&gt;"",H252,INDEX(D:D,E253)))</f>
        <v>0</v>
      </c>
      <c r="G253" s="117" t="str">
        <f t="shared" si="27"/>
        <v>0</v>
      </c>
      <c r="H253" s="118" t="str">
        <f t="shared" si="28"/>
        <v/>
      </c>
      <c r="I253" s="116" t="str">
        <f>IF(AND(F253&lt;&gt;"",N10&gt;0,M253&gt;N10),"Mot &gt; limite","")</f>
        <v/>
      </c>
      <c r="M253" s="70">
        <f>IF(OR(F253="",N10="",N10&lt;=0),"",IF(LEN(F253)&lt;=N10,LEN(F253),IFERROR(FIND("♦",SUBSTITUTE(LEFT(F253,N10)," ","♦",LEN(LEFT(F253,N10))-LEN(SUBSTITUTE(LEFT(F253,N10)," ","")))),FIND(" ",F253&amp;" ",N10+1)-1)))</f>
        <v>1</v>
      </c>
      <c r="N253" s="119">
        <f t="shared" si="29"/>
        <v>236</v>
      </c>
      <c r="O253" s="99" t="str">
        <f t="shared" si="30"/>
        <v>0</v>
      </c>
      <c r="P253" s="119">
        <f t="shared" si="31"/>
        <v>1</v>
      </c>
      <c r="Q253" s="119">
        <f t="shared" si="32"/>
        <v>1</v>
      </c>
    </row>
    <row r="254" spans="2:17">
      <c r="B254" s="116"/>
      <c r="C254" s="116"/>
      <c r="D254" s="116"/>
      <c r="E254" s="116" cm="1">
        <f t="array" ref="E254">IF(H253&lt;&gt;"",E253,IF(E253="","",IFERROR(MATCH(TRUE(),INDEX(INDEX(K:K,E253+1):K203&lt;&gt;"",0),0)+E253,"")))</f>
        <v>396</v>
      </c>
      <c r="F254" s="117" cm="1">
        <f t="array" ref="F254">IF(E254="","",IF(H253&lt;&gt;"",H253,INDEX(D:D,E254)))</f>
        <v>0</v>
      </c>
      <c r="G254" s="117" t="str">
        <f t="shared" si="27"/>
        <v>0</v>
      </c>
      <c r="H254" s="118" t="str">
        <f t="shared" si="28"/>
        <v/>
      </c>
      <c r="I254" s="116" t="str">
        <f>IF(AND(F254&lt;&gt;"",N10&gt;0,M254&gt;N10),"Mot &gt; limite","")</f>
        <v/>
      </c>
      <c r="M254" s="70">
        <f>IF(OR(F254="",N10="",N10&lt;=0),"",IF(LEN(F254)&lt;=N10,LEN(F254),IFERROR(FIND("♦",SUBSTITUTE(LEFT(F254,N10)," ","♦",LEN(LEFT(F254,N10))-LEN(SUBSTITUTE(LEFT(F254,N10)," ","")))),FIND(" ",F254&amp;" ",N10+1)-1)))</f>
        <v>1</v>
      </c>
      <c r="N254" s="119">
        <f t="shared" si="29"/>
        <v>237</v>
      </c>
      <c r="O254" s="99" t="str">
        <f t="shared" si="30"/>
        <v>0</v>
      </c>
      <c r="P254" s="119">
        <f t="shared" si="31"/>
        <v>1</v>
      </c>
      <c r="Q254" s="119">
        <f t="shared" si="32"/>
        <v>1</v>
      </c>
    </row>
    <row r="255" spans="2:17">
      <c r="B255" s="116"/>
      <c r="C255" s="116"/>
      <c r="D255" s="116"/>
      <c r="E255" s="116" cm="1">
        <f t="array" ref="E255">IF(H254&lt;&gt;"",E254,IF(E254="","",IFERROR(MATCH(TRUE(),INDEX(INDEX(K:K,E254+1):K203&lt;&gt;"",0),0)+E254,"")))</f>
        <v>397</v>
      </c>
      <c r="F255" s="117" cm="1">
        <f t="array" ref="F255">IF(E255="","",IF(H254&lt;&gt;"",H254,INDEX(D:D,E255)))</f>
        <v>0</v>
      </c>
      <c r="G255" s="117" t="str">
        <f t="shared" si="27"/>
        <v>0</v>
      </c>
      <c r="H255" s="118" t="str">
        <f t="shared" si="28"/>
        <v/>
      </c>
      <c r="I255" s="116" t="str">
        <f>IF(AND(F255&lt;&gt;"",N10&gt;0,M255&gt;N10),"Mot &gt; limite","")</f>
        <v/>
      </c>
      <c r="M255" s="70">
        <f>IF(OR(F255="",N10="",N10&lt;=0),"",IF(LEN(F255)&lt;=N10,LEN(F255),IFERROR(FIND("♦",SUBSTITUTE(LEFT(F255,N10)," ","♦",LEN(LEFT(F255,N10))-LEN(SUBSTITUTE(LEFT(F255,N10)," ","")))),FIND(" ",F255&amp;" ",N10+1)-1)))</f>
        <v>1</v>
      </c>
      <c r="N255" s="119">
        <f t="shared" si="29"/>
        <v>238</v>
      </c>
      <c r="O255" s="99" t="str">
        <f t="shared" si="30"/>
        <v>0</v>
      </c>
      <c r="P255" s="119">
        <f t="shared" si="31"/>
        <v>1</v>
      </c>
      <c r="Q255" s="119">
        <f t="shared" si="32"/>
        <v>1</v>
      </c>
    </row>
    <row r="256" spans="2:17">
      <c r="B256" s="116"/>
      <c r="C256" s="116"/>
      <c r="D256" s="116"/>
      <c r="E256" s="116" cm="1">
        <f t="array" ref="E256">IF(H255&lt;&gt;"",E255,IF(E255="","",IFERROR(MATCH(TRUE(),INDEX(INDEX(K:K,E255+1):K203&lt;&gt;"",0),0)+E255,"")))</f>
        <v>398</v>
      </c>
      <c r="F256" s="117" cm="1">
        <f t="array" ref="F256">IF(E256="","",IF(H255&lt;&gt;"",H255,INDEX(D:D,E256)))</f>
        <v>0</v>
      </c>
      <c r="G256" s="117" t="str">
        <f t="shared" si="27"/>
        <v>0</v>
      </c>
      <c r="H256" s="118" t="str">
        <f t="shared" si="28"/>
        <v/>
      </c>
      <c r="I256" s="116" t="str">
        <f>IF(AND(F256&lt;&gt;"",N10&gt;0,M256&gt;N10),"Mot &gt; limite","")</f>
        <v/>
      </c>
      <c r="M256" s="70">
        <f>IF(OR(F256="",N10="",N10&lt;=0),"",IF(LEN(F256)&lt;=N10,LEN(F256),IFERROR(FIND("♦",SUBSTITUTE(LEFT(F256,N10)," ","♦",LEN(LEFT(F256,N10))-LEN(SUBSTITUTE(LEFT(F256,N10)," ","")))),FIND(" ",F256&amp;" ",N10+1)-1)))</f>
        <v>1</v>
      </c>
      <c r="N256" s="119">
        <f t="shared" si="29"/>
        <v>239</v>
      </c>
      <c r="O256" s="99" t="str">
        <f t="shared" si="30"/>
        <v>0</v>
      </c>
      <c r="P256" s="119">
        <f t="shared" si="31"/>
        <v>1</v>
      </c>
      <c r="Q256" s="119">
        <f t="shared" si="32"/>
        <v>1</v>
      </c>
    </row>
    <row r="257" spans="2:17">
      <c r="B257" s="116"/>
      <c r="C257" s="116"/>
      <c r="D257" s="116"/>
      <c r="E257" s="116" cm="1">
        <f t="array" ref="E257">IF(H256&lt;&gt;"",E256,IF(E256="","",IFERROR(MATCH(TRUE(),INDEX(INDEX(K:K,E256+1):K203&lt;&gt;"",0),0)+E256,"")))</f>
        <v>399</v>
      </c>
      <c r="F257" s="117" cm="1">
        <f t="array" ref="F257">IF(E257="","",IF(H256&lt;&gt;"",H256,INDEX(D:D,E257)))</f>
        <v>0</v>
      </c>
      <c r="G257" s="117" t="str">
        <f t="shared" si="27"/>
        <v>0</v>
      </c>
      <c r="H257" s="118" t="str">
        <f t="shared" si="28"/>
        <v/>
      </c>
      <c r="I257" s="116" t="str">
        <f>IF(AND(F257&lt;&gt;"",N10&gt;0,M257&gt;N10),"Mot &gt; limite","")</f>
        <v/>
      </c>
      <c r="M257" s="70">
        <f>IF(OR(F257="",N10="",N10&lt;=0),"",IF(LEN(F257)&lt;=N10,LEN(F257),IFERROR(FIND("♦",SUBSTITUTE(LEFT(F257,N10)," ","♦",LEN(LEFT(F257,N10))-LEN(SUBSTITUTE(LEFT(F257,N10)," ","")))),FIND(" ",F257&amp;" ",N10+1)-1)))</f>
        <v>1</v>
      </c>
      <c r="N257" s="119">
        <f t="shared" si="29"/>
        <v>240</v>
      </c>
      <c r="O257" s="99" t="str">
        <f t="shared" si="30"/>
        <v>0</v>
      </c>
      <c r="P257" s="119">
        <f t="shared" si="31"/>
        <v>1</v>
      </c>
      <c r="Q257" s="119">
        <f t="shared" si="32"/>
        <v>1</v>
      </c>
    </row>
    <row r="258" spans="2:17">
      <c r="B258" s="116"/>
      <c r="C258" s="116"/>
      <c r="D258" s="116"/>
      <c r="E258" s="116" cm="1">
        <f t="array" ref="E258">IF(H257&lt;&gt;"",E257,IF(E257="","",IFERROR(MATCH(TRUE(),INDEX(INDEX(K:K,E257+1):K203&lt;&gt;"",0),0)+E257,"")))</f>
        <v>400</v>
      </c>
      <c r="F258" s="117" cm="1">
        <f t="array" ref="F258">IF(E258="","",IF(H257&lt;&gt;"",H257,INDEX(D:D,E258)))</f>
        <v>0</v>
      </c>
      <c r="G258" s="117" t="str">
        <f t="shared" si="27"/>
        <v>0</v>
      </c>
      <c r="H258" s="118" t="str">
        <f t="shared" si="28"/>
        <v/>
      </c>
      <c r="I258" s="116" t="str">
        <f>IF(AND(F258&lt;&gt;"",N10&gt;0,M258&gt;N10),"Mot &gt; limite","")</f>
        <v/>
      </c>
      <c r="M258" s="70">
        <f>IF(OR(F258="",N10="",N10&lt;=0),"",IF(LEN(F258)&lt;=N10,LEN(F258),IFERROR(FIND("♦",SUBSTITUTE(LEFT(F258,N10)," ","♦",LEN(LEFT(F258,N10))-LEN(SUBSTITUTE(LEFT(F258,N10)," ","")))),FIND(" ",F258&amp;" ",N10+1)-1)))</f>
        <v>1</v>
      </c>
      <c r="N258" s="119">
        <f t="shared" si="29"/>
        <v>241</v>
      </c>
      <c r="O258" s="99" t="str">
        <f t="shared" si="30"/>
        <v>0</v>
      </c>
      <c r="P258" s="119">
        <f t="shared" si="31"/>
        <v>1</v>
      </c>
      <c r="Q258" s="119">
        <f t="shared" si="32"/>
        <v>1</v>
      </c>
    </row>
    <row r="259" spans="2:17">
      <c r="B259" s="116"/>
      <c r="C259" s="116"/>
      <c r="D259" s="116"/>
      <c r="E259" s="116" cm="1">
        <f t="array" ref="E259">IF(H258&lt;&gt;"",E258,IF(E258="","",IFERROR(MATCH(TRUE(),INDEX(INDEX(K:K,E258+1):K203&lt;&gt;"",0),0)+E258,"")))</f>
        <v>401</v>
      </c>
      <c r="F259" s="117" cm="1">
        <f t="array" ref="F259">IF(E259="","",IF(H258&lt;&gt;"",H258,INDEX(D:D,E259)))</f>
        <v>0</v>
      </c>
      <c r="G259" s="117" t="str">
        <f t="shared" si="27"/>
        <v>0</v>
      </c>
      <c r="H259" s="118" t="str">
        <f t="shared" si="28"/>
        <v/>
      </c>
      <c r="I259" s="116" t="str">
        <f>IF(AND(F259&lt;&gt;"",N10&gt;0,M259&gt;N10),"Mot &gt; limite","")</f>
        <v/>
      </c>
      <c r="M259" s="70">
        <f>IF(OR(F259="",N10="",N10&lt;=0),"",IF(LEN(F259)&lt;=N10,LEN(F259),IFERROR(FIND("♦",SUBSTITUTE(LEFT(F259,N10)," ","♦",LEN(LEFT(F259,N10))-LEN(SUBSTITUTE(LEFT(F259,N10)," ","")))),FIND(" ",F259&amp;" ",N10+1)-1)))</f>
        <v>1</v>
      </c>
      <c r="N259" s="119">
        <f t="shared" si="29"/>
        <v>242</v>
      </c>
      <c r="O259" s="99" t="str">
        <f t="shared" si="30"/>
        <v>0</v>
      </c>
      <c r="P259" s="119">
        <f t="shared" si="31"/>
        <v>1</v>
      </c>
      <c r="Q259" s="119">
        <f t="shared" si="32"/>
        <v>1</v>
      </c>
    </row>
    <row r="260" spans="2:17">
      <c r="B260" s="116"/>
      <c r="C260" s="116"/>
      <c r="D260" s="116"/>
      <c r="E260" s="116" cm="1">
        <f t="array" ref="E260">IF(H259&lt;&gt;"",E259,IF(E259="","",IFERROR(MATCH(TRUE(),INDEX(INDEX(K:K,E259+1):K203&lt;&gt;"",0),0)+E259,"")))</f>
        <v>402</v>
      </c>
      <c r="F260" s="117" cm="1">
        <f t="array" ref="F260">IF(E260="","",IF(H259&lt;&gt;"",H259,INDEX(D:D,E260)))</f>
        <v>0</v>
      </c>
      <c r="G260" s="117" t="str">
        <f t="shared" si="27"/>
        <v>0</v>
      </c>
      <c r="H260" s="118" t="str">
        <f t="shared" si="28"/>
        <v/>
      </c>
      <c r="I260" s="116" t="str">
        <f>IF(AND(F260&lt;&gt;"",N10&gt;0,M260&gt;N10),"Mot &gt; limite","")</f>
        <v/>
      </c>
      <c r="M260" s="70">
        <f>IF(OR(F260="",N10="",N10&lt;=0),"",IF(LEN(F260)&lt;=N10,LEN(F260),IFERROR(FIND("♦",SUBSTITUTE(LEFT(F260,N10)," ","♦",LEN(LEFT(F260,N10))-LEN(SUBSTITUTE(LEFT(F260,N10)," ","")))),FIND(" ",F260&amp;" ",N10+1)-1)))</f>
        <v>1</v>
      </c>
      <c r="N260" s="119">
        <f t="shared" si="29"/>
        <v>243</v>
      </c>
      <c r="O260" s="99" t="str">
        <f t="shared" si="30"/>
        <v>0</v>
      </c>
      <c r="P260" s="119">
        <f t="shared" si="31"/>
        <v>1</v>
      </c>
      <c r="Q260" s="119">
        <f t="shared" si="32"/>
        <v>1</v>
      </c>
    </row>
    <row r="261" spans="2:17">
      <c r="B261" s="116"/>
      <c r="C261" s="116"/>
      <c r="D261" s="116"/>
      <c r="E261" s="116" cm="1">
        <f t="array" ref="E261">IF(H260&lt;&gt;"",E260,IF(E260="","",IFERROR(MATCH(TRUE(),INDEX(INDEX(K:K,E260+1):K203&lt;&gt;"",0),0)+E260,"")))</f>
        <v>403</v>
      </c>
      <c r="F261" s="117" cm="1">
        <f t="array" ref="F261">IF(E261="","",IF(H260&lt;&gt;"",H260,INDEX(D:D,E261)))</f>
        <v>0</v>
      </c>
      <c r="G261" s="117" t="str">
        <f t="shared" si="27"/>
        <v>0</v>
      </c>
      <c r="H261" s="118" t="str">
        <f t="shared" si="28"/>
        <v/>
      </c>
      <c r="I261" s="116" t="str">
        <f>IF(AND(F261&lt;&gt;"",N10&gt;0,M261&gt;N10),"Mot &gt; limite","")</f>
        <v/>
      </c>
      <c r="M261" s="70">
        <f>IF(OR(F261="",N10="",N10&lt;=0),"",IF(LEN(F261)&lt;=N10,LEN(F261),IFERROR(FIND("♦",SUBSTITUTE(LEFT(F261,N10)," ","♦",LEN(LEFT(F261,N10))-LEN(SUBSTITUTE(LEFT(F261,N10)," ","")))),FIND(" ",F261&amp;" ",N10+1)-1)))</f>
        <v>1</v>
      </c>
      <c r="N261" s="119">
        <f t="shared" si="29"/>
        <v>244</v>
      </c>
      <c r="O261" s="99" t="str">
        <f t="shared" si="30"/>
        <v>0</v>
      </c>
      <c r="P261" s="119">
        <f t="shared" si="31"/>
        <v>1</v>
      </c>
      <c r="Q261" s="119">
        <f t="shared" si="32"/>
        <v>1</v>
      </c>
    </row>
    <row r="262" spans="2:17">
      <c r="B262" s="116"/>
      <c r="C262" s="116"/>
      <c r="D262" s="116"/>
      <c r="E262" s="116" cm="1">
        <f t="array" ref="E262">IF(H261&lt;&gt;"",E261,IF(E261="","",IFERROR(MATCH(TRUE(),INDEX(INDEX(K:K,E261+1):K203&lt;&gt;"",0),0)+E261,"")))</f>
        <v>404</v>
      </c>
      <c r="F262" s="117" cm="1">
        <f t="array" ref="F262">IF(E262="","",IF(H261&lt;&gt;"",H261,INDEX(D:D,E262)))</f>
        <v>0</v>
      </c>
      <c r="G262" s="117" t="str">
        <f t="shared" si="27"/>
        <v>0</v>
      </c>
      <c r="H262" s="118" t="str">
        <f t="shared" si="28"/>
        <v/>
      </c>
      <c r="I262" s="116" t="str">
        <f>IF(AND(F262&lt;&gt;"",N10&gt;0,M262&gt;N10),"Mot &gt; limite","")</f>
        <v/>
      </c>
      <c r="M262" s="70">
        <f>IF(OR(F262="",N10="",N10&lt;=0),"",IF(LEN(F262)&lt;=N10,LEN(F262),IFERROR(FIND("♦",SUBSTITUTE(LEFT(F262,N10)," ","♦",LEN(LEFT(F262,N10))-LEN(SUBSTITUTE(LEFT(F262,N10)," ","")))),FIND(" ",F262&amp;" ",N10+1)-1)))</f>
        <v>1</v>
      </c>
      <c r="N262" s="119">
        <f t="shared" si="29"/>
        <v>245</v>
      </c>
      <c r="O262" s="99" t="str">
        <f t="shared" si="30"/>
        <v>0</v>
      </c>
      <c r="P262" s="119">
        <f t="shared" si="31"/>
        <v>1</v>
      </c>
      <c r="Q262" s="119">
        <f t="shared" si="32"/>
        <v>1</v>
      </c>
    </row>
    <row r="263" spans="2:17">
      <c r="B263" s="116"/>
      <c r="C263" s="116"/>
      <c r="D263" s="116"/>
      <c r="E263" s="116" cm="1">
        <f t="array" ref="E263">IF(H262&lt;&gt;"",E262,IF(E262="","",IFERROR(MATCH(TRUE(),INDEX(INDEX(K:K,E262+1):K203&lt;&gt;"",0),0)+E262,"")))</f>
        <v>405</v>
      </c>
      <c r="F263" s="117" cm="1">
        <f t="array" ref="F263">IF(E263="","",IF(H262&lt;&gt;"",H262,INDEX(D:D,E263)))</f>
        <v>0</v>
      </c>
      <c r="G263" s="117" t="str">
        <f t="shared" si="27"/>
        <v>0</v>
      </c>
      <c r="H263" s="118" t="str">
        <f t="shared" si="28"/>
        <v/>
      </c>
      <c r="I263" s="116" t="str">
        <f>IF(AND(F263&lt;&gt;"",N10&gt;0,M263&gt;N10),"Mot &gt; limite","")</f>
        <v/>
      </c>
      <c r="M263" s="70">
        <f>IF(OR(F263="",N10="",N10&lt;=0),"",IF(LEN(F263)&lt;=N10,LEN(F263),IFERROR(FIND("♦",SUBSTITUTE(LEFT(F263,N10)," ","♦",LEN(LEFT(F263,N10))-LEN(SUBSTITUTE(LEFT(F263,N10)," ","")))),FIND(" ",F263&amp;" ",N10+1)-1)))</f>
        <v>1</v>
      </c>
      <c r="N263" s="119">
        <f t="shared" si="29"/>
        <v>246</v>
      </c>
      <c r="O263" s="99" t="str">
        <f t="shared" si="30"/>
        <v>0</v>
      </c>
      <c r="P263" s="119">
        <f t="shared" si="31"/>
        <v>1</v>
      </c>
      <c r="Q263" s="119">
        <f t="shared" si="32"/>
        <v>1</v>
      </c>
    </row>
    <row r="264" spans="2:17">
      <c r="B264" s="116"/>
      <c r="C264" s="116"/>
      <c r="D264" s="116"/>
      <c r="E264" s="116" cm="1">
        <f t="array" ref="E264">IF(H263&lt;&gt;"",E263,IF(E263="","",IFERROR(MATCH(TRUE(),INDEX(INDEX(K:K,E263+1):K203&lt;&gt;"",0),0)+E263,"")))</f>
        <v>406</v>
      </c>
      <c r="F264" s="117" cm="1">
        <f t="array" ref="F264">IF(E264="","",IF(H263&lt;&gt;"",H263,INDEX(D:D,E264)))</f>
        <v>0</v>
      </c>
      <c r="G264" s="117" t="str">
        <f t="shared" si="27"/>
        <v>0</v>
      </c>
      <c r="H264" s="118" t="str">
        <f t="shared" si="28"/>
        <v/>
      </c>
      <c r="I264" s="116" t="str">
        <f>IF(AND(F264&lt;&gt;"",N10&gt;0,M264&gt;N10),"Mot &gt; limite","")</f>
        <v/>
      </c>
      <c r="M264" s="70">
        <f>IF(OR(F264="",N10="",N10&lt;=0),"",IF(LEN(F264)&lt;=N10,LEN(F264),IFERROR(FIND("♦",SUBSTITUTE(LEFT(F264,N10)," ","♦",LEN(LEFT(F264,N10))-LEN(SUBSTITUTE(LEFT(F264,N10)," ","")))),FIND(" ",F264&amp;" ",N10+1)-1)))</f>
        <v>1</v>
      </c>
      <c r="N264" s="119">
        <f t="shared" si="29"/>
        <v>247</v>
      </c>
      <c r="O264" s="99" t="str">
        <f t="shared" si="30"/>
        <v>0</v>
      </c>
      <c r="P264" s="119">
        <f t="shared" si="31"/>
        <v>1</v>
      </c>
      <c r="Q264" s="119">
        <f t="shared" si="32"/>
        <v>1</v>
      </c>
    </row>
    <row r="265" spans="2:17">
      <c r="B265" s="116"/>
      <c r="C265" s="116"/>
      <c r="D265" s="116"/>
      <c r="E265" s="116" cm="1">
        <f t="array" ref="E265">IF(H264&lt;&gt;"",E264,IF(E264="","",IFERROR(MATCH(TRUE(),INDEX(INDEX(K:K,E264+1):K203&lt;&gt;"",0),0)+E264,"")))</f>
        <v>407</v>
      </c>
      <c r="F265" s="117" cm="1">
        <f t="array" ref="F265">IF(E265="","",IF(H264&lt;&gt;"",H264,INDEX(D:D,E265)))</f>
        <v>0</v>
      </c>
      <c r="G265" s="117" t="str">
        <f t="shared" si="27"/>
        <v>0</v>
      </c>
      <c r="H265" s="118" t="str">
        <f t="shared" si="28"/>
        <v/>
      </c>
      <c r="I265" s="116" t="str">
        <f>IF(AND(F265&lt;&gt;"",N10&gt;0,M265&gt;N10),"Mot &gt; limite","")</f>
        <v/>
      </c>
      <c r="M265" s="70">
        <f>IF(OR(F265="",N10="",N10&lt;=0),"",IF(LEN(F265)&lt;=N10,LEN(F265),IFERROR(FIND("♦",SUBSTITUTE(LEFT(F265,N10)," ","♦",LEN(LEFT(F265,N10))-LEN(SUBSTITUTE(LEFT(F265,N10)," ","")))),FIND(" ",F265&amp;" ",N10+1)-1)))</f>
        <v>1</v>
      </c>
      <c r="N265" s="119">
        <f t="shared" si="29"/>
        <v>248</v>
      </c>
      <c r="O265" s="99" t="str">
        <f t="shared" si="30"/>
        <v>0</v>
      </c>
      <c r="P265" s="119">
        <f t="shared" si="31"/>
        <v>1</v>
      </c>
      <c r="Q265" s="119">
        <f t="shared" si="32"/>
        <v>1</v>
      </c>
    </row>
    <row r="266" spans="2:17">
      <c r="B266" s="116"/>
      <c r="C266" s="116"/>
      <c r="D266" s="116"/>
      <c r="E266" s="116" cm="1">
        <f t="array" ref="E266">IF(H265&lt;&gt;"",E265,IF(E265="","",IFERROR(MATCH(TRUE(),INDEX(INDEX(K:K,E265+1):K203&lt;&gt;"",0),0)+E265,"")))</f>
        <v>408</v>
      </c>
      <c r="F266" s="117" cm="1">
        <f t="array" ref="F266">IF(E266="","",IF(H265&lt;&gt;"",H265,INDEX(D:D,E266)))</f>
        <v>0</v>
      </c>
      <c r="G266" s="117" t="str">
        <f t="shared" si="27"/>
        <v>0</v>
      </c>
      <c r="H266" s="118" t="str">
        <f t="shared" si="28"/>
        <v/>
      </c>
      <c r="I266" s="116" t="str">
        <f>IF(AND(F266&lt;&gt;"",N10&gt;0,M266&gt;N10),"Mot &gt; limite","")</f>
        <v/>
      </c>
      <c r="M266" s="70">
        <f>IF(OR(F266="",N10="",N10&lt;=0),"",IF(LEN(F266)&lt;=N10,LEN(F266),IFERROR(FIND("♦",SUBSTITUTE(LEFT(F266,N10)," ","♦",LEN(LEFT(F266,N10))-LEN(SUBSTITUTE(LEFT(F266,N10)," ","")))),FIND(" ",F266&amp;" ",N10+1)-1)))</f>
        <v>1</v>
      </c>
      <c r="N266" s="119">
        <f t="shared" si="29"/>
        <v>249</v>
      </c>
      <c r="O266" s="99" t="str">
        <f t="shared" si="30"/>
        <v>0</v>
      </c>
      <c r="P266" s="119">
        <f t="shared" si="31"/>
        <v>1</v>
      </c>
      <c r="Q266" s="119">
        <f t="shared" si="32"/>
        <v>1</v>
      </c>
    </row>
    <row r="267" spans="2:17">
      <c r="B267" s="116"/>
      <c r="C267" s="116"/>
      <c r="D267" s="116"/>
      <c r="E267" s="116" cm="1">
        <f t="array" ref="E267">IF(H266&lt;&gt;"",E266,IF(E266="","",IFERROR(MATCH(TRUE(),INDEX(INDEX(K:K,E266+1):K203&lt;&gt;"",0),0)+E266,"")))</f>
        <v>409</v>
      </c>
      <c r="F267" s="117" cm="1">
        <f t="array" ref="F267">IF(E267="","",IF(H266&lt;&gt;"",H266,INDEX(D:D,E267)))</f>
        <v>0</v>
      </c>
      <c r="G267" s="117" t="str">
        <f t="shared" si="27"/>
        <v>0</v>
      </c>
      <c r="H267" s="118" t="str">
        <f t="shared" si="28"/>
        <v/>
      </c>
      <c r="I267" s="116" t="str">
        <f>IF(AND(F267&lt;&gt;"",N10&gt;0,M267&gt;N10),"Mot &gt; limite","")</f>
        <v/>
      </c>
      <c r="M267" s="70">
        <f>IF(OR(F267="",N10="",N10&lt;=0),"",IF(LEN(F267)&lt;=N10,LEN(F267),IFERROR(FIND("♦",SUBSTITUTE(LEFT(F267,N10)," ","♦",LEN(LEFT(F267,N10))-LEN(SUBSTITUTE(LEFT(F267,N10)," ","")))),FIND(" ",F267&amp;" ",N10+1)-1)))</f>
        <v>1</v>
      </c>
      <c r="N267" s="119">
        <f t="shared" si="29"/>
        <v>250</v>
      </c>
      <c r="O267" s="99" t="str">
        <f t="shared" si="30"/>
        <v>0</v>
      </c>
      <c r="P267" s="119">
        <f t="shared" si="31"/>
        <v>1</v>
      </c>
      <c r="Q267" s="119">
        <f t="shared" si="32"/>
        <v>1</v>
      </c>
    </row>
    <row r="268" spans="2:17">
      <c r="B268" s="116"/>
      <c r="C268" s="116"/>
      <c r="D268" s="116"/>
      <c r="E268" s="116" cm="1">
        <f t="array" ref="E268">IF(H267&lt;&gt;"",E267,IF(E267="","",IFERROR(MATCH(TRUE(),INDEX(INDEX(K:K,E267+1):K203&lt;&gt;"",0),0)+E267,"")))</f>
        <v>410</v>
      </c>
      <c r="F268" s="117" cm="1">
        <f t="array" ref="F268">IF(E268="","",IF(H267&lt;&gt;"",H267,INDEX(D:D,E268)))</f>
        <v>0</v>
      </c>
      <c r="G268" s="117" t="str">
        <f t="shared" si="27"/>
        <v>0</v>
      </c>
      <c r="H268" s="118" t="str">
        <f t="shared" si="28"/>
        <v/>
      </c>
      <c r="I268" s="116" t="str">
        <f>IF(AND(F268&lt;&gt;"",N10&gt;0,M268&gt;N10),"Mot &gt; limite","")</f>
        <v/>
      </c>
      <c r="M268" s="70">
        <f>IF(OR(F268="",N10="",N10&lt;=0),"",IF(LEN(F268)&lt;=N10,LEN(F268),IFERROR(FIND("♦",SUBSTITUTE(LEFT(F268,N10)," ","♦",LEN(LEFT(F268,N10))-LEN(SUBSTITUTE(LEFT(F268,N10)," ","")))),FIND(" ",F268&amp;" ",N10+1)-1)))</f>
        <v>1</v>
      </c>
      <c r="N268" s="119">
        <f t="shared" si="29"/>
        <v>251</v>
      </c>
      <c r="O268" s="99" t="str">
        <f t="shared" si="30"/>
        <v>0</v>
      </c>
      <c r="P268" s="119">
        <f t="shared" si="31"/>
        <v>1</v>
      </c>
      <c r="Q268" s="119">
        <f t="shared" si="32"/>
        <v>1</v>
      </c>
    </row>
    <row r="269" spans="2:17">
      <c r="B269" s="116"/>
      <c r="C269" s="116"/>
      <c r="D269" s="116"/>
      <c r="E269" s="116" cm="1">
        <f t="array" ref="E269">IF(H268&lt;&gt;"",E268,IF(E268="","",IFERROR(MATCH(TRUE(),INDEX(INDEX(K:K,E268+1):K203&lt;&gt;"",0),0)+E268,"")))</f>
        <v>411</v>
      </c>
      <c r="F269" s="117" cm="1">
        <f t="array" ref="F269">IF(E269="","",IF(H268&lt;&gt;"",H268,INDEX(D:D,E269)))</f>
        <v>0</v>
      </c>
      <c r="G269" s="117" t="str">
        <f t="shared" si="27"/>
        <v>0</v>
      </c>
      <c r="H269" s="118" t="str">
        <f t="shared" si="28"/>
        <v/>
      </c>
      <c r="I269" s="116" t="str">
        <f>IF(AND(F269&lt;&gt;"",N10&gt;0,M269&gt;N10),"Mot &gt; limite","")</f>
        <v/>
      </c>
      <c r="M269" s="70">
        <f>IF(OR(F269="",N10="",N10&lt;=0),"",IF(LEN(F269)&lt;=N10,LEN(F269),IFERROR(FIND("♦",SUBSTITUTE(LEFT(F269,N10)," ","♦",LEN(LEFT(F269,N10))-LEN(SUBSTITUTE(LEFT(F269,N10)," ","")))),FIND(" ",F269&amp;" ",N10+1)-1)))</f>
        <v>1</v>
      </c>
      <c r="N269" s="119">
        <f t="shared" si="29"/>
        <v>252</v>
      </c>
      <c r="O269" s="99" t="str">
        <f t="shared" si="30"/>
        <v>0</v>
      </c>
      <c r="P269" s="119">
        <f t="shared" si="31"/>
        <v>1</v>
      </c>
      <c r="Q269" s="119">
        <f t="shared" si="32"/>
        <v>1</v>
      </c>
    </row>
    <row r="270" spans="2:17">
      <c r="B270" s="116"/>
      <c r="C270" s="116"/>
      <c r="D270" s="116"/>
      <c r="E270" s="116" cm="1">
        <f t="array" ref="E270">IF(H269&lt;&gt;"",E269,IF(E269="","",IFERROR(MATCH(TRUE(),INDEX(INDEX(K:K,E269+1):K203&lt;&gt;"",0),0)+E269,"")))</f>
        <v>412</v>
      </c>
      <c r="F270" s="117" cm="1">
        <f t="array" ref="F270">IF(E270="","",IF(H269&lt;&gt;"",H269,INDEX(D:D,E270)))</f>
        <v>0</v>
      </c>
      <c r="G270" s="117" t="str">
        <f t="shared" si="27"/>
        <v>0</v>
      </c>
      <c r="H270" s="118" t="str">
        <f t="shared" si="28"/>
        <v/>
      </c>
      <c r="I270" s="116" t="str">
        <f>IF(AND(F270&lt;&gt;"",N10&gt;0,M270&gt;N10),"Mot &gt; limite","")</f>
        <v/>
      </c>
      <c r="M270" s="70">
        <f>IF(OR(F270="",N10="",N10&lt;=0),"",IF(LEN(F270)&lt;=N10,LEN(F270),IFERROR(FIND("♦",SUBSTITUTE(LEFT(F270,N10)," ","♦",LEN(LEFT(F270,N10))-LEN(SUBSTITUTE(LEFT(F270,N10)," ","")))),FIND(" ",F270&amp;" ",N10+1)-1)))</f>
        <v>1</v>
      </c>
      <c r="N270" s="119">
        <f t="shared" si="29"/>
        <v>253</v>
      </c>
      <c r="O270" s="99" t="str">
        <f t="shared" si="30"/>
        <v>0</v>
      </c>
      <c r="P270" s="119">
        <f t="shared" si="31"/>
        <v>1</v>
      </c>
      <c r="Q270" s="119">
        <f t="shared" si="32"/>
        <v>1</v>
      </c>
    </row>
    <row r="271" spans="2:17">
      <c r="B271" s="116"/>
      <c r="C271" s="116"/>
      <c r="D271" s="116"/>
      <c r="E271" s="116" cm="1">
        <f t="array" ref="E271">IF(H270&lt;&gt;"",E270,IF(E270="","",IFERROR(MATCH(TRUE(),INDEX(INDEX(K:K,E270+1):K203&lt;&gt;"",0),0)+E270,"")))</f>
        <v>413</v>
      </c>
      <c r="F271" s="117" cm="1">
        <f t="array" ref="F271">IF(E271="","",IF(H270&lt;&gt;"",H270,INDEX(D:D,E271)))</f>
        <v>0</v>
      </c>
      <c r="G271" s="117" t="str">
        <f t="shared" si="27"/>
        <v>0</v>
      </c>
      <c r="H271" s="118" t="str">
        <f t="shared" si="28"/>
        <v/>
      </c>
      <c r="I271" s="116" t="str">
        <f>IF(AND(F271&lt;&gt;"",N10&gt;0,M271&gt;N10),"Mot &gt; limite","")</f>
        <v/>
      </c>
      <c r="M271" s="70">
        <f>IF(OR(F271="",N10="",N10&lt;=0),"",IF(LEN(F271)&lt;=N10,LEN(F271),IFERROR(FIND("♦",SUBSTITUTE(LEFT(F271,N10)," ","♦",LEN(LEFT(F271,N10))-LEN(SUBSTITUTE(LEFT(F271,N10)," ","")))),FIND(" ",F271&amp;" ",N10+1)-1)))</f>
        <v>1</v>
      </c>
      <c r="N271" s="119">
        <f t="shared" si="29"/>
        <v>254</v>
      </c>
      <c r="O271" s="99" t="str">
        <f t="shared" si="30"/>
        <v>0</v>
      </c>
      <c r="P271" s="119">
        <f t="shared" si="31"/>
        <v>1</v>
      </c>
      <c r="Q271" s="119">
        <f t="shared" si="32"/>
        <v>1</v>
      </c>
    </row>
    <row r="272" spans="2:17">
      <c r="B272" s="116"/>
      <c r="C272" s="116"/>
      <c r="D272" s="116"/>
      <c r="E272" s="116" cm="1">
        <f t="array" ref="E272">IF(H271&lt;&gt;"",E271,IF(E271="","",IFERROR(MATCH(TRUE(),INDEX(INDEX(K:K,E271+1):K203&lt;&gt;"",0),0)+E271,"")))</f>
        <v>414</v>
      </c>
      <c r="F272" s="117" cm="1">
        <f t="array" ref="F272">IF(E272="","",IF(H271&lt;&gt;"",H271,INDEX(D:D,E272)))</f>
        <v>0</v>
      </c>
      <c r="G272" s="117" t="str">
        <f t="shared" si="27"/>
        <v>0</v>
      </c>
      <c r="H272" s="118" t="str">
        <f t="shared" si="28"/>
        <v/>
      </c>
      <c r="I272" s="116" t="str">
        <f>IF(AND(F272&lt;&gt;"",N10&gt;0,M272&gt;N10),"Mot &gt; limite","")</f>
        <v/>
      </c>
      <c r="M272" s="70">
        <f>IF(OR(F272="",N10="",N10&lt;=0),"",IF(LEN(F272)&lt;=N10,LEN(F272),IFERROR(FIND("♦",SUBSTITUTE(LEFT(F272,N10)," ","♦",LEN(LEFT(F272,N10))-LEN(SUBSTITUTE(LEFT(F272,N10)," ","")))),FIND(" ",F272&amp;" ",N10+1)-1)))</f>
        <v>1</v>
      </c>
      <c r="N272" s="119">
        <f t="shared" si="29"/>
        <v>255</v>
      </c>
      <c r="O272" s="99" t="str">
        <f t="shared" si="30"/>
        <v>0</v>
      </c>
      <c r="P272" s="119">
        <f t="shared" si="31"/>
        <v>1</v>
      </c>
      <c r="Q272" s="119">
        <f t="shared" si="32"/>
        <v>1</v>
      </c>
    </row>
    <row r="273" spans="2:17">
      <c r="B273" s="116"/>
      <c r="C273" s="116"/>
      <c r="D273" s="116"/>
      <c r="E273" s="116" cm="1">
        <f t="array" ref="E273">IF(H272&lt;&gt;"",E272,IF(E272="","",IFERROR(MATCH(TRUE(),INDEX(INDEX(K:K,E272+1):K203&lt;&gt;"",0),0)+E272,"")))</f>
        <v>415</v>
      </c>
      <c r="F273" s="117" cm="1">
        <f t="array" ref="F273">IF(E273="","",IF(H272&lt;&gt;"",H272,INDEX(D:D,E273)))</f>
        <v>0</v>
      </c>
      <c r="G273" s="117" t="str">
        <f t="shared" si="27"/>
        <v>0</v>
      </c>
      <c r="H273" s="118" t="str">
        <f t="shared" si="28"/>
        <v/>
      </c>
      <c r="I273" s="116" t="str">
        <f>IF(AND(F273&lt;&gt;"",N10&gt;0,M273&gt;N10),"Mot &gt; limite","")</f>
        <v/>
      </c>
      <c r="M273" s="70">
        <f>IF(OR(F273="",N10="",N10&lt;=0),"",IF(LEN(F273)&lt;=N10,LEN(F273),IFERROR(FIND("♦",SUBSTITUTE(LEFT(F273,N10)," ","♦",LEN(LEFT(F273,N10))-LEN(SUBSTITUTE(LEFT(F273,N10)," ","")))),FIND(" ",F273&amp;" ",N10+1)-1)))</f>
        <v>1</v>
      </c>
      <c r="N273" s="119">
        <f t="shared" si="29"/>
        <v>256</v>
      </c>
      <c r="O273" s="99" t="str">
        <f t="shared" si="30"/>
        <v>0</v>
      </c>
      <c r="P273" s="119">
        <f t="shared" si="31"/>
        <v>1</v>
      </c>
      <c r="Q273" s="119">
        <f t="shared" si="32"/>
        <v>1</v>
      </c>
    </row>
    <row r="274" spans="2:17">
      <c r="B274" s="116"/>
      <c r="C274" s="116"/>
      <c r="D274" s="116"/>
      <c r="E274" s="116" cm="1">
        <f t="array" ref="E274">IF(H273&lt;&gt;"",E273,IF(E273="","",IFERROR(MATCH(TRUE(),INDEX(INDEX(K:K,E273+1):K203&lt;&gt;"",0),0)+E273,"")))</f>
        <v>416</v>
      </c>
      <c r="F274" s="117" cm="1">
        <f t="array" ref="F274">IF(E274="","",IF(H273&lt;&gt;"",H273,INDEX(D:D,E274)))</f>
        <v>0</v>
      </c>
      <c r="G274" s="117" t="str">
        <f t="shared" ref="G274:G337" si="33">IF(OR(F274="",M274=""),"",LEFT(F274,M274))</f>
        <v>0</v>
      </c>
      <c r="H274" s="118" t="str">
        <f t="shared" ref="H274:H337" si="34">IF(OR(F274="",M274=""),"",TRIM(MID(F274,M274+1,99999)))</f>
        <v/>
      </c>
      <c r="I274" s="116" t="str">
        <f>IF(AND(F274&lt;&gt;"",N10&gt;0,M274&gt;N10),"Mot &gt; limite","")</f>
        <v/>
      </c>
      <c r="M274" s="70">
        <f>IF(OR(F274="",N10="",N10&lt;=0),"",IF(LEN(F274)&lt;=N10,LEN(F274),IFERROR(FIND("♦",SUBSTITUTE(LEFT(F274,N10)," ","♦",LEN(LEFT(F274,N10))-LEN(SUBSTITUTE(LEFT(F274,N10)," ","")))),FIND(" ",F274&amp;" ",N10+1)-1)))</f>
        <v>1</v>
      </c>
      <c r="N274" s="119">
        <f t="shared" ref="N274:N337" si="35">IF(O274="","",ROW()-17)</f>
        <v>257</v>
      </c>
      <c r="O274" s="99" t="str">
        <f t="shared" ref="O274:O337" si="36">G274</f>
        <v>0</v>
      </c>
      <c r="P274" s="119">
        <f t="shared" ref="P274:P337" si="37">IF(O274="","",LEN(TRIM(O274))-LEN(SUBSTITUTE(TRIM(O274)," ",""))+1)</f>
        <v>1</v>
      </c>
      <c r="Q274" s="119">
        <f t="shared" ref="Q274:Q337" si="38">IF(O274="","",LEN(O274))</f>
        <v>1</v>
      </c>
    </row>
    <row r="275" spans="2:17">
      <c r="B275" s="116"/>
      <c r="C275" s="116"/>
      <c r="D275" s="116"/>
      <c r="E275" s="116" cm="1">
        <f t="array" ref="E275">IF(H274&lt;&gt;"",E274,IF(E274="","",IFERROR(MATCH(TRUE(),INDEX(INDEX(K:K,E274+1):K203&lt;&gt;"",0),0)+E274,"")))</f>
        <v>417</v>
      </c>
      <c r="F275" s="117" cm="1">
        <f t="array" ref="F275">IF(E275="","",IF(H274&lt;&gt;"",H274,INDEX(D:D,E275)))</f>
        <v>0</v>
      </c>
      <c r="G275" s="117" t="str">
        <f t="shared" si="33"/>
        <v>0</v>
      </c>
      <c r="H275" s="118" t="str">
        <f t="shared" si="34"/>
        <v/>
      </c>
      <c r="I275" s="116" t="str">
        <f>IF(AND(F275&lt;&gt;"",N10&gt;0,M275&gt;N10),"Mot &gt; limite","")</f>
        <v/>
      </c>
      <c r="M275" s="70">
        <f>IF(OR(F275="",N10="",N10&lt;=0),"",IF(LEN(F275)&lt;=N10,LEN(F275),IFERROR(FIND("♦",SUBSTITUTE(LEFT(F275,N10)," ","♦",LEN(LEFT(F275,N10))-LEN(SUBSTITUTE(LEFT(F275,N10)," ","")))),FIND(" ",F275&amp;" ",N10+1)-1)))</f>
        <v>1</v>
      </c>
      <c r="N275" s="119">
        <f t="shared" si="35"/>
        <v>258</v>
      </c>
      <c r="O275" s="99" t="str">
        <f t="shared" si="36"/>
        <v>0</v>
      </c>
      <c r="P275" s="119">
        <f t="shared" si="37"/>
        <v>1</v>
      </c>
      <c r="Q275" s="119">
        <f t="shared" si="38"/>
        <v>1</v>
      </c>
    </row>
    <row r="276" spans="2:17">
      <c r="B276" s="116"/>
      <c r="C276" s="116"/>
      <c r="D276" s="116"/>
      <c r="E276" s="116" cm="1">
        <f t="array" ref="E276">IF(H275&lt;&gt;"",E275,IF(E275="","",IFERROR(MATCH(TRUE(),INDEX(INDEX(K:K,E275+1):K203&lt;&gt;"",0),0)+E275,"")))</f>
        <v>418</v>
      </c>
      <c r="F276" s="117" cm="1">
        <f t="array" ref="F276">IF(E276="","",IF(H275&lt;&gt;"",H275,INDEX(D:D,E276)))</f>
        <v>0</v>
      </c>
      <c r="G276" s="117" t="str">
        <f t="shared" si="33"/>
        <v>0</v>
      </c>
      <c r="H276" s="118" t="str">
        <f t="shared" si="34"/>
        <v/>
      </c>
      <c r="I276" s="116" t="str">
        <f>IF(AND(F276&lt;&gt;"",N10&gt;0,M276&gt;N10),"Mot &gt; limite","")</f>
        <v/>
      </c>
      <c r="M276" s="70">
        <f>IF(OR(F276="",N10="",N10&lt;=0),"",IF(LEN(F276)&lt;=N10,LEN(F276),IFERROR(FIND("♦",SUBSTITUTE(LEFT(F276,N10)," ","♦",LEN(LEFT(F276,N10))-LEN(SUBSTITUTE(LEFT(F276,N10)," ","")))),FIND(" ",F276&amp;" ",N10+1)-1)))</f>
        <v>1</v>
      </c>
      <c r="N276" s="119">
        <f t="shared" si="35"/>
        <v>259</v>
      </c>
      <c r="O276" s="99" t="str">
        <f t="shared" si="36"/>
        <v>0</v>
      </c>
      <c r="P276" s="119">
        <f t="shared" si="37"/>
        <v>1</v>
      </c>
      <c r="Q276" s="119">
        <f t="shared" si="38"/>
        <v>1</v>
      </c>
    </row>
    <row r="277" spans="2:17">
      <c r="B277" s="116"/>
      <c r="C277" s="116"/>
      <c r="D277" s="116"/>
      <c r="E277" s="116" cm="1">
        <f t="array" ref="E277">IF(H276&lt;&gt;"",E276,IF(E276="","",IFERROR(MATCH(TRUE(),INDEX(INDEX(K:K,E276+1):K203&lt;&gt;"",0),0)+E276,"")))</f>
        <v>419</v>
      </c>
      <c r="F277" s="117" cm="1">
        <f t="array" ref="F277">IF(E277="","",IF(H276&lt;&gt;"",H276,INDEX(D:D,E277)))</f>
        <v>0</v>
      </c>
      <c r="G277" s="117" t="str">
        <f t="shared" si="33"/>
        <v>0</v>
      </c>
      <c r="H277" s="118" t="str">
        <f t="shared" si="34"/>
        <v/>
      </c>
      <c r="I277" s="116" t="str">
        <f>IF(AND(F277&lt;&gt;"",N10&gt;0,M277&gt;N10),"Mot &gt; limite","")</f>
        <v/>
      </c>
      <c r="M277" s="70">
        <f>IF(OR(F277="",N10="",N10&lt;=0),"",IF(LEN(F277)&lt;=N10,LEN(F277),IFERROR(FIND("♦",SUBSTITUTE(LEFT(F277,N10)," ","♦",LEN(LEFT(F277,N10))-LEN(SUBSTITUTE(LEFT(F277,N10)," ","")))),FIND(" ",F277&amp;" ",N10+1)-1)))</f>
        <v>1</v>
      </c>
      <c r="N277" s="119">
        <f t="shared" si="35"/>
        <v>260</v>
      </c>
      <c r="O277" s="99" t="str">
        <f t="shared" si="36"/>
        <v>0</v>
      </c>
      <c r="P277" s="119">
        <f t="shared" si="37"/>
        <v>1</v>
      </c>
      <c r="Q277" s="119">
        <f t="shared" si="38"/>
        <v>1</v>
      </c>
    </row>
    <row r="278" spans="2:17">
      <c r="B278" s="116"/>
      <c r="C278" s="116"/>
      <c r="D278" s="116"/>
      <c r="E278" s="116" cm="1">
        <f t="array" ref="E278">IF(H277&lt;&gt;"",E277,IF(E277="","",IFERROR(MATCH(TRUE(),INDEX(INDEX(K:K,E277+1):K203&lt;&gt;"",0),0)+E277,"")))</f>
        <v>420</v>
      </c>
      <c r="F278" s="117" cm="1">
        <f t="array" ref="F278">IF(E278="","",IF(H277&lt;&gt;"",H277,INDEX(D:D,E278)))</f>
        <v>0</v>
      </c>
      <c r="G278" s="117" t="str">
        <f t="shared" si="33"/>
        <v>0</v>
      </c>
      <c r="H278" s="118" t="str">
        <f t="shared" si="34"/>
        <v/>
      </c>
      <c r="I278" s="116" t="str">
        <f>IF(AND(F278&lt;&gt;"",N10&gt;0,M278&gt;N10),"Mot &gt; limite","")</f>
        <v/>
      </c>
      <c r="M278" s="70">
        <f>IF(OR(F278="",N10="",N10&lt;=0),"",IF(LEN(F278)&lt;=N10,LEN(F278),IFERROR(FIND("♦",SUBSTITUTE(LEFT(F278,N10)," ","♦",LEN(LEFT(F278,N10))-LEN(SUBSTITUTE(LEFT(F278,N10)," ","")))),FIND(" ",F278&amp;" ",N10+1)-1)))</f>
        <v>1</v>
      </c>
      <c r="N278" s="119">
        <f t="shared" si="35"/>
        <v>261</v>
      </c>
      <c r="O278" s="99" t="str">
        <f t="shared" si="36"/>
        <v>0</v>
      </c>
      <c r="P278" s="119">
        <f t="shared" si="37"/>
        <v>1</v>
      </c>
      <c r="Q278" s="119">
        <f t="shared" si="38"/>
        <v>1</v>
      </c>
    </row>
    <row r="279" spans="2:17">
      <c r="B279" s="116"/>
      <c r="C279" s="116"/>
      <c r="D279" s="116"/>
      <c r="E279" s="116" cm="1">
        <f t="array" ref="E279">IF(H278&lt;&gt;"",E278,IF(E278="","",IFERROR(MATCH(TRUE(),INDEX(INDEX(K:K,E278+1):K203&lt;&gt;"",0),0)+E278,"")))</f>
        <v>421</v>
      </c>
      <c r="F279" s="117" cm="1">
        <f t="array" ref="F279">IF(E279="","",IF(H278&lt;&gt;"",H278,INDEX(D:D,E279)))</f>
        <v>0</v>
      </c>
      <c r="G279" s="117" t="str">
        <f t="shared" si="33"/>
        <v>0</v>
      </c>
      <c r="H279" s="118" t="str">
        <f t="shared" si="34"/>
        <v/>
      </c>
      <c r="I279" s="116" t="str">
        <f>IF(AND(F279&lt;&gt;"",N10&gt;0,M279&gt;N10),"Mot &gt; limite","")</f>
        <v/>
      </c>
      <c r="M279" s="70">
        <f>IF(OR(F279="",N10="",N10&lt;=0),"",IF(LEN(F279)&lt;=N10,LEN(F279),IFERROR(FIND("♦",SUBSTITUTE(LEFT(F279,N10)," ","♦",LEN(LEFT(F279,N10))-LEN(SUBSTITUTE(LEFT(F279,N10)," ","")))),FIND(" ",F279&amp;" ",N10+1)-1)))</f>
        <v>1</v>
      </c>
      <c r="N279" s="119">
        <f t="shared" si="35"/>
        <v>262</v>
      </c>
      <c r="O279" s="99" t="str">
        <f t="shared" si="36"/>
        <v>0</v>
      </c>
      <c r="P279" s="119">
        <f t="shared" si="37"/>
        <v>1</v>
      </c>
      <c r="Q279" s="119">
        <f t="shared" si="38"/>
        <v>1</v>
      </c>
    </row>
    <row r="280" spans="2:17">
      <c r="B280" s="116"/>
      <c r="C280" s="116"/>
      <c r="D280" s="116"/>
      <c r="E280" s="116" cm="1">
        <f t="array" ref="E280">IF(H279&lt;&gt;"",E279,IF(E279="","",IFERROR(MATCH(TRUE(),INDEX(INDEX(K:K,E279+1):K203&lt;&gt;"",0),0)+E279,"")))</f>
        <v>422</v>
      </c>
      <c r="F280" s="117" cm="1">
        <f t="array" ref="F280">IF(E280="","",IF(H279&lt;&gt;"",H279,INDEX(D:D,E280)))</f>
        <v>0</v>
      </c>
      <c r="G280" s="117" t="str">
        <f t="shared" si="33"/>
        <v>0</v>
      </c>
      <c r="H280" s="118" t="str">
        <f t="shared" si="34"/>
        <v/>
      </c>
      <c r="I280" s="116" t="str">
        <f>IF(AND(F280&lt;&gt;"",N10&gt;0,M280&gt;N10),"Mot &gt; limite","")</f>
        <v/>
      </c>
      <c r="M280" s="70">
        <f>IF(OR(F280="",N10="",N10&lt;=0),"",IF(LEN(F280)&lt;=N10,LEN(F280),IFERROR(FIND("♦",SUBSTITUTE(LEFT(F280,N10)," ","♦",LEN(LEFT(F280,N10))-LEN(SUBSTITUTE(LEFT(F280,N10)," ","")))),FIND(" ",F280&amp;" ",N10+1)-1)))</f>
        <v>1</v>
      </c>
      <c r="N280" s="119">
        <f t="shared" si="35"/>
        <v>263</v>
      </c>
      <c r="O280" s="99" t="str">
        <f t="shared" si="36"/>
        <v>0</v>
      </c>
      <c r="P280" s="119">
        <f t="shared" si="37"/>
        <v>1</v>
      </c>
      <c r="Q280" s="119">
        <f t="shared" si="38"/>
        <v>1</v>
      </c>
    </row>
    <row r="281" spans="2:17">
      <c r="B281" s="116"/>
      <c r="C281" s="116"/>
      <c r="D281" s="116"/>
      <c r="E281" s="116" cm="1">
        <f t="array" ref="E281">IF(H280&lt;&gt;"",E280,IF(E280="","",IFERROR(MATCH(TRUE(),INDEX(INDEX(K:K,E280+1):K203&lt;&gt;"",0),0)+E280,"")))</f>
        <v>423</v>
      </c>
      <c r="F281" s="117" cm="1">
        <f t="array" ref="F281">IF(E281="","",IF(H280&lt;&gt;"",H280,INDEX(D:D,E281)))</f>
        <v>0</v>
      </c>
      <c r="G281" s="117" t="str">
        <f t="shared" si="33"/>
        <v>0</v>
      </c>
      <c r="H281" s="118" t="str">
        <f t="shared" si="34"/>
        <v/>
      </c>
      <c r="I281" s="116" t="str">
        <f>IF(AND(F281&lt;&gt;"",N10&gt;0,M281&gt;N10),"Mot &gt; limite","")</f>
        <v/>
      </c>
      <c r="M281" s="70">
        <f>IF(OR(F281="",N10="",N10&lt;=0),"",IF(LEN(F281)&lt;=N10,LEN(F281),IFERROR(FIND("♦",SUBSTITUTE(LEFT(F281,N10)," ","♦",LEN(LEFT(F281,N10))-LEN(SUBSTITUTE(LEFT(F281,N10)," ","")))),FIND(" ",F281&amp;" ",N10+1)-1)))</f>
        <v>1</v>
      </c>
      <c r="N281" s="119">
        <f t="shared" si="35"/>
        <v>264</v>
      </c>
      <c r="O281" s="99" t="str">
        <f t="shared" si="36"/>
        <v>0</v>
      </c>
      <c r="P281" s="119">
        <f t="shared" si="37"/>
        <v>1</v>
      </c>
      <c r="Q281" s="119">
        <f t="shared" si="38"/>
        <v>1</v>
      </c>
    </row>
    <row r="282" spans="2:17">
      <c r="B282" s="116"/>
      <c r="C282" s="116"/>
      <c r="D282" s="116"/>
      <c r="E282" s="116" cm="1">
        <f t="array" ref="E282">IF(H281&lt;&gt;"",E281,IF(E281="","",IFERROR(MATCH(TRUE(),INDEX(INDEX(K:K,E281+1):K203&lt;&gt;"",0),0)+E281,"")))</f>
        <v>424</v>
      </c>
      <c r="F282" s="117" cm="1">
        <f t="array" ref="F282">IF(E282="","",IF(H281&lt;&gt;"",H281,INDEX(D:D,E282)))</f>
        <v>0</v>
      </c>
      <c r="G282" s="117" t="str">
        <f t="shared" si="33"/>
        <v>0</v>
      </c>
      <c r="H282" s="118" t="str">
        <f t="shared" si="34"/>
        <v/>
      </c>
      <c r="I282" s="116" t="str">
        <f>IF(AND(F282&lt;&gt;"",N10&gt;0,M282&gt;N10),"Mot &gt; limite","")</f>
        <v/>
      </c>
      <c r="M282" s="70">
        <f>IF(OR(F282="",N10="",N10&lt;=0),"",IF(LEN(F282)&lt;=N10,LEN(F282),IFERROR(FIND("♦",SUBSTITUTE(LEFT(F282,N10)," ","♦",LEN(LEFT(F282,N10))-LEN(SUBSTITUTE(LEFT(F282,N10)," ","")))),FIND(" ",F282&amp;" ",N10+1)-1)))</f>
        <v>1</v>
      </c>
      <c r="N282" s="119">
        <f t="shared" si="35"/>
        <v>265</v>
      </c>
      <c r="O282" s="99" t="str">
        <f t="shared" si="36"/>
        <v>0</v>
      </c>
      <c r="P282" s="119">
        <f t="shared" si="37"/>
        <v>1</v>
      </c>
      <c r="Q282" s="119">
        <f t="shared" si="38"/>
        <v>1</v>
      </c>
    </row>
    <row r="283" spans="2:17">
      <c r="B283" s="116"/>
      <c r="C283" s="116"/>
      <c r="D283" s="116"/>
      <c r="E283" s="116" cm="1">
        <f t="array" ref="E283">IF(H282&lt;&gt;"",E282,IF(E282="","",IFERROR(MATCH(TRUE(),INDEX(INDEX(K:K,E282+1):K203&lt;&gt;"",0),0)+E282,"")))</f>
        <v>425</v>
      </c>
      <c r="F283" s="117" cm="1">
        <f t="array" ref="F283">IF(E283="","",IF(H282&lt;&gt;"",H282,INDEX(D:D,E283)))</f>
        <v>0</v>
      </c>
      <c r="G283" s="117" t="str">
        <f t="shared" si="33"/>
        <v>0</v>
      </c>
      <c r="H283" s="118" t="str">
        <f t="shared" si="34"/>
        <v/>
      </c>
      <c r="I283" s="116" t="str">
        <f>IF(AND(F283&lt;&gt;"",N10&gt;0,M283&gt;N10),"Mot &gt; limite","")</f>
        <v/>
      </c>
      <c r="M283" s="70">
        <f>IF(OR(F283="",N10="",N10&lt;=0),"",IF(LEN(F283)&lt;=N10,LEN(F283),IFERROR(FIND("♦",SUBSTITUTE(LEFT(F283,N10)," ","♦",LEN(LEFT(F283,N10))-LEN(SUBSTITUTE(LEFT(F283,N10)," ","")))),FIND(" ",F283&amp;" ",N10+1)-1)))</f>
        <v>1</v>
      </c>
      <c r="N283" s="119">
        <f t="shared" si="35"/>
        <v>266</v>
      </c>
      <c r="O283" s="99" t="str">
        <f t="shared" si="36"/>
        <v>0</v>
      </c>
      <c r="P283" s="119">
        <f t="shared" si="37"/>
        <v>1</v>
      </c>
      <c r="Q283" s="119">
        <f t="shared" si="38"/>
        <v>1</v>
      </c>
    </row>
    <row r="284" spans="2:17">
      <c r="B284" s="116"/>
      <c r="C284" s="116"/>
      <c r="D284" s="116"/>
      <c r="E284" s="116" cm="1">
        <f t="array" ref="E284">IF(H283&lt;&gt;"",E283,IF(E283="","",IFERROR(MATCH(TRUE(),INDEX(INDEX(K:K,E283+1):K203&lt;&gt;"",0),0)+E283,"")))</f>
        <v>426</v>
      </c>
      <c r="F284" s="117" cm="1">
        <f t="array" ref="F284">IF(E284="","",IF(H283&lt;&gt;"",H283,INDEX(D:D,E284)))</f>
        <v>0</v>
      </c>
      <c r="G284" s="117" t="str">
        <f t="shared" si="33"/>
        <v>0</v>
      </c>
      <c r="H284" s="118" t="str">
        <f t="shared" si="34"/>
        <v/>
      </c>
      <c r="I284" s="116" t="str">
        <f>IF(AND(F284&lt;&gt;"",N10&gt;0,M284&gt;N10),"Mot &gt; limite","")</f>
        <v/>
      </c>
      <c r="M284" s="70">
        <f>IF(OR(F284="",N10="",N10&lt;=0),"",IF(LEN(F284)&lt;=N10,LEN(F284),IFERROR(FIND("♦",SUBSTITUTE(LEFT(F284,N10)," ","♦",LEN(LEFT(F284,N10))-LEN(SUBSTITUTE(LEFT(F284,N10)," ","")))),FIND(" ",F284&amp;" ",N10+1)-1)))</f>
        <v>1</v>
      </c>
      <c r="N284" s="119">
        <f t="shared" si="35"/>
        <v>267</v>
      </c>
      <c r="O284" s="99" t="str">
        <f t="shared" si="36"/>
        <v>0</v>
      </c>
      <c r="P284" s="119">
        <f t="shared" si="37"/>
        <v>1</v>
      </c>
      <c r="Q284" s="119">
        <f t="shared" si="38"/>
        <v>1</v>
      </c>
    </row>
    <row r="285" spans="2:17">
      <c r="B285" s="116"/>
      <c r="C285" s="116"/>
      <c r="D285" s="116"/>
      <c r="E285" s="116" cm="1">
        <f t="array" ref="E285">IF(H284&lt;&gt;"",E284,IF(E284="","",IFERROR(MATCH(TRUE(),INDEX(INDEX(K:K,E284+1):K203&lt;&gt;"",0),0)+E284,"")))</f>
        <v>427</v>
      </c>
      <c r="F285" s="117" cm="1">
        <f t="array" ref="F285">IF(E285="","",IF(H284&lt;&gt;"",H284,INDEX(D:D,E285)))</f>
        <v>0</v>
      </c>
      <c r="G285" s="117" t="str">
        <f t="shared" si="33"/>
        <v>0</v>
      </c>
      <c r="H285" s="118" t="str">
        <f t="shared" si="34"/>
        <v/>
      </c>
      <c r="I285" s="116" t="str">
        <f>IF(AND(F285&lt;&gt;"",N10&gt;0,M285&gt;N10),"Mot &gt; limite","")</f>
        <v/>
      </c>
      <c r="M285" s="70">
        <f>IF(OR(F285="",N10="",N10&lt;=0),"",IF(LEN(F285)&lt;=N10,LEN(F285),IFERROR(FIND("♦",SUBSTITUTE(LEFT(F285,N10)," ","♦",LEN(LEFT(F285,N10))-LEN(SUBSTITUTE(LEFT(F285,N10)," ","")))),FIND(" ",F285&amp;" ",N10+1)-1)))</f>
        <v>1</v>
      </c>
      <c r="N285" s="119">
        <f t="shared" si="35"/>
        <v>268</v>
      </c>
      <c r="O285" s="99" t="str">
        <f t="shared" si="36"/>
        <v>0</v>
      </c>
      <c r="P285" s="119">
        <f t="shared" si="37"/>
        <v>1</v>
      </c>
      <c r="Q285" s="119">
        <f t="shared" si="38"/>
        <v>1</v>
      </c>
    </row>
    <row r="286" spans="2:17">
      <c r="B286" s="116"/>
      <c r="C286" s="116"/>
      <c r="D286" s="116"/>
      <c r="E286" s="116" cm="1">
        <f t="array" ref="E286">IF(H285&lt;&gt;"",E285,IF(E285="","",IFERROR(MATCH(TRUE(),INDEX(INDEX(K:K,E285+1):K203&lt;&gt;"",0),0)+E285,"")))</f>
        <v>428</v>
      </c>
      <c r="F286" s="117" cm="1">
        <f t="array" ref="F286">IF(E286="","",IF(H285&lt;&gt;"",H285,INDEX(D:D,E286)))</f>
        <v>0</v>
      </c>
      <c r="G286" s="117" t="str">
        <f t="shared" si="33"/>
        <v>0</v>
      </c>
      <c r="H286" s="118" t="str">
        <f t="shared" si="34"/>
        <v/>
      </c>
      <c r="I286" s="116" t="str">
        <f>IF(AND(F286&lt;&gt;"",N10&gt;0,M286&gt;N10),"Mot &gt; limite","")</f>
        <v/>
      </c>
      <c r="M286" s="70">
        <f>IF(OR(F286="",N10="",N10&lt;=0),"",IF(LEN(F286)&lt;=N10,LEN(F286),IFERROR(FIND("♦",SUBSTITUTE(LEFT(F286,N10)," ","♦",LEN(LEFT(F286,N10))-LEN(SUBSTITUTE(LEFT(F286,N10)," ","")))),FIND(" ",F286&amp;" ",N10+1)-1)))</f>
        <v>1</v>
      </c>
      <c r="N286" s="119">
        <f t="shared" si="35"/>
        <v>269</v>
      </c>
      <c r="O286" s="99" t="str">
        <f t="shared" si="36"/>
        <v>0</v>
      </c>
      <c r="P286" s="119">
        <f t="shared" si="37"/>
        <v>1</v>
      </c>
      <c r="Q286" s="119">
        <f t="shared" si="38"/>
        <v>1</v>
      </c>
    </row>
    <row r="287" spans="2:17">
      <c r="B287" s="116"/>
      <c r="C287" s="116"/>
      <c r="D287" s="116"/>
      <c r="E287" s="116" cm="1">
        <f t="array" ref="E287">IF(H286&lt;&gt;"",E286,IF(E286="","",IFERROR(MATCH(TRUE(),INDEX(INDEX(K:K,E286+1):K203&lt;&gt;"",0),0)+E286,"")))</f>
        <v>429</v>
      </c>
      <c r="F287" s="117" cm="1">
        <f t="array" ref="F287">IF(E287="","",IF(H286&lt;&gt;"",H286,INDEX(D:D,E287)))</f>
        <v>0</v>
      </c>
      <c r="G287" s="117" t="str">
        <f t="shared" si="33"/>
        <v>0</v>
      </c>
      <c r="H287" s="118" t="str">
        <f t="shared" si="34"/>
        <v/>
      </c>
      <c r="I287" s="116" t="str">
        <f>IF(AND(F287&lt;&gt;"",N10&gt;0,M287&gt;N10),"Mot &gt; limite","")</f>
        <v/>
      </c>
      <c r="M287" s="70">
        <f>IF(OR(F287="",N10="",N10&lt;=0),"",IF(LEN(F287)&lt;=N10,LEN(F287),IFERROR(FIND("♦",SUBSTITUTE(LEFT(F287,N10)," ","♦",LEN(LEFT(F287,N10))-LEN(SUBSTITUTE(LEFT(F287,N10)," ","")))),FIND(" ",F287&amp;" ",N10+1)-1)))</f>
        <v>1</v>
      </c>
      <c r="N287" s="119">
        <f t="shared" si="35"/>
        <v>270</v>
      </c>
      <c r="O287" s="99" t="str">
        <f t="shared" si="36"/>
        <v>0</v>
      </c>
      <c r="P287" s="119">
        <f t="shared" si="37"/>
        <v>1</v>
      </c>
      <c r="Q287" s="119">
        <f t="shared" si="38"/>
        <v>1</v>
      </c>
    </row>
    <row r="288" spans="2:17">
      <c r="B288" s="116"/>
      <c r="C288" s="116"/>
      <c r="D288" s="116"/>
      <c r="E288" s="116" cm="1">
        <f t="array" ref="E288">IF(H287&lt;&gt;"",E287,IF(E287="","",IFERROR(MATCH(TRUE(),INDEX(INDEX(K:K,E287+1):K203&lt;&gt;"",0),0)+E287,"")))</f>
        <v>430</v>
      </c>
      <c r="F288" s="117" cm="1">
        <f t="array" ref="F288">IF(E288="","",IF(H287&lt;&gt;"",H287,INDEX(D:D,E288)))</f>
        <v>0</v>
      </c>
      <c r="G288" s="117" t="str">
        <f t="shared" si="33"/>
        <v>0</v>
      </c>
      <c r="H288" s="118" t="str">
        <f t="shared" si="34"/>
        <v/>
      </c>
      <c r="I288" s="116" t="str">
        <f>IF(AND(F288&lt;&gt;"",N10&gt;0,M288&gt;N10),"Mot &gt; limite","")</f>
        <v/>
      </c>
      <c r="M288" s="70">
        <f>IF(OR(F288="",N10="",N10&lt;=0),"",IF(LEN(F288)&lt;=N10,LEN(F288),IFERROR(FIND("♦",SUBSTITUTE(LEFT(F288,N10)," ","♦",LEN(LEFT(F288,N10))-LEN(SUBSTITUTE(LEFT(F288,N10)," ","")))),FIND(" ",F288&amp;" ",N10+1)-1)))</f>
        <v>1</v>
      </c>
      <c r="N288" s="119">
        <f t="shared" si="35"/>
        <v>271</v>
      </c>
      <c r="O288" s="99" t="str">
        <f t="shared" si="36"/>
        <v>0</v>
      </c>
      <c r="P288" s="119">
        <f t="shared" si="37"/>
        <v>1</v>
      </c>
      <c r="Q288" s="119">
        <f t="shared" si="38"/>
        <v>1</v>
      </c>
    </row>
    <row r="289" spans="2:17">
      <c r="B289" s="116"/>
      <c r="C289" s="116"/>
      <c r="D289" s="116"/>
      <c r="E289" s="116" cm="1">
        <f t="array" ref="E289">IF(H288&lt;&gt;"",E288,IF(E288="","",IFERROR(MATCH(TRUE(),INDEX(INDEX(K:K,E288+1):K203&lt;&gt;"",0),0)+E288,"")))</f>
        <v>431</v>
      </c>
      <c r="F289" s="117" cm="1">
        <f t="array" ref="F289">IF(E289="","",IF(H288&lt;&gt;"",H288,INDEX(D:D,E289)))</f>
        <v>0</v>
      </c>
      <c r="G289" s="117" t="str">
        <f t="shared" si="33"/>
        <v>0</v>
      </c>
      <c r="H289" s="118" t="str">
        <f t="shared" si="34"/>
        <v/>
      </c>
      <c r="I289" s="116" t="str">
        <f>IF(AND(F289&lt;&gt;"",N10&gt;0,M289&gt;N10),"Mot &gt; limite","")</f>
        <v/>
      </c>
      <c r="M289" s="70">
        <f>IF(OR(F289="",N10="",N10&lt;=0),"",IF(LEN(F289)&lt;=N10,LEN(F289),IFERROR(FIND("♦",SUBSTITUTE(LEFT(F289,N10)," ","♦",LEN(LEFT(F289,N10))-LEN(SUBSTITUTE(LEFT(F289,N10)," ","")))),FIND(" ",F289&amp;" ",N10+1)-1)))</f>
        <v>1</v>
      </c>
      <c r="N289" s="119">
        <f t="shared" si="35"/>
        <v>272</v>
      </c>
      <c r="O289" s="99" t="str">
        <f t="shared" si="36"/>
        <v>0</v>
      </c>
      <c r="P289" s="119">
        <f t="shared" si="37"/>
        <v>1</v>
      </c>
      <c r="Q289" s="119">
        <f t="shared" si="38"/>
        <v>1</v>
      </c>
    </row>
    <row r="290" spans="2:17">
      <c r="B290" s="116"/>
      <c r="C290" s="116"/>
      <c r="D290" s="116"/>
      <c r="E290" s="116" cm="1">
        <f t="array" ref="E290">IF(H289&lt;&gt;"",E289,IF(E289="","",IFERROR(MATCH(TRUE(),INDEX(INDEX(K:K,E289+1):K203&lt;&gt;"",0),0)+E289,"")))</f>
        <v>432</v>
      </c>
      <c r="F290" s="117" cm="1">
        <f t="array" ref="F290">IF(E290="","",IF(H289&lt;&gt;"",H289,INDEX(D:D,E290)))</f>
        <v>0</v>
      </c>
      <c r="G290" s="117" t="str">
        <f t="shared" si="33"/>
        <v>0</v>
      </c>
      <c r="H290" s="118" t="str">
        <f t="shared" si="34"/>
        <v/>
      </c>
      <c r="I290" s="116" t="str">
        <f>IF(AND(F290&lt;&gt;"",N10&gt;0,M290&gt;N10),"Mot &gt; limite","")</f>
        <v/>
      </c>
      <c r="M290" s="70">
        <f>IF(OR(F290="",N10="",N10&lt;=0),"",IF(LEN(F290)&lt;=N10,LEN(F290),IFERROR(FIND("♦",SUBSTITUTE(LEFT(F290,N10)," ","♦",LEN(LEFT(F290,N10))-LEN(SUBSTITUTE(LEFT(F290,N10)," ","")))),FIND(" ",F290&amp;" ",N10+1)-1)))</f>
        <v>1</v>
      </c>
      <c r="N290" s="119">
        <f t="shared" si="35"/>
        <v>273</v>
      </c>
      <c r="O290" s="99" t="str">
        <f t="shared" si="36"/>
        <v>0</v>
      </c>
      <c r="P290" s="119">
        <f t="shared" si="37"/>
        <v>1</v>
      </c>
      <c r="Q290" s="119">
        <f t="shared" si="38"/>
        <v>1</v>
      </c>
    </row>
    <row r="291" spans="2:17">
      <c r="B291" s="116"/>
      <c r="C291" s="116"/>
      <c r="D291" s="116"/>
      <c r="E291" s="116" cm="1">
        <f t="array" ref="E291">IF(H290&lt;&gt;"",E290,IF(E290="","",IFERROR(MATCH(TRUE(),INDEX(INDEX(K:K,E290+1):K203&lt;&gt;"",0),0)+E290,"")))</f>
        <v>433</v>
      </c>
      <c r="F291" s="117" cm="1">
        <f t="array" ref="F291">IF(E291="","",IF(H290&lt;&gt;"",H290,INDEX(D:D,E291)))</f>
        <v>0</v>
      </c>
      <c r="G291" s="117" t="str">
        <f t="shared" si="33"/>
        <v>0</v>
      </c>
      <c r="H291" s="118" t="str">
        <f t="shared" si="34"/>
        <v/>
      </c>
      <c r="I291" s="116" t="str">
        <f>IF(AND(F291&lt;&gt;"",N10&gt;0,M291&gt;N10),"Mot &gt; limite","")</f>
        <v/>
      </c>
      <c r="M291" s="70">
        <f>IF(OR(F291="",N10="",N10&lt;=0),"",IF(LEN(F291)&lt;=N10,LEN(F291),IFERROR(FIND("♦",SUBSTITUTE(LEFT(F291,N10)," ","♦",LEN(LEFT(F291,N10))-LEN(SUBSTITUTE(LEFT(F291,N10)," ","")))),FIND(" ",F291&amp;" ",N10+1)-1)))</f>
        <v>1</v>
      </c>
      <c r="N291" s="119">
        <f t="shared" si="35"/>
        <v>274</v>
      </c>
      <c r="O291" s="99" t="str">
        <f t="shared" si="36"/>
        <v>0</v>
      </c>
      <c r="P291" s="119">
        <f t="shared" si="37"/>
        <v>1</v>
      </c>
      <c r="Q291" s="119">
        <f t="shared" si="38"/>
        <v>1</v>
      </c>
    </row>
    <row r="292" spans="2:17">
      <c r="B292" s="116"/>
      <c r="C292" s="116"/>
      <c r="D292" s="116"/>
      <c r="E292" s="116" cm="1">
        <f t="array" ref="E292">IF(H291&lt;&gt;"",E291,IF(E291="","",IFERROR(MATCH(TRUE(),INDEX(INDEX(K:K,E291+1):K203&lt;&gt;"",0),0)+E291,"")))</f>
        <v>434</v>
      </c>
      <c r="F292" s="117" cm="1">
        <f t="array" ref="F292">IF(E292="","",IF(H291&lt;&gt;"",H291,INDEX(D:D,E292)))</f>
        <v>0</v>
      </c>
      <c r="G292" s="117" t="str">
        <f t="shared" si="33"/>
        <v>0</v>
      </c>
      <c r="H292" s="118" t="str">
        <f t="shared" si="34"/>
        <v/>
      </c>
      <c r="I292" s="116" t="str">
        <f>IF(AND(F292&lt;&gt;"",N10&gt;0,M292&gt;N10),"Mot &gt; limite","")</f>
        <v/>
      </c>
      <c r="M292" s="70">
        <f>IF(OR(F292="",N10="",N10&lt;=0),"",IF(LEN(F292)&lt;=N10,LEN(F292),IFERROR(FIND("♦",SUBSTITUTE(LEFT(F292,N10)," ","♦",LEN(LEFT(F292,N10))-LEN(SUBSTITUTE(LEFT(F292,N10)," ","")))),FIND(" ",F292&amp;" ",N10+1)-1)))</f>
        <v>1</v>
      </c>
      <c r="N292" s="119">
        <f t="shared" si="35"/>
        <v>275</v>
      </c>
      <c r="O292" s="99" t="str">
        <f t="shared" si="36"/>
        <v>0</v>
      </c>
      <c r="P292" s="119">
        <f t="shared" si="37"/>
        <v>1</v>
      </c>
      <c r="Q292" s="119">
        <f t="shared" si="38"/>
        <v>1</v>
      </c>
    </row>
    <row r="293" spans="2:17">
      <c r="B293" s="116"/>
      <c r="C293" s="116"/>
      <c r="D293" s="116"/>
      <c r="E293" s="116" cm="1">
        <f t="array" ref="E293">IF(H292&lt;&gt;"",E292,IF(E292="","",IFERROR(MATCH(TRUE(),INDEX(INDEX(K:K,E292+1):K203&lt;&gt;"",0),0)+E292,"")))</f>
        <v>435</v>
      </c>
      <c r="F293" s="117" cm="1">
        <f t="array" ref="F293">IF(E293="","",IF(H292&lt;&gt;"",H292,INDEX(D:D,E293)))</f>
        <v>0</v>
      </c>
      <c r="G293" s="117" t="str">
        <f t="shared" si="33"/>
        <v>0</v>
      </c>
      <c r="H293" s="118" t="str">
        <f t="shared" si="34"/>
        <v/>
      </c>
      <c r="I293" s="116" t="str">
        <f>IF(AND(F293&lt;&gt;"",N10&gt;0,M293&gt;N10),"Mot &gt; limite","")</f>
        <v/>
      </c>
      <c r="M293" s="70">
        <f>IF(OR(F293="",N10="",N10&lt;=0),"",IF(LEN(F293)&lt;=N10,LEN(F293),IFERROR(FIND("♦",SUBSTITUTE(LEFT(F293,N10)," ","♦",LEN(LEFT(F293,N10))-LEN(SUBSTITUTE(LEFT(F293,N10)," ","")))),FIND(" ",F293&amp;" ",N10+1)-1)))</f>
        <v>1</v>
      </c>
      <c r="N293" s="119">
        <f t="shared" si="35"/>
        <v>276</v>
      </c>
      <c r="O293" s="99" t="str">
        <f t="shared" si="36"/>
        <v>0</v>
      </c>
      <c r="P293" s="119">
        <f t="shared" si="37"/>
        <v>1</v>
      </c>
      <c r="Q293" s="119">
        <f t="shared" si="38"/>
        <v>1</v>
      </c>
    </row>
    <row r="294" spans="2:17">
      <c r="B294" s="116"/>
      <c r="C294" s="116"/>
      <c r="D294" s="116"/>
      <c r="E294" s="116" cm="1">
        <f t="array" ref="E294">IF(H293&lt;&gt;"",E293,IF(E293="","",IFERROR(MATCH(TRUE(),INDEX(INDEX(K:K,E293+1):K203&lt;&gt;"",0),0)+E293,"")))</f>
        <v>436</v>
      </c>
      <c r="F294" s="117" cm="1">
        <f t="array" ref="F294">IF(E294="","",IF(H293&lt;&gt;"",H293,INDEX(D:D,E294)))</f>
        <v>0</v>
      </c>
      <c r="G294" s="117" t="str">
        <f t="shared" si="33"/>
        <v>0</v>
      </c>
      <c r="H294" s="118" t="str">
        <f t="shared" si="34"/>
        <v/>
      </c>
      <c r="I294" s="116" t="str">
        <f>IF(AND(F294&lt;&gt;"",N10&gt;0,M294&gt;N10),"Mot &gt; limite","")</f>
        <v/>
      </c>
      <c r="M294" s="70">
        <f>IF(OR(F294="",N10="",N10&lt;=0),"",IF(LEN(F294)&lt;=N10,LEN(F294),IFERROR(FIND("♦",SUBSTITUTE(LEFT(F294,N10)," ","♦",LEN(LEFT(F294,N10))-LEN(SUBSTITUTE(LEFT(F294,N10)," ","")))),FIND(" ",F294&amp;" ",N10+1)-1)))</f>
        <v>1</v>
      </c>
      <c r="N294" s="119">
        <f t="shared" si="35"/>
        <v>277</v>
      </c>
      <c r="O294" s="99" t="str">
        <f t="shared" si="36"/>
        <v>0</v>
      </c>
      <c r="P294" s="119">
        <f t="shared" si="37"/>
        <v>1</v>
      </c>
      <c r="Q294" s="119">
        <f t="shared" si="38"/>
        <v>1</v>
      </c>
    </row>
    <row r="295" spans="2:17">
      <c r="B295" s="116"/>
      <c r="C295" s="116"/>
      <c r="D295" s="116"/>
      <c r="E295" s="116" cm="1">
        <f t="array" ref="E295">IF(H294&lt;&gt;"",E294,IF(E294="","",IFERROR(MATCH(TRUE(),INDEX(INDEX(K:K,E294+1):K203&lt;&gt;"",0),0)+E294,"")))</f>
        <v>437</v>
      </c>
      <c r="F295" s="117" cm="1">
        <f t="array" ref="F295">IF(E295="","",IF(H294&lt;&gt;"",H294,INDEX(D:D,E295)))</f>
        <v>0</v>
      </c>
      <c r="G295" s="117" t="str">
        <f t="shared" si="33"/>
        <v>0</v>
      </c>
      <c r="H295" s="118" t="str">
        <f t="shared" si="34"/>
        <v/>
      </c>
      <c r="I295" s="116" t="str">
        <f>IF(AND(F295&lt;&gt;"",N10&gt;0,M295&gt;N10),"Mot &gt; limite","")</f>
        <v/>
      </c>
      <c r="M295" s="70">
        <f>IF(OR(F295="",N10="",N10&lt;=0),"",IF(LEN(F295)&lt;=N10,LEN(F295),IFERROR(FIND("♦",SUBSTITUTE(LEFT(F295,N10)," ","♦",LEN(LEFT(F295,N10))-LEN(SUBSTITUTE(LEFT(F295,N10)," ","")))),FIND(" ",F295&amp;" ",N10+1)-1)))</f>
        <v>1</v>
      </c>
      <c r="N295" s="119">
        <f t="shared" si="35"/>
        <v>278</v>
      </c>
      <c r="O295" s="99" t="str">
        <f t="shared" si="36"/>
        <v>0</v>
      </c>
      <c r="P295" s="119">
        <f t="shared" si="37"/>
        <v>1</v>
      </c>
      <c r="Q295" s="119">
        <f t="shared" si="38"/>
        <v>1</v>
      </c>
    </row>
    <row r="296" spans="2:17">
      <c r="B296" s="116"/>
      <c r="C296" s="116"/>
      <c r="D296" s="116"/>
      <c r="E296" s="116" cm="1">
        <f t="array" ref="E296">IF(H295&lt;&gt;"",E295,IF(E295="","",IFERROR(MATCH(TRUE(),INDEX(INDEX(K:K,E295+1):K203&lt;&gt;"",0),0)+E295,"")))</f>
        <v>438</v>
      </c>
      <c r="F296" s="117" cm="1">
        <f t="array" ref="F296">IF(E296="","",IF(H295&lt;&gt;"",H295,INDEX(D:D,E296)))</f>
        <v>0</v>
      </c>
      <c r="G296" s="117" t="str">
        <f t="shared" si="33"/>
        <v>0</v>
      </c>
      <c r="H296" s="118" t="str">
        <f t="shared" si="34"/>
        <v/>
      </c>
      <c r="I296" s="116" t="str">
        <f>IF(AND(F296&lt;&gt;"",N10&gt;0,M296&gt;N10),"Mot &gt; limite","")</f>
        <v/>
      </c>
      <c r="M296" s="70">
        <f>IF(OR(F296="",N10="",N10&lt;=0),"",IF(LEN(F296)&lt;=N10,LEN(F296),IFERROR(FIND("♦",SUBSTITUTE(LEFT(F296,N10)," ","♦",LEN(LEFT(F296,N10))-LEN(SUBSTITUTE(LEFT(F296,N10)," ","")))),FIND(" ",F296&amp;" ",N10+1)-1)))</f>
        <v>1</v>
      </c>
      <c r="N296" s="119">
        <f t="shared" si="35"/>
        <v>279</v>
      </c>
      <c r="O296" s="99" t="str">
        <f t="shared" si="36"/>
        <v>0</v>
      </c>
      <c r="P296" s="119">
        <f t="shared" si="37"/>
        <v>1</v>
      </c>
      <c r="Q296" s="119">
        <f t="shared" si="38"/>
        <v>1</v>
      </c>
    </row>
    <row r="297" spans="2:17">
      <c r="B297" s="116"/>
      <c r="C297" s="116"/>
      <c r="D297" s="116"/>
      <c r="E297" s="116" cm="1">
        <f t="array" ref="E297">IF(H296&lt;&gt;"",E296,IF(E296="","",IFERROR(MATCH(TRUE(),INDEX(INDEX(K:K,E296+1):K203&lt;&gt;"",0),0)+E296,"")))</f>
        <v>439</v>
      </c>
      <c r="F297" s="117" cm="1">
        <f t="array" ref="F297">IF(E297="","",IF(H296&lt;&gt;"",H296,INDEX(D:D,E297)))</f>
        <v>0</v>
      </c>
      <c r="G297" s="117" t="str">
        <f t="shared" si="33"/>
        <v>0</v>
      </c>
      <c r="H297" s="118" t="str">
        <f t="shared" si="34"/>
        <v/>
      </c>
      <c r="I297" s="116" t="str">
        <f>IF(AND(F297&lt;&gt;"",N10&gt;0,M297&gt;N10),"Mot &gt; limite","")</f>
        <v/>
      </c>
      <c r="M297" s="70">
        <f>IF(OR(F297="",N10="",N10&lt;=0),"",IF(LEN(F297)&lt;=N10,LEN(F297),IFERROR(FIND("♦",SUBSTITUTE(LEFT(F297,N10)," ","♦",LEN(LEFT(F297,N10))-LEN(SUBSTITUTE(LEFT(F297,N10)," ","")))),FIND(" ",F297&amp;" ",N10+1)-1)))</f>
        <v>1</v>
      </c>
      <c r="N297" s="119">
        <f t="shared" si="35"/>
        <v>280</v>
      </c>
      <c r="O297" s="99" t="str">
        <f t="shared" si="36"/>
        <v>0</v>
      </c>
      <c r="P297" s="119">
        <f t="shared" si="37"/>
        <v>1</v>
      </c>
      <c r="Q297" s="119">
        <f t="shared" si="38"/>
        <v>1</v>
      </c>
    </row>
    <row r="298" spans="2:17">
      <c r="B298" s="116"/>
      <c r="C298" s="116"/>
      <c r="D298" s="116"/>
      <c r="E298" s="116" cm="1">
        <f t="array" ref="E298">IF(H297&lt;&gt;"",E297,IF(E297="","",IFERROR(MATCH(TRUE(),INDEX(INDEX(K:K,E297+1):K203&lt;&gt;"",0),0)+E297,"")))</f>
        <v>440</v>
      </c>
      <c r="F298" s="117" cm="1">
        <f t="array" ref="F298">IF(E298="","",IF(H297&lt;&gt;"",H297,INDEX(D:D,E298)))</f>
        <v>0</v>
      </c>
      <c r="G298" s="117" t="str">
        <f t="shared" si="33"/>
        <v>0</v>
      </c>
      <c r="H298" s="118" t="str">
        <f t="shared" si="34"/>
        <v/>
      </c>
      <c r="I298" s="116" t="str">
        <f>IF(AND(F298&lt;&gt;"",N10&gt;0,M298&gt;N10),"Mot &gt; limite","")</f>
        <v/>
      </c>
      <c r="M298" s="70">
        <f>IF(OR(F298="",N10="",N10&lt;=0),"",IF(LEN(F298)&lt;=N10,LEN(F298),IFERROR(FIND("♦",SUBSTITUTE(LEFT(F298,N10)," ","♦",LEN(LEFT(F298,N10))-LEN(SUBSTITUTE(LEFT(F298,N10)," ","")))),FIND(" ",F298&amp;" ",N10+1)-1)))</f>
        <v>1</v>
      </c>
      <c r="N298" s="119">
        <f t="shared" si="35"/>
        <v>281</v>
      </c>
      <c r="O298" s="99" t="str">
        <f t="shared" si="36"/>
        <v>0</v>
      </c>
      <c r="P298" s="119">
        <f t="shared" si="37"/>
        <v>1</v>
      </c>
      <c r="Q298" s="119">
        <f t="shared" si="38"/>
        <v>1</v>
      </c>
    </row>
    <row r="299" spans="2:17">
      <c r="B299" s="116"/>
      <c r="C299" s="116"/>
      <c r="D299" s="116"/>
      <c r="E299" s="116" cm="1">
        <f t="array" ref="E299">IF(H298&lt;&gt;"",E298,IF(E298="","",IFERROR(MATCH(TRUE(),INDEX(INDEX(K:K,E298+1):K203&lt;&gt;"",0),0)+E298,"")))</f>
        <v>441</v>
      </c>
      <c r="F299" s="117" cm="1">
        <f t="array" ref="F299">IF(E299="","",IF(H298&lt;&gt;"",H298,INDEX(D:D,E299)))</f>
        <v>0</v>
      </c>
      <c r="G299" s="117" t="str">
        <f t="shared" si="33"/>
        <v>0</v>
      </c>
      <c r="H299" s="118" t="str">
        <f t="shared" si="34"/>
        <v/>
      </c>
      <c r="I299" s="116" t="str">
        <f>IF(AND(F299&lt;&gt;"",N10&gt;0,M299&gt;N10),"Mot &gt; limite","")</f>
        <v/>
      </c>
      <c r="M299" s="70">
        <f>IF(OR(F299="",N10="",N10&lt;=0),"",IF(LEN(F299)&lt;=N10,LEN(F299),IFERROR(FIND("♦",SUBSTITUTE(LEFT(F299,N10)," ","♦",LEN(LEFT(F299,N10))-LEN(SUBSTITUTE(LEFT(F299,N10)," ","")))),FIND(" ",F299&amp;" ",N10+1)-1)))</f>
        <v>1</v>
      </c>
      <c r="N299" s="119">
        <f t="shared" si="35"/>
        <v>282</v>
      </c>
      <c r="O299" s="99" t="str">
        <f t="shared" si="36"/>
        <v>0</v>
      </c>
      <c r="P299" s="119">
        <f t="shared" si="37"/>
        <v>1</v>
      </c>
      <c r="Q299" s="119">
        <f t="shared" si="38"/>
        <v>1</v>
      </c>
    </row>
    <row r="300" spans="2:17">
      <c r="B300" s="116"/>
      <c r="C300" s="116"/>
      <c r="D300" s="116"/>
      <c r="E300" s="116" cm="1">
        <f t="array" ref="E300">IF(H299&lt;&gt;"",E299,IF(E299="","",IFERROR(MATCH(TRUE(),INDEX(INDEX(K:K,E299+1):K203&lt;&gt;"",0),0)+E299,"")))</f>
        <v>442</v>
      </c>
      <c r="F300" s="117" cm="1">
        <f t="array" ref="F300">IF(E300="","",IF(H299&lt;&gt;"",H299,INDEX(D:D,E300)))</f>
        <v>0</v>
      </c>
      <c r="G300" s="117" t="str">
        <f t="shared" si="33"/>
        <v>0</v>
      </c>
      <c r="H300" s="118" t="str">
        <f t="shared" si="34"/>
        <v/>
      </c>
      <c r="I300" s="116" t="str">
        <f>IF(AND(F300&lt;&gt;"",N10&gt;0,M300&gt;N10),"Mot &gt; limite","")</f>
        <v/>
      </c>
      <c r="M300" s="70">
        <f>IF(OR(F300="",N10="",N10&lt;=0),"",IF(LEN(F300)&lt;=N10,LEN(F300),IFERROR(FIND("♦",SUBSTITUTE(LEFT(F300,N10)," ","♦",LEN(LEFT(F300,N10))-LEN(SUBSTITUTE(LEFT(F300,N10)," ","")))),FIND(" ",F300&amp;" ",N10+1)-1)))</f>
        <v>1</v>
      </c>
      <c r="N300" s="119">
        <f t="shared" si="35"/>
        <v>283</v>
      </c>
      <c r="O300" s="99" t="str">
        <f t="shared" si="36"/>
        <v>0</v>
      </c>
      <c r="P300" s="119">
        <f t="shared" si="37"/>
        <v>1</v>
      </c>
      <c r="Q300" s="119">
        <f t="shared" si="38"/>
        <v>1</v>
      </c>
    </row>
    <row r="301" spans="2:17">
      <c r="B301" s="116"/>
      <c r="C301" s="116"/>
      <c r="D301" s="116"/>
      <c r="E301" s="116" cm="1">
        <f t="array" ref="E301">IF(H300&lt;&gt;"",E300,IF(E300="","",IFERROR(MATCH(TRUE(),INDEX(INDEX(K:K,E300+1):K203&lt;&gt;"",0),0)+E300,"")))</f>
        <v>443</v>
      </c>
      <c r="F301" s="117" cm="1">
        <f t="array" ref="F301">IF(E301="","",IF(H300&lt;&gt;"",H300,INDEX(D:D,E301)))</f>
        <v>0</v>
      </c>
      <c r="G301" s="117" t="str">
        <f t="shared" si="33"/>
        <v>0</v>
      </c>
      <c r="H301" s="118" t="str">
        <f t="shared" si="34"/>
        <v/>
      </c>
      <c r="I301" s="116" t="str">
        <f>IF(AND(F301&lt;&gt;"",N10&gt;0,M301&gt;N10),"Mot &gt; limite","")</f>
        <v/>
      </c>
      <c r="M301" s="70">
        <f>IF(OR(F301="",N10="",N10&lt;=0),"",IF(LEN(F301)&lt;=N10,LEN(F301),IFERROR(FIND("♦",SUBSTITUTE(LEFT(F301,N10)," ","♦",LEN(LEFT(F301,N10))-LEN(SUBSTITUTE(LEFT(F301,N10)," ","")))),FIND(" ",F301&amp;" ",N10+1)-1)))</f>
        <v>1</v>
      </c>
      <c r="N301" s="119">
        <f t="shared" si="35"/>
        <v>284</v>
      </c>
      <c r="O301" s="99" t="str">
        <f t="shared" si="36"/>
        <v>0</v>
      </c>
      <c r="P301" s="119">
        <f t="shared" si="37"/>
        <v>1</v>
      </c>
      <c r="Q301" s="119">
        <f t="shared" si="38"/>
        <v>1</v>
      </c>
    </row>
    <row r="302" spans="2:17">
      <c r="B302" s="116"/>
      <c r="C302" s="116"/>
      <c r="D302" s="116"/>
      <c r="E302" s="116" cm="1">
        <f t="array" ref="E302">IF(H301&lt;&gt;"",E301,IF(E301="","",IFERROR(MATCH(TRUE(),INDEX(INDEX(K:K,E301+1):K203&lt;&gt;"",0),0)+E301,"")))</f>
        <v>444</v>
      </c>
      <c r="F302" s="117" cm="1">
        <f t="array" ref="F302">IF(E302="","",IF(H301&lt;&gt;"",H301,INDEX(D:D,E302)))</f>
        <v>0</v>
      </c>
      <c r="G302" s="117" t="str">
        <f t="shared" si="33"/>
        <v>0</v>
      </c>
      <c r="H302" s="118" t="str">
        <f t="shared" si="34"/>
        <v/>
      </c>
      <c r="I302" s="116" t="str">
        <f>IF(AND(F302&lt;&gt;"",N10&gt;0,M302&gt;N10),"Mot &gt; limite","")</f>
        <v/>
      </c>
      <c r="M302" s="70">
        <f>IF(OR(F302="",N10="",N10&lt;=0),"",IF(LEN(F302)&lt;=N10,LEN(F302),IFERROR(FIND("♦",SUBSTITUTE(LEFT(F302,N10)," ","♦",LEN(LEFT(F302,N10))-LEN(SUBSTITUTE(LEFT(F302,N10)," ","")))),FIND(" ",F302&amp;" ",N10+1)-1)))</f>
        <v>1</v>
      </c>
      <c r="N302" s="119">
        <f t="shared" si="35"/>
        <v>285</v>
      </c>
      <c r="O302" s="99" t="str">
        <f t="shared" si="36"/>
        <v>0</v>
      </c>
      <c r="P302" s="119">
        <f t="shared" si="37"/>
        <v>1</v>
      </c>
      <c r="Q302" s="119">
        <f t="shared" si="38"/>
        <v>1</v>
      </c>
    </row>
    <row r="303" spans="2:17">
      <c r="B303" s="116"/>
      <c r="C303" s="116"/>
      <c r="D303" s="116"/>
      <c r="E303" s="116" cm="1">
        <f t="array" ref="E303">IF(H302&lt;&gt;"",E302,IF(E302="","",IFERROR(MATCH(TRUE(),INDEX(INDEX(K:K,E302+1):K203&lt;&gt;"",0),0)+E302,"")))</f>
        <v>445</v>
      </c>
      <c r="F303" s="117" cm="1">
        <f t="array" ref="F303">IF(E303="","",IF(H302&lt;&gt;"",H302,INDEX(D:D,E303)))</f>
        <v>0</v>
      </c>
      <c r="G303" s="117" t="str">
        <f t="shared" si="33"/>
        <v>0</v>
      </c>
      <c r="H303" s="118" t="str">
        <f t="shared" si="34"/>
        <v/>
      </c>
      <c r="I303" s="116" t="str">
        <f>IF(AND(F303&lt;&gt;"",N10&gt;0,M303&gt;N10),"Mot &gt; limite","")</f>
        <v/>
      </c>
      <c r="M303" s="70">
        <f>IF(OR(F303="",N10="",N10&lt;=0),"",IF(LEN(F303)&lt;=N10,LEN(F303),IFERROR(FIND("♦",SUBSTITUTE(LEFT(F303,N10)," ","♦",LEN(LEFT(F303,N10))-LEN(SUBSTITUTE(LEFT(F303,N10)," ","")))),FIND(" ",F303&amp;" ",N10+1)-1)))</f>
        <v>1</v>
      </c>
      <c r="N303" s="119">
        <f t="shared" si="35"/>
        <v>286</v>
      </c>
      <c r="O303" s="99" t="str">
        <f t="shared" si="36"/>
        <v>0</v>
      </c>
      <c r="P303" s="119">
        <f t="shared" si="37"/>
        <v>1</v>
      </c>
      <c r="Q303" s="119">
        <f t="shared" si="38"/>
        <v>1</v>
      </c>
    </row>
    <row r="304" spans="2:17">
      <c r="B304" s="116"/>
      <c r="C304" s="116"/>
      <c r="D304" s="116"/>
      <c r="E304" s="116" cm="1">
        <f t="array" ref="E304">IF(H303&lt;&gt;"",E303,IF(E303="","",IFERROR(MATCH(TRUE(),INDEX(INDEX(K:K,E303+1):K203&lt;&gt;"",0),0)+E303,"")))</f>
        <v>446</v>
      </c>
      <c r="F304" s="117" cm="1">
        <f t="array" ref="F304">IF(E304="","",IF(H303&lt;&gt;"",H303,INDEX(D:D,E304)))</f>
        <v>0</v>
      </c>
      <c r="G304" s="117" t="str">
        <f t="shared" si="33"/>
        <v>0</v>
      </c>
      <c r="H304" s="118" t="str">
        <f t="shared" si="34"/>
        <v/>
      </c>
      <c r="I304" s="116" t="str">
        <f>IF(AND(F304&lt;&gt;"",N10&gt;0,M304&gt;N10),"Mot &gt; limite","")</f>
        <v/>
      </c>
      <c r="M304" s="70">
        <f>IF(OR(F304="",N10="",N10&lt;=0),"",IF(LEN(F304)&lt;=N10,LEN(F304),IFERROR(FIND("♦",SUBSTITUTE(LEFT(F304,N10)," ","♦",LEN(LEFT(F304,N10))-LEN(SUBSTITUTE(LEFT(F304,N10)," ","")))),FIND(" ",F304&amp;" ",N10+1)-1)))</f>
        <v>1</v>
      </c>
      <c r="N304" s="119">
        <f t="shared" si="35"/>
        <v>287</v>
      </c>
      <c r="O304" s="99" t="str">
        <f t="shared" si="36"/>
        <v>0</v>
      </c>
      <c r="P304" s="119">
        <f t="shared" si="37"/>
        <v>1</v>
      </c>
      <c r="Q304" s="119">
        <f t="shared" si="38"/>
        <v>1</v>
      </c>
    </row>
    <row r="305" spans="2:17">
      <c r="B305" s="116"/>
      <c r="C305" s="116"/>
      <c r="D305" s="116"/>
      <c r="E305" s="116" cm="1">
        <f t="array" ref="E305">IF(H304&lt;&gt;"",E304,IF(E304="","",IFERROR(MATCH(TRUE(),INDEX(INDEX(K:K,E304+1):K203&lt;&gt;"",0),0)+E304,"")))</f>
        <v>447</v>
      </c>
      <c r="F305" s="117" cm="1">
        <f t="array" ref="F305">IF(E305="","",IF(H304&lt;&gt;"",H304,INDEX(D:D,E305)))</f>
        <v>0</v>
      </c>
      <c r="G305" s="117" t="str">
        <f t="shared" si="33"/>
        <v>0</v>
      </c>
      <c r="H305" s="118" t="str">
        <f t="shared" si="34"/>
        <v/>
      </c>
      <c r="I305" s="116" t="str">
        <f>IF(AND(F305&lt;&gt;"",N10&gt;0,M305&gt;N10),"Mot &gt; limite","")</f>
        <v/>
      </c>
      <c r="M305" s="70">
        <f>IF(OR(F305="",N10="",N10&lt;=0),"",IF(LEN(F305)&lt;=N10,LEN(F305),IFERROR(FIND("♦",SUBSTITUTE(LEFT(F305,N10)," ","♦",LEN(LEFT(F305,N10))-LEN(SUBSTITUTE(LEFT(F305,N10)," ","")))),FIND(" ",F305&amp;" ",N10+1)-1)))</f>
        <v>1</v>
      </c>
      <c r="N305" s="119">
        <f t="shared" si="35"/>
        <v>288</v>
      </c>
      <c r="O305" s="99" t="str">
        <f t="shared" si="36"/>
        <v>0</v>
      </c>
      <c r="P305" s="119">
        <f t="shared" si="37"/>
        <v>1</v>
      </c>
      <c r="Q305" s="119">
        <f t="shared" si="38"/>
        <v>1</v>
      </c>
    </row>
    <row r="306" spans="2:17">
      <c r="B306" s="116"/>
      <c r="C306" s="116"/>
      <c r="D306" s="116"/>
      <c r="E306" s="116" cm="1">
        <f t="array" ref="E306">IF(H305&lt;&gt;"",E305,IF(E305="","",IFERROR(MATCH(TRUE(),INDEX(INDEX(K:K,E305+1):K203&lt;&gt;"",0),0)+E305,"")))</f>
        <v>448</v>
      </c>
      <c r="F306" s="117" cm="1">
        <f t="array" ref="F306">IF(E306="","",IF(H305&lt;&gt;"",H305,INDEX(D:D,E306)))</f>
        <v>0</v>
      </c>
      <c r="G306" s="117" t="str">
        <f t="shared" si="33"/>
        <v>0</v>
      </c>
      <c r="H306" s="118" t="str">
        <f t="shared" si="34"/>
        <v/>
      </c>
      <c r="I306" s="116" t="str">
        <f>IF(AND(F306&lt;&gt;"",N10&gt;0,M306&gt;N10),"Mot &gt; limite","")</f>
        <v/>
      </c>
      <c r="M306" s="70">
        <f>IF(OR(F306="",N10="",N10&lt;=0),"",IF(LEN(F306)&lt;=N10,LEN(F306),IFERROR(FIND("♦",SUBSTITUTE(LEFT(F306,N10)," ","♦",LEN(LEFT(F306,N10))-LEN(SUBSTITUTE(LEFT(F306,N10)," ","")))),FIND(" ",F306&amp;" ",N10+1)-1)))</f>
        <v>1</v>
      </c>
      <c r="N306" s="119">
        <f t="shared" si="35"/>
        <v>289</v>
      </c>
      <c r="O306" s="99" t="str">
        <f t="shared" si="36"/>
        <v>0</v>
      </c>
      <c r="P306" s="119">
        <f t="shared" si="37"/>
        <v>1</v>
      </c>
      <c r="Q306" s="119">
        <f t="shared" si="38"/>
        <v>1</v>
      </c>
    </row>
    <row r="307" spans="2:17">
      <c r="B307" s="116"/>
      <c r="C307" s="116"/>
      <c r="D307" s="116"/>
      <c r="E307" s="116" cm="1">
        <f t="array" ref="E307">IF(H306&lt;&gt;"",E306,IF(E306="","",IFERROR(MATCH(TRUE(),INDEX(INDEX(K:K,E306+1):K203&lt;&gt;"",0),0)+E306,"")))</f>
        <v>449</v>
      </c>
      <c r="F307" s="117" cm="1">
        <f t="array" ref="F307">IF(E307="","",IF(H306&lt;&gt;"",H306,INDEX(D:D,E307)))</f>
        <v>0</v>
      </c>
      <c r="G307" s="117" t="str">
        <f t="shared" si="33"/>
        <v>0</v>
      </c>
      <c r="H307" s="118" t="str">
        <f t="shared" si="34"/>
        <v/>
      </c>
      <c r="I307" s="116" t="str">
        <f>IF(AND(F307&lt;&gt;"",N10&gt;0,M307&gt;N10),"Mot &gt; limite","")</f>
        <v/>
      </c>
      <c r="M307" s="70">
        <f>IF(OR(F307="",N10="",N10&lt;=0),"",IF(LEN(F307)&lt;=N10,LEN(F307),IFERROR(FIND("♦",SUBSTITUTE(LEFT(F307,N10)," ","♦",LEN(LEFT(F307,N10))-LEN(SUBSTITUTE(LEFT(F307,N10)," ","")))),FIND(" ",F307&amp;" ",N10+1)-1)))</f>
        <v>1</v>
      </c>
      <c r="N307" s="119">
        <f t="shared" si="35"/>
        <v>290</v>
      </c>
      <c r="O307" s="99" t="str">
        <f t="shared" si="36"/>
        <v>0</v>
      </c>
      <c r="P307" s="119">
        <f t="shared" si="37"/>
        <v>1</v>
      </c>
      <c r="Q307" s="119">
        <f t="shared" si="38"/>
        <v>1</v>
      </c>
    </row>
    <row r="308" spans="2:17">
      <c r="B308" s="116"/>
      <c r="C308" s="116"/>
      <c r="D308" s="116"/>
      <c r="E308" s="116" cm="1">
        <f t="array" ref="E308">IF(H307&lt;&gt;"",E307,IF(E307="","",IFERROR(MATCH(TRUE(),INDEX(INDEX(K:K,E307+1):K203&lt;&gt;"",0),0)+E307,"")))</f>
        <v>450</v>
      </c>
      <c r="F308" s="117" cm="1">
        <f t="array" ref="F308">IF(E308="","",IF(H307&lt;&gt;"",H307,INDEX(D:D,E308)))</f>
        <v>0</v>
      </c>
      <c r="G308" s="117" t="str">
        <f t="shared" si="33"/>
        <v>0</v>
      </c>
      <c r="H308" s="118" t="str">
        <f t="shared" si="34"/>
        <v/>
      </c>
      <c r="I308" s="116" t="str">
        <f>IF(AND(F308&lt;&gt;"",N10&gt;0,M308&gt;N10),"Mot &gt; limite","")</f>
        <v/>
      </c>
      <c r="M308" s="70">
        <f>IF(OR(F308="",N10="",N10&lt;=0),"",IF(LEN(F308)&lt;=N10,LEN(F308),IFERROR(FIND("♦",SUBSTITUTE(LEFT(F308,N10)," ","♦",LEN(LEFT(F308,N10))-LEN(SUBSTITUTE(LEFT(F308,N10)," ","")))),FIND(" ",F308&amp;" ",N10+1)-1)))</f>
        <v>1</v>
      </c>
      <c r="N308" s="119">
        <f t="shared" si="35"/>
        <v>291</v>
      </c>
      <c r="O308" s="99" t="str">
        <f t="shared" si="36"/>
        <v>0</v>
      </c>
      <c r="P308" s="119">
        <f t="shared" si="37"/>
        <v>1</v>
      </c>
      <c r="Q308" s="119">
        <f t="shared" si="38"/>
        <v>1</v>
      </c>
    </row>
    <row r="309" spans="2:17">
      <c r="B309" s="116"/>
      <c r="C309" s="116"/>
      <c r="D309" s="116"/>
      <c r="E309" s="116" cm="1">
        <f t="array" ref="E309">IF(H308&lt;&gt;"",E308,IF(E308="","",IFERROR(MATCH(TRUE(),INDEX(INDEX(K:K,E308+1):K203&lt;&gt;"",0),0)+E308,"")))</f>
        <v>451</v>
      </c>
      <c r="F309" s="117" cm="1">
        <f t="array" ref="F309">IF(E309="","",IF(H308&lt;&gt;"",H308,INDEX(D:D,E309)))</f>
        <v>0</v>
      </c>
      <c r="G309" s="117" t="str">
        <f t="shared" si="33"/>
        <v>0</v>
      </c>
      <c r="H309" s="118" t="str">
        <f t="shared" si="34"/>
        <v/>
      </c>
      <c r="I309" s="116" t="str">
        <f>IF(AND(F309&lt;&gt;"",N10&gt;0,M309&gt;N10),"Mot &gt; limite","")</f>
        <v/>
      </c>
      <c r="M309" s="70">
        <f>IF(OR(F309="",N10="",N10&lt;=0),"",IF(LEN(F309)&lt;=N10,LEN(F309),IFERROR(FIND("♦",SUBSTITUTE(LEFT(F309,N10)," ","♦",LEN(LEFT(F309,N10))-LEN(SUBSTITUTE(LEFT(F309,N10)," ","")))),FIND(" ",F309&amp;" ",N10+1)-1)))</f>
        <v>1</v>
      </c>
      <c r="N309" s="119">
        <f t="shared" si="35"/>
        <v>292</v>
      </c>
      <c r="O309" s="99" t="str">
        <f t="shared" si="36"/>
        <v>0</v>
      </c>
      <c r="P309" s="119">
        <f t="shared" si="37"/>
        <v>1</v>
      </c>
      <c r="Q309" s="119">
        <f t="shared" si="38"/>
        <v>1</v>
      </c>
    </row>
    <row r="310" spans="2:17">
      <c r="B310" s="116"/>
      <c r="C310" s="116"/>
      <c r="D310" s="116"/>
      <c r="E310" s="116" cm="1">
        <f t="array" ref="E310">IF(H309&lt;&gt;"",E309,IF(E309="","",IFERROR(MATCH(TRUE(),INDEX(INDEX(K:K,E309+1):K203&lt;&gt;"",0),0)+E309,"")))</f>
        <v>452</v>
      </c>
      <c r="F310" s="117" cm="1">
        <f t="array" ref="F310">IF(E310="","",IF(H309&lt;&gt;"",H309,INDEX(D:D,E310)))</f>
        <v>0</v>
      </c>
      <c r="G310" s="117" t="str">
        <f t="shared" si="33"/>
        <v>0</v>
      </c>
      <c r="H310" s="118" t="str">
        <f t="shared" si="34"/>
        <v/>
      </c>
      <c r="I310" s="116" t="str">
        <f>IF(AND(F310&lt;&gt;"",N10&gt;0,M310&gt;N10),"Mot &gt; limite","")</f>
        <v/>
      </c>
      <c r="M310" s="70">
        <f>IF(OR(F310="",N10="",N10&lt;=0),"",IF(LEN(F310)&lt;=N10,LEN(F310),IFERROR(FIND("♦",SUBSTITUTE(LEFT(F310,N10)," ","♦",LEN(LEFT(F310,N10))-LEN(SUBSTITUTE(LEFT(F310,N10)," ","")))),FIND(" ",F310&amp;" ",N10+1)-1)))</f>
        <v>1</v>
      </c>
      <c r="N310" s="119">
        <f t="shared" si="35"/>
        <v>293</v>
      </c>
      <c r="O310" s="99" t="str">
        <f t="shared" si="36"/>
        <v>0</v>
      </c>
      <c r="P310" s="119">
        <f t="shared" si="37"/>
        <v>1</v>
      </c>
      <c r="Q310" s="119">
        <f t="shared" si="38"/>
        <v>1</v>
      </c>
    </row>
    <row r="311" spans="2:17">
      <c r="B311" s="116"/>
      <c r="C311" s="116"/>
      <c r="D311" s="116"/>
      <c r="E311" s="116" cm="1">
        <f t="array" ref="E311">IF(H310&lt;&gt;"",E310,IF(E310="","",IFERROR(MATCH(TRUE(),INDEX(INDEX(K:K,E310+1):K203&lt;&gt;"",0),0)+E310,"")))</f>
        <v>453</v>
      </c>
      <c r="F311" s="117" cm="1">
        <f t="array" ref="F311">IF(E311="","",IF(H310&lt;&gt;"",H310,INDEX(D:D,E311)))</f>
        <v>0</v>
      </c>
      <c r="G311" s="117" t="str">
        <f t="shared" si="33"/>
        <v>0</v>
      </c>
      <c r="H311" s="118" t="str">
        <f t="shared" si="34"/>
        <v/>
      </c>
      <c r="I311" s="116" t="str">
        <f>IF(AND(F311&lt;&gt;"",N10&gt;0,M311&gt;N10),"Mot &gt; limite","")</f>
        <v/>
      </c>
      <c r="M311" s="70">
        <f>IF(OR(F311="",N10="",N10&lt;=0),"",IF(LEN(F311)&lt;=N10,LEN(F311),IFERROR(FIND("♦",SUBSTITUTE(LEFT(F311,N10)," ","♦",LEN(LEFT(F311,N10))-LEN(SUBSTITUTE(LEFT(F311,N10)," ","")))),FIND(" ",F311&amp;" ",N10+1)-1)))</f>
        <v>1</v>
      </c>
      <c r="N311" s="119">
        <f t="shared" si="35"/>
        <v>294</v>
      </c>
      <c r="O311" s="99" t="str">
        <f t="shared" si="36"/>
        <v>0</v>
      </c>
      <c r="P311" s="119">
        <f t="shared" si="37"/>
        <v>1</v>
      </c>
      <c r="Q311" s="119">
        <f t="shared" si="38"/>
        <v>1</v>
      </c>
    </row>
    <row r="312" spans="2:17">
      <c r="B312" s="116"/>
      <c r="C312" s="116"/>
      <c r="D312" s="116"/>
      <c r="E312" s="116" cm="1">
        <f t="array" ref="E312">IF(H311&lt;&gt;"",E311,IF(E311="","",IFERROR(MATCH(TRUE(),INDEX(INDEX(K:K,E311+1):K203&lt;&gt;"",0),0)+E311,"")))</f>
        <v>454</v>
      </c>
      <c r="F312" s="117" cm="1">
        <f t="array" ref="F312">IF(E312="","",IF(H311&lt;&gt;"",H311,INDEX(D:D,E312)))</f>
        <v>0</v>
      </c>
      <c r="G312" s="117" t="str">
        <f t="shared" si="33"/>
        <v>0</v>
      </c>
      <c r="H312" s="118" t="str">
        <f t="shared" si="34"/>
        <v/>
      </c>
      <c r="I312" s="116" t="str">
        <f>IF(AND(F312&lt;&gt;"",N10&gt;0,M312&gt;N10),"Mot &gt; limite","")</f>
        <v/>
      </c>
      <c r="M312" s="70">
        <f>IF(OR(F312="",N10="",N10&lt;=0),"",IF(LEN(F312)&lt;=N10,LEN(F312),IFERROR(FIND("♦",SUBSTITUTE(LEFT(F312,N10)," ","♦",LEN(LEFT(F312,N10))-LEN(SUBSTITUTE(LEFT(F312,N10)," ","")))),FIND(" ",F312&amp;" ",N10+1)-1)))</f>
        <v>1</v>
      </c>
      <c r="N312" s="119">
        <f t="shared" si="35"/>
        <v>295</v>
      </c>
      <c r="O312" s="99" t="str">
        <f t="shared" si="36"/>
        <v>0</v>
      </c>
      <c r="P312" s="119">
        <f t="shared" si="37"/>
        <v>1</v>
      </c>
      <c r="Q312" s="119">
        <f t="shared" si="38"/>
        <v>1</v>
      </c>
    </row>
    <row r="313" spans="2:17">
      <c r="B313" s="116"/>
      <c r="C313" s="116"/>
      <c r="D313" s="116"/>
      <c r="E313" s="116" cm="1">
        <f t="array" ref="E313">IF(H312&lt;&gt;"",E312,IF(E312="","",IFERROR(MATCH(TRUE(),INDEX(INDEX(K:K,E312+1):K203&lt;&gt;"",0),0)+E312,"")))</f>
        <v>455</v>
      </c>
      <c r="F313" s="117" cm="1">
        <f t="array" ref="F313">IF(E313="","",IF(H312&lt;&gt;"",H312,INDEX(D:D,E313)))</f>
        <v>0</v>
      </c>
      <c r="G313" s="117" t="str">
        <f t="shared" si="33"/>
        <v>0</v>
      </c>
      <c r="H313" s="118" t="str">
        <f t="shared" si="34"/>
        <v/>
      </c>
      <c r="I313" s="116" t="str">
        <f>IF(AND(F313&lt;&gt;"",N10&gt;0,M313&gt;N10),"Mot &gt; limite","")</f>
        <v/>
      </c>
      <c r="M313" s="70">
        <f>IF(OR(F313="",N10="",N10&lt;=0),"",IF(LEN(F313)&lt;=N10,LEN(F313),IFERROR(FIND("♦",SUBSTITUTE(LEFT(F313,N10)," ","♦",LEN(LEFT(F313,N10))-LEN(SUBSTITUTE(LEFT(F313,N10)," ","")))),FIND(" ",F313&amp;" ",N10+1)-1)))</f>
        <v>1</v>
      </c>
      <c r="N313" s="119">
        <f t="shared" si="35"/>
        <v>296</v>
      </c>
      <c r="O313" s="99" t="str">
        <f t="shared" si="36"/>
        <v>0</v>
      </c>
      <c r="P313" s="119">
        <f t="shared" si="37"/>
        <v>1</v>
      </c>
      <c r="Q313" s="119">
        <f t="shared" si="38"/>
        <v>1</v>
      </c>
    </row>
    <row r="314" spans="2:17">
      <c r="B314" s="116"/>
      <c r="C314" s="116"/>
      <c r="D314" s="116"/>
      <c r="E314" s="116" cm="1">
        <f t="array" ref="E314">IF(H313&lt;&gt;"",E313,IF(E313="","",IFERROR(MATCH(TRUE(),INDEX(INDEX(K:K,E313+1):K203&lt;&gt;"",0),0)+E313,"")))</f>
        <v>456</v>
      </c>
      <c r="F314" s="117" cm="1">
        <f t="array" ref="F314">IF(E314="","",IF(H313&lt;&gt;"",H313,INDEX(D:D,E314)))</f>
        <v>0</v>
      </c>
      <c r="G314" s="117" t="str">
        <f t="shared" si="33"/>
        <v>0</v>
      </c>
      <c r="H314" s="118" t="str">
        <f t="shared" si="34"/>
        <v/>
      </c>
      <c r="I314" s="116" t="str">
        <f>IF(AND(F314&lt;&gt;"",N10&gt;0,M314&gt;N10),"Mot &gt; limite","")</f>
        <v/>
      </c>
      <c r="M314" s="70">
        <f>IF(OR(F314="",N10="",N10&lt;=0),"",IF(LEN(F314)&lt;=N10,LEN(F314),IFERROR(FIND("♦",SUBSTITUTE(LEFT(F314,N10)," ","♦",LEN(LEFT(F314,N10))-LEN(SUBSTITUTE(LEFT(F314,N10)," ","")))),FIND(" ",F314&amp;" ",N10+1)-1)))</f>
        <v>1</v>
      </c>
      <c r="N314" s="119">
        <f t="shared" si="35"/>
        <v>297</v>
      </c>
      <c r="O314" s="99" t="str">
        <f t="shared" si="36"/>
        <v>0</v>
      </c>
      <c r="P314" s="119">
        <f t="shared" si="37"/>
        <v>1</v>
      </c>
      <c r="Q314" s="119">
        <f t="shared" si="38"/>
        <v>1</v>
      </c>
    </row>
    <row r="315" spans="2:17">
      <c r="B315" s="116"/>
      <c r="C315" s="116"/>
      <c r="D315" s="116"/>
      <c r="E315" s="116" cm="1">
        <f t="array" ref="E315">IF(H314&lt;&gt;"",E314,IF(E314="","",IFERROR(MATCH(TRUE(),INDEX(INDEX(K:K,E314+1):K203&lt;&gt;"",0),0)+E314,"")))</f>
        <v>457</v>
      </c>
      <c r="F315" s="117" cm="1">
        <f t="array" ref="F315">IF(E315="","",IF(H314&lt;&gt;"",H314,INDEX(D:D,E315)))</f>
        <v>0</v>
      </c>
      <c r="G315" s="117" t="str">
        <f t="shared" si="33"/>
        <v>0</v>
      </c>
      <c r="H315" s="118" t="str">
        <f t="shared" si="34"/>
        <v/>
      </c>
      <c r="I315" s="116" t="str">
        <f>IF(AND(F315&lt;&gt;"",N10&gt;0,M315&gt;N10),"Mot &gt; limite","")</f>
        <v/>
      </c>
      <c r="M315" s="70">
        <f>IF(OR(F315="",N10="",N10&lt;=0),"",IF(LEN(F315)&lt;=N10,LEN(F315),IFERROR(FIND("♦",SUBSTITUTE(LEFT(F315,N10)," ","♦",LEN(LEFT(F315,N10))-LEN(SUBSTITUTE(LEFT(F315,N10)," ","")))),FIND(" ",F315&amp;" ",N10+1)-1)))</f>
        <v>1</v>
      </c>
      <c r="N315" s="119">
        <f t="shared" si="35"/>
        <v>298</v>
      </c>
      <c r="O315" s="99" t="str">
        <f t="shared" si="36"/>
        <v>0</v>
      </c>
      <c r="P315" s="119">
        <f t="shared" si="37"/>
        <v>1</v>
      </c>
      <c r="Q315" s="119">
        <f t="shared" si="38"/>
        <v>1</v>
      </c>
    </row>
    <row r="316" spans="2:17">
      <c r="B316" s="116"/>
      <c r="C316" s="116"/>
      <c r="D316" s="116"/>
      <c r="E316" s="116" cm="1">
        <f t="array" ref="E316">IF(H315&lt;&gt;"",E315,IF(E315="","",IFERROR(MATCH(TRUE(),INDEX(INDEX(K:K,E315+1):K203&lt;&gt;"",0),0)+E315,"")))</f>
        <v>458</v>
      </c>
      <c r="F316" s="117" cm="1">
        <f t="array" ref="F316">IF(E316="","",IF(H315&lt;&gt;"",H315,INDEX(D:D,E316)))</f>
        <v>0</v>
      </c>
      <c r="G316" s="117" t="str">
        <f t="shared" si="33"/>
        <v>0</v>
      </c>
      <c r="H316" s="118" t="str">
        <f t="shared" si="34"/>
        <v/>
      </c>
      <c r="I316" s="116" t="str">
        <f>IF(AND(F316&lt;&gt;"",N10&gt;0,M316&gt;N10),"Mot &gt; limite","")</f>
        <v/>
      </c>
      <c r="M316" s="70">
        <f>IF(OR(F316="",N10="",N10&lt;=0),"",IF(LEN(F316)&lt;=N10,LEN(F316),IFERROR(FIND("♦",SUBSTITUTE(LEFT(F316,N10)," ","♦",LEN(LEFT(F316,N10))-LEN(SUBSTITUTE(LEFT(F316,N10)," ","")))),FIND(" ",F316&amp;" ",N10+1)-1)))</f>
        <v>1</v>
      </c>
      <c r="N316" s="119">
        <f t="shared" si="35"/>
        <v>299</v>
      </c>
      <c r="O316" s="99" t="str">
        <f t="shared" si="36"/>
        <v>0</v>
      </c>
      <c r="P316" s="119">
        <f t="shared" si="37"/>
        <v>1</v>
      </c>
      <c r="Q316" s="119">
        <f t="shared" si="38"/>
        <v>1</v>
      </c>
    </row>
    <row r="317" spans="2:17">
      <c r="B317" s="116"/>
      <c r="C317" s="116"/>
      <c r="D317" s="116"/>
      <c r="E317" s="116" cm="1">
        <f t="array" ref="E317">IF(H316&lt;&gt;"",E316,IF(E316="","",IFERROR(MATCH(TRUE(),INDEX(INDEX(K:K,E316+1):K203&lt;&gt;"",0),0)+E316,"")))</f>
        <v>459</v>
      </c>
      <c r="F317" s="117" cm="1">
        <f t="array" ref="F317">IF(E317="","",IF(H316&lt;&gt;"",H316,INDEX(D:D,E317)))</f>
        <v>0</v>
      </c>
      <c r="G317" s="117" t="str">
        <f t="shared" si="33"/>
        <v>0</v>
      </c>
      <c r="H317" s="118" t="str">
        <f t="shared" si="34"/>
        <v/>
      </c>
      <c r="I317" s="116" t="str">
        <f>IF(AND(F317&lt;&gt;"",N10&gt;0,M317&gt;N10),"Mot &gt; limite","")</f>
        <v/>
      </c>
      <c r="M317" s="70">
        <f>IF(OR(F317="",N10="",N10&lt;=0),"",IF(LEN(F317)&lt;=N10,LEN(F317),IFERROR(FIND("♦",SUBSTITUTE(LEFT(F317,N10)," ","♦",LEN(LEFT(F317,N10))-LEN(SUBSTITUTE(LEFT(F317,N10)," ","")))),FIND(" ",F317&amp;" ",N10+1)-1)))</f>
        <v>1</v>
      </c>
      <c r="N317" s="119">
        <f t="shared" si="35"/>
        <v>300</v>
      </c>
      <c r="O317" s="99" t="str">
        <f t="shared" si="36"/>
        <v>0</v>
      </c>
      <c r="P317" s="119">
        <f t="shared" si="37"/>
        <v>1</v>
      </c>
      <c r="Q317" s="119">
        <f t="shared" si="38"/>
        <v>1</v>
      </c>
    </row>
    <row r="318" spans="2:17">
      <c r="B318" s="116"/>
      <c r="C318" s="116"/>
      <c r="D318" s="116"/>
      <c r="E318" s="116" cm="1">
        <f t="array" ref="E318">IF(H317&lt;&gt;"",E317,IF(E317="","",IFERROR(MATCH(TRUE(),INDEX(INDEX(K:K,E317+1):K203&lt;&gt;"",0),0)+E317,"")))</f>
        <v>460</v>
      </c>
      <c r="F318" s="117" cm="1">
        <f t="array" ref="F318">IF(E318="","",IF(H317&lt;&gt;"",H317,INDEX(D:D,E318)))</f>
        <v>0</v>
      </c>
      <c r="G318" s="117" t="str">
        <f t="shared" si="33"/>
        <v>0</v>
      </c>
      <c r="H318" s="118" t="str">
        <f t="shared" si="34"/>
        <v/>
      </c>
      <c r="I318" s="116" t="str">
        <f>IF(AND(F318&lt;&gt;"",N10&gt;0,M318&gt;N10),"Mot &gt; limite","")</f>
        <v/>
      </c>
      <c r="M318" s="70">
        <f>IF(OR(F318="",N10="",N10&lt;=0),"",IF(LEN(F318)&lt;=N10,LEN(F318),IFERROR(FIND("♦",SUBSTITUTE(LEFT(F318,N10)," ","♦",LEN(LEFT(F318,N10))-LEN(SUBSTITUTE(LEFT(F318,N10)," ","")))),FIND(" ",F318&amp;" ",N10+1)-1)))</f>
        <v>1</v>
      </c>
      <c r="N318" s="119">
        <f t="shared" si="35"/>
        <v>301</v>
      </c>
      <c r="O318" s="99" t="str">
        <f t="shared" si="36"/>
        <v>0</v>
      </c>
      <c r="P318" s="119">
        <f t="shared" si="37"/>
        <v>1</v>
      </c>
      <c r="Q318" s="119">
        <f t="shared" si="38"/>
        <v>1</v>
      </c>
    </row>
    <row r="319" spans="2:17">
      <c r="B319" s="116"/>
      <c r="C319" s="116"/>
      <c r="D319" s="116"/>
      <c r="E319" s="116" cm="1">
        <f t="array" ref="E319">IF(H318&lt;&gt;"",E318,IF(E318="","",IFERROR(MATCH(TRUE(),INDEX(INDEX(K:K,E318+1):K203&lt;&gt;"",0),0)+E318,"")))</f>
        <v>461</v>
      </c>
      <c r="F319" s="117" cm="1">
        <f t="array" ref="F319">IF(E319="","",IF(H318&lt;&gt;"",H318,INDEX(D:D,E319)))</f>
        <v>0</v>
      </c>
      <c r="G319" s="117" t="str">
        <f t="shared" si="33"/>
        <v>0</v>
      </c>
      <c r="H319" s="118" t="str">
        <f t="shared" si="34"/>
        <v/>
      </c>
      <c r="I319" s="116" t="str">
        <f>IF(AND(F319&lt;&gt;"",N10&gt;0,M319&gt;N10),"Mot &gt; limite","")</f>
        <v/>
      </c>
      <c r="M319" s="70">
        <f>IF(OR(F319="",N10="",N10&lt;=0),"",IF(LEN(F319)&lt;=N10,LEN(F319),IFERROR(FIND("♦",SUBSTITUTE(LEFT(F319,N10)," ","♦",LEN(LEFT(F319,N10))-LEN(SUBSTITUTE(LEFT(F319,N10)," ","")))),FIND(" ",F319&amp;" ",N10+1)-1)))</f>
        <v>1</v>
      </c>
      <c r="N319" s="119">
        <f t="shared" si="35"/>
        <v>302</v>
      </c>
      <c r="O319" s="99" t="str">
        <f t="shared" si="36"/>
        <v>0</v>
      </c>
      <c r="P319" s="119">
        <f t="shared" si="37"/>
        <v>1</v>
      </c>
      <c r="Q319" s="119">
        <f t="shared" si="38"/>
        <v>1</v>
      </c>
    </row>
    <row r="320" spans="2:17">
      <c r="B320" s="116"/>
      <c r="C320" s="116"/>
      <c r="D320" s="116"/>
      <c r="E320" s="116" cm="1">
        <f t="array" ref="E320">IF(H319&lt;&gt;"",E319,IF(E319="","",IFERROR(MATCH(TRUE(),INDEX(INDEX(K:K,E319+1):K203&lt;&gt;"",0),0)+E319,"")))</f>
        <v>462</v>
      </c>
      <c r="F320" s="117" cm="1">
        <f t="array" ref="F320">IF(E320="","",IF(H319&lt;&gt;"",H319,INDEX(D:D,E320)))</f>
        <v>0</v>
      </c>
      <c r="G320" s="117" t="str">
        <f t="shared" si="33"/>
        <v>0</v>
      </c>
      <c r="H320" s="118" t="str">
        <f t="shared" si="34"/>
        <v/>
      </c>
      <c r="I320" s="116" t="str">
        <f>IF(AND(F320&lt;&gt;"",N10&gt;0,M320&gt;N10),"Mot &gt; limite","")</f>
        <v/>
      </c>
      <c r="M320" s="70">
        <f>IF(OR(F320="",N10="",N10&lt;=0),"",IF(LEN(F320)&lt;=N10,LEN(F320),IFERROR(FIND("♦",SUBSTITUTE(LEFT(F320,N10)," ","♦",LEN(LEFT(F320,N10))-LEN(SUBSTITUTE(LEFT(F320,N10)," ","")))),FIND(" ",F320&amp;" ",N10+1)-1)))</f>
        <v>1</v>
      </c>
      <c r="N320" s="119">
        <f t="shared" si="35"/>
        <v>303</v>
      </c>
      <c r="O320" s="99" t="str">
        <f t="shared" si="36"/>
        <v>0</v>
      </c>
      <c r="P320" s="119">
        <f t="shared" si="37"/>
        <v>1</v>
      </c>
      <c r="Q320" s="119">
        <f t="shared" si="38"/>
        <v>1</v>
      </c>
    </row>
    <row r="321" spans="2:17">
      <c r="B321" s="116"/>
      <c r="C321" s="116"/>
      <c r="D321" s="116"/>
      <c r="E321" s="116" cm="1">
        <f t="array" ref="E321">IF(H320&lt;&gt;"",E320,IF(E320="","",IFERROR(MATCH(TRUE(),INDEX(INDEX(K:K,E320+1):K203&lt;&gt;"",0),0)+E320,"")))</f>
        <v>463</v>
      </c>
      <c r="F321" s="117" cm="1">
        <f t="array" ref="F321">IF(E321="","",IF(H320&lt;&gt;"",H320,INDEX(D:D,E321)))</f>
        <v>0</v>
      </c>
      <c r="G321" s="117" t="str">
        <f t="shared" si="33"/>
        <v>0</v>
      </c>
      <c r="H321" s="118" t="str">
        <f t="shared" si="34"/>
        <v/>
      </c>
      <c r="I321" s="116" t="str">
        <f>IF(AND(F321&lt;&gt;"",N10&gt;0,M321&gt;N10),"Mot &gt; limite","")</f>
        <v/>
      </c>
      <c r="M321" s="70">
        <f>IF(OR(F321="",N10="",N10&lt;=0),"",IF(LEN(F321)&lt;=N10,LEN(F321),IFERROR(FIND("♦",SUBSTITUTE(LEFT(F321,N10)," ","♦",LEN(LEFT(F321,N10))-LEN(SUBSTITUTE(LEFT(F321,N10)," ","")))),FIND(" ",F321&amp;" ",N10+1)-1)))</f>
        <v>1</v>
      </c>
      <c r="N321" s="119">
        <f t="shared" si="35"/>
        <v>304</v>
      </c>
      <c r="O321" s="99" t="str">
        <f t="shared" si="36"/>
        <v>0</v>
      </c>
      <c r="P321" s="119">
        <f t="shared" si="37"/>
        <v>1</v>
      </c>
      <c r="Q321" s="119">
        <f t="shared" si="38"/>
        <v>1</v>
      </c>
    </row>
    <row r="322" spans="2:17">
      <c r="B322" s="116"/>
      <c r="C322" s="116"/>
      <c r="D322" s="116"/>
      <c r="E322" s="116" cm="1">
        <f t="array" ref="E322">IF(H321&lt;&gt;"",E321,IF(E321="","",IFERROR(MATCH(TRUE(),INDEX(INDEX(K:K,E321+1):K203&lt;&gt;"",0),0)+E321,"")))</f>
        <v>464</v>
      </c>
      <c r="F322" s="117" cm="1">
        <f t="array" ref="F322">IF(E322="","",IF(H321&lt;&gt;"",H321,INDEX(D:D,E322)))</f>
        <v>0</v>
      </c>
      <c r="G322" s="117" t="str">
        <f t="shared" si="33"/>
        <v>0</v>
      </c>
      <c r="H322" s="118" t="str">
        <f t="shared" si="34"/>
        <v/>
      </c>
      <c r="I322" s="116" t="str">
        <f>IF(AND(F322&lt;&gt;"",N10&gt;0,M322&gt;N10),"Mot &gt; limite","")</f>
        <v/>
      </c>
      <c r="M322" s="70">
        <f>IF(OR(F322="",N10="",N10&lt;=0),"",IF(LEN(F322)&lt;=N10,LEN(F322),IFERROR(FIND("♦",SUBSTITUTE(LEFT(F322,N10)," ","♦",LEN(LEFT(F322,N10))-LEN(SUBSTITUTE(LEFT(F322,N10)," ","")))),FIND(" ",F322&amp;" ",N10+1)-1)))</f>
        <v>1</v>
      </c>
      <c r="N322" s="119">
        <f t="shared" si="35"/>
        <v>305</v>
      </c>
      <c r="O322" s="99" t="str">
        <f t="shared" si="36"/>
        <v>0</v>
      </c>
      <c r="P322" s="119">
        <f t="shared" si="37"/>
        <v>1</v>
      </c>
      <c r="Q322" s="119">
        <f t="shared" si="38"/>
        <v>1</v>
      </c>
    </row>
    <row r="323" spans="2:17">
      <c r="B323" s="116"/>
      <c r="C323" s="116"/>
      <c r="D323" s="116"/>
      <c r="E323" s="116" cm="1">
        <f t="array" ref="E323">IF(H322&lt;&gt;"",E322,IF(E322="","",IFERROR(MATCH(TRUE(),INDEX(INDEX(K:K,E322+1):K203&lt;&gt;"",0),0)+E322,"")))</f>
        <v>465</v>
      </c>
      <c r="F323" s="117" cm="1">
        <f t="array" ref="F323">IF(E323="","",IF(H322&lt;&gt;"",H322,INDEX(D:D,E323)))</f>
        <v>0</v>
      </c>
      <c r="G323" s="117" t="str">
        <f t="shared" si="33"/>
        <v>0</v>
      </c>
      <c r="H323" s="118" t="str">
        <f t="shared" si="34"/>
        <v/>
      </c>
      <c r="I323" s="116" t="str">
        <f>IF(AND(F323&lt;&gt;"",N10&gt;0,M323&gt;N10),"Mot &gt; limite","")</f>
        <v/>
      </c>
      <c r="M323" s="70">
        <f>IF(OR(F323="",N10="",N10&lt;=0),"",IF(LEN(F323)&lt;=N10,LEN(F323),IFERROR(FIND("♦",SUBSTITUTE(LEFT(F323,N10)," ","♦",LEN(LEFT(F323,N10))-LEN(SUBSTITUTE(LEFT(F323,N10)," ","")))),FIND(" ",F323&amp;" ",N10+1)-1)))</f>
        <v>1</v>
      </c>
      <c r="N323" s="119">
        <f t="shared" si="35"/>
        <v>306</v>
      </c>
      <c r="O323" s="99" t="str">
        <f t="shared" si="36"/>
        <v>0</v>
      </c>
      <c r="P323" s="119">
        <f t="shared" si="37"/>
        <v>1</v>
      </c>
      <c r="Q323" s="119">
        <f t="shared" si="38"/>
        <v>1</v>
      </c>
    </row>
    <row r="324" spans="2:17">
      <c r="B324" s="116"/>
      <c r="C324" s="116"/>
      <c r="D324" s="116"/>
      <c r="E324" s="116" cm="1">
        <f t="array" ref="E324">IF(H323&lt;&gt;"",E323,IF(E323="","",IFERROR(MATCH(TRUE(),INDEX(INDEX(K:K,E323+1):K203&lt;&gt;"",0),0)+E323,"")))</f>
        <v>466</v>
      </c>
      <c r="F324" s="117" cm="1">
        <f t="array" ref="F324">IF(E324="","",IF(H323&lt;&gt;"",H323,INDEX(D:D,E324)))</f>
        <v>0</v>
      </c>
      <c r="G324" s="117" t="str">
        <f t="shared" si="33"/>
        <v>0</v>
      </c>
      <c r="H324" s="118" t="str">
        <f t="shared" si="34"/>
        <v/>
      </c>
      <c r="I324" s="116" t="str">
        <f>IF(AND(F324&lt;&gt;"",N10&gt;0,M324&gt;N10),"Mot &gt; limite","")</f>
        <v/>
      </c>
      <c r="M324" s="70">
        <f>IF(OR(F324="",N10="",N10&lt;=0),"",IF(LEN(F324)&lt;=N10,LEN(F324),IFERROR(FIND("♦",SUBSTITUTE(LEFT(F324,N10)," ","♦",LEN(LEFT(F324,N10))-LEN(SUBSTITUTE(LEFT(F324,N10)," ","")))),FIND(" ",F324&amp;" ",N10+1)-1)))</f>
        <v>1</v>
      </c>
      <c r="N324" s="119">
        <f t="shared" si="35"/>
        <v>307</v>
      </c>
      <c r="O324" s="99" t="str">
        <f t="shared" si="36"/>
        <v>0</v>
      </c>
      <c r="P324" s="119">
        <f t="shared" si="37"/>
        <v>1</v>
      </c>
      <c r="Q324" s="119">
        <f t="shared" si="38"/>
        <v>1</v>
      </c>
    </row>
    <row r="325" spans="2:17">
      <c r="B325" s="116"/>
      <c r="C325" s="116"/>
      <c r="D325" s="116"/>
      <c r="E325" s="116" cm="1">
        <f t="array" ref="E325">IF(H324&lt;&gt;"",E324,IF(E324="","",IFERROR(MATCH(TRUE(),INDEX(INDEX(K:K,E324+1):K203&lt;&gt;"",0),0)+E324,"")))</f>
        <v>467</v>
      </c>
      <c r="F325" s="117" cm="1">
        <f t="array" ref="F325">IF(E325="","",IF(H324&lt;&gt;"",H324,INDEX(D:D,E325)))</f>
        <v>0</v>
      </c>
      <c r="G325" s="117" t="str">
        <f t="shared" si="33"/>
        <v>0</v>
      </c>
      <c r="H325" s="118" t="str">
        <f t="shared" si="34"/>
        <v/>
      </c>
      <c r="I325" s="116" t="str">
        <f>IF(AND(F325&lt;&gt;"",N10&gt;0,M325&gt;N10),"Mot &gt; limite","")</f>
        <v/>
      </c>
      <c r="M325" s="70">
        <f>IF(OR(F325="",N10="",N10&lt;=0),"",IF(LEN(F325)&lt;=N10,LEN(F325),IFERROR(FIND("♦",SUBSTITUTE(LEFT(F325,N10)," ","♦",LEN(LEFT(F325,N10))-LEN(SUBSTITUTE(LEFT(F325,N10)," ","")))),FIND(" ",F325&amp;" ",N10+1)-1)))</f>
        <v>1</v>
      </c>
      <c r="N325" s="119">
        <f t="shared" si="35"/>
        <v>308</v>
      </c>
      <c r="O325" s="99" t="str">
        <f t="shared" si="36"/>
        <v>0</v>
      </c>
      <c r="P325" s="119">
        <f t="shared" si="37"/>
        <v>1</v>
      </c>
      <c r="Q325" s="119">
        <f t="shared" si="38"/>
        <v>1</v>
      </c>
    </row>
    <row r="326" spans="2:17">
      <c r="B326" s="116"/>
      <c r="C326" s="116"/>
      <c r="D326" s="116"/>
      <c r="E326" s="116" cm="1">
        <f t="array" ref="E326">IF(H325&lt;&gt;"",E325,IF(E325="","",IFERROR(MATCH(TRUE(),INDEX(INDEX(K:K,E325+1):K203&lt;&gt;"",0),0)+E325,"")))</f>
        <v>468</v>
      </c>
      <c r="F326" s="117" cm="1">
        <f t="array" ref="F326">IF(E326="","",IF(H325&lt;&gt;"",H325,INDEX(D:D,E326)))</f>
        <v>0</v>
      </c>
      <c r="G326" s="117" t="str">
        <f t="shared" si="33"/>
        <v>0</v>
      </c>
      <c r="H326" s="118" t="str">
        <f t="shared" si="34"/>
        <v/>
      </c>
      <c r="I326" s="116" t="str">
        <f>IF(AND(F326&lt;&gt;"",N10&gt;0,M326&gt;N10),"Mot &gt; limite","")</f>
        <v/>
      </c>
      <c r="M326" s="70">
        <f>IF(OR(F326="",N10="",N10&lt;=0),"",IF(LEN(F326)&lt;=N10,LEN(F326),IFERROR(FIND("♦",SUBSTITUTE(LEFT(F326,N10)," ","♦",LEN(LEFT(F326,N10))-LEN(SUBSTITUTE(LEFT(F326,N10)," ","")))),FIND(" ",F326&amp;" ",N10+1)-1)))</f>
        <v>1</v>
      </c>
      <c r="N326" s="119">
        <f t="shared" si="35"/>
        <v>309</v>
      </c>
      <c r="O326" s="99" t="str">
        <f t="shared" si="36"/>
        <v>0</v>
      </c>
      <c r="P326" s="119">
        <f t="shared" si="37"/>
        <v>1</v>
      </c>
      <c r="Q326" s="119">
        <f t="shared" si="38"/>
        <v>1</v>
      </c>
    </row>
    <row r="327" spans="2:17">
      <c r="B327" s="116"/>
      <c r="C327" s="116"/>
      <c r="D327" s="116"/>
      <c r="E327" s="116" cm="1">
        <f t="array" ref="E327">IF(H326&lt;&gt;"",E326,IF(E326="","",IFERROR(MATCH(TRUE(),INDEX(INDEX(K:K,E326+1):K203&lt;&gt;"",0),0)+E326,"")))</f>
        <v>469</v>
      </c>
      <c r="F327" s="117" cm="1">
        <f t="array" ref="F327">IF(E327="","",IF(H326&lt;&gt;"",H326,INDEX(D:D,E327)))</f>
        <v>0</v>
      </c>
      <c r="G327" s="117" t="str">
        <f t="shared" si="33"/>
        <v>0</v>
      </c>
      <c r="H327" s="118" t="str">
        <f t="shared" si="34"/>
        <v/>
      </c>
      <c r="I327" s="116" t="str">
        <f>IF(AND(F327&lt;&gt;"",N10&gt;0,M327&gt;N10),"Mot &gt; limite","")</f>
        <v/>
      </c>
      <c r="M327" s="70">
        <f>IF(OR(F327="",N10="",N10&lt;=0),"",IF(LEN(F327)&lt;=N10,LEN(F327),IFERROR(FIND("♦",SUBSTITUTE(LEFT(F327,N10)," ","♦",LEN(LEFT(F327,N10))-LEN(SUBSTITUTE(LEFT(F327,N10)," ","")))),FIND(" ",F327&amp;" ",N10+1)-1)))</f>
        <v>1</v>
      </c>
      <c r="N327" s="119">
        <f t="shared" si="35"/>
        <v>310</v>
      </c>
      <c r="O327" s="99" t="str">
        <f t="shared" si="36"/>
        <v>0</v>
      </c>
      <c r="P327" s="119">
        <f t="shared" si="37"/>
        <v>1</v>
      </c>
      <c r="Q327" s="119">
        <f t="shared" si="38"/>
        <v>1</v>
      </c>
    </row>
    <row r="328" spans="2:17">
      <c r="B328" s="116"/>
      <c r="C328" s="116"/>
      <c r="D328" s="116"/>
      <c r="E328" s="116" cm="1">
        <f t="array" ref="E328">IF(H327&lt;&gt;"",E327,IF(E327="","",IFERROR(MATCH(TRUE(),INDEX(INDEX(K:K,E327+1):K203&lt;&gt;"",0),0)+E327,"")))</f>
        <v>470</v>
      </c>
      <c r="F328" s="117" cm="1">
        <f t="array" ref="F328">IF(E328="","",IF(H327&lt;&gt;"",H327,INDEX(D:D,E328)))</f>
        <v>0</v>
      </c>
      <c r="G328" s="117" t="str">
        <f t="shared" si="33"/>
        <v>0</v>
      </c>
      <c r="H328" s="118" t="str">
        <f t="shared" si="34"/>
        <v/>
      </c>
      <c r="I328" s="116" t="str">
        <f>IF(AND(F328&lt;&gt;"",N10&gt;0,M328&gt;N10),"Mot &gt; limite","")</f>
        <v/>
      </c>
      <c r="M328" s="70">
        <f>IF(OR(F328="",N10="",N10&lt;=0),"",IF(LEN(F328)&lt;=N10,LEN(F328),IFERROR(FIND("♦",SUBSTITUTE(LEFT(F328,N10)," ","♦",LEN(LEFT(F328,N10))-LEN(SUBSTITUTE(LEFT(F328,N10)," ","")))),FIND(" ",F328&amp;" ",N10+1)-1)))</f>
        <v>1</v>
      </c>
      <c r="N328" s="119">
        <f t="shared" si="35"/>
        <v>311</v>
      </c>
      <c r="O328" s="99" t="str">
        <f t="shared" si="36"/>
        <v>0</v>
      </c>
      <c r="P328" s="119">
        <f t="shared" si="37"/>
        <v>1</v>
      </c>
      <c r="Q328" s="119">
        <f t="shared" si="38"/>
        <v>1</v>
      </c>
    </row>
    <row r="329" spans="2:17">
      <c r="B329" s="116"/>
      <c r="C329" s="116"/>
      <c r="D329" s="116"/>
      <c r="E329" s="116" cm="1">
        <f t="array" ref="E329">IF(H328&lt;&gt;"",E328,IF(E328="","",IFERROR(MATCH(TRUE(),INDEX(INDEX(K:K,E328+1):K203&lt;&gt;"",0),0)+E328,"")))</f>
        <v>471</v>
      </c>
      <c r="F329" s="117" cm="1">
        <f t="array" ref="F329">IF(E329="","",IF(H328&lt;&gt;"",H328,INDEX(D:D,E329)))</f>
        <v>0</v>
      </c>
      <c r="G329" s="117" t="str">
        <f t="shared" si="33"/>
        <v>0</v>
      </c>
      <c r="H329" s="118" t="str">
        <f t="shared" si="34"/>
        <v/>
      </c>
      <c r="I329" s="116" t="str">
        <f>IF(AND(F329&lt;&gt;"",N10&gt;0,M329&gt;N10),"Mot &gt; limite","")</f>
        <v/>
      </c>
      <c r="M329" s="70">
        <f>IF(OR(F329="",N10="",N10&lt;=0),"",IF(LEN(F329)&lt;=N10,LEN(F329),IFERROR(FIND("♦",SUBSTITUTE(LEFT(F329,N10)," ","♦",LEN(LEFT(F329,N10))-LEN(SUBSTITUTE(LEFT(F329,N10)," ","")))),FIND(" ",F329&amp;" ",N10+1)-1)))</f>
        <v>1</v>
      </c>
      <c r="N329" s="119">
        <f t="shared" si="35"/>
        <v>312</v>
      </c>
      <c r="O329" s="99" t="str">
        <f t="shared" si="36"/>
        <v>0</v>
      </c>
      <c r="P329" s="119">
        <f t="shared" si="37"/>
        <v>1</v>
      </c>
      <c r="Q329" s="119">
        <f t="shared" si="38"/>
        <v>1</v>
      </c>
    </row>
    <row r="330" spans="2:17">
      <c r="B330" s="116"/>
      <c r="C330" s="116"/>
      <c r="D330" s="116"/>
      <c r="E330" s="116" cm="1">
        <f t="array" ref="E330">IF(H329&lt;&gt;"",E329,IF(E329="","",IFERROR(MATCH(TRUE(),INDEX(INDEX(K:K,E329+1):K203&lt;&gt;"",0),0)+E329,"")))</f>
        <v>472</v>
      </c>
      <c r="F330" s="117" cm="1">
        <f t="array" ref="F330">IF(E330="","",IF(H329&lt;&gt;"",H329,INDEX(D:D,E330)))</f>
        <v>0</v>
      </c>
      <c r="G330" s="117" t="str">
        <f t="shared" si="33"/>
        <v>0</v>
      </c>
      <c r="H330" s="118" t="str">
        <f t="shared" si="34"/>
        <v/>
      </c>
      <c r="I330" s="116" t="str">
        <f>IF(AND(F330&lt;&gt;"",N10&gt;0,M330&gt;N10),"Mot &gt; limite","")</f>
        <v/>
      </c>
      <c r="M330" s="70">
        <f>IF(OR(F330="",N10="",N10&lt;=0),"",IF(LEN(F330)&lt;=N10,LEN(F330),IFERROR(FIND("♦",SUBSTITUTE(LEFT(F330,N10)," ","♦",LEN(LEFT(F330,N10))-LEN(SUBSTITUTE(LEFT(F330,N10)," ","")))),FIND(" ",F330&amp;" ",N10+1)-1)))</f>
        <v>1</v>
      </c>
      <c r="N330" s="119">
        <f t="shared" si="35"/>
        <v>313</v>
      </c>
      <c r="O330" s="99" t="str">
        <f t="shared" si="36"/>
        <v>0</v>
      </c>
      <c r="P330" s="119">
        <f t="shared" si="37"/>
        <v>1</v>
      </c>
      <c r="Q330" s="119">
        <f t="shared" si="38"/>
        <v>1</v>
      </c>
    </row>
    <row r="331" spans="2:17">
      <c r="B331" s="116"/>
      <c r="C331" s="116"/>
      <c r="D331" s="116"/>
      <c r="E331" s="116" cm="1">
        <f t="array" ref="E331">IF(H330&lt;&gt;"",E330,IF(E330="","",IFERROR(MATCH(TRUE(),INDEX(INDEX(K:K,E330+1):K203&lt;&gt;"",0),0)+E330,"")))</f>
        <v>473</v>
      </c>
      <c r="F331" s="117" cm="1">
        <f t="array" ref="F331">IF(E331="","",IF(H330&lt;&gt;"",H330,INDEX(D:D,E331)))</f>
        <v>0</v>
      </c>
      <c r="G331" s="117" t="str">
        <f t="shared" si="33"/>
        <v>0</v>
      </c>
      <c r="H331" s="118" t="str">
        <f t="shared" si="34"/>
        <v/>
      </c>
      <c r="I331" s="116" t="str">
        <f>IF(AND(F331&lt;&gt;"",N10&gt;0,M331&gt;N10),"Mot &gt; limite","")</f>
        <v/>
      </c>
      <c r="M331" s="70">
        <f>IF(OR(F331="",N10="",N10&lt;=0),"",IF(LEN(F331)&lt;=N10,LEN(F331),IFERROR(FIND("♦",SUBSTITUTE(LEFT(F331,N10)," ","♦",LEN(LEFT(F331,N10))-LEN(SUBSTITUTE(LEFT(F331,N10)," ","")))),FIND(" ",F331&amp;" ",N10+1)-1)))</f>
        <v>1</v>
      </c>
      <c r="N331" s="119">
        <f t="shared" si="35"/>
        <v>314</v>
      </c>
      <c r="O331" s="99" t="str">
        <f t="shared" si="36"/>
        <v>0</v>
      </c>
      <c r="P331" s="119">
        <f t="shared" si="37"/>
        <v>1</v>
      </c>
      <c r="Q331" s="119">
        <f t="shared" si="38"/>
        <v>1</v>
      </c>
    </row>
    <row r="332" spans="2:17">
      <c r="B332" s="116"/>
      <c r="C332" s="116"/>
      <c r="D332" s="116"/>
      <c r="E332" s="116" cm="1">
        <f t="array" ref="E332">IF(H331&lt;&gt;"",E331,IF(E331="","",IFERROR(MATCH(TRUE(),INDEX(INDEX(K:K,E331+1):K203&lt;&gt;"",0),0)+E331,"")))</f>
        <v>474</v>
      </c>
      <c r="F332" s="117" cm="1">
        <f t="array" ref="F332">IF(E332="","",IF(H331&lt;&gt;"",H331,INDEX(D:D,E332)))</f>
        <v>0</v>
      </c>
      <c r="G332" s="117" t="str">
        <f t="shared" si="33"/>
        <v>0</v>
      </c>
      <c r="H332" s="118" t="str">
        <f t="shared" si="34"/>
        <v/>
      </c>
      <c r="I332" s="116" t="str">
        <f>IF(AND(F332&lt;&gt;"",N10&gt;0,M332&gt;N10),"Mot &gt; limite","")</f>
        <v/>
      </c>
      <c r="M332" s="70">
        <f>IF(OR(F332="",N10="",N10&lt;=0),"",IF(LEN(F332)&lt;=N10,LEN(F332),IFERROR(FIND("♦",SUBSTITUTE(LEFT(F332,N10)," ","♦",LEN(LEFT(F332,N10))-LEN(SUBSTITUTE(LEFT(F332,N10)," ","")))),FIND(" ",F332&amp;" ",N10+1)-1)))</f>
        <v>1</v>
      </c>
      <c r="N332" s="119">
        <f t="shared" si="35"/>
        <v>315</v>
      </c>
      <c r="O332" s="99" t="str">
        <f t="shared" si="36"/>
        <v>0</v>
      </c>
      <c r="P332" s="119">
        <f t="shared" si="37"/>
        <v>1</v>
      </c>
      <c r="Q332" s="119">
        <f t="shared" si="38"/>
        <v>1</v>
      </c>
    </row>
    <row r="333" spans="2:17">
      <c r="B333" s="116"/>
      <c r="C333" s="116"/>
      <c r="D333" s="116"/>
      <c r="E333" s="116" cm="1">
        <f t="array" ref="E333">IF(H332&lt;&gt;"",E332,IF(E332="","",IFERROR(MATCH(TRUE(),INDEX(INDEX(K:K,E332+1):K203&lt;&gt;"",0),0)+E332,"")))</f>
        <v>475</v>
      </c>
      <c r="F333" s="117" cm="1">
        <f t="array" ref="F333">IF(E333="","",IF(H332&lt;&gt;"",H332,INDEX(D:D,E333)))</f>
        <v>0</v>
      </c>
      <c r="G333" s="117" t="str">
        <f t="shared" si="33"/>
        <v>0</v>
      </c>
      <c r="H333" s="118" t="str">
        <f t="shared" si="34"/>
        <v/>
      </c>
      <c r="I333" s="116" t="str">
        <f>IF(AND(F333&lt;&gt;"",N10&gt;0,M333&gt;N10),"Mot &gt; limite","")</f>
        <v/>
      </c>
      <c r="M333" s="70">
        <f>IF(OR(F333="",N10="",N10&lt;=0),"",IF(LEN(F333)&lt;=N10,LEN(F333),IFERROR(FIND("♦",SUBSTITUTE(LEFT(F333,N10)," ","♦",LEN(LEFT(F333,N10))-LEN(SUBSTITUTE(LEFT(F333,N10)," ","")))),FIND(" ",F333&amp;" ",N10+1)-1)))</f>
        <v>1</v>
      </c>
      <c r="N333" s="119">
        <f t="shared" si="35"/>
        <v>316</v>
      </c>
      <c r="O333" s="99" t="str">
        <f t="shared" si="36"/>
        <v>0</v>
      </c>
      <c r="P333" s="119">
        <f t="shared" si="37"/>
        <v>1</v>
      </c>
      <c r="Q333" s="119">
        <f t="shared" si="38"/>
        <v>1</v>
      </c>
    </row>
    <row r="334" spans="2:17">
      <c r="B334" s="116"/>
      <c r="C334" s="116"/>
      <c r="D334" s="116"/>
      <c r="E334" s="116" cm="1">
        <f t="array" ref="E334">IF(H333&lt;&gt;"",E333,IF(E333="","",IFERROR(MATCH(TRUE(),INDEX(INDEX(K:K,E333+1):K203&lt;&gt;"",0),0)+E333,"")))</f>
        <v>476</v>
      </c>
      <c r="F334" s="117" cm="1">
        <f t="array" ref="F334">IF(E334="","",IF(H333&lt;&gt;"",H333,INDEX(D:D,E334)))</f>
        <v>0</v>
      </c>
      <c r="G334" s="117" t="str">
        <f t="shared" si="33"/>
        <v>0</v>
      </c>
      <c r="H334" s="118" t="str">
        <f t="shared" si="34"/>
        <v/>
      </c>
      <c r="I334" s="116" t="str">
        <f>IF(AND(F334&lt;&gt;"",N10&gt;0,M334&gt;N10),"Mot &gt; limite","")</f>
        <v/>
      </c>
      <c r="M334" s="70">
        <f>IF(OR(F334="",N10="",N10&lt;=0),"",IF(LEN(F334)&lt;=N10,LEN(F334),IFERROR(FIND("♦",SUBSTITUTE(LEFT(F334,N10)," ","♦",LEN(LEFT(F334,N10))-LEN(SUBSTITUTE(LEFT(F334,N10)," ","")))),FIND(" ",F334&amp;" ",N10+1)-1)))</f>
        <v>1</v>
      </c>
      <c r="N334" s="119">
        <f t="shared" si="35"/>
        <v>317</v>
      </c>
      <c r="O334" s="99" t="str">
        <f t="shared" si="36"/>
        <v>0</v>
      </c>
      <c r="P334" s="119">
        <f t="shared" si="37"/>
        <v>1</v>
      </c>
      <c r="Q334" s="119">
        <f t="shared" si="38"/>
        <v>1</v>
      </c>
    </row>
    <row r="335" spans="2:17">
      <c r="B335" s="116"/>
      <c r="C335" s="116"/>
      <c r="D335" s="116"/>
      <c r="E335" s="116" cm="1">
        <f t="array" ref="E335">IF(H334&lt;&gt;"",E334,IF(E334="","",IFERROR(MATCH(TRUE(),INDEX(INDEX(K:K,E334+1):K203&lt;&gt;"",0),0)+E334,"")))</f>
        <v>477</v>
      </c>
      <c r="F335" s="117" cm="1">
        <f t="array" ref="F335">IF(E335="","",IF(H334&lt;&gt;"",H334,INDEX(D:D,E335)))</f>
        <v>0</v>
      </c>
      <c r="G335" s="117" t="str">
        <f t="shared" si="33"/>
        <v>0</v>
      </c>
      <c r="H335" s="118" t="str">
        <f t="shared" si="34"/>
        <v/>
      </c>
      <c r="I335" s="116" t="str">
        <f>IF(AND(F335&lt;&gt;"",N10&gt;0,M335&gt;N10),"Mot &gt; limite","")</f>
        <v/>
      </c>
      <c r="M335" s="70">
        <f>IF(OR(F335="",N10="",N10&lt;=0),"",IF(LEN(F335)&lt;=N10,LEN(F335),IFERROR(FIND("♦",SUBSTITUTE(LEFT(F335,N10)," ","♦",LEN(LEFT(F335,N10))-LEN(SUBSTITUTE(LEFT(F335,N10)," ","")))),FIND(" ",F335&amp;" ",N10+1)-1)))</f>
        <v>1</v>
      </c>
      <c r="N335" s="119">
        <f t="shared" si="35"/>
        <v>318</v>
      </c>
      <c r="O335" s="99" t="str">
        <f t="shared" si="36"/>
        <v>0</v>
      </c>
      <c r="P335" s="119">
        <f t="shared" si="37"/>
        <v>1</v>
      </c>
      <c r="Q335" s="119">
        <f t="shared" si="38"/>
        <v>1</v>
      </c>
    </row>
    <row r="336" spans="2:17">
      <c r="B336" s="116"/>
      <c r="C336" s="116"/>
      <c r="D336" s="116"/>
      <c r="E336" s="116" cm="1">
        <f t="array" ref="E336">IF(H335&lt;&gt;"",E335,IF(E335="","",IFERROR(MATCH(TRUE(),INDEX(INDEX(K:K,E335+1):K203&lt;&gt;"",0),0)+E335,"")))</f>
        <v>478</v>
      </c>
      <c r="F336" s="117" cm="1">
        <f t="array" ref="F336">IF(E336="","",IF(H335&lt;&gt;"",H335,INDEX(D:D,E336)))</f>
        <v>0</v>
      </c>
      <c r="G336" s="117" t="str">
        <f t="shared" si="33"/>
        <v>0</v>
      </c>
      <c r="H336" s="118" t="str">
        <f t="shared" si="34"/>
        <v/>
      </c>
      <c r="I336" s="116" t="str">
        <f>IF(AND(F336&lt;&gt;"",N10&gt;0,M336&gt;N10),"Mot &gt; limite","")</f>
        <v/>
      </c>
      <c r="M336" s="70">
        <f>IF(OR(F336="",N10="",N10&lt;=0),"",IF(LEN(F336)&lt;=N10,LEN(F336),IFERROR(FIND("♦",SUBSTITUTE(LEFT(F336,N10)," ","♦",LEN(LEFT(F336,N10))-LEN(SUBSTITUTE(LEFT(F336,N10)," ","")))),FIND(" ",F336&amp;" ",N10+1)-1)))</f>
        <v>1</v>
      </c>
      <c r="N336" s="119">
        <f t="shared" si="35"/>
        <v>319</v>
      </c>
      <c r="O336" s="99" t="str">
        <f t="shared" si="36"/>
        <v>0</v>
      </c>
      <c r="P336" s="119">
        <f t="shared" si="37"/>
        <v>1</v>
      </c>
      <c r="Q336" s="119">
        <f t="shared" si="38"/>
        <v>1</v>
      </c>
    </row>
    <row r="337" spans="2:17">
      <c r="B337" s="116"/>
      <c r="C337" s="116"/>
      <c r="D337" s="116"/>
      <c r="E337" s="116" cm="1">
        <f t="array" ref="E337">IF(H336&lt;&gt;"",E336,IF(E336="","",IFERROR(MATCH(TRUE(),INDEX(INDEX(K:K,E336+1):K203&lt;&gt;"",0),0)+E336,"")))</f>
        <v>479</v>
      </c>
      <c r="F337" s="117" cm="1">
        <f t="array" ref="F337">IF(E337="","",IF(H336&lt;&gt;"",H336,INDEX(D:D,E337)))</f>
        <v>0</v>
      </c>
      <c r="G337" s="117" t="str">
        <f t="shared" si="33"/>
        <v>0</v>
      </c>
      <c r="H337" s="118" t="str">
        <f t="shared" si="34"/>
        <v/>
      </c>
      <c r="I337" s="116" t="str">
        <f>IF(AND(F337&lt;&gt;"",N10&gt;0,M337&gt;N10),"Mot &gt; limite","")</f>
        <v/>
      </c>
      <c r="M337" s="70">
        <f>IF(OR(F337="",N10="",N10&lt;=0),"",IF(LEN(F337)&lt;=N10,LEN(F337),IFERROR(FIND("♦",SUBSTITUTE(LEFT(F337,N10)," ","♦",LEN(LEFT(F337,N10))-LEN(SUBSTITUTE(LEFT(F337,N10)," ","")))),FIND(" ",F337&amp;" ",N10+1)-1)))</f>
        <v>1</v>
      </c>
      <c r="N337" s="119">
        <f t="shared" si="35"/>
        <v>320</v>
      </c>
      <c r="O337" s="99" t="str">
        <f t="shared" si="36"/>
        <v>0</v>
      </c>
      <c r="P337" s="119">
        <f t="shared" si="37"/>
        <v>1</v>
      </c>
      <c r="Q337" s="119">
        <f t="shared" si="38"/>
        <v>1</v>
      </c>
    </row>
    <row r="338" spans="2:17">
      <c r="B338" s="116"/>
      <c r="C338" s="116"/>
      <c r="D338" s="116"/>
      <c r="E338" s="116" cm="1">
        <f t="array" ref="E338">IF(H337&lt;&gt;"",E337,IF(E337="","",IFERROR(MATCH(TRUE(),INDEX(INDEX(K:K,E337+1):K203&lt;&gt;"",0),0)+E337,"")))</f>
        <v>480</v>
      </c>
      <c r="F338" s="117" cm="1">
        <f t="array" ref="F338">IF(E338="","",IF(H337&lt;&gt;"",H337,INDEX(D:D,E338)))</f>
        <v>0</v>
      </c>
      <c r="G338" s="117" t="str">
        <f t="shared" ref="G338:G401" si="39">IF(OR(F338="",M338=""),"",LEFT(F338,M338))</f>
        <v>0</v>
      </c>
      <c r="H338" s="118" t="str">
        <f t="shared" ref="H338:H401" si="40">IF(OR(F338="",M338=""),"",TRIM(MID(F338,M338+1,99999)))</f>
        <v/>
      </c>
      <c r="I338" s="116" t="str">
        <f>IF(AND(F338&lt;&gt;"",N10&gt;0,M338&gt;N10),"Mot &gt; limite","")</f>
        <v/>
      </c>
      <c r="M338" s="70">
        <f>IF(OR(F338="",N10="",N10&lt;=0),"",IF(LEN(F338)&lt;=N10,LEN(F338),IFERROR(FIND("♦",SUBSTITUTE(LEFT(F338,N10)," ","♦",LEN(LEFT(F338,N10))-LEN(SUBSTITUTE(LEFT(F338,N10)," ","")))),FIND(" ",F338&amp;" ",N10+1)-1)))</f>
        <v>1</v>
      </c>
      <c r="N338" s="119">
        <f t="shared" ref="N338:N401" si="41">IF(O338="","",ROW()-17)</f>
        <v>321</v>
      </c>
      <c r="O338" s="99" t="str">
        <f t="shared" ref="O338:O401" si="42">G338</f>
        <v>0</v>
      </c>
      <c r="P338" s="119">
        <f t="shared" ref="P338:P401" si="43">IF(O338="","",LEN(TRIM(O338))-LEN(SUBSTITUTE(TRIM(O338)," ",""))+1)</f>
        <v>1</v>
      </c>
      <c r="Q338" s="119">
        <f t="shared" ref="Q338:Q401" si="44">IF(O338="","",LEN(O338))</f>
        <v>1</v>
      </c>
    </row>
    <row r="339" spans="2:17">
      <c r="B339" s="116"/>
      <c r="C339" s="116"/>
      <c r="D339" s="116"/>
      <c r="E339" s="116" cm="1">
        <f t="array" ref="E339">IF(H338&lt;&gt;"",E338,IF(E338="","",IFERROR(MATCH(TRUE(),INDEX(INDEX(K:K,E338+1):K203&lt;&gt;"",0),0)+E338,"")))</f>
        <v>481</v>
      </c>
      <c r="F339" s="117" cm="1">
        <f t="array" ref="F339">IF(E339="","",IF(H338&lt;&gt;"",H338,INDEX(D:D,E339)))</f>
        <v>0</v>
      </c>
      <c r="G339" s="117" t="str">
        <f t="shared" si="39"/>
        <v>0</v>
      </c>
      <c r="H339" s="118" t="str">
        <f t="shared" si="40"/>
        <v/>
      </c>
      <c r="I339" s="116" t="str">
        <f>IF(AND(F339&lt;&gt;"",N10&gt;0,M339&gt;N10),"Mot &gt; limite","")</f>
        <v/>
      </c>
      <c r="M339" s="70">
        <f>IF(OR(F339="",N10="",N10&lt;=0),"",IF(LEN(F339)&lt;=N10,LEN(F339),IFERROR(FIND("♦",SUBSTITUTE(LEFT(F339,N10)," ","♦",LEN(LEFT(F339,N10))-LEN(SUBSTITUTE(LEFT(F339,N10)," ","")))),FIND(" ",F339&amp;" ",N10+1)-1)))</f>
        <v>1</v>
      </c>
      <c r="N339" s="119">
        <f t="shared" si="41"/>
        <v>322</v>
      </c>
      <c r="O339" s="99" t="str">
        <f t="shared" si="42"/>
        <v>0</v>
      </c>
      <c r="P339" s="119">
        <f t="shared" si="43"/>
        <v>1</v>
      </c>
      <c r="Q339" s="119">
        <f t="shared" si="44"/>
        <v>1</v>
      </c>
    </row>
    <row r="340" spans="2:17">
      <c r="B340" s="116"/>
      <c r="C340" s="116"/>
      <c r="D340" s="116"/>
      <c r="E340" s="116" cm="1">
        <f t="array" ref="E340">IF(H339&lt;&gt;"",E339,IF(E339="","",IFERROR(MATCH(TRUE(),INDEX(INDEX(K:K,E339+1):K203&lt;&gt;"",0),0)+E339,"")))</f>
        <v>482</v>
      </c>
      <c r="F340" s="117" cm="1">
        <f t="array" ref="F340">IF(E340="","",IF(H339&lt;&gt;"",H339,INDEX(D:D,E340)))</f>
        <v>0</v>
      </c>
      <c r="G340" s="117" t="str">
        <f t="shared" si="39"/>
        <v>0</v>
      </c>
      <c r="H340" s="118" t="str">
        <f t="shared" si="40"/>
        <v/>
      </c>
      <c r="I340" s="116" t="str">
        <f>IF(AND(F340&lt;&gt;"",N10&gt;0,M340&gt;N10),"Mot &gt; limite","")</f>
        <v/>
      </c>
      <c r="M340" s="70">
        <f>IF(OR(F340="",N10="",N10&lt;=0),"",IF(LEN(F340)&lt;=N10,LEN(F340),IFERROR(FIND("♦",SUBSTITUTE(LEFT(F340,N10)," ","♦",LEN(LEFT(F340,N10))-LEN(SUBSTITUTE(LEFT(F340,N10)," ","")))),FIND(" ",F340&amp;" ",N10+1)-1)))</f>
        <v>1</v>
      </c>
      <c r="N340" s="119">
        <f t="shared" si="41"/>
        <v>323</v>
      </c>
      <c r="O340" s="99" t="str">
        <f t="shared" si="42"/>
        <v>0</v>
      </c>
      <c r="P340" s="119">
        <f t="shared" si="43"/>
        <v>1</v>
      </c>
      <c r="Q340" s="119">
        <f t="shared" si="44"/>
        <v>1</v>
      </c>
    </row>
    <row r="341" spans="2:17">
      <c r="B341" s="116"/>
      <c r="C341" s="116"/>
      <c r="D341" s="116"/>
      <c r="E341" s="116" cm="1">
        <f t="array" ref="E341">IF(H340&lt;&gt;"",E340,IF(E340="","",IFERROR(MATCH(TRUE(),INDEX(INDEX(K:K,E340+1):K203&lt;&gt;"",0),0)+E340,"")))</f>
        <v>483</v>
      </c>
      <c r="F341" s="117" cm="1">
        <f t="array" ref="F341">IF(E341="","",IF(H340&lt;&gt;"",H340,INDEX(D:D,E341)))</f>
        <v>0</v>
      </c>
      <c r="G341" s="117" t="str">
        <f t="shared" si="39"/>
        <v>0</v>
      </c>
      <c r="H341" s="118" t="str">
        <f t="shared" si="40"/>
        <v/>
      </c>
      <c r="I341" s="116" t="str">
        <f>IF(AND(F341&lt;&gt;"",N10&gt;0,M341&gt;N10),"Mot &gt; limite","")</f>
        <v/>
      </c>
      <c r="M341" s="70">
        <f>IF(OR(F341="",N10="",N10&lt;=0),"",IF(LEN(F341)&lt;=N10,LEN(F341),IFERROR(FIND("♦",SUBSTITUTE(LEFT(F341,N10)," ","♦",LEN(LEFT(F341,N10))-LEN(SUBSTITUTE(LEFT(F341,N10)," ","")))),FIND(" ",F341&amp;" ",N10+1)-1)))</f>
        <v>1</v>
      </c>
      <c r="N341" s="119">
        <f t="shared" si="41"/>
        <v>324</v>
      </c>
      <c r="O341" s="99" t="str">
        <f t="shared" si="42"/>
        <v>0</v>
      </c>
      <c r="P341" s="119">
        <f t="shared" si="43"/>
        <v>1</v>
      </c>
      <c r="Q341" s="119">
        <f t="shared" si="44"/>
        <v>1</v>
      </c>
    </row>
    <row r="342" spans="2:17">
      <c r="B342" s="116"/>
      <c r="C342" s="116"/>
      <c r="D342" s="116"/>
      <c r="E342" s="116" cm="1">
        <f t="array" ref="E342">IF(H341&lt;&gt;"",E341,IF(E341="","",IFERROR(MATCH(TRUE(),INDEX(INDEX(K:K,E341+1):K203&lt;&gt;"",0),0)+E341,"")))</f>
        <v>484</v>
      </c>
      <c r="F342" s="117" cm="1">
        <f t="array" ref="F342">IF(E342="","",IF(H341&lt;&gt;"",H341,INDEX(D:D,E342)))</f>
        <v>0</v>
      </c>
      <c r="G342" s="117" t="str">
        <f t="shared" si="39"/>
        <v>0</v>
      </c>
      <c r="H342" s="118" t="str">
        <f t="shared" si="40"/>
        <v/>
      </c>
      <c r="I342" s="116" t="str">
        <f>IF(AND(F342&lt;&gt;"",N10&gt;0,M342&gt;N10),"Mot &gt; limite","")</f>
        <v/>
      </c>
      <c r="M342" s="70">
        <f>IF(OR(F342="",N10="",N10&lt;=0),"",IF(LEN(F342)&lt;=N10,LEN(F342),IFERROR(FIND("♦",SUBSTITUTE(LEFT(F342,N10)," ","♦",LEN(LEFT(F342,N10))-LEN(SUBSTITUTE(LEFT(F342,N10)," ","")))),FIND(" ",F342&amp;" ",N10+1)-1)))</f>
        <v>1</v>
      </c>
      <c r="N342" s="119">
        <f t="shared" si="41"/>
        <v>325</v>
      </c>
      <c r="O342" s="99" t="str">
        <f t="shared" si="42"/>
        <v>0</v>
      </c>
      <c r="P342" s="119">
        <f t="shared" si="43"/>
        <v>1</v>
      </c>
      <c r="Q342" s="119">
        <f t="shared" si="44"/>
        <v>1</v>
      </c>
    </row>
    <row r="343" spans="2:17">
      <c r="B343" s="116"/>
      <c r="C343" s="116"/>
      <c r="D343" s="116"/>
      <c r="E343" s="116" cm="1">
        <f t="array" ref="E343">IF(H342&lt;&gt;"",E342,IF(E342="","",IFERROR(MATCH(TRUE(),INDEX(INDEX(K:K,E342+1):K203&lt;&gt;"",0),0)+E342,"")))</f>
        <v>485</v>
      </c>
      <c r="F343" s="117" cm="1">
        <f t="array" ref="F343">IF(E343="","",IF(H342&lt;&gt;"",H342,INDEX(D:D,E343)))</f>
        <v>0</v>
      </c>
      <c r="G343" s="117" t="str">
        <f t="shared" si="39"/>
        <v>0</v>
      </c>
      <c r="H343" s="118" t="str">
        <f t="shared" si="40"/>
        <v/>
      </c>
      <c r="I343" s="116" t="str">
        <f>IF(AND(F343&lt;&gt;"",N10&gt;0,M343&gt;N10),"Mot &gt; limite","")</f>
        <v/>
      </c>
      <c r="M343" s="70">
        <f>IF(OR(F343="",N10="",N10&lt;=0),"",IF(LEN(F343)&lt;=N10,LEN(F343),IFERROR(FIND("♦",SUBSTITUTE(LEFT(F343,N10)," ","♦",LEN(LEFT(F343,N10))-LEN(SUBSTITUTE(LEFT(F343,N10)," ","")))),FIND(" ",F343&amp;" ",N10+1)-1)))</f>
        <v>1</v>
      </c>
      <c r="N343" s="119">
        <f t="shared" si="41"/>
        <v>326</v>
      </c>
      <c r="O343" s="99" t="str">
        <f t="shared" si="42"/>
        <v>0</v>
      </c>
      <c r="P343" s="119">
        <f t="shared" si="43"/>
        <v>1</v>
      </c>
      <c r="Q343" s="119">
        <f t="shared" si="44"/>
        <v>1</v>
      </c>
    </row>
    <row r="344" spans="2:17">
      <c r="B344" s="116"/>
      <c r="C344" s="116"/>
      <c r="D344" s="116"/>
      <c r="E344" s="116" cm="1">
        <f t="array" ref="E344">IF(H343&lt;&gt;"",E343,IF(E343="","",IFERROR(MATCH(TRUE(),INDEX(INDEX(K:K,E343+1):K203&lt;&gt;"",0),0)+E343,"")))</f>
        <v>486</v>
      </c>
      <c r="F344" s="117" cm="1">
        <f t="array" ref="F344">IF(E344="","",IF(H343&lt;&gt;"",H343,INDEX(D:D,E344)))</f>
        <v>0</v>
      </c>
      <c r="G344" s="117" t="str">
        <f t="shared" si="39"/>
        <v>0</v>
      </c>
      <c r="H344" s="118" t="str">
        <f t="shared" si="40"/>
        <v/>
      </c>
      <c r="I344" s="116" t="str">
        <f>IF(AND(F344&lt;&gt;"",N10&gt;0,M344&gt;N10),"Mot &gt; limite","")</f>
        <v/>
      </c>
      <c r="M344" s="70">
        <f>IF(OR(F344="",N10="",N10&lt;=0),"",IF(LEN(F344)&lt;=N10,LEN(F344),IFERROR(FIND("♦",SUBSTITUTE(LEFT(F344,N10)," ","♦",LEN(LEFT(F344,N10))-LEN(SUBSTITUTE(LEFT(F344,N10)," ","")))),FIND(" ",F344&amp;" ",N10+1)-1)))</f>
        <v>1</v>
      </c>
      <c r="N344" s="119">
        <f t="shared" si="41"/>
        <v>327</v>
      </c>
      <c r="O344" s="99" t="str">
        <f t="shared" si="42"/>
        <v>0</v>
      </c>
      <c r="P344" s="119">
        <f t="shared" si="43"/>
        <v>1</v>
      </c>
      <c r="Q344" s="119">
        <f t="shared" si="44"/>
        <v>1</v>
      </c>
    </row>
    <row r="345" spans="2:17">
      <c r="B345" s="116"/>
      <c r="C345" s="116"/>
      <c r="D345" s="116"/>
      <c r="E345" s="116" cm="1">
        <f t="array" ref="E345">IF(H344&lt;&gt;"",E344,IF(E344="","",IFERROR(MATCH(TRUE(),INDEX(INDEX(K:K,E344+1):K203&lt;&gt;"",0),0)+E344,"")))</f>
        <v>487</v>
      </c>
      <c r="F345" s="117" cm="1">
        <f t="array" ref="F345">IF(E345="","",IF(H344&lt;&gt;"",H344,INDEX(D:D,E345)))</f>
        <v>0</v>
      </c>
      <c r="G345" s="117" t="str">
        <f t="shared" si="39"/>
        <v>0</v>
      </c>
      <c r="H345" s="118" t="str">
        <f t="shared" si="40"/>
        <v/>
      </c>
      <c r="I345" s="116" t="str">
        <f>IF(AND(F345&lt;&gt;"",N10&gt;0,M345&gt;N10),"Mot &gt; limite","")</f>
        <v/>
      </c>
      <c r="M345" s="70">
        <f>IF(OR(F345="",N10="",N10&lt;=0),"",IF(LEN(F345)&lt;=N10,LEN(F345),IFERROR(FIND("♦",SUBSTITUTE(LEFT(F345,N10)," ","♦",LEN(LEFT(F345,N10))-LEN(SUBSTITUTE(LEFT(F345,N10)," ","")))),FIND(" ",F345&amp;" ",N10+1)-1)))</f>
        <v>1</v>
      </c>
      <c r="N345" s="119">
        <f t="shared" si="41"/>
        <v>328</v>
      </c>
      <c r="O345" s="99" t="str">
        <f t="shared" si="42"/>
        <v>0</v>
      </c>
      <c r="P345" s="119">
        <f t="shared" si="43"/>
        <v>1</v>
      </c>
      <c r="Q345" s="119">
        <f t="shared" si="44"/>
        <v>1</v>
      </c>
    </row>
    <row r="346" spans="2:17">
      <c r="B346" s="116"/>
      <c r="C346" s="116"/>
      <c r="D346" s="116"/>
      <c r="E346" s="116" cm="1">
        <f t="array" ref="E346">IF(H345&lt;&gt;"",E345,IF(E345="","",IFERROR(MATCH(TRUE(),INDEX(INDEX(K:K,E345+1):K203&lt;&gt;"",0),0)+E345,"")))</f>
        <v>488</v>
      </c>
      <c r="F346" s="117" cm="1">
        <f t="array" ref="F346">IF(E346="","",IF(H345&lt;&gt;"",H345,INDEX(D:D,E346)))</f>
        <v>0</v>
      </c>
      <c r="G346" s="117" t="str">
        <f t="shared" si="39"/>
        <v>0</v>
      </c>
      <c r="H346" s="118" t="str">
        <f t="shared" si="40"/>
        <v/>
      </c>
      <c r="I346" s="116" t="str">
        <f>IF(AND(F346&lt;&gt;"",N10&gt;0,M346&gt;N10),"Mot &gt; limite","")</f>
        <v/>
      </c>
      <c r="M346" s="70">
        <f>IF(OR(F346="",N10="",N10&lt;=0),"",IF(LEN(F346)&lt;=N10,LEN(F346),IFERROR(FIND("♦",SUBSTITUTE(LEFT(F346,N10)," ","♦",LEN(LEFT(F346,N10))-LEN(SUBSTITUTE(LEFT(F346,N10)," ","")))),FIND(" ",F346&amp;" ",N10+1)-1)))</f>
        <v>1</v>
      </c>
      <c r="N346" s="119">
        <f t="shared" si="41"/>
        <v>329</v>
      </c>
      <c r="O346" s="99" t="str">
        <f t="shared" si="42"/>
        <v>0</v>
      </c>
      <c r="P346" s="119">
        <f t="shared" si="43"/>
        <v>1</v>
      </c>
      <c r="Q346" s="119">
        <f t="shared" si="44"/>
        <v>1</v>
      </c>
    </row>
    <row r="347" spans="2:17">
      <c r="B347" s="116"/>
      <c r="C347" s="116"/>
      <c r="D347" s="116"/>
      <c r="E347" s="116" cm="1">
        <f t="array" ref="E347">IF(H346&lt;&gt;"",E346,IF(E346="","",IFERROR(MATCH(TRUE(),INDEX(INDEX(K:K,E346+1):K203&lt;&gt;"",0),0)+E346,"")))</f>
        <v>489</v>
      </c>
      <c r="F347" s="117" cm="1">
        <f t="array" ref="F347">IF(E347="","",IF(H346&lt;&gt;"",H346,INDEX(D:D,E347)))</f>
        <v>0</v>
      </c>
      <c r="G347" s="117" t="str">
        <f t="shared" si="39"/>
        <v>0</v>
      </c>
      <c r="H347" s="118" t="str">
        <f t="shared" si="40"/>
        <v/>
      </c>
      <c r="I347" s="116" t="str">
        <f>IF(AND(F347&lt;&gt;"",N10&gt;0,M347&gt;N10),"Mot &gt; limite","")</f>
        <v/>
      </c>
      <c r="M347" s="70">
        <f>IF(OR(F347="",N10="",N10&lt;=0),"",IF(LEN(F347)&lt;=N10,LEN(F347),IFERROR(FIND("♦",SUBSTITUTE(LEFT(F347,N10)," ","♦",LEN(LEFT(F347,N10))-LEN(SUBSTITUTE(LEFT(F347,N10)," ","")))),FIND(" ",F347&amp;" ",N10+1)-1)))</f>
        <v>1</v>
      </c>
      <c r="N347" s="119">
        <f t="shared" si="41"/>
        <v>330</v>
      </c>
      <c r="O347" s="99" t="str">
        <f t="shared" si="42"/>
        <v>0</v>
      </c>
      <c r="P347" s="119">
        <f t="shared" si="43"/>
        <v>1</v>
      </c>
      <c r="Q347" s="119">
        <f t="shared" si="44"/>
        <v>1</v>
      </c>
    </row>
    <row r="348" spans="2:17">
      <c r="B348" s="116"/>
      <c r="C348" s="116"/>
      <c r="D348" s="116"/>
      <c r="E348" s="116" cm="1">
        <f t="array" ref="E348">IF(H347&lt;&gt;"",E347,IF(E347="","",IFERROR(MATCH(TRUE(),INDEX(INDEX(K:K,E347+1):K203&lt;&gt;"",0),0)+E347,"")))</f>
        <v>490</v>
      </c>
      <c r="F348" s="117" cm="1">
        <f t="array" ref="F348">IF(E348="","",IF(H347&lt;&gt;"",H347,INDEX(D:D,E348)))</f>
        <v>0</v>
      </c>
      <c r="G348" s="117" t="str">
        <f t="shared" si="39"/>
        <v>0</v>
      </c>
      <c r="H348" s="118" t="str">
        <f t="shared" si="40"/>
        <v/>
      </c>
      <c r="I348" s="116" t="str">
        <f>IF(AND(F348&lt;&gt;"",N10&gt;0,M348&gt;N10),"Mot &gt; limite","")</f>
        <v/>
      </c>
      <c r="M348" s="70">
        <f>IF(OR(F348="",N10="",N10&lt;=0),"",IF(LEN(F348)&lt;=N10,LEN(F348),IFERROR(FIND("♦",SUBSTITUTE(LEFT(F348,N10)," ","♦",LEN(LEFT(F348,N10))-LEN(SUBSTITUTE(LEFT(F348,N10)," ","")))),FIND(" ",F348&amp;" ",N10+1)-1)))</f>
        <v>1</v>
      </c>
      <c r="N348" s="119">
        <f t="shared" si="41"/>
        <v>331</v>
      </c>
      <c r="O348" s="99" t="str">
        <f t="shared" si="42"/>
        <v>0</v>
      </c>
      <c r="P348" s="119">
        <f t="shared" si="43"/>
        <v>1</v>
      </c>
      <c r="Q348" s="119">
        <f t="shared" si="44"/>
        <v>1</v>
      </c>
    </row>
    <row r="349" spans="2:17">
      <c r="B349" s="116"/>
      <c r="C349" s="116"/>
      <c r="D349" s="116"/>
      <c r="E349" s="116" cm="1">
        <f t="array" ref="E349">IF(H348&lt;&gt;"",E348,IF(E348="","",IFERROR(MATCH(TRUE(),INDEX(INDEX(K:K,E348+1):K203&lt;&gt;"",0),0)+E348,"")))</f>
        <v>491</v>
      </c>
      <c r="F349" s="117" cm="1">
        <f t="array" ref="F349">IF(E349="","",IF(H348&lt;&gt;"",H348,INDEX(D:D,E349)))</f>
        <v>0</v>
      </c>
      <c r="G349" s="117" t="str">
        <f t="shared" si="39"/>
        <v>0</v>
      </c>
      <c r="H349" s="118" t="str">
        <f t="shared" si="40"/>
        <v/>
      </c>
      <c r="I349" s="116" t="str">
        <f>IF(AND(F349&lt;&gt;"",N10&gt;0,M349&gt;N10),"Mot &gt; limite","")</f>
        <v/>
      </c>
      <c r="M349" s="70">
        <f>IF(OR(F349="",N10="",N10&lt;=0),"",IF(LEN(F349)&lt;=N10,LEN(F349),IFERROR(FIND("♦",SUBSTITUTE(LEFT(F349,N10)," ","♦",LEN(LEFT(F349,N10))-LEN(SUBSTITUTE(LEFT(F349,N10)," ","")))),FIND(" ",F349&amp;" ",N10+1)-1)))</f>
        <v>1</v>
      </c>
      <c r="N349" s="119">
        <f t="shared" si="41"/>
        <v>332</v>
      </c>
      <c r="O349" s="99" t="str">
        <f t="shared" si="42"/>
        <v>0</v>
      </c>
      <c r="P349" s="119">
        <f t="shared" si="43"/>
        <v>1</v>
      </c>
      <c r="Q349" s="119">
        <f t="shared" si="44"/>
        <v>1</v>
      </c>
    </row>
    <row r="350" spans="2:17">
      <c r="B350" s="116"/>
      <c r="C350" s="116"/>
      <c r="D350" s="116"/>
      <c r="E350" s="116" cm="1">
        <f t="array" ref="E350">IF(H349&lt;&gt;"",E349,IF(E349="","",IFERROR(MATCH(TRUE(),INDEX(INDEX(K:K,E349+1):K203&lt;&gt;"",0),0)+E349,"")))</f>
        <v>492</v>
      </c>
      <c r="F350" s="117" cm="1">
        <f t="array" ref="F350">IF(E350="","",IF(H349&lt;&gt;"",H349,INDEX(D:D,E350)))</f>
        <v>0</v>
      </c>
      <c r="G350" s="117" t="str">
        <f t="shared" si="39"/>
        <v>0</v>
      </c>
      <c r="H350" s="118" t="str">
        <f t="shared" si="40"/>
        <v/>
      </c>
      <c r="I350" s="116" t="str">
        <f>IF(AND(F350&lt;&gt;"",N10&gt;0,M350&gt;N10),"Mot &gt; limite","")</f>
        <v/>
      </c>
      <c r="M350" s="70">
        <f>IF(OR(F350="",N10="",N10&lt;=0),"",IF(LEN(F350)&lt;=N10,LEN(F350),IFERROR(FIND("♦",SUBSTITUTE(LEFT(F350,N10)," ","♦",LEN(LEFT(F350,N10))-LEN(SUBSTITUTE(LEFT(F350,N10)," ","")))),FIND(" ",F350&amp;" ",N10+1)-1)))</f>
        <v>1</v>
      </c>
      <c r="N350" s="119">
        <f t="shared" si="41"/>
        <v>333</v>
      </c>
      <c r="O350" s="99" t="str">
        <f t="shared" si="42"/>
        <v>0</v>
      </c>
      <c r="P350" s="119">
        <f t="shared" si="43"/>
        <v>1</v>
      </c>
      <c r="Q350" s="119">
        <f t="shared" si="44"/>
        <v>1</v>
      </c>
    </row>
    <row r="351" spans="2:17">
      <c r="B351" s="116"/>
      <c r="C351" s="116"/>
      <c r="D351" s="116"/>
      <c r="E351" s="116" cm="1">
        <f t="array" ref="E351">IF(H350&lt;&gt;"",E350,IF(E350="","",IFERROR(MATCH(TRUE(),INDEX(INDEX(K:K,E350+1):K203&lt;&gt;"",0),0)+E350,"")))</f>
        <v>493</v>
      </c>
      <c r="F351" s="117" cm="1">
        <f t="array" ref="F351">IF(E351="","",IF(H350&lt;&gt;"",H350,INDEX(D:D,E351)))</f>
        <v>0</v>
      </c>
      <c r="G351" s="117" t="str">
        <f t="shared" si="39"/>
        <v>0</v>
      </c>
      <c r="H351" s="118" t="str">
        <f t="shared" si="40"/>
        <v/>
      </c>
      <c r="I351" s="116" t="str">
        <f>IF(AND(F351&lt;&gt;"",N10&gt;0,M351&gt;N10),"Mot &gt; limite","")</f>
        <v/>
      </c>
      <c r="M351" s="70">
        <f>IF(OR(F351="",N10="",N10&lt;=0),"",IF(LEN(F351)&lt;=N10,LEN(F351),IFERROR(FIND("♦",SUBSTITUTE(LEFT(F351,N10)," ","♦",LEN(LEFT(F351,N10))-LEN(SUBSTITUTE(LEFT(F351,N10)," ","")))),FIND(" ",F351&amp;" ",N10+1)-1)))</f>
        <v>1</v>
      </c>
      <c r="N351" s="119">
        <f t="shared" si="41"/>
        <v>334</v>
      </c>
      <c r="O351" s="99" t="str">
        <f t="shared" si="42"/>
        <v>0</v>
      </c>
      <c r="P351" s="119">
        <f t="shared" si="43"/>
        <v>1</v>
      </c>
      <c r="Q351" s="119">
        <f t="shared" si="44"/>
        <v>1</v>
      </c>
    </row>
    <row r="352" spans="2:17">
      <c r="B352" s="116"/>
      <c r="C352" s="116"/>
      <c r="D352" s="116"/>
      <c r="E352" s="116" cm="1">
        <f t="array" ref="E352">IF(H351&lt;&gt;"",E351,IF(E351="","",IFERROR(MATCH(TRUE(),INDEX(INDEX(K:K,E351+1):K203&lt;&gt;"",0),0)+E351,"")))</f>
        <v>494</v>
      </c>
      <c r="F352" s="117" cm="1">
        <f t="array" ref="F352">IF(E352="","",IF(H351&lt;&gt;"",H351,INDEX(D:D,E352)))</f>
        <v>0</v>
      </c>
      <c r="G352" s="117" t="str">
        <f t="shared" si="39"/>
        <v>0</v>
      </c>
      <c r="H352" s="118" t="str">
        <f t="shared" si="40"/>
        <v/>
      </c>
      <c r="I352" s="116" t="str">
        <f>IF(AND(F352&lt;&gt;"",N10&gt;0,M352&gt;N10),"Mot &gt; limite","")</f>
        <v/>
      </c>
      <c r="M352" s="70">
        <f>IF(OR(F352="",N10="",N10&lt;=0),"",IF(LEN(F352)&lt;=N10,LEN(F352),IFERROR(FIND("♦",SUBSTITUTE(LEFT(F352,N10)," ","♦",LEN(LEFT(F352,N10))-LEN(SUBSTITUTE(LEFT(F352,N10)," ","")))),FIND(" ",F352&amp;" ",N10+1)-1)))</f>
        <v>1</v>
      </c>
      <c r="N352" s="119">
        <f t="shared" si="41"/>
        <v>335</v>
      </c>
      <c r="O352" s="99" t="str">
        <f t="shared" si="42"/>
        <v>0</v>
      </c>
      <c r="P352" s="119">
        <f t="shared" si="43"/>
        <v>1</v>
      </c>
      <c r="Q352" s="119">
        <f t="shared" si="44"/>
        <v>1</v>
      </c>
    </row>
    <row r="353" spans="2:17">
      <c r="B353" s="116"/>
      <c r="C353" s="116"/>
      <c r="D353" s="116"/>
      <c r="E353" s="116" cm="1">
        <f t="array" ref="E353">IF(H352&lt;&gt;"",E352,IF(E352="","",IFERROR(MATCH(TRUE(),INDEX(INDEX(K:K,E352+1):K203&lt;&gt;"",0),0)+E352,"")))</f>
        <v>495</v>
      </c>
      <c r="F353" s="117" cm="1">
        <f t="array" ref="F353">IF(E353="","",IF(H352&lt;&gt;"",H352,INDEX(D:D,E353)))</f>
        <v>0</v>
      </c>
      <c r="G353" s="117" t="str">
        <f t="shared" si="39"/>
        <v>0</v>
      </c>
      <c r="H353" s="118" t="str">
        <f t="shared" si="40"/>
        <v/>
      </c>
      <c r="I353" s="116" t="str">
        <f>IF(AND(F353&lt;&gt;"",N10&gt;0,M353&gt;N10),"Mot &gt; limite","")</f>
        <v/>
      </c>
      <c r="M353" s="70">
        <f>IF(OR(F353="",N10="",N10&lt;=0),"",IF(LEN(F353)&lt;=N10,LEN(F353),IFERROR(FIND("♦",SUBSTITUTE(LEFT(F353,N10)," ","♦",LEN(LEFT(F353,N10))-LEN(SUBSTITUTE(LEFT(F353,N10)," ","")))),FIND(" ",F353&amp;" ",N10+1)-1)))</f>
        <v>1</v>
      </c>
      <c r="N353" s="119">
        <f t="shared" si="41"/>
        <v>336</v>
      </c>
      <c r="O353" s="99" t="str">
        <f t="shared" si="42"/>
        <v>0</v>
      </c>
      <c r="P353" s="119">
        <f t="shared" si="43"/>
        <v>1</v>
      </c>
      <c r="Q353" s="119">
        <f t="shared" si="44"/>
        <v>1</v>
      </c>
    </row>
    <row r="354" spans="2:17">
      <c r="B354" s="116"/>
      <c r="C354" s="116"/>
      <c r="D354" s="116"/>
      <c r="E354" s="116" cm="1">
        <f t="array" ref="E354">IF(H353&lt;&gt;"",E353,IF(E353="","",IFERROR(MATCH(TRUE(),INDEX(INDEX(K:K,E353+1):K203&lt;&gt;"",0),0)+E353,"")))</f>
        <v>496</v>
      </c>
      <c r="F354" s="117" cm="1">
        <f t="array" ref="F354">IF(E354="","",IF(H353&lt;&gt;"",H353,INDEX(D:D,E354)))</f>
        <v>0</v>
      </c>
      <c r="G354" s="117" t="str">
        <f t="shared" si="39"/>
        <v>0</v>
      </c>
      <c r="H354" s="118" t="str">
        <f t="shared" si="40"/>
        <v/>
      </c>
      <c r="I354" s="116" t="str">
        <f>IF(AND(F354&lt;&gt;"",N10&gt;0,M354&gt;N10),"Mot &gt; limite","")</f>
        <v/>
      </c>
      <c r="M354" s="70">
        <f>IF(OR(F354="",N10="",N10&lt;=0),"",IF(LEN(F354)&lt;=N10,LEN(F354),IFERROR(FIND("♦",SUBSTITUTE(LEFT(F354,N10)," ","♦",LEN(LEFT(F354,N10))-LEN(SUBSTITUTE(LEFT(F354,N10)," ","")))),FIND(" ",F354&amp;" ",N10+1)-1)))</f>
        <v>1</v>
      </c>
      <c r="N354" s="119">
        <f t="shared" si="41"/>
        <v>337</v>
      </c>
      <c r="O354" s="99" t="str">
        <f t="shared" si="42"/>
        <v>0</v>
      </c>
      <c r="P354" s="119">
        <f t="shared" si="43"/>
        <v>1</v>
      </c>
      <c r="Q354" s="119">
        <f t="shared" si="44"/>
        <v>1</v>
      </c>
    </row>
    <row r="355" spans="2:17">
      <c r="B355" s="116"/>
      <c r="C355" s="116"/>
      <c r="D355" s="116"/>
      <c r="E355" s="116" cm="1">
        <f t="array" ref="E355">IF(H354&lt;&gt;"",E354,IF(E354="","",IFERROR(MATCH(TRUE(),INDEX(INDEX(K:K,E354+1):K203&lt;&gt;"",0),0)+E354,"")))</f>
        <v>497</v>
      </c>
      <c r="F355" s="117" cm="1">
        <f t="array" ref="F355">IF(E355="","",IF(H354&lt;&gt;"",H354,INDEX(D:D,E355)))</f>
        <v>0</v>
      </c>
      <c r="G355" s="117" t="str">
        <f t="shared" si="39"/>
        <v>0</v>
      </c>
      <c r="H355" s="118" t="str">
        <f t="shared" si="40"/>
        <v/>
      </c>
      <c r="I355" s="116" t="str">
        <f>IF(AND(F355&lt;&gt;"",N10&gt;0,M355&gt;N10),"Mot &gt; limite","")</f>
        <v/>
      </c>
      <c r="M355" s="70">
        <f>IF(OR(F355="",N10="",N10&lt;=0),"",IF(LEN(F355)&lt;=N10,LEN(F355),IFERROR(FIND("♦",SUBSTITUTE(LEFT(F355,N10)," ","♦",LEN(LEFT(F355,N10))-LEN(SUBSTITUTE(LEFT(F355,N10)," ","")))),FIND(" ",F355&amp;" ",N10+1)-1)))</f>
        <v>1</v>
      </c>
      <c r="N355" s="119">
        <f t="shared" si="41"/>
        <v>338</v>
      </c>
      <c r="O355" s="99" t="str">
        <f t="shared" si="42"/>
        <v>0</v>
      </c>
      <c r="P355" s="119">
        <f t="shared" si="43"/>
        <v>1</v>
      </c>
      <c r="Q355" s="119">
        <f t="shared" si="44"/>
        <v>1</v>
      </c>
    </row>
    <row r="356" spans="2:17">
      <c r="B356" s="116"/>
      <c r="C356" s="116"/>
      <c r="D356" s="116"/>
      <c r="E356" s="116" cm="1">
        <f t="array" ref="E356">IF(H355&lt;&gt;"",E355,IF(E355="","",IFERROR(MATCH(TRUE(),INDEX(INDEX(K:K,E355+1):K203&lt;&gt;"",0),0)+E355,"")))</f>
        <v>498</v>
      </c>
      <c r="F356" s="117" cm="1">
        <f t="array" ref="F356">IF(E356="","",IF(H355&lt;&gt;"",H355,INDEX(D:D,E356)))</f>
        <v>0</v>
      </c>
      <c r="G356" s="117" t="str">
        <f t="shared" si="39"/>
        <v>0</v>
      </c>
      <c r="H356" s="118" t="str">
        <f t="shared" si="40"/>
        <v/>
      </c>
      <c r="I356" s="116" t="str">
        <f>IF(AND(F356&lt;&gt;"",N10&gt;0,M356&gt;N10),"Mot &gt; limite","")</f>
        <v/>
      </c>
      <c r="M356" s="70">
        <f>IF(OR(F356="",N10="",N10&lt;=0),"",IF(LEN(F356)&lt;=N10,LEN(F356),IFERROR(FIND("♦",SUBSTITUTE(LEFT(F356,N10)," ","♦",LEN(LEFT(F356,N10))-LEN(SUBSTITUTE(LEFT(F356,N10)," ","")))),FIND(" ",F356&amp;" ",N10+1)-1)))</f>
        <v>1</v>
      </c>
      <c r="N356" s="119">
        <f t="shared" si="41"/>
        <v>339</v>
      </c>
      <c r="O356" s="99" t="str">
        <f t="shared" si="42"/>
        <v>0</v>
      </c>
      <c r="P356" s="119">
        <f t="shared" si="43"/>
        <v>1</v>
      </c>
      <c r="Q356" s="119">
        <f t="shared" si="44"/>
        <v>1</v>
      </c>
    </row>
    <row r="357" spans="2:17">
      <c r="B357" s="116"/>
      <c r="C357" s="116"/>
      <c r="D357" s="116"/>
      <c r="E357" s="116" cm="1">
        <f t="array" ref="E357">IF(H356&lt;&gt;"",E356,IF(E356="","",IFERROR(MATCH(TRUE(),INDEX(INDEX(K:K,E356+1):K203&lt;&gt;"",0),0)+E356,"")))</f>
        <v>499</v>
      </c>
      <c r="F357" s="117" cm="1">
        <f t="array" ref="F357">IF(E357="","",IF(H356&lt;&gt;"",H356,INDEX(D:D,E357)))</f>
        <v>0</v>
      </c>
      <c r="G357" s="117" t="str">
        <f t="shared" si="39"/>
        <v>0</v>
      </c>
      <c r="H357" s="118" t="str">
        <f t="shared" si="40"/>
        <v/>
      </c>
      <c r="I357" s="116" t="str">
        <f>IF(AND(F357&lt;&gt;"",N10&gt;0,M357&gt;N10),"Mot &gt; limite","")</f>
        <v/>
      </c>
      <c r="M357" s="70">
        <f>IF(OR(F357="",N10="",N10&lt;=0),"",IF(LEN(F357)&lt;=N10,LEN(F357),IFERROR(FIND("♦",SUBSTITUTE(LEFT(F357,N10)," ","♦",LEN(LEFT(F357,N10))-LEN(SUBSTITUTE(LEFT(F357,N10)," ","")))),FIND(" ",F357&amp;" ",N10+1)-1)))</f>
        <v>1</v>
      </c>
      <c r="N357" s="119">
        <f t="shared" si="41"/>
        <v>340</v>
      </c>
      <c r="O357" s="99" t="str">
        <f t="shared" si="42"/>
        <v>0</v>
      </c>
      <c r="P357" s="119">
        <f t="shared" si="43"/>
        <v>1</v>
      </c>
      <c r="Q357" s="119">
        <f t="shared" si="44"/>
        <v>1</v>
      </c>
    </row>
    <row r="358" spans="2:17">
      <c r="B358" s="116"/>
      <c r="C358" s="116"/>
      <c r="D358" s="116"/>
      <c r="E358" s="116" cm="1">
        <f t="array" ref="E358">IF(H357&lt;&gt;"",E357,IF(E357="","",IFERROR(MATCH(TRUE(),INDEX(INDEX(K:K,E357+1):K203&lt;&gt;"",0),0)+E357,"")))</f>
        <v>500</v>
      </c>
      <c r="F358" s="117" cm="1">
        <f t="array" ref="F358">IF(E358="","",IF(H357&lt;&gt;"",H357,INDEX(D:D,E358)))</f>
        <v>0</v>
      </c>
      <c r="G358" s="117" t="str">
        <f t="shared" si="39"/>
        <v>0</v>
      </c>
      <c r="H358" s="118" t="str">
        <f t="shared" si="40"/>
        <v/>
      </c>
      <c r="I358" s="116" t="str">
        <f>IF(AND(F358&lt;&gt;"",N10&gt;0,M358&gt;N10),"Mot &gt; limite","")</f>
        <v/>
      </c>
      <c r="M358" s="70">
        <f>IF(OR(F358="",N10="",N10&lt;=0),"",IF(LEN(F358)&lt;=N10,LEN(F358),IFERROR(FIND("♦",SUBSTITUTE(LEFT(F358,N10)," ","♦",LEN(LEFT(F358,N10))-LEN(SUBSTITUTE(LEFT(F358,N10)," ","")))),FIND(" ",F358&amp;" ",N10+1)-1)))</f>
        <v>1</v>
      </c>
      <c r="N358" s="119">
        <f t="shared" si="41"/>
        <v>341</v>
      </c>
      <c r="O358" s="99" t="str">
        <f t="shared" si="42"/>
        <v>0</v>
      </c>
      <c r="P358" s="119">
        <f t="shared" si="43"/>
        <v>1</v>
      </c>
      <c r="Q358" s="119">
        <f t="shared" si="44"/>
        <v>1</v>
      </c>
    </row>
    <row r="359" spans="2:17">
      <c r="B359" s="116"/>
      <c r="C359" s="116"/>
      <c r="D359" s="116"/>
      <c r="E359" s="116" cm="1">
        <f t="array" ref="E359">IF(H358&lt;&gt;"",E358,IF(E358="","",IFERROR(MATCH(TRUE(),INDEX(INDEX(K:K,E358+1):K203&lt;&gt;"",0),0)+E358,"")))</f>
        <v>501</v>
      </c>
      <c r="F359" s="117" cm="1">
        <f t="array" ref="F359">IF(E359="","",IF(H358&lt;&gt;"",H358,INDEX(D:D,E359)))</f>
        <v>0</v>
      </c>
      <c r="G359" s="117" t="str">
        <f t="shared" si="39"/>
        <v>0</v>
      </c>
      <c r="H359" s="118" t="str">
        <f t="shared" si="40"/>
        <v/>
      </c>
      <c r="I359" s="116" t="str">
        <f>IF(AND(F359&lt;&gt;"",N10&gt;0,M359&gt;N10),"Mot &gt; limite","")</f>
        <v/>
      </c>
      <c r="M359" s="70">
        <f>IF(OR(F359="",N10="",N10&lt;=0),"",IF(LEN(F359)&lt;=N10,LEN(F359),IFERROR(FIND("♦",SUBSTITUTE(LEFT(F359,N10)," ","♦",LEN(LEFT(F359,N10))-LEN(SUBSTITUTE(LEFT(F359,N10)," ","")))),FIND(" ",F359&amp;" ",N10+1)-1)))</f>
        <v>1</v>
      </c>
      <c r="N359" s="119">
        <f t="shared" si="41"/>
        <v>342</v>
      </c>
      <c r="O359" s="99" t="str">
        <f t="shared" si="42"/>
        <v>0</v>
      </c>
      <c r="P359" s="119">
        <f t="shared" si="43"/>
        <v>1</v>
      </c>
      <c r="Q359" s="119">
        <f t="shared" si="44"/>
        <v>1</v>
      </c>
    </row>
    <row r="360" spans="2:17">
      <c r="B360" s="116"/>
      <c r="C360" s="116"/>
      <c r="D360" s="116"/>
      <c r="E360" s="116" cm="1">
        <f t="array" ref="E360">IF(H359&lt;&gt;"",E359,IF(E359="","",IFERROR(MATCH(TRUE(),INDEX(INDEX(K:K,E359+1):K203&lt;&gt;"",0),0)+E359,"")))</f>
        <v>502</v>
      </c>
      <c r="F360" s="117" cm="1">
        <f t="array" ref="F360">IF(E360="","",IF(H359&lt;&gt;"",H359,INDEX(D:D,E360)))</f>
        <v>0</v>
      </c>
      <c r="G360" s="117" t="str">
        <f t="shared" si="39"/>
        <v>0</v>
      </c>
      <c r="H360" s="118" t="str">
        <f t="shared" si="40"/>
        <v/>
      </c>
      <c r="I360" s="116" t="str">
        <f>IF(AND(F360&lt;&gt;"",N10&gt;0,M360&gt;N10),"Mot &gt; limite","")</f>
        <v/>
      </c>
      <c r="M360" s="70">
        <f>IF(OR(F360="",N10="",N10&lt;=0),"",IF(LEN(F360)&lt;=N10,LEN(F360),IFERROR(FIND("♦",SUBSTITUTE(LEFT(F360,N10)," ","♦",LEN(LEFT(F360,N10))-LEN(SUBSTITUTE(LEFT(F360,N10)," ","")))),FIND(" ",F360&amp;" ",N10+1)-1)))</f>
        <v>1</v>
      </c>
      <c r="N360" s="119">
        <f t="shared" si="41"/>
        <v>343</v>
      </c>
      <c r="O360" s="99" t="str">
        <f t="shared" si="42"/>
        <v>0</v>
      </c>
      <c r="P360" s="119">
        <f t="shared" si="43"/>
        <v>1</v>
      </c>
      <c r="Q360" s="119">
        <f t="shared" si="44"/>
        <v>1</v>
      </c>
    </row>
    <row r="361" spans="2:17">
      <c r="B361" s="116"/>
      <c r="C361" s="116"/>
      <c r="D361" s="116"/>
      <c r="E361" s="116" cm="1">
        <f t="array" ref="E361">IF(H360&lt;&gt;"",E360,IF(E360="","",IFERROR(MATCH(TRUE(),INDEX(INDEX(K:K,E360+1):K203&lt;&gt;"",0),0)+E360,"")))</f>
        <v>503</v>
      </c>
      <c r="F361" s="117" cm="1">
        <f t="array" ref="F361">IF(E361="","",IF(H360&lt;&gt;"",H360,INDEX(D:D,E361)))</f>
        <v>0</v>
      </c>
      <c r="G361" s="117" t="str">
        <f t="shared" si="39"/>
        <v>0</v>
      </c>
      <c r="H361" s="118" t="str">
        <f t="shared" si="40"/>
        <v/>
      </c>
      <c r="I361" s="116" t="str">
        <f>IF(AND(F361&lt;&gt;"",N10&gt;0,M361&gt;N10),"Mot &gt; limite","")</f>
        <v/>
      </c>
      <c r="M361" s="70">
        <f>IF(OR(F361="",N10="",N10&lt;=0),"",IF(LEN(F361)&lt;=N10,LEN(F361),IFERROR(FIND("♦",SUBSTITUTE(LEFT(F361,N10)," ","♦",LEN(LEFT(F361,N10))-LEN(SUBSTITUTE(LEFT(F361,N10)," ","")))),FIND(" ",F361&amp;" ",N10+1)-1)))</f>
        <v>1</v>
      </c>
      <c r="N361" s="119">
        <f t="shared" si="41"/>
        <v>344</v>
      </c>
      <c r="O361" s="99" t="str">
        <f t="shared" si="42"/>
        <v>0</v>
      </c>
      <c r="P361" s="119">
        <f t="shared" si="43"/>
        <v>1</v>
      </c>
      <c r="Q361" s="119">
        <f t="shared" si="44"/>
        <v>1</v>
      </c>
    </row>
    <row r="362" spans="2:17">
      <c r="B362" s="116"/>
      <c r="C362" s="116"/>
      <c r="D362" s="116"/>
      <c r="E362" s="116" cm="1">
        <f t="array" ref="E362">IF(H361&lt;&gt;"",E361,IF(E361="","",IFERROR(MATCH(TRUE(),INDEX(INDEX(K:K,E361+1):K203&lt;&gt;"",0),0)+E361,"")))</f>
        <v>504</v>
      </c>
      <c r="F362" s="117" cm="1">
        <f t="array" ref="F362">IF(E362="","",IF(H361&lt;&gt;"",H361,INDEX(D:D,E362)))</f>
        <v>0</v>
      </c>
      <c r="G362" s="117" t="str">
        <f t="shared" si="39"/>
        <v>0</v>
      </c>
      <c r="H362" s="118" t="str">
        <f t="shared" si="40"/>
        <v/>
      </c>
      <c r="I362" s="116" t="str">
        <f>IF(AND(F362&lt;&gt;"",N10&gt;0,M362&gt;N10),"Mot &gt; limite","")</f>
        <v/>
      </c>
      <c r="M362" s="70">
        <f>IF(OR(F362="",N10="",N10&lt;=0),"",IF(LEN(F362)&lt;=N10,LEN(F362),IFERROR(FIND("♦",SUBSTITUTE(LEFT(F362,N10)," ","♦",LEN(LEFT(F362,N10))-LEN(SUBSTITUTE(LEFT(F362,N10)," ","")))),FIND(" ",F362&amp;" ",N10+1)-1)))</f>
        <v>1</v>
      </c>
      <c r="N362" s="119">
        <f t="shared" si="41"/>
        <v>345</v>
      </c>
      <c r="O362" s="99" t="str">
        <f t="shared" si="42"/>
        <v>0</v>
      </c>
      <c r="P362" s="119">
        <f t="shared" si="43"/>
        <v>1</v>
      </c>
      <c r="Q362" s="119">
        <f t="shared" si="44"/>
        <v>1</v>
      </c>
    </row>
    <row r="363" spans="2:17">
      <c r="B363" s="116"/>
      <c r="C363" s="116"/>
      <c r="D363" s="116"/>
      <c r="E363" s="116" cm="1">
        <f t="array" ref="E363">IF(H362&lt;&gt;"",E362,IF(E362="","",IFERROR(MATCH(TRUE(),INDEX(INDEX(K:K,E362+1):K203&lt;&gt;"",0),0)+E362,"")))</f>
        <v>505</v>
      </c>
      <c r="F363" s="117" cm="1">
        <f t="array" ref="F363">IF(E363="","",IF(H362&lt;&gt;"",H362,INDEX(D:D,E363)))</f>
        <v>0</v>
      </c>
      <c r="G363" s="117" t="str">
        <f t="shared" si="39"/>
        <v>0</v>
      </c>
      <c r="H363" s="118" t="str">
        <f t="shared" si="40"/>
        <v/>
      </c>
      <c r="I363" s="116" t="str">
        <f>IF(AND(F363&lt;&gt;"",N10&gt;0,M363&gt;N10),"Mot &gt; limite","")</f>
        <v/>
      </c>
      <c r="M363" s="70">
        <f>IF(OR(F363="",N10="",N10&lt;=0),"",IF(LEN(F363)&lt;=N10,LEN(F363),IFERROR(FIND("♦",SUBSTITUTE(LEFT(F363,N10)," ","♦",LEN(LEFT(F363,N10))-LEN(SUBSTITUTE(LEFT(F363,N10)," ","")))),FIND(" ",F363&amp;" ",N10+1)-1)))</f>
        <v>1</v>
      </c>
      <c r="N363" s="119">
        <f t="shared" si="41"/>
        <v>346</v>
      </c>
      <c r="O363" s="99" t="str">
        <f t="shared" si="42"/>
        <v>0</v>
      </c>
      <c r="P363" s="119">
        <f t="shared" si="43"/>
        <v>1</v>
      </c>
      <c r="Q363" s="119">
        <f t="shared" si="44"/>
        <v>1</v>
      </c>
    </row>
    <row r="364" spans="2:17">
      <c r="B364" s="116"/>
      <c r="C364" s="116"/>
      <c r="D364" s="116"/>
      <c r="E364" s="116" cm="1">
        <f t="array" ref="E364">IF(H363&lt;&gt;"",E363,IF(E363="","",IFERROR(MATCH(TRUE(),INDEX(INDEX(K:K,E363+1):K203&lt;&gt;"",0),0)+E363,"")))</f>
        <v>506</v>
      </c>
      <c r="F364" s="117" cm="1">
        <f t="array" ref="F364">IF(E364="","",IF(H363&lt;&gt;"",H363,INDEX(D:D,E364)))</f>
        <v>0</v>
      </c>
      <c r="G364" s="117" t="str">
        <f t="shared" si="39"/>
        <v>0</v>
      </c>
      <c r="H364" s="118" t="str">
        <f t="shared" si="40"/>
        <v/>
      </c>
      <c r="I364" s="116" t="str">
        <f>IF(AND(F364&lt;&gt;"",N10&gt;0,M364&gt;N10),"Mot &gt; limite","")</f>
        <v/>
      </c>
      <c r="M364" s="70">
        <f>IF(OR(F364="",N10="",N10&lt;=0),"",IF(LEN(F364)&lt;=N10,LEN(F364),IFERROR(FIND("♦",SUBSTITUTE(LEFT(F364,N10)," ","♦",LEN(LEFT(F364,N10))-LEN(SUBSTITUTE(LEFT(F364,N10)," ","")))),FIND(" ",F364&amp;" ",N10+1)-1)))</f>
        <v>1</v>
      </c>
      <c r="N364" s="119">
        <f t="shared" si="41"/>
        <v>347</v>
      </c>
      <c r="O364" s="99" t="str">
        <f t="shared" si="42"/>
        <v>0</v>
      </c>
      <c r="P364" s="119">
        <f t="shared" si="43"/>
        <v>1</v>
      </c>
      <c r="Q364" s="119">
        <f t="shared" si="44"/>
        <v>1</v>
      </c>
    </row>
    <row r="365" spans="2:17">
      <c r="B365" s="116"/>
      <c r="C365" s="116"/>
      <c r="D365" s="116"/>
      <c r="E365" s="116" cm="1">
        <f t="array" ref="E365">IF(H364&lt;&gt;"",E364,IF(E364="","",IFERROR(MATCH(TRUE(),INDEX(INDEX(K:K,E364+1):K203&lt;&gt;"",0),0)+E364,"")))</f>
        <v>507</v>
      </c>
      <c r="F365" s="117" cm="1">
        <f t="array" ref="F365">IF(E365="","",IF(H364&lt;&gt;"",H364,INDEX(D:D,E365)))</f>
        <v>0</v>
      </c>
      <c r="G365" s="117" t="str">
        <f t="shared" si="39"/>
        <v>0</v>
      </c>
      <c r="H365" s="118" t="str">
        <f t="shared" si="40"/>
        <v/>
      </c>
      <c r="I365" s="116" t="str">
        <f>IF(AND(F365&lt;&gt;"",N10&gt;0,M365&gt;N10),"Mot &gt; limite","")</f>
        <v/>
      </c>
      <c r="M365" s="70">
        <f>IF(OR(F365="",N10="",N10&lt;=0),"",IF(LEN(F365)&lt;=N10,LEN(F365),IFERROR(FIND("♦",SUBSTITUTE(LEFT(F365,N10)," ","♦",LEN(LEFT(F365,N10))-LEN(SUBSTITUTE(LEFT(F365,N10)," ","")))),FIND(" ",F365&amp;" ",N10+1)-1)))</f>
        <v>1</v>
      </c>
      <c r="N365" s="119">
        <f t="shared" si="41"/>
        <v>348</v>
      </c>
      <c r="O365" s="99" t="str">
        <f t="shared" si="42"/>
        <v>0</v>
      </c>
      <c r="P365" s="119">
        <f t="shared" si="43"/>
        <v>1</v>
      </c>
      <c r="Q365" s="119">
        <f t="shared" si="44"/>
        <v>1</v>
      </c>
    </row>
    <row r="366" spans="2:17">
      <c r="B366" s="116"/>
      <c r="C366" s="116"/>
      <c r="D366" s="116"/>
      <c r="E366" s="116" cm="1">
        <f t="array" ref="E366">IF(H365&lt;&gt;"",E365,IF(E365="","",IFERROR(MATCH(TRUE(),INDEX(INDEX(K:K,E365+1):K203&lt;&gt;"",0),0)+E365,"")))</f>
        <v>508</v>
      </c>
      <c r="F366" s="117" cm="1">
        <f t="array" ref="F366">IF(E366="","",IF(H365&lt;&gt;"",H365,INDEX(D:D,E366)))</f>
        <v>0</v>
      </c>
      <c r="G366" s="117" t="str">
        <f t="shared" si="39"/>
        <v>0</v>
      </c>
      <c r="H366" s="118" t="str">
        <f t="shared" si="40"/>
        <v/>
      </c>
      <c r="I366" s="116" t="str">
        <f>IF(AND(F366&lt;&gt;"",N10&gt;0,M366&gt;N10),"Mot &gt; limite","")</f>
        <v/>
      </c>
      <c r="M366" s="70">
        <f>IF(OR(F366="",N10="",N10&lt;=0),"",IF(LEN(F366)&lt;=N10,LEN(F366),IFERROR(FIND("♦",SUBSTITUTE(LEFT(F366,N10)," ","♦",LEN(LEFT(F366,N10))-LEN(SUBSTITUTE(LEFT(F366,N10)," ","")))),FIND(" ",F366&amp;" ",N10+1)-1)))</f>
        <v>1</v>
      </c>
      <c r="N366" s="119">
        <f t="shared" si="41"/>
        <v>349</v>
      </c>
      <c r="O366" s="99" t="str">
        <f t="shared" si="42"/>
        <v>0</v>
      </c>
      <c r="P366" s="119">
        <f t="shared" si="43"/>
        <v>1</v>
      </c>
      <c r="Q366" s="119">
        <f t="shared" si="44"/>
        <v>1</v>
      </c>
    </row>
    <row r="367" spans="2:17">
      <c r="B367" s="116"/>
      <c r="C367" s="116"/>
      <c r="D367" s="116"/>
      <c r="E367" s="116" cm="1">
        <f t="array" ref="E367">IF(H366&lt;&gt;"",E366,IF(E366="","",IFERROR(MATCH(TRUE(),INDEX(INDEX(K:K,E366+1):K203&lt;&gt;"",0),0)+E366,"")))</f>
        <v>509</v>
      </c>
      <c r="F367" s="117" cm="1">
        <f t="array" ref="F367">IF(E367="","",IF(H366&lt;&gt;"",H366,INDEX(D:D,E367)))</f>
        <v>0</v>
      </c>
      <c r="G367" s="117" t="str">
        <f t="shared" si="39"/>
        <v>0</v>
      </c>
      <c r="H367" s="118" t="str">
        <f t="shared" si="40"/>
        <v/>
      </c>
      <c r="I367" s="116" t="str">
        <f>IF(AND(F367&lt;&gt;"",N10&gt;0,M367&gt;N10),"Mot &gt; limite","")</f>
        <v/>
      </c>
      <c r="M367" s="70">
        <f>IF(OR(F367="",N10="",N10&lt;=0),"",IF(LEN(F367)&lt;=N10,LEN(F367),IFERROR(FIND("♦",SUBSTITUTE(LEFT(F367,N10)," ","♦",LEN(LEFT(F367,N10))-LEN(SUBSTITUTE(LEFT(F367,N10)," ","")))),FIND(" ",F367&amp;" ",N10+1)-1)))</f>
        <v>1</v>
      </c>
      <c r="N367" s="119">
        <f t="shared" si="41"/>
        <v>350</v>
      </c>
      <c r="O367" s="99" t="str">
        <f t="shared" si="42"/>
        <v>0</v>
      </c>
      <c r="P367" s="119">
        <f t="shared" si="43"/>
        <v>1</v>
      </c>
      <c r="Q367" s="119">
        <f t="shared" si="44"/>
        <v>1</v>
      </c>
    </row>
    <row r="368" spans="2:17">
      <c r="B368" s="116"/>
      <c r="C368" s="116"/>
      <c r="D368" s="116"/>
      <c r="E368" s="116" cm="1">
        <f t="array" ref="E368">IF(H367&lt;&gt;"",E367,IF(E367="","",IFERROR(MATCH(TRUE(),INDEX(INDEX(K:K,E367+1):K203&lt;&gt;"",0),0)+E367,"")))</f>
        <v>510</v>
      </c>
      <c r="F368" s="117" cm="1">
        <f t="array" ref="F368">IF(E368="","",IF(H367&lt;&gt;"",H367,INDEX(D:D,E368)))</f>
        <v>0</v>
      </c>
      <c r="G368" s="117" t="str">
        <f t="shared" si="39"/>
        <v>0</v>
      </c>
      <c r="H368" s="118" t="str">
        <f t="shared" si="40"/>
        <v/>
      </c>
      <c r="I368" s="116" t="str">
        <f>IF(AND(F368&lt;&gt;"",N10&gt;0,M368&gt;N10),"Mot &gt; limite","")</f>
        <v/>
      </c>
      <c r="M368" s="70">
        <f>IF(OR(F368="",N10="",N10&lt;=0),"",IF(LEN(F368)&lt;=N10,LEN(F368),IFERROR(FIND("♦",SUBSTITUTE(LEFT(F368,N10)," ","♦",LEN(LEFT(F368,N10))-LEN(SUBSTITUTE(LEFT(F368,N10)," ","")))),FIND(" ",F368&amp;" ",N10+1)-1)))</f>
        <v>1</v>
      </c>
      <c r="N368" s="119">
        <f t="shared" si="41"/>
        <v>351</v>
      </c>
      <c r="O368" s="99" t="str">
        <f t="shared" si="42"/>
        <v>0</v>
      </c>
      <c r="P368" s="119">
        <f t="shared" si="43"/>
        <v>1</v>
      </c>
      <c r="Q368" s="119">
        <f t="shared" si="44"/>
        <v>1</v>
      </c>
    </row>
    <row r="369" spans="2:17">
      <c r="B369" s="116"/>
      <c r="C369" s="116"/>
      <c r="D369" s="116"/>
      <c r="E369" s="116" cm="1">
        <f t="array" ref="E369">IF(H368&lt;&gt;"",E368,IF(E368="","",IFERROR(MATCH(TRUE(),INDEX(INDEX(K:K,E368+1):K203&lt;&gt;"",0),0)+E368,"")))</f>
        <v>511</v>
      </c>
      <c r="F369" s="117" cm="1">
        <f t="array" ref="F369">IF(E369="","",IF(H368&lt;&gt;"",H368,INDEX(D:D,E369)))</f>
        <v>0</v>
      </c>
      <c r="G369" s="117" t="str">
        <f t="shared" si="39"/>
        <v>0</v>
      </c>
      <c r="H369" s="118" t="str">
        <f t="shared" si="40"/>
        <v/>
      </c>
      <c r="I369" s="116" t="str">
        <f>IF(AND(F369&lt;&gt;"",N10&gt;0,M369&gt;N10),"Mot &gt; limite","")</f>
        <v/>
      </c>
      <c r="M369" s="70">
        <f>IF(OR(F369="",N10="",N10&lt;=0),"",IF(LEN(F369)&lt;=N10,LEN(F369),IFERROR(FIND("♦",SUBSTITUTE(LEFT(F369,N10)," ","♦",LEN(LEFT(F369,N10))-LEN(SUBSTITUTE(LEFT(F369,N10)," ","")))),FIND(" ",F369&amp;" ",N10+1)-1)))</f>
        <v>1</v>
      </c>
      <c r="N369" s="119">
        <f t="shared" si="41"/>
        <v>352</v>
      </c>
      <c r="O369" s="99" t="str">
        <f t="shared" si="42"/>
        <v>0</v>
      </c>
      <c r="P369" s="119">
        <f t="shared" si="43"/>
        <v>1</v>
      </c>
      <c r="Q369" s="119">
        <f t="shared" si="44"/>
        <v>1</v>
      </c>
    </row>
    <row r="370" spans="2:17">
      <c r="B370" s="116"/>
      <c r="C370" s="116"/>
      <c r="D370" s="116"/>
      <c r="E370" s="116" cm="1">
        <f t="array" ref="E370">IF(H369&lt;&gt;"",E369,IF(E369="","",IFERROR(MATCH(TRUE(),INDEX(INDEX(K:K,E369+1):K203&lt;&gt;"",0),0)+E369,"")))</f>
        <v>512</v>
      </c>
      <c r="F370" s="117" cm="1">
        <f t="array" ref="F370">IF(E370="","",IF(H369&lt;&gt;"",H369,INDEX(D:D,E370)))</f>
        <v>0</v>
      </c>
      <c r="G370" s="117" t="str">
        <f t="shared" si="39"/>
        <v>0</v>
      </c>
      <c r="H370" s="118" t="str">
        <f t="shared" si="40"/>
        <v/>
      </c>
      <c r="I370" s="116" t="str">
        <f>IF(AND(F370&lt;&gt;"",N10&gt;0,M370&gt;N10),"Mot &gt; limite","")</f>
        <v/>
      </c>
      <c r="M370" s="70">
        <f>IF(OR(F370="",N10="",N10&lt;=0),"",IF(LEN(F370)&lt;=N10,LEN(F370),IFERROR(FIND("♦",SUBSTITUTE(LEFT(F370,N10)," ","♦",LEN(LEFT(F370,N10))-LEN(SUBSTITUTE(LEFT(F370,N10)," ","")))),FIND(" ",F370&amp;" ",N10+1)-1)))</f>
        <v>1</v>
      </c>
      <c r="N370" s="119">
        <f t="shared" si="41"/>
        <v>353</v>
      </c>
      <c r="O370" s="99" t="str">
        <f t="shared" si="42"/>
        <v>0</v>
      </c>
      <c r="P370" s="119">
        <f t="shared" si="43"/>
        <v>1</v>
      </c>
      <c r="Q370" s="119">
        <f t="shared" si="44"/>
        <v>1</v>
      </c>
    </row>
    <row r="371" spans="2:17">
      <c r="B371" s="116"/>
      <c r="C371" s="116"/>
      <c r="D371" s="116"/>
      <c r="E371" s="116" cm="1">
        <f t="array" ref="E371">IF(H370&lt;&gt;"",E370,IF(E370="","",IFERROR(MATCH(TRUE(),INDEX(INDEX(K:K,E370+1):K203&lt;&gt;"",0),0)+E370,"")))</f>
        <v>513</v>
      </c>
      <c r="F371" s="117" cm="1">
        <f t="array" ref="F371">IF(E371="","",IF(H370&lt;&gt;"",H370,INDEX(D:D,E371)))</f>
        <v>0</v>
      </c>
      <c r="G371" s="117" t="str">
        <f t="shared" si="39"/>
        <v>0</v>
      </c>
      <c r="H371" s="118" t="str">
        <f t="shared" si="40"/>
        <v/>
      </c>
      <c r="I371" s="116" t="str">
        <f>IF(AND(F371&lt;&gt;"",N10&gt;0,M371&gt;N10),"Mot &gt; limite","")</f>
        <v/>
      </c>
      <c r="M371" s="70">
        <f>IF(OR(F371="",N10="",N10&lt;=0),"",IF(LEN(F371)&lt;=N10,LEN(F371),IFERROR(FIND("♦",SUBSTITUTE(LEFT(F371,N10)," ","♦",LEN(LEFT(F371,N10))-LEN(SUBSTITUTE(LEFT(F371,N10)," ","")))),FIND(" ",F371&amp;" ",N10+1)-1)))</f>
        <v>1</v>
      </c>
      <c r="N371" s="119">
        <f t="shared" si="41"/>
        <v>354</v>
      </c>
      <c r="O371" s="99" t="str">
        <f t="shared" si="42"/>
        <v>0</v>
      </c>
      <c r="P371" s="119">
        <f t="shared" si="43"/>
        <v>1</v>
      </c>
      <c r="Q371" s="119">
        <f t="shared" si="44"/>
        <v>1</v>
      </c>
    </row>
    <row r="372" spans="2:17">
      <c r="B372" s="116"/>
      <c r="C372" s="116"/>
      <c r="D372" s="116"/>
      <c r="E372" s="116" cm="1">
        <f t="array" ref="E372">IF(H371&lt;&gt;"",E371,IF(E371="","",IFERROR(MATCH(TRUE(),INDEX(INDEX(K:K,E371+1):K203&lt;&gt;"",0),0)+E371,"")))</f>
        <v>514</v>
      </c>
      <c r="F372" s="117" cm="1">
        <f t="array" ref="F372">IF(E372="","",IF(H371&lt;&gt;"",H371,INDEX(D:D,E372)))</f>
        <v>0</v>
      </c>
      <c r="G372" s="117" t="str">
        <f t="shared" si="39"/>
        <v>0</v>
      </c>
      <c r="H372" s="118" t="str">
        <f t="shared" si="40"/>
        <v/>
      </c>
      <c r="I372" s="116" t="str">
        <f>IF(AND(F372&lt;&gt;"",N10&gt;0,M372&gt;N10),"Mot &gt; limite","")</f>
        <v/>
      </c>
      <c r="M372" s="70">
        <f>IF(OR(F372="",N10="",N10&lt;=0),"",IF(LEN(F372)&lt;=N10,LEN(F372),IFERROR(FIND("♦",SUBSTITUTE(LEFT(F372,N10)," ","♦",LEN(LEFT(F372,N10))-LEN(SUBSTITUTE(LEFT(F372,N10)," ","")))),FIND(" ",F372&amp;" ",N10+1)-1)))</f>
        <v>1</v>
      </c>
      <c r="N372" s="119">
        <f t="shared" si="41"/>
        <v>355</v>
      </c>
      <c r="O372" s="99" t="str">
        <f t="shared" si="42"/>
        <v>0</v>
      </c>
      <c r="P372" s="119">
        <f t="shared" si="43"/>
        <v>1</v>
      </c>
      <c r="Q372" s="119">
        <f t="shared" si="44"/>
        <v>1</v>
      </c>
    </row>
    <row r="373" spans="2:17">
      <c r="B373" s="116"/>
      <c r="C373" s="116"/>
      <c r="D373" s="116"/>
      <c r="E373" s="116" cm="1">
        <f t="array" ref="E373">IF(H372&lt;&gt;"",E372,IF(E372="","",IFERROR(MATCH(TRUE(),INDEX(INDEX(K:K,E372+1):K203&lt;&gt;"",0),0)+E372,"")))</f>
        <v>515</v>
      </c>
      <c r="F373" s="117" cm="1">
        <f t="array" ref="F373">IF(E373="","",IF(H372&lt;&gt;"",H372,INDEX(D:D,E373)))</f>
        <v>0</v>
      </c>
      <c r="G373" s="117" t="str">
        <f t="shared" si="39"/>
        <v>0</v>
      </c>
      <c r="H373" s="118" t="str">
        <f t="shared" si="40"/>
        <v/>
      </c>
      <c r="I373" s="116" t="str">
        <f>IF(AND(F373&lt;&gt;"",N10&gt;0,M373&gt;N10),"Mot &gt; limite","")</f>
        <v/>
      </c>
      <c r="M373" s="70">
        <f>IF(OR(F373="",N10="",N10&lt;=0),"",IF(LEN(F373)&lt;=N10,LEN(F373),IFERROR(FIND("♦",SUBSTITUTE(LEFT(F373,N10)," ","♦",LEN(LEFT(F373,N10))-LEN(SUBSTITUTE(LEFT(F373,N10)," ","")))),FIND(" ",F373&amp;" ",N10+1)-1)))</f>
        <v>1</v>
      </c>
      <c r="N373" s="119">
        <f t="shared" si="41"/>
        <v>356</v>
      </c>
      <c r="O373" s="99" t="str">
        <f t="shared" si="42"/>
        <v>0</v>
      </c>
      <c r="P373" s="119">
        <f t="shared" si="43"/>
        <v>1</v>
      </c>
      <c r="Q373" s="119">
        <f t="shared" si="44"/>
        <v>1</v>
      </c>
    </row>
    <row r="374" spans="2:17">
      <c r="B374" s="116"/>
      <c r="C374" s="116"/>
      <c r="D374" s="116"/>
      <c r="E374" s="116" cm="1">
        <f t="array" ref="E374">IF(H373&lt;&gt;"",E373,IF(E373="","",IFERROR(MATCH(TRUE(),INDEX(INDEX(K:K,E373+1):K203&lt;&gt;"",0),0)+E373,"")))</f>
        <v>516</v>
      </c>
      <c r="F374" s="117" cm="1">
        <f t="array" ref="F374">IF(E374="","",IF(H373&lt;&gt;"",H373,INDEX(D:D,E374)))</f>
        <v>0</v>
      </c>
      <c r="G374" s="117" t="str">
        <f t="shared" si="39"/>
        <v>0</v>
      </c>
      <c r="H374" s="118" t="str">
        <f t="shared" si="40"/>
        <v/>
      </c>
      <c r="I374" s="116" t="str">
        <f>IF(AND(F374&lt;&gt;"",N10&gt;0,M374&gt;N10),"Mot &gt; limite","")</f>
        <v/>
      </c>
      <c r="M374" s="70">
        <f>IF(OR(F374="",N10="",N10&lt;=0),"",IF(LEN(F374)&lt;=N10,LEN(F374),IFERROR(FIND("♦",SUBSTITUTE(LEFT(F374,N10)," ","♦",LEN(LEFT(F374,N10))-LEN(SUBSTITUTE(LEFT(F374,N10)," ","")))),FIND(" ",F374&amp;" ",N10+1)-1)))</f>
        <v>1</v>
      </c>
      <c r="N374" s="119">
        <f t="shared" si="41"/>
        <v>357</v>
      </c>
      <c r="O374" s="99" t="str">
        <f t="shared" si="42"/>
        <v>0</v>
      </c>
      <c r="P374" s="119">
        <f t="shared" si="43"/>
        <v>1</v>
      </c>
      <c r="Q374" s="119">
        <f t="shared" si="44"/>
        <v>1</v>
      </c>
    </row>
    <row r="375" spans="2:17">
      <c r="B375" s="116"/>
      <c r="C375" s="116"/>
      <c r="D375" s="116"/>
      <c r="E375" s="116" cm="1">
        <f t="array" ref="E375">IF(H374&lt;&gt;"",E374,IF(E374="","",IFERROR(MATCH(TRUE(),INDEX(INDEX(K:K,E374+1):K203&lt;&gt;"",0),0)+E374,"")))</f>
        <v>517</v>
      </c>
      <c r="F375" s="117" cm="1">
        <f t="array" ref="F375">IF(E375="","",IF(H374&lt;&gt;"",H374,INDEX(D:D,E375)))</f>
        <v>0</v>
      </c>
      <c r="G375" s="117" t="str">
        <f t="shared" si="39"/>
        <v>0</v>
      </c>
      <c r="H375" s="118" t="str">
        <f t="shared" si="40"/>
        <v/>
      </c>
      <c r="I375" s="116" t="str">
        <f>IF(AND(F375&lt;&gt;"",N10&gt;0,M375&gt;N10),"Mot &gt; limite","")</f>
        <v/>
      </c>
      <c r="M375" s="70">
        <f>IF(OR(F375="",N10="",N10&lt;=0),"",IF(LEN(F375)&lt;=N10,LEN(F375),IFERROR(FIND("♦",SUBSTITUTE(LEFT(F375,N10)," ","♦",LEN(LEFT(F375,N10))-LEN(SUBSTITUTE(LEFT(F375,N10)," ","")))),FIND(" ",F375&amp;" ",N10+1)-1)))</f>
        <v>1</v>
      </c>
      <c r="N375" s="119">
        <f t="shared" si="41"/>
        <v>358</v>
      </c>
      <c r="O375" s="99" t="str">
        <f t="shared" si="42"/>
        <v>0</v>
      </c>
      <c r="P375" s="119">
        <f t="shared" si="43"/>
        <v>1</v>
      </c>
      <c r="Q375" s="119">
        <f t="shared" si="44"/>
        <v>1</v>
      </c>
    </row>
    <row r="376" spans="2:17">
      <c r="B376" s="116"/>
      <c r="C376" s="116"/>
      <c r="D376" s="116"/>
      <c r="E376" s="116" cm="1">
        <f t="array" ref="E376">IF(H375&lt;&gt;"",E375,IF(E375="","",IFERROR(MATCH(TRUE(),INDEX(INDEX(K:K,E375+1):K203&lt;&gt;"",0),0)+E375,"")))</f>
        <v>518</v>
      </c>
      <c r="F376" s="117" cm="1">
        <f t="array" ref="F376">IF(E376="","",IF(H375&lt;&gt;"",H375,INDEX(D:D,E376)))</f>
        <v>0</v>
      </c>
      <c r="G376" s="117" t="str">
        <f t="shared" si="39"/>
        <v>0</v>
      </c>
      <c r="H376" s="118" t="str">
        <f t="shared" si="40"/>
        <v/>
      </c>
      <c r="I376" s="116" t="str">
        <f>IF(AND(F376&lt;&gt;"",N10&gt;0,M376&gt;N10),"Mot &gt; limite","")</f>
        <v/>
      </c>
      <c r="M376" s="70">
        <f>IF(OR(F376="",N10="",N10&lt;=0),"",IF(LEN(F376)&lt;=N10,LEN(F376),IFERROR(FIND("♦",SUBSTITUTE(LEFT(F376,N10)," ","♦",LEN(LEFT(F376,N10))-LEN(SUBSTITUTE(LEFT(F376,N10)," ","")))),FIND(" ",F376&amp;" ",N10+1)-1)))</f>
        <v>1</v>
      </c>
      <c r="N376" s="119">
        <f t="shared" si="41"/>
        <v>359</v>
      </c>
      <c r="O376" s="99" t="str">
        <f t="shared" si="42"/>
        <v>0</v>
      </c>
      <c r="P376" s="119">
        <f t="shared" si="43"/>
        <v>1</v>
      </c>
      <c r="Q376" s="119">
        <f t="shared" si="44"/>
        <v>1</v>
      </c>
    </row>
    <row r="377" spans="2:17">
      <c r="B377" s="116"/>
      <c r="C377" s="116"/>
      <c r="D377" s="116"/>
      <c r="E377" s="116" cm="1">
        <f t="array" ref="E377">IF(H376&lt;&gt;"",E376,IF(E376="","",IFERROR(MATCH(TRUE(),INDEX(INDEX(K:K,E376+1):K203&lt;&gt;"",0),0)+E376,"")))</f>
        <v>519</v>
      </c>
      <c r="F377" s="117" cm="1">
        <f t="array" ref="F377">IF(E377="","",IF(H376&lt;&gt;"",H376,INDEX(D:D,E377)))</f>
        <v>0</v>
      </c>
      <c r="G377" s="117" t="str">
        <f t="shared" si="39"/>
        <v>0</v>
      </c>
      <c r="H377" s="118" t="str">
        <f t="shared" si="40"/>
        <v/>
      </c>
      <c r="I377" s="116" t="str">
        <f>IF(AND(F377&lt;&gt;"",N10&gt;0,M377&gt;N10),"Mot &gt; limite","")</f>
        <v/>
      </c>
      <c r="M377" s="70">
        <f>IF(OR(F377="",N10="",N10&lt;=0),"",IF(LEN(F377)&lt;=N10,LEN(F377),IFERROR(FIND("♦",SUBSTITUTE(LEFT(F377,N10)," ","♦",LEN(LEFT(F377,N10))-LEN(SUBSTITUTE(LEFT(F377,N10)," ","")))),FIND(" ",F377&amp;" ",N10+1)-1)))</f>
        <v>1</v>
      </c>
      <c r="N377" s="119">
        <f t="shared" si="41"/>
        <v>360</v>
      </c>
      <c r="O377" s="99" t="str">
        <f t="shared" si="42"/>
        <v>0</v>
      </c>
      <c r="P377" s="119">
        <f t="shared" si="43"/>
        <v>1</v>
      </c>
      <c r="Q377" s="119">
        <f t="shared" si="44"/>
        <v>1</v>
      </c>
    </row>
    <row r="378" spans="2:17">
      <c r="B378" s="116"/>
      <c r="C378" s="116"/>
      <c r="D378" s="116"/>
      <c r="E378" s="116" cm="1">
        <f t="array" ref="E378">IF(H377&lt;&gt;"",E377,IF(E377="","",IFERROR(MATCH(TRUE(),INDEX(INDEX(K:K,E377+1):K203&lt;&gt;"",0),0)+E377,"")))</f>
        <v>520</v>
      </c>
      <c r="F378" s="117" cm="1">
        <f t="array" ref="F378">IF(E378="","",IF(H377&lt;&gt;"",H377,INDEX(D:D,E378)))</f>
        <v>0</v>
      </c>
      <c r="G378" s="117" t="str">
        <f t="shared" si="39"/>
        <v>0</v>
      </c>
      <c r="H378" s="118" t="str">
        <f t="shared" si="40"/>
        <v/>
      </c>
      <c r="I378" s="116" t="str">
        <f>IF(AND(F378&lt;&gt;"",N10&gt;0,M378&gt;N10),"Mot &gt; limite","")</f>
        <v/>
      </c>
      <c r="M378" s="70">
        <f>IF(OR(F378="",N10="",N10&lt;=0),"",IF(LEN(F378)&lt;=N10,LEN(F378),IFERROR(FIND("♦",SUBSTITUTE(LEFT(F378,N10)," ","♦",LEN(LEFT(F378,N10))-LEN(SUBSTITUTE(LEFT(F378,N10)," ","")))),FIND(" ",F378&amp;" ",N10+1)-1)))</f>
        <v>1</v>
      </c>
      <c r="N378" s="119">
        <f t="shared" si="41"/>
        <v>361</v>
      </c>
      <c r="O378" s="99" t="str">
        <f t="shared" si="42"/>
        <v>0</v>
      </c>
      <c r="P378" s="119">
        <f t="shared" si="43"/>
        <v>1</v>
      </c>
      <c r="Q378" s="119">
        <f t="shared" si="44"/>
        <v>1</v>
      </c>
    </row>
    <row r="379" spans="2:17">
      <c r="B379" s="116"/>
      <c r="C379" s="116"/>
      <c r="D379" s="116"/>
      <c r="E379" s="116" cm="1">
        <f t="array" ref="E379">IF(H378&lt;&gt;"",E378,IF(E378="","",IFERROR(MATCH(TRUE(),INDEX(INDEX(K:K,E378+1):K203&lt;&gt;"",0),0)+E378,"")))</f>
        <v>521</v>
      </c>
      <c r="F379" s="117" cm="1">
        <f t="array" ref="F379">IF(E379="","",IF(H378&lt;&gt;"",H378,INDEX(D:D,E379)))</f>
        <v>0</v>
      </c>
      <c r="G379" s="117" t="str">
        <f t="shared" si="39"/>
        <v>0</v>
      </c>
      <c r="H379" s="118" t="str">
        <f t="shared" si="40"/>
        <v/>
      </c>
      <c r="I379" s="116" t="str">
        <f>IF(AND(F379&lt;&gt;"",N10&gt;0,M379&gt;N10),"Mot &gt; limite","")</f>
        <v/>
      </c>
      <c r="M379" s="70">
        <f>IF(OR(F379="",N10="",N10&lt;=0),"",IF(LEN(F379)&lt;=N10,LEN(F379),IFERROR(FIND("♦",SUBSTITUTE(LEFT(F379,N10)," ","♦",LEN(LEFT(F379,N10))-LEN(SUBSTITUTE(LEFT(F379,N10)," ","")))),FIND(" ",F379&amp;" ",N10+1)-1)))</f>
        <v>1</v>
      </c>
      <c r="N379" s="119">
        <f t="shared" si="41"/>
        <v>362</v>
      </c>
      <c r="O379" s="99" t="str">
        <f t="shared" si="42"/>
        <v>0</v>
      </c>
      <c r="P379" s="119">
        <f t="shared" si="43"/>
        <v>1</v>
      </c>
      <c r="Q379" s="119">
        <f t="shared" si="44"/>
        <v>1</v>
      </c>
    </row>
    <row r="380" spans="2:17">
      <c r="B380" s="116"/>
      <c r="C380" s="116"/>
      <c r="D380" s="116"/>
      <c r="E380" s="116" cm="1">
        <f t="array" ref="E380">IF(H379&lt;&gt;"",E379,IF(E379="","",IFERROR(MATCH(TRUE(),INDEX(INDEX(K:K,E379+1):K203&lt;&gt;"",0),0)+E379,"")))</f>
        <v>522</v>
      </c>
      <c r="F380" s="117" cm="1">
        <f t="array" ref="F380">IF(E380="","",IF(H379&lt;&gt;"",H379,INDEX(D:D,E380)))</f>
        <v>0</v>
      </c>
      <c r="G380" s="117" t="str">
        <f t="shared" si="39"/>
        <v>0</v>
      </c>
      <c r="H380" s="118" t="str">
        <f t="shared" si="40"/>
        <v/>
      </c>
      <c r="I380" s="116" t="str">
        <f>IF(AND(F380&lt;&gt;"",N10&gt;0,M380&gt;N10),"Mot &gt; limite","")</f>
        <v/>
      </c>
      <c r="M380" s="70">
        <f>IF(OR(F380="",N10="",N10&lt;=0),"",IF(LEN(F380)&lt;=N10,LEN(F380),IFERROR(FIND("♦",SUBSTITUTE(LEFT(F380,N10)," ","♦",LEN(LEFT(F380,N10))-LEN(SUBSTITUTE(LEFT(F380,N10)," ","")))),FIND(" ",F380&amp;" ",N10+1)-1)))</f>
        <v>1</v>
      </c>
      <c r="N380" s="119">
        <f t="shared" si="41"/>
        <v>363</v>
      </c>
      <c r="O380" s="99" t="str">
        <f t="shared" si="42"/>
        <v>0</v>
      </c>
      <c r="P380" s="119">
        <f t="shared" si="43"/>
        <v>1</v>
      </c>
      <c r="Q380" s="119">
        <f t="shared" si="44"/>
        <v>1</v>
      </c>
    </row>
    <row r="381" spans="2:17">
      <c r="B381" s="116"/>
      <c r="C381" s="116"/>
      <c r="D381" s="116"/>
      <c r="E381" s="116" cm="1">
        <f t="array" ref="E381">IF(H380&lt;&gt;"",E380,IF(E380="","",IFERROR(MATCH(TRUE(),INDEX(INDEX(K:K,E380+1):K203&lt;&gt;"",0),0)+E380,"")))</f>
        <v>523</v>
      </c>
      <c r="F381" s="117" cm="1">
        <f t="array" ref="F381">IF(E381="","",IF(H380&lt;&gt;"",H380,INDEX(D:D,E381)))</f>
        <v>0</v>
      </c>
      <c r="G381" s="117" t="str">
        <f t="shared" si="39"/>
        <v>0</v>
      </c>
      <c r="H381" s="118" t="str">
        <f t="shared" si="40"/>
        <v/>
      </c>
      <c r="I381" s="116" t="str">
        <f>IF(AND(F381&lt;&gt;"",N10&gt;0,M381&gt;N10),"Mot &gt; limite","")</f>
        <v/>
      </c>
      <c r="M381" s="70">
        <f>IF(OR(F381="",N10="",N10&lt;=0),"",IF(LEN(F381)&lt;=N10,LEN(F381),IFERROR(FIND("♦",SUBSTITUTE(LEFT(F381,N10)," ","♦",LEN(LEFT(F381,N10))-LEN(SUBSTITUTE(LEFT(F381,N10)," ","")))),FIND(" ",F381&amp;" ",N10+1)-1)))</f>
        <v>1</v>
      </c>
      <c r="N381" s="119">
        <f t="shared" si="41"/>
        <v>364</v>
      </c>
      <c r="O381" s="99" t="str">
        <f t="shared" si="42"/>
        <v>0</v>
      </c>
      <c r="P381" s="119">
        <f t="shared" si="43"/>
        <v>1</v>
      </c>
      <c r="Q381" s="119">
        <f t="shared" si="44"/>
        <v>1</v>
      </c>
    </row>
    <row r="382" spans="2:17">
      <c r="B382" s="116"/>
      <c r="C382" s="116"/>
      <c r="D382" s="116"/>
      <c r="E382" s="116" cm="1">
        <f t="array" ref="E382">IF(H381&lt;&gt;"",E381,IF(E381="","",IFERROR(MATCH(TRUE(),INDEX(INDEX(K:K,E381+1):K203&lt;&gt;"",0),0)+E381,"")))</f>
        <v>524</v>
      </c>
      <c r="F382" s="117" cm="1">
        <f t="array" ref="F382">IF(E382="","",IF(H381&lt;&gt;"",H381,INDEX(D:D,E382)))</f>
        <v>0</v>
      </c>
      <c r="G382" s="117" t="str">
        <f t="shared" si="39"/>
        <v>0</v>
      </c>
      <c r="H382" s="118" t="str">
        <f t="shared" si="40"/>
        <v/>
      </c>
      <c r="I382" s="116" t="str">
        <f>IF(AND(F382&lt;&gt;"",N10&gt;0,M382&gt;N10),"Mot &gt; limite","")</f>
        <v/>
      </c>
      <c r="M382" s="70">
        <f>IF(OR(F382="",N10="",N10&lt;=0),"",IF(LEN(F382)&lt;=N10,LEN(F382),IFERROR(FIND("♦",SUBSTITUTE(LEFT(F382,N10)," ","♦",LEN(LEFT(F382,N10))-LEN(SUBSTITUTE(LEFT(F382,N10)," ","")))),FIND(" ",F382&amp;" ",N10+1)-1)))</f>
        <v>1</v>
      </c>
      <c r="N382" s="119">
        <f t="shared" si="41"/>
        <v>365</v>
      </c>
      <c r="O382" s="99" t="str">
        <f t="shared" si="42"/>
        <v>0</v>
      </c>
      <c r="P382" s="119">
        <f t="shared" si="43"/>
        <v>1</v>
      </c>
      <c r="Q382" s="119">
        <f t="shared" si="44"/>
        <v>1</v>
      </c>
    </row>
    <row r="383" spans="2:17">
      <c r="B383" s="116"/>
      <c r="C383" s="116"/>
      <c r="D383" s="116"/>
      <c r="E383" s="116" cm="1">
        <f t="array" ref="E383">IF(H382&lt;&gt;"",E382,IF(E382="","",IFERROR(MATCH(TRUE(),INDEX(INDEX(K:K,E382+1):K203&lt;&gt;"",0),0)+E382,"")))</f>
        <v>525</v>
      </c>
      <c r="F383" s="117" cm="1">
        <f t="array" ref="F383">IF(E383="","",IF(H382&lt;&gt;"",H382,INDEX(D:D,E383)))</f>
        <v>0</v>
      </c>
      <c r="G383" s="117" t="str">
        <f t="shared" si="39"/>
        <v>0</v>
      </c>
      <c r="H383" s="118" t="str">
        <f t="shared" si="40"/>
        <v/>
      </c>
      <c r="I383" s="116" t="str">
        <f>IF(AND(F383&lt;&gt;"",N10&gt;0,M383&gt;N10),"Mot &gt; limite","")</f>
        <v/>
      </c>
      <c r="M383" s="70">
        <f>IF(OR(F383="",N10="",N10&lt;=0),"",IF(LEN(F383)&lt;=N10,LEN(F383),IFERROR(FIND("♦",SUBSTITUTE(LEFT(F383,N10)," ","♦",LEN(LEFT(F383,N10))-LEN(SUBSTITUTE(LEFT(F383,N10)," ","")))),FIND(" ",F383&amp;" ",N10+1)-1)))</f>
        <v>1</v>
      </c>
      <c r="N383" s="119">
        <f t="shared" si="41"/>
        <v>366</v>
      </c>
      <c r="O383" s="99" t="str">
        <f t="shared" si="42"/>
        <v>0</v>
      </c>
      <c r="P383" s="119">
        <f t="shared" si="43"/>
        <v>1</v>
      </c>
      <c r="Q383" s="119">
        <f t="shared" si="44"/>
        <v>1</v>
      </c>
    </row>
    <row r="384" spans="2:17">
      <c r="B384" s="116"/>
      <c r="C384" s="116"/>
      <c r="D384" s="116"/>
      <c r="E384" s="116" cm="1">
        <f t="array" ref="E384">IF(H383&lt;&gt;"",E383,IF(E383="","",IFERROR(MATCH(TRUE(),INDEX(INDEX(K:K,E383+1):K203&lt;&gt;"",0),0)+E383,"")))</f>
        <v>526</v>
      </c>
      <c r="F384" s="117" cm="1">
        <f t="array" ref="F384">IF(E384="","",IF(H383&lt;&gt;"",H383,INDEX(D:D,E384)))</f>
        <v>0</v>
      </c>
      <c r="G384" s="117" t="str">
        <f t="shared" si="39"/>
        <v>0</v>
      </c>
      <c r="H384" s="118" t="str">
        <f t="shared" si="40"/>
        <v/>
      </c>
      <c r="I384" s="116" t="str">
        <f>IF(AND(F384&lt;&gt;"",N10&gt;0,M384&gt;N10),"Mot &gt; limite","")</f>
        <v/>
      </c>
      <c r="M384" s="70">
        <f>IF(OR(F384="",N10="",N10&lt;=0),"",IF(LEN(F384)&lt;=N10,LEN(F384),IFERROR(FIND("♦",SUBSTITUTE(LEFT(F384,N10)," ","♦",LEN(LEFT(F384,N10))-LEN(SUBSTITUTE(LEFT(F384,N10)," ","")))),FIND(" ",F384&amp;" ",N10+1)-1)))</f>
        <v>1</v>
      </c>
      <c r="N384" s="119">
        <f t="shared" si="41"/>
        <v>367</v>
      </c>
      <c r="O384" s="99" t="str">
        <f t="shared" si="42"/>
        <v>0</v>
      </c>
      <c r="P384" s="119">
        <f t="shared" si="43"/>
        <v>1</v>
      </c>
      <c r="Q384" s="119">
        <f t="shared" si="44"/>
        <v>1</v>
      </c>
    </row>
    <row r="385" spans="2:17">
      <c r="B385" s="116"/>
      <c r="C385" s="116"/>
      <c r="D385" s="116"/>
      <c r="E385" s="116" cm="1">
        <f t="array" ref="E385">IF(H384&lt;&gt;"",E384,IF(E384="","",IFERROR(MATCH(TRUE(),INDEX(INDEX(K:K,E384+1):K203&lt;&gt;"",0),0)+E384,"")))</f>
        <v>527</v>
      </c>
      <c r="F385" s="117" cm="1">
        <f t="array" ref="F385">IF(E385="","",IF(H384&lt;&gt;"",H384,INDEX(D:D,E385)))</f>
        <v>0</v>
      </c>
      <c r="G385" s="117" t="str">
        <f t="shared" si="39"/>
        <v>0</v>
      </c>
      <c r="H385" s="118" t="str">
        <f t="shared" si="40"/>
        <v/>
      </c>
      <c r="I385" s="116" t="str">
        <f>IF(AND(F385&lt;&gt;"",N10&gt;0,M385&gt;N10),"Mot &gt; limite","")</f>
        <v/>
      </c>
      <c r="M385" s="70">
        <f>IF(OR(F385="",N10="",N10&lt;=0),"",IF(LEN(F385)&lt;=N10,LEN(F385),IFERROR(FIND("♦",SUBSTITUTE(LEFT(F385,N10)," ","♦",LEN(LEFT(F385,N10))-LEN(SUBSTITUTE(LEFT(F385,N10)," ","")))),FIND(" ",F385&amp;" ",N10+1)-1)))</f>
        <v>1</v>
      </c>
      <c r="N385" s="119">
        <f t="shared" si="41"/>
        <v>368</v>
      </c>
      <c r="O385" s="99" t="str">
        <f t="shared" si="42"/>
        <v>0</v>
      </c>
      <c r="P385" s="119">
        <f t="shared" si="43"/>
        <v>1</v>
      </c>
      <c r="Q385" s="119">
        <f t="shared" si="44"/>
        <v>1</v>
      </c>
    </row>
    <row r="386" spans="2:17">
      <c r="B386" s="116"/>
      <c r="C386" s="116"/>
      <c r="D386" s="116"/>
      <c r="E386" s="116" cm="1">
        <f t="array" ref="E386">IF(H385&lt;&gt;"",E385,IF(E385="","",IFERROR(MATCH(TRUE(),INDEX(INDEX(K:K,E385+1):K203&lt;&gt;"",0),0)+E385,"")))</f>
        <v>528</v>
      </c>
      <c r="F386" s="117" cm="1">
        <f t="array" ref="F386">IF(E386="","",IF(H385&lt;&gt;"",H385,INDEX(D:D,E386)))</f>
        <v>0</v>
      </c>
      <c r="G386" s="117" t="str">
        <f t="shared" si="39"/>
        <v>0</v>
      </c>
      <c r="H386" s="118" t="str">
        <f t="shared" si="40"/>
        <v/>
      </c>
      <c r="I386" s="116" t="str">
        <f>IF(AND(F386&lt;&gt;"",N10&gt;0,M386&gt;N10),"Mot &gt; limite","")</f>
        <v/>
      </c>
      <c r="M386" s="70">
        <f>IF(OR(F386="",N10="",N10&lt;=0),"",IF(LEN(F386)&lt;=N10,LEN(F386),IFERROR(FIND("♦",SUBSTITUTE(LEFT(F386,N10)," ","♦",LEN(LEFT(F386,N10))-LEN(SUBSTITUTE(LEFT(F386,N10)," ","")))),FIND(" ",F386&amp;" ",N10+1)-1)))</f>
        <v>1</v>
      </c>
      <c r="N386" s="119">
        <f t="shared" si="41"/>
        <v>369</v>
      </c>
      <c r="O386" s="99" t="str">
        <f t="shared" si="42"/>
        <v>0</v>
      </c>
      <c r="P386" s="119">
        <f t="shared" si="43"/>
        <v>1</v>
      </c>
      <c r="Q386" s="119">
        <f t="shared" si="44"/>
        <v>1</v>
      </c>
    </row>
    <row r="387" spans="2:17">
      <c r="B387" s="116"/>
      <c r="C387" s="116"/>
      <c r="D387" s="116"/>
      <c r="E387" s="116" cm="1">
        <f t="array" ref="E387">IF(H386&lt;&gt;"",E386,IF(E386="","",IFERROR(MATCH(TRUE(),INDEX(INDEX(K:K,E386+1):K203&lt;&gt;"",0),0)+E386,"")))</f>
        <v>529</v>
      </c>
      <c r="F387" s="117" cm="1">
        <f t="array" ref="F387">IF(E387="","",IF(H386&lt;&gt;"",H386,INDEX(D:D,E387)))</f>
        <v>0</v>
      </c>
      <c r="G387" s="117" t="str">
        <f t="shared" si="39"/>
        <v>0</v>
      </c>
      <c r="H387" s="118" t="str">
        <f t="shared" si="40"/>
        <v/>
      </c>
      <c r="I387" s="116" t="str">
        <f>IF(AND(F387&lt;&gt;"",N10&gt;0,M387&gt;N10),"Mot &gt; limite","")</f>
        <v/>
      </c>
      <c r="M387" s="70">
        <f>IF(OR(F387="",N10="",N10&lt;=0),"",IF(LEN(F387)&lt;=N10,LEN(F387),IFERROR(FIND("♦",SUBSTITUTE(LEFT(F387,N10)," ","♦",LEN(LEFT(F387,N10))-LEN(SUBSTITUTE(LEFT(F387,N10)," ","")))),FIND(" ",F387&amp;" ",N10+1)-1)))</f>
        <v>1</v>
      </c>
      <c r="N387" s="119">
        <f t="shared" si="41"/>
        <v>370</v>
      </c>
      <c r="O387" s="99" t="str">
        <f t="shared" si="42"/>
        <v>0</v>
      </c>
      <c r="P387" s="119">
        <f t="shared" si="43"/>
        <v>1</v>
      </c>
      <c r="Q387" s="119">
        <f t="shared" si="44"/>
        <v>1</v>
      </c>
    </row>
    <row r="388" spans="2:17">
      <c r="B388" s="116"/>
      <c r="C388" s="116"/>
      <c r="D388" s="116"/>
      <c r="E388" s="116" cm="1">
        <f t="array" ref="E388">IF(H387&lt;&gt;"",E387,IF(E387="","",IFERROR(MATCH(TRUE(),INDEX(INDEX(K:K,E387+1):K203&lt;&gt;"",0),0)+E387,"")))</f>
        <v>530</v>
      </c>
      <c r="F388" s="117" cm="1">
        <f t="array" ref="F388">IF(E388="","",IF(H387&lt;&gt;"",H387,INDEX(D:D,E388)))</f>
        <v>0</v>
      </c>
      <c r="G388" s="117" t="str">
        <f t="shared" si="39"/>
        <v>0</v>
      </c>
      <c r="H388" s="118" t="str">
        <f t="shared" si="40"/>
        <v/>
      </c>
      <c r="I388" s="116" t="str">
        <f>IF(AND(F388&lt;&gt;"",N10&gt;0,M388&gt;N10),"Mot &gt; limite","")</f>
        <v/>
      </c>
      <c r="M388" s="70">
        <f>IF(OR(F388="",N10="",N10&lt;=0),"",IF(LEN(F388)&lt;=N10,LEN(F388),IFERROR(FIND("♦",SUBSTITUTE(LEFT(F388,N10)," ","♦",LEN(LEFT(F388,N10))-LEN(SUBSTITUTE(LEFT(F388,N10)," ","")))),FIND(" ",F388&amp;" ",N10+1)-1)))</f>
        <v>1</v>
      </c>
      <c r="N388" s="119">
        <f t="shared" si="41"/>
        <v>371</v>
      </c>
      <c r="O388" s="99" t="str">
        <f t="shared" si="42"/>
        <v>0</v>
      </c>
      <c r="P388" s="119">
        <f t="shared" si="43"/>
        <v>1</v>
      </c>
      <c r="Q388" s="119">
        <f t="shared" si="44"/>
        <v>1</v>
      </c>
    </row>
    <row r="389" spans="2:17">
      <c r="B389" s="116"/>
      <c r="C389" s="116"/>
      <c r="D389" s="116"/>
      <c r="E389" s="116" cm="1">
        <f t="array" ref="E389">IF(H388&lt;&gt;"",E388,IF(E388="","",IFERROR(MATCH(TRUE(),INDEX(INDEX(K:K,E388+1):K203&lt;&gt;"",0),0)+E388,"")))</f>
        <v>531</v>
      </c>
      <c r="F389" s="117" cm="1">
        <f t="array" ref="F389">IF(E389="","",IF(H388&lt;&gt;"",H388,INDEX(D:D,E389)))</f>
        <v>0</v>
      </c>
      <c r="G389" s="117" t="str">
        <f t="shared" si="39"/>
        <v>0</v>
      </c>
      <c r="H389" s="118" t="str">
        <f t="shared" si="40"/>
        <v/>
      </c>
      <c r="I389" s="116" t="str">
        <f>IF(AND(F389&lt;&gt;"",N10&gt;0,M389&gt;N10),"Mot &gt; limite","")</f>
        <v/>
      </c>
      <c r="M389" s="70">
        <f>IF(OR(F389="",N10="",N10&lt;=0),"",IF(LEN(F389)&lt;=N10,LEN(F389),IFERROR(FIND("♦",SUBSTITUTE(LEFT(F389,N10)," ","♦",LEN(LEFT(F389,N10))-LEN(SUBSTITUTE(LEFT(F389,N10)," ","")))),FIND(" ",F389&amp;" ",N10+1)-1)))</f>
        <v>1</v>
      </c>
      <c r="N389" s="119">
        <f t="shared" si="41"/>
        <v>372</v>
      </c>
      <c r="O389" s="99" t="str">
        <f t="shared" si="42"/>
        <v>0</v>
      </c>
      <c r="P389" s="119">
        <f t="shared" si="43"/>
        <v>1</v>
      </c>
      <c r="Q389" s="119">
        <f t="shared" si="44"/>
        <v>1</v>
      </c>
    </row>
    <row r="390" spans="2:17">
      <c r="B390" s="116"/>
      <c r="C390" s="116"/>
      <c r="D390" s="116"/>
      <c r="E390" s="116" cm="1">
        <f t="array" ref="E390">IF(H389&lt;&gt;"",E389,IF(E389="","",IFERROR(MATCH(TRUE(),INDEX(INDEX(K:K,E389+1):K203&lt;&gt;"",0),0)+E389,"")))</f>
        <v>532</v>
      </c>
      <c r="F390" s="117" cm="1">
        <f t="array" ref="F390">IF(E390="","",IF(H389&lt;&gt;"",H389,INDEX(D:D,E390)))</f>
        <v>0</v>
      </c>
      <c r="G390" s="117" t="str">
        <f t="shared" si="39"/>
        <v>0</v>
      </c>
      <c r="H390" s="118" t="str">
        <f t="shared" si="40"/>
        <v/>
      </c>
      <c r="I390" s="116" t="str">
        <f>IF(AND(F390&lt;&gt;"",N10&gt;0,M390&gt;N10),"Mot &gt; limite","")</f>
        <v/>
      </c>
      <c r="M390" s="70">
        <f>IF(OR(F390="",N10="",N10&lt;=0),"",IF(LEN(F390)&lt;=N10,LEN(F390),IFERROR(FIND("♦",SUBSTITUTE(LEFT(F390,N10)," ","♦",LEN(LEFT(F390,N10))-LEN(SUBSTITUTE(LEFT(F390,N10)," ","")))),FIND(" ",F390&amp;" ",N10+1)-1)))</f>
        <v>1</v>
      </c>
      <c r="N390" s="119">
        <f t="shared" si="41"/>
        <v>373</v>
      </c>
      <c r="O390" s="99" t="str">
        <f t="shared" si="42"/>
        <v>0</v>
      </c>
      <c r="P390" s="119">
        <f t="shared" si="43"/>
        <v>1</v>
      </c>
      <c r="Q390" s="119">
        <f t="shared" si="44"/>
        <v>1</v>
      </c>
    </row>
    <row r="391" spans="2:17">
      <c r="B391" s="116"/>
      <c r="C391" s="116"/>
      <c r="D391" s="116"/>
      <c r="E391" s="116" cm="1">
        <f t="array" ref="E391">IF(H390&lt;&gt;"",E390,IF(E390="","",IFERROR(MATCH(TRUE(),INDEX(INDEX(K:K,E390+1):K203&lt;&gt;"",0),0)+E390,"")))</f>
        <v>533</v>
      </c>
      <c r="F391" s="117" cm="1">
        <f t="array" ref="F391">IF(E391="","",IF(H390&lt;&gt;"",H390,INDEX(D:D,E391)))</f>
        <v>0</v>
      </c>
      <c r="G391" s="117" t="str">
        <f t="shared" si="39"/>
        <v>0</v>
      </c>
      <c r="H391" s="118" t="str">
        <f t="shared" si="40"/>
        <v/>
      </c>
      <c r="I391" s="116" t="str">
        <f>IF(AND(F391&lt;&gt;"",N10&gt;0,M391&gt;N10),"Mot &gt; limite","")</f>
        <v/>
      </c>
      <c r="M391" s="70">
        <f>IF(OR(F391="",N10="",N10&lt;=0),"",IF(LEN(F391)&lt;=N10,LEN(F391),IFERROR(FIND("♦",SUBSTITUTE(LEFT(F391,N10)," ","♦",LEN(LEFT(F391,N10))-LEN(SUBSTITUTE(LEFT(F391,N10)," ","")))),FIND(" ",F391&amp;" ",N10+1)-1)))</f>
        <v>1</v>
      </c>
      <c r="N391" s="119">
        <f t="shared" si="41"/>
        <v>374</v>
      </c>
      <c r="O391" s="99" t="str">
        <f t="shared" si="42"/>
        <v>0</v>
      </c>
      <c r="P391" s="119">
        <f t="shared" si="43"/>
        <v>1</v>
      </c>
      <c r="Q391" s="119">
        <f t="shared" si="44"/>
        <v>1</v>
      </c>
    </row>
    <row r="392" spans="2:17">
      <c r="B392" s="116"/>
      <c r="C392" s="116"/>
      <c r="D392" s="116"/>
      <c r="E392" s="116" cm="1">
        <f t="array" ref="E392">IF(H391&lt;&gt;"",E391,IF(E391="","",IFERROR(MATCH(TRUE(),INDEX(INDEX(K:K,E391+1):K203&lt;&gt;"",0),0)+E391,"")))</f>
        <v>534</v>
      </c>
      <c r="F392" s="117" cm="1">
        <f t="array" ref="F392">IF(E392="","",IF(H391&lt;&gt;"",H391,INDEX(D:D,E392)))</f>
        <v>0</v>
      </c>
      <c r="G392" s="117" t="str">
        <f t="shared" si="39"/>
        <v>0</v>
      </c>
      <c r="H392" s="118" t="str">
        <f t="shared" si="40"/>
        <v/>
      </c>
      <c r="I392" s="116" t="str">
        <f>IF(AND(F392&lt;&gt;"",N10&gt;0,M392&gt;N10),"Mot &gt; limite","")</f>
        <v/>
      </c>
      <c r="M392" s="70">
        <f>IF(OR(F392="",N10="",N10&lt;=0),"",IF(LEN(F392)&lt;=N10,LEN(F392),IFERROR(FIND("♦",SUBSTITUTE(LEFT(F392,N10)," ","♦",LEN(LEFT(F392,N10))-LEN(SUBSTITUTE(LEFT(F392,N10)," ","")))),FIND(" ",F392&amp;" ",N10+1)-1)))</f>
        <v>1</v>
      </c>
      <c r="N392" s="119">
        <f t="shared" si="41"/>
        <v>375</v>
      </c>
      <c r="O392" s="99" t="str">
        <f t="shared" si="42"/>
        <v>0</v>
      </c>
      <c r="P392" s="119">
        <f t="shared" si="43"/>
        <v>1</v>
      </c>
      <c r="Q392" s="119">
        <f t="shared" si="44"/>
        <v>1</v>
      </c>
    </row>
    <row r="393" spans="2:17">
      <c r="B393" s="116"/>
      <c r="C393" s="116"/>
      <c r="D393" s="116"/>
      <c r="E393" s="116" cm="1">
        <f t="array" ref="E393">IF(H392&lt;&gt;"",E392,IF(E392="","",IFERROR(MATCH(TRUE(),INDEX(INDEX(K:K,E392+1):K203&lt;&gt;"",0),0)+E392,"")))</f>
        <v>535</v>
      </c>
      <c r="F393" s="117" cm="1">
        <f t="array" ref="F393">IF(E393="","",IF(H392&lt;&gt;"",H392,INDEX(D:D,E393)))</f>
        <v>0</v>
      </c>
      <c r="G393" s="117" t="str">
        <f t="shared" si="39"/>
        <v>0</v>
      </c>
      <c r="H393" s="118" t="str">
        <f t="shared" si="40"/>
        <v/>
      </c>
      <c r="I393" s="116" t="str">
        <f>IF(AND(F393&lt;&gt;"",N10&gt;0,M393&gt;N10),"Mot &gt; limite","")</f>
        <v/>
      </c>
      <c r="M393" s="70">
        <f>IF(OR(F393="",N10="",N10&lt;=0),"",IF(LEN(F393)&lt;=N10,LEN(F393),IFERROR(FIND("♦",SUBSTITUTE(LEFT(F393,N10)," ","♦",LEN(LEFT(F393,N10))-LEN(SUBSTITUTE(LEFT(F393,N10)," ","")))),FIND(" ",F393&amp;" ",N10+1)-1)))</f>
        <v>1</v>
      </c>
      <c r="N393" s="119">
        <f t="shared" si="41"/>
        <v>376</v>
      </c>
      <c r="O393" s="99" t="str">
        <f t="shared" si="42"/>
        <v>0</v>
      </c>
      <c r="P393" s="119">
        <f t="shared" si="43"/>
        <v>1</v>
      </c>
      <c r="Q393" s="119">
        <f t="shared" si="44"/>
        <v>1</v>
      </c>
    </row>
    <row r="394" spans="2:17">
      <c r="B394" s="116"/>
      <c r="C394" s="116"/>
      <c r="D394" s="116"/>
      <c r="E394" s="116" cm="1">
        <f t="array" ref="E394">IF(H393&lt;&gt;"",E393,IF(E393="","",IFERROR(MATCH(TRUE(),INDEX(INDEX(K:K,E393+1):K203&lt;&gt;"",0),0)+E393,"")))</f>
        <v>536</v>
      </c>
      <c r="F394" s="117" cm="1">
        <f t="array" ref="F394">IF(E394="","",IF(H393&lt;&gt;"",H393,INDEX(D:D,E394)))</f>
        <v>0</v>
      </c>
      <c r="G394" s="117" t="str">
        <f t="shared" si="39"/>
        <v>0</v>
      </c>
      <c r="H394" s="118" t="str">
        <f t="shared" si="40"/>
        <v/>
      </c>
      <c r="I394" s="116" t="str">
        <f>IF(AND(F394&lt;&gt;"",N10&gt;0,M394&gt;N10),"Mot &gt; limite","")</f>
        <v/>
      </c>
      <c r="M394" s="70">
        <f>IF(OR(F394="",N10="",N10&lt;=0),"",IF(LEN(F394)&lt;=N10,LEN(F394),IFERROR(FIND("♦",SUBSTITUTE(LEFT(F394,N10)," ","♦",LEN(LEFT(F394,N10))-LEN(SUBSTITUTE(LEFT(F394,N10)," ","")))),FIND(" ",F394&amp;" ",N10+1)-1)))</f>
        <v>1</v>
      </c>
      <c r="N394" s="119">
        <f t="shared" si="41"/>
        <v>377</v>
      </c>
      <c r="O394" s="99" t="str">
        <f t="shared" si="42"/>
        <v>0</v>
      </c>
      <c r="P394" s="119">
        <f t="shared" si="43"/>
        <v>1</v>
      </c>
      <c r="Q394" s="119">
        <f t="shared" si="44"/>
        <v>1</v>
      </c>
    </row>
    <row r="395" spans="2:17">
      <c r="B395" s="116"/>
      <c r="C395" s="116"/>
      <c r="D395" s="116"/>
      <c r="E395" s="116" cm="1">
        <f t="array" ref="E395">IF(H394&lt;&gt;"",E394,IF(E394="","",IFERROR(MATCH(TRUE(),INDEX(INDEX(K:K,E394+1):K203&lt;&gt;"",0),0)+E394,"")))</f>
        <v>537</v>
      </c>
      <c r="F395" s="117" cm="1">
        <f t="array" ref="F395">IF(E395="","",IF(H394&lt;&gt;"",H394,INDEX(D:D,E395)))</f>
        <v>0</v>
      </c>
      <c r="G395" s="117" t="str">
        <f t="shared" si="39"/>
        <v>0</v>
      </c>
      <c r="H395" s="118" t="str">
        <f t="shared" si="40"/>
        <v/>
      </c>
      <c r="I395" s="116" t="str">
        <f>IF(AND(F395&lt;&gt;"",N10&gt;0,M395&gt;N10),"Mot &gt; limite","")</f>
        <v/>
      </c>
      <c r="M395" s="70">
        <f>IF(OR(F395="",N10="",N10&lt;=0),"",IF(LEN(F395)&lt;=N10,LEN(F395),IFERROR(FIND("♦",SUBSTITUTE(LEFT(F395,N10)," ","♦",LEN(LEFT(F395,N10))-LEN(SUBSTITUTE(LEFT(F395,N10)," ","")))),FIND(" ",F395&amp;" ",N10+1)-1)))</f>
        <v>1</v>
      </c>
      <c r="N395" s="119">
        <f t="shared" si="41"/>
        <v>378</v>
      </c>
      <c r="O395" s="99" t="str">
        <f t="shared" si="42"/>
        <v>0</v>
      </c>
      <c r="P395" s="119">
        <f t="shared" si="43"/>
        <v>1</v>
      </c>
      <c r="Q395" s="119">
        <f t="shared" si="44"/>
        <v>1</v>
      </c>
    </row>
    <row r="396" spans="2:17">
      <c r="B396" s="116"/>
      <c r="C396" s="116"/>
      <c r="D396" s="116"/>
      <c r="E396" s="116" cm="1">
        <f t="array" ref="E396">IF(H395&lt;&gt;"",E395,IF(E395="","",IFERROR(MATCH(TRUE(),INDEX(INDEX(K:K,E395+1):K203&lt;&gt;"",0),0)+E395,"")))</f>
        <v>538</v>
      </c>
      <c r="F396" s="117" cm="1">
        <f t="array" ref="F396">IF(E396="","",IF(H395&lt;&gt;"",H395,INDEX(D:D,E396)))</f>
        <v>0</v>
      </c>
      <c r="G396" s="117" t="str">
        <f t="shared" si="39"/>
        <v>0</v>
      </c>
      <c r="H396" s="118" t="str">
        <f t="shared" si="40"/>
        <v/>
      </c>
      <c r="I396" s="116" t="str">
        <f>IF(AND(F396&lt;&gt;"",N10&gt;0,M396&gt;N10),"Mot &gt; limite","")</f>
        <v/>
      </c>
      <c r="M396" s="70">
        <f>IF(OR(F396="",N10="",N10&lt;=0),"",IF(LEN(F396)&lt;=N10,LEN(F396),IFERROR(FIND("♦",SUBSTITUTE(LEFT(F396,N10)," ","♦",LEN(LEFT(F396,N10))-LEN(SUBSTITUTE(LEFT(F396,N10)," ","")))),FIND(" ",F396&amp;" ",N10+1)-1)))</f>
        <v>1</v>
      </c>
      <c r="N396" s="119">
        <f t="shared" si="41"/>
        <v>379</v>
      </c>
      <c r="O396" s="99" t="str">
        <f t="shared" si="42"/>
        <v>0</v>
      </c>
      <c r="P396" s="119">
        <f t="shared" si="43"/>
        <v>1</v>
      </c>
      <c r="Q396" s="119">
        <f t="shared" si="44"/>
        <v>1</v>
      </c>
    </row>
    <row r="397" spans="2:17">
      <c r="B397" s="116"/>
      <c r="C397" s="116"/>
      <c r="D397" s="116"/>
      <c r="E397" s="116" cm="1">
        <f t="array" ref="E397">IF(H396&lt;&gt;"",E396,IF(E396="","",IFERROR(MATCH(TRUE(),INDEX(INDEX(K:K,E396+1):K203&lt;&gt;"",0),0)+E396,"")))</f>
        <v>539</v>
      </c>
      <c r="F397" s="117" cm="1">
        <f t="array" ref="F397">IF(E397="","",IF(H396&lt;&gt;"",H396,INDEX(D:D,E397)))</f>
        <v>0</v>
      </c>
      <c r="G397" s="117" t="str">
        <f t="shared" si="39"/>
        <v>0</v>
      </c>
      <c r="H397" s="118" t="str">
        <f t="shared" si="40"/>
        <v/>
      </c>
      <c r="I397" s="116" t="str">
        <f>IF(AND(F397&lt;&gt;"",N10&gt;0,M397&gt;N10),"Mot &gt; limite","")</f>
        <v/>
      </c>
      <c r="M397" s="70">
        <f>IF(OR(F397="",N10="",N10&lt;=0),"",IF(LEN(F397)&lt;=N10,LEN(F397),IFERROR(FIND("♦",SUBSTITUTE(LEFT(F397,N10)," ","♦",LEN(LEFT(F397,N10))-LEN(SUBSTITUTE(LEFT(F397,N10)," ","")))),FIND(" ",F397&amp;" ",N10+1)-1)))</f>
        <v>1</v>
      </c>
      <c r="N397" s="119">
        <f t="shared" si="41"/>
        <v>380</v>
      </c>
      <c r="O397" s="99" t="str">
        <f t="shared" si="42"/>
        <v>0</v>
      </c>
      <c r="P397" s="119">
        <f t="shared" si="43"/>
        <v>1</v>
      </c>
      <c r="Q397" s="119">
        <f t="shared" si="44"/>
        <v>1</v>
      </c>
    </row>
    <row r="398" spans="2:17">
      <c r="B398" s="116"/>
      <c r="C398" s="116"/>
      <c r="D398" s="116"/>
      <c r="E398" s="116" cm="1">
        <f t="array" ref="E398">IF(H397&lt;&gt;"",E397,IF(E397="","",IFERROR(MATCH(TRUE(),INDEX(INDEX(K:K,E397+1):K203&lt;&gt;"",0),0)+E397,"")))</f>
        <v>540</v>
      </c>
      <c r="F398" s="117" cm="1">
        <f t="array" ref="F398">IF(E398="","",IF(H397&lt;&gt;"",H397,INDEX(D:D,E398)))</f>
        <v>0</v>
      </c>
      <c r="G398" s="117" t="str">
        <f t="shared" si="39"/>
        <v>0</v>
      </c>
      <c r="H398" s="118" t="str">
        <f t="shared" si="40"/>
        <v/>
      </c>
      <c r="I398" s="116" t="str">
        <f>IF(AND(F398&lt;&gt;"",N10&gt;0,M398&gt;N10),"Mot &gt; limite","")</f>
        <v/>
      </c>
      <c r="M398" s="70">
        <f>IF(OR(F398="",N10="",N10&lt;=0),"",IF(LEN(F398)&lt;=N10,LEN(F398),IFERROR(FIND("♦",SUBSTITUTE(LEFT(F398,N10)," ","♦",LEN(LEFT(F398,N10))-LEN(SUBSTITUTE(LEFT(F398,N10)," ","")))),FIND(" ",F398&amp;" ",N10+1)-1)))</f>
        <v>1</v>
      </c>
      <c r="N398" s="119">
        <f t="shared" si="41"/>
        <v>381</v>
      </c>
      <c r="O398" s="99" t="str">
        <f t="shared" si="42"/>
        <v>0</v>
      </c>
      <c r="P398" s="119">
        <f t="shared" si="43"/>
        <v>1</v>
      </c>
      <c r="Q398" s="119">
        <f t="shared" si="44"/>
        <v>1</v>
      </c>
    </row>
    <row r="399" spans="2:17">
      <c r="B399" s="116"/>
      <c r="C399" s="116"/>
      <c r="D399" s="116"/>
      <c r="E399" s="116" cm="1">
        <f t="array" ref="E399">IF(H398&lt;&gt;"",E398,IF(E398="","",IFERROR(MATCH(TRUE(),INDEX(INDEX(K:K,E398+1):K203&lt;&gt;"",0),0)+E398,"")))</f>
        <v>541</v>
      </c>
      <c r="F399" s="117" cm="1">
        <f t="array" ref="F399">IF(E399="","",IF(H398&lt;&gt;"",H398,INDEX(D:D,E399)))</f>
        <v>0</v>
      </c>
      <c r="G399" s="117" t="str">
        <f t="shared" si="39"/>
        <v>0</v>
      </c>
      <c r="H399" s="118" t="str">
        <f t="shared" si="40"/>
        <v/>
      </c>
      <c r="I399" s="116" t="str">
        <f>IF(AND(F399&lt;&gt;"",N10&gt;0,M399&gt;N10),"Mot &gt; limite","")</f>
        <v/>
      </c>
      <c r="M399" s="70">
        <f>IF(OR(F399="",N10="",N10&lt;=0),"",IF(LEN(F399)&lt;=N10,LEN(F399),IFERROR(FIND("♦",SUBSTITUTE(LEFT(F399,N10)," ","♦",LEN(LEFT(F399,N10))-LEN(SUBSTITUTE(LEFT(F399,N10)," ","")))),FIND(" ",F399&amp;" ",N10+1)-1)))</f>
        <v>1</v>
      </c>
      <c r="N399" s="119">
        <f t="shared" si="41"/>
        <v>382</v>
      </c>
      <c r="O399" s="99" t="str">
        <f t="shared" si="42"/>
        <v>0</v>
      </c>
      <c r="P399" s="119">
        <f t="shared" si="43"/>
        <v>1</v>
      </c>
      <c r="Q399" s="119">
        <f t="shared" si="44"/>
        <v>1</v>
      </c>
    </row>
    <row r="400" spans="2:17">
      <c r="B400" s="116"/>
      <c r="C400" s="116"/>
      <c r="D400" s="116"/>
      <c r="E400" s="116" cm="1">
        <f t="array" ref="E400">IF(H399&lt;&gt;"",E399,IF(E399="","",IFERROR(MATCH(TRUE(),INDEX(INDEX(K:K,E399+1):K203&lt;&gt;"",0),0)+E399,"")))</f>
        <v>542</v>
      </c>
      <c r="F400" s="117" cm="1">
        <f t="array" ref="F400">IF(E400="","",IF(H399&lt;&gt;"",H399,INDEX(D:D,E400)))</f>
        <v>0</v>
      </c>
      <c r="G400" s="117" t="str">
        <f t="shared" si="39"/>
        <v>0</v>
      </c>
      <c r="H400" s="118" t="str">
        <f t="shared" si="40"/>
        <v/>
      </c>
      <c r="I400" s="116" t="str">
        <f>IF(AND(F400&lt;&gt;"",N10&gt;0,M400&gt;N10),"Mot &gt; limite","")</f>
        <v/>
      </c>
      <c r="M400" s="70">
        <f>IF(OR(F400="",N10="",N10&lt;=0),"",IF(LEN(F400)&lt;=N10,LEN(F400),IFERROR(FIND("♦",SUBSTITUTE(LEFT(F400,N10)," ","♦",LEN(LEFT(F400,N10))-LEN(SUBSTITUTE(LEFT(F400,N10)," ","")))),FIND(" ",F400&amp;" ",N10+1)-1)))</f>
        <v>1</v>
      </c>
      <c r="N400" s="119">
        <f t="shared" si="41"/>
        <v>383</v>
      </c>
      <c r="O400" s="99" t="str">
        <f t="shared" si="42"/>
        <v>0</v>
      </c>
      <c r="P400" s="119">
        <f t="shared" si="43"/>
        <v>1</v>
      </c>
      <c r="Q400" s="119">
        <f t="shared" si="44"/>
        <v>1</v>
      </c>
    </row>
    <row r="401" spans="2:17">
      <c r="B401" s="116"/>
      <c r="C401" s="116"/>
      <c r="D401" s="116"/>
      <c r="E401" s="116" cm="1">
        <f t="array" ref="E401">IF(H400&lt;&gt;"",E400,IF(E400="","",IFERROR(MATCH(TRUE(),INDEX(INDEX(K:K,E400+1):K203&lt;&gt;"",0),0)+E400,"")))</f>
        <v>543</v>
      </c>
      <c r="F401" s="117" cm="1">
        <f t="array" ref="F401">IF(E401="","",IF(H400&lt;&gt;"",H400,INDEX(D:D,E401)))</f>
        <v>0</v>
      </c>
      <c r="G401" s="117" t="str">
        <f t="shared" si="39"/>
        <v>0</v>
      </c>
      <c r="H401" s="118" t="str">
        <f t="shared" si="40"/>
        <v/>
      </c>
      <c r="I401" s="116" t="str">
        <f>IF(AND(F401&lt;&gt;"",N10&gt;0,M401&gt;N10),"Mot &gt; limite","")</f>
        <v/>
      </c>
      <c r="M401" s="70">
        <f>IF(OR(F401="",N10="",N10&lt;=0),"",IF(LEN(F401)&lt;=N10,LEN(F401),IFERROR(FIND("♦",SUBSTITUTE(LEFT(F401,N10)," ","♦",LEN(LEFT(F401,N10))-LEN(SUBSTITUTE(LEFT(F401,N10)," ","")))),FIND(" ",F401&amp;" ",N10+1)-1)))</f>
        <v>1</v>
      </c>
      <c r="N401" s="119">
        <f t="shared" si="41"/>
        <v>384</v>
      </c>
      <c r="O401" s="99" t="str">
        <f t="shared" si="42"/>
        <v>0</v>
      </c>
      <c r="P401" s="119">
        <f t="shared" si="43"/>
        <v>1</v>
      </c>
      <c r="Q401" s="119">
        <f t="shared" si="44"/>
        <v>1</v>
      </c>
    </row>
    <row r="402" spans="2:17">
      <c r="B402" s="116"/>
      <c r="C402" s="116"/>
      <c r="D402" s="116"/>
      <c r="E402" s="116" cm="1">
        <f t="array" ref="E402">IF(H401&lt;&gt;"",E401,IF(E401="","",IFERROR(MATCH(TRUE(),INDEX(INDEX(K:K,E401+1):K203&lt;&gt;"",0),0)+E401,"")))</f>
        <v>544</v>
      </c>
      <c r="F402" s="117" cm="1">
        <f t="array" ref="F402">IF(E402="","",IF(H401&lt;&gt;"",H401,INDEX(D:D,E402)))</f>
        <v>0</v>
      </c>
      <c r="G402" s="117" t="str">
        <f t="shared" ref="G402:G465" si="45">IF(OR(F402="",M402=""),"",LEFT(F402,M402))</f>
        <v>0</v>
      </c>
      <c r="H402" s="118" t="str">
        <f t="shared" ref="H402:H465" si="46">IF(OR(F402="",M402=""),"",TRIM(MID(F402,M402+1,99999)))</f>
        <v/>
      </c>
      <c r="I402" s="116" t="str">
        <f>IF(AND(F402&lt;&gt;"",N10&gt;0,M402&gt;N10),"Mot &gt; limite","")</f>
        <v/>
      </c>
      <c r="M402" s="70">
        <f>IF(OR(F402="",N10="",N10&lt;=0),"",IF(LEN(F402)&lt;=N10,LEN(F402),IFERROR(FIND("♦",SUBSTITUTE(LEFT(F402,N10)," ","♦",LEN(LEFT(F402,N10))-LEN(SUBSTITUTE(LEFT(F402,N10)," ","")))),FIND(" ",F402&amp;" ",N10+1)-1)))</f>
        <v>1</v>
      </c>
      <c r="N402" s="119">
        <f t="shared" ref="N402:N465" si="47">IF(O402="","",ROW()-17)</f>
        <v>385</v>
      </c>
      <c r="O402" s="99" t="str">
        <f t="shared" ref="O402:O465" si="48">G402</f>
        <v>0</v>
      </c>
      <c r="P402" s="119">
        <f t="shared" ref="P402:P465" si="49">IF(O402="","",LEN(TRIM(O402))-LEN(SUBSTITUTE(TRIM(O402)," ",""))+1)</f>
        <v>1</v>
      </c>
      <c r="Q402" s="119">
        <f t="shared" ref="Q402:Q465" si="50">IF(O402="","",LEN(O402))</f>
        <v>1</v>
      </c>
    </row>
    <row r="403" spans="2:17">
      <c r="B403" s="116"/>
      <c r="C403" s="116"/>
      <c r="D403" s="116"/>
      <c r="E403" s="116" cm="1">
        <f t="array" ref="E403">IF(H402&lt;&gt;"",E402,IF(E402="","",IFERROR(MATCH(TRUE(),INDEX(INDEX(K:K,E402+1):K203&lt;&gt;"",0),0)+E402,"")))</f>
        <v>545</v>
      </c>
      <c r="F403" s="117" cm="1">
        <f t="array" ref="F403">IF(E403="","",IF(H402&lt;&gt;"",H402,INDEX(D:D,E403)))</f>
        <v>0</v>
      </c>
      <c r="G403" s="117" t="str">
        <f t="shared" si="45"/>
        <v>0</v>
      </c>
      <c r="H403" s="118" t="str">
        <f t="shared" si="46"/>
        <v/>
      </c>
      <c r="I403" s="116" t="str">
        <f>IF(AND(F403&lt;&gt;"",N10&gt;0,M403&gt;N10),"Mot &gt; limite","")</f>
        <v/>
      </c>
      <c r="M403" s="70">
        <f>IF(OR(F403="",N10="",N10&lt;=0),"",IF(LEN(F403)&lt;=N10,LEN(F403),IFERROR(FIND("♦",SUBSTITUTE(LEFT(F403,N10)," ","♦",LEN(LEFT(F403,N10))-LEN(SUBSTITUTE(LEFT(F403,N10)," ","")))),FIND(" ",F403&amp;" ",N10+1)-1)))</f>
        <v>1</v>
      </c>
      <c r="N403" s="119">
        <f t="shared" si="47"/>
        <v>386</v>
      </c>
      <c r="O403" s="99" t="str">
        <f t="shared" si="48"/>
        <v>0</v>
      </c>
      <c r="P403" s="119">
        <f t="shared" si="49"/>
        <v>1</v>
      </c>
      <c r="Q403" s="119">
        <f t="shared" si="50"/>
        <v>1</v>
      </c>
    </row>
    <row r="404" spans="2:17">
      <c r="B404" s="116"/>
      <c r="C404" s="116"/>
      <c r="D404" s="116"/>
      <c r="E404" s="116" cm="1">
        <f t="array" ref="E404">IF(H403&lt;&gt;"",E403,IF(E403="","",IFERROR(MATCH(TRUE(),INDEX(INDEX(K:K,E403+1):K203&lt;&gt;"",0),0)+E403,"")))</f>
        <v>546</v>
      </c>
      <c r="F404" s="117" cm="1">
        <f t="array" ref="F404">IF(E404="","",IF(H403&lt;&gt;"",H403,INDEX(D:D,E404)))</f>
        <v>0</v>
      </c>
      <c r="G404" s="117" t="str">
        <f t="shared" si="45"/>
        <v>0</v>
      </c>
      <c r="H404" s="118" t="str">
        <f t="shared" si="46"/>
        <v/>
      </c>
      <c r="I404" s="116" t="str">
        <f>IF(AND(F404&lt;&gt;"",N10&gt;0,M404&gt;N10),"Mot &gt; limite","")</f>
        <v/>
      </c>
      <c r="M404" s="70">
        <f>IF(OR(F404="",N10="",N10&lt;=0),"",IF(LEN(F404)&lt;=N10,LEN(F404),IFERROR(FIND("♦",SUBSTITUTE(LEFT(F404,N10)," ","♦",LEN(LEFT(F404,N10))-LEN(SUBSTITUTE(LEFT(F404,N10)," ","")))),FIND(" ",F404&amp;" ",N10+1)-1)))</f>
        <v>1</v>
      </c>
      <c r="N404" s="119">
        <f t="shared" si="47"/>
        <v>387</v>
      </c>
      <c r="O404" s="99" t="str">
        <f t="shared" si="48"/>
        <v>0</v>
      </c>
      <c r="P404" s="119">
        <f t="shared" si="49"/>
        <v>1</v>
      </c>
      <c r="Q404" s="119">
        <f t="shared" si="50"/>
        <v>1</v>
      </c>
    </row>
    <row r="405" spans="2:17">
      <c r="B405" s="116"/>
      <c r="C405" s="116"/>
      <c r="D405" s="116"/>
      <c r="E405" s="116" cm="1">
        <f t="array" ref="E405">IF(H404&lt;&gt;"",E404,IF(E404="","",IFERROR(MATCH(TRUE(),INDEX(INDEX(K:K,E404+1):K203&lt;&gt;"",0),0)+E404,"")))</f>
        <v>547</v>
      </c>
      <c r="F405" s="117" cm="1">
        <f t="array" ref="F405">IF(E405="","",IF(H404&lt;&gt;"",H404,INDEX(D:D,E405)))</f>
        <v>0</v>
      </c>
      <c r="G405" s="117" t="str">
        <f t="shared" si="45"/>
        <v>0</v>
      </c>
      <c r="H405" s="118" t="str">
        <f t="shared" si="46"/>
        <v/>
      </c>
      <c r="I405" s="116" t="str">
        <f>IF(AND(F405&lt;&gt;"",N10&gt;0,M405&gt;N10),"Mot &gt; limite","")</f>
        <v/>
      </c>
      <c r="M405" s="70">
        <f>IF(OR(F405="",N10="",N10&lt;=0),"",IF(LEN(F405)&lt;=N10,LEN(F405),IFERROR(FIND("♦",SUBSTITUTE(LEFT(F405,N10)," ","♦",LEN(LEFT(F405,N10))-LEN(SUBSTITUTE(LEFT(F405,N10)," ","")))),FIND(" ",F405&amp;" ",N10+1)-1)))</f>
        <v>1</v>
      </c>
      <c r="N405" s="119">
        <f t="shared" si="47"/>
        <v>388</v>
      </c>
      <c r="O405" s="99" t="str">
        <f t="shared" si="48"/>
        <v>0</v>
      </c>
      <c r="P405" s="119">
        <f t="shared" si="49"/>
        <v>1</v>
      </c>
      <c r="Q405" s="119">
        <f t="shared" si="50"/>
        <v>1</v>
      </c>
    </row>
    <row r="406" spans="2:17">
      <c r="B406" s="116"/>
      <c r="C406" s="116"/>
      <c r="D406" s="116"/>
      <c r="E406" s="116" cm="1">
        <f t="array" ref="E406">IF(H405&lt;&gt;"",E405,IF(E405="","",IFERROR(MATCH(TRUE(),INDEX(INDEX(K:K,E405+1):K203&lt;&gt;"",0),0)+E405,"")))</f>
        <v>548</v>
      </c>
      <c r="F406" s="117" cm="1">
        <f t="array" ref="F406">IF(E406="","",IF(H405&lt;&gt;"",H405,INDEX(D:D,E406)))</f>
        <v>0</v>
      </c>
      <c r="G406" s="117" t="str">
        <f t="shared" si="45"/>
        <v>0</v>
      </c>
      <c r="H406" s="118" t="str">
        <f t="shared" si="46"/>
        <v/>
      </c>
      <c r="I406" s="116" t="str">
        <f>IF(AND(F406&lt;&gt;"",N10&gt;0,M406&gt;N10),"Mot &gt; limite","")</f>
        <v/>
      </c>
      <c r="M406" s="70">
        <f>IF(OR(F406="",N10="",N10&lt;=0),"",IF(LEN(F406)&lt;=N10,LEN(F406),IFERROR(FIND("♦",SUBSTITUTE(LEFT(F406,N10)," ","♦",LEN(LEFT(F406,N10))-LEN(SUBSTITUTE(LEFT(F406,N10)," ","")))),FIND(" ",F406&amp;" ",N10+1)-1)))</f>
        <v>1</v>
      </c>
      <c r="N406" s="119">
        <f t="shared" si="47"/>
        <v>389</v>
      </c>
      <c r="O406" s="99" t="str">
        <f t="shared" si="48"/>
        <v>0</v>
      </c>
      <c r="P406" s="119">
        <f t="shared" si="49"/>
        <v>1</v>
      </c>
      <c r="Q406" s="119">
        <f t="shared" si="50"/>
        <v>1</v>
      </c>
    </row>
    <row r="407" spans="2:17">
      <c r="B407" s="116"/>
      <c r="C407" s="116"/>
      <c r="D407" s="116"/>
      <c r="E407" s="116" cm="1">
        <f t="array" ref="E407">IF(H406&lt;&gt;"",E406,IF(E406="","",IFERROR(MATCH(TRUE(),INDEX(INDEX(K:K,E406+1):K203&lt;&gt;"",0),0)+E406,"")))</f>
        <v>549</v>
      </c>
      <c r="F407" s="117" cm="1">
        <f t="array" ref="F407">IF(E407="","",IF(H406&lt;&gt;"",H406,INDEX(D:D,E407)))</f>
        <v>0</v>
      </c>
      <c r="G407" s="117" t="str">
        <f t="shared" si="45"/>
        <v>0</v>
      </c>
      <c r="H407" s="118" t="str">
        <f t="shared" si="46"/>
        <v/>
      </c>
      <c r="I407" s="116" t="str">
        <f>IF(AND(F407&lt;&gt;"",N10&gt;0,M407&gt;N10),"Mot &gt; limite","")</f>
        <v/>
      </c>
      <c r="M407" s="70">
        <f>IF(OR(F407="",N10="",N10&lt;=0),"",IF(LEN(F407)&lt;=N10,LEN(F407),IFERROR(FIND("♦",SUBSTITUTE(LEFT(F407,N10)," ","♦",LEN(LEFT(F407,N10))-LEN(SUBSTITUTE(LEFT(F407,N10)," ","")))),FIND(" ",F407&amp;" ",N10+1)-1)))</f>
        <v>1</v>
      </c>
      <c r="N407" s="119">
        <f t="shared" si="47"/>
        <v>390</v>
      </c>
      <c r="O407" s="99" t="str">
        <f t="shared" si="48"/>
        <v>0</v>
      </c>
      <c r="P407" s="119">
        <f t="shared" si="49"/>
        <v>1</v>
      </c>
      <c r="Q407" s="119">
        <f t="shared" si="50"/>
        <v>1</v>
      </c>
    </row>
    <row r="408" spans="2:17">
      <c r="B408" s="116"/>
      <c r="C408" s="116"/>
      <c r="D408" s="116"/>
      <c r="E408" s="116" cm="1">
        <f t="array" ref="E408">IF(H407&lt;&gt;"",E407,IF(E407="","",IFERROR(MATCH(TRUE(),INDEX(INDEX(K:K,E407+1):K203&lt;&gt;"",0),0)+E407,"")))</f>
        <v>550</v>
      </c>
      <c r="F408" s="117" cm="1">
        <f t="array" ref="F408">IF(E408="","",IF(H407&lt;&gt;"",H407,INDEX(D:D,E408)))</f>
        <v>0</v>
      </c>
      <c r="G408" s="117" t="str">
        <f t="shared" si="45"/>
        <v>0</v>
      </c>
      <c r="H408" s="118" t="str">
        <f t="shared" si="46"/>
        <v/>
      </c>
      <c r="I408" s="116" t="str">
        <f>IF(AND(F408&lt;&gt;"",N10&gt;0,M408&gt;N10),"Mot &gt; limite","")</f>
        <v/>
      </c>
      <c r="M408" s="70">
        <f>IF(OR(F408="",N10="",N10&lt;=0),"",IF(LEN(F408)&lt;=N10,LEN(F408),IFERROR(FIND("♦",SUBSTITUTE(LEFT(F408,N10)," ","♦",LEN(LEFT(F408,N10))-LEN(SUBSTITUTE(LEFT(F408,N10)," ","")))),FIND(" ",F408&amp;" ",N10+1)-1)))</f>
        <v>1</v>
      </c>
      <c r="N408" s="119">
        <f t="shared" si="47"/>
        <v>391</v>
      </c>
      <c r="O408" s="99" t="str">
        <f t="shared" si="48"/>
        <v>0</v>
      </c>
      <c r="P408" s="119">
        <f t="shared" si="49"/>
        <v>1</v>
      </c>
      <c r="Q408" s="119">
        <f t="shared" si="50"/>
        <v>1</v>
      </c>
    </row>
    <row r="409" spans="2:17">
      <c r="B409" s="116"/>
      <c r="C409" s="116"/>
      <c r="D409" s="116"/>
      <c r="E409" s="116" cm="1">
        <f t="array" ref="E409">IF(H408&lt;&gt;"",E408,IF(E408="","",IFERROR(MATCH(TRUE(),INDEX(INDEX(K:K,E408+1):K203&lt;&gt;"",0),0)+E408,"")))</f>
        <v>551</v>
      </c>
      <c r="F409" s="117" cm="1">
        <f t="array" ref="F409">IF(E409="","",IF(H408&lt;&gt;"",H408,INDEX(D:D,E409)))</f>
        <v>0</v>
      </c>
      <c r="G409" s="117" t="str">
        <f t="shared" si="45"/>
        <v>0</v>
      </c>
      <c r="H409" s="118" t="str">
        <f t="shared" si="46"/>
        <v/>
      </c>
      <c r="I409" s="116" t="str">
        <f>IF(AND(F409&lt;&gt;"",N10&gt;0,M409&gt;N10),"Mot &gt; limite","")</f>
        <v/>
      </c>
      <c r="M409" s="70">
        <f>IF(OR(F409="",N10="",N10&lt;=0),"",IF(LEN(F409)&lt;=N10,LEN(F409),IFERROR(FIND("♦",SUBSTITUTE(LEFT(F409,N10)," ","♦",LEN(LEFT(F409,N10))-LEN(SUBSTITUTE(LEFT(F409,N10)," ","")))),FIND(" ",F409&amp;" ",N10+1)-1)))</f>
        <v>1</v>
      </c>
      <c r="N409" s="119">
        <f t="shared" si="47"/>
        <v>392</v>
      </c>
      <c r="O409" s="99" t="str">
        <f t="shared" si="48"/>
        <v>0</v>
      </c>
      <c r="P409" s="119">
        <f t="shared" si="49"/>
        <v>1</v>
      </c>
      <c r="Q409" s="119">
        <f t="shared" si="50"/>
        <v>1</v>
      </c>
    </row>
    <row r="410" spans="2:17">
      <c r="B410" s="116"/>
      <c r="C410" s="116"/>
      <c r="D410" s="116"/>
      <c r="E410" s="116" cm="1">
        <f t="array" ref="E410">IF(H409&lt;&gt;"",E409,IF(E409="","",IFERROR(MATCH(TRUE(),INDEX(INDEX(K:K,E409+1):K203&lt;&gt;"",0),0)+E409,"")))</f>
        <v>552</v>
      </c>
      <c r="F410" s="117" cm="1">
        <f t="array" ref="F410">IF(E410="","",IF(H409&lt;&gt;"",H409,INDEX(D:D,E410)))</f>
        <v>0</v>
      </c>
      <c r="G410" s="117" t="str">
        <f t="shared" si="45"/>
        <v>0</v>
      </c>
      <c r="H410" s="118" t="str">
        <f t="shared" si="46"/>
        <v/>
      </c>
      <c r="I410" s="116" t="str">
        <f>IF(AND(F410&lt;&gt;"",N10&gt;0,M410&gt;N10),"Mot &gt; limite","")</f>
        <v/>
      </c>
      <c r="M410" s="70">
        <f>IF(OR(F410="",N10="",N10&lt;=0),"",IF(LEN(F410)&lt;=N10,LEN(F410),IFERROR(FIND("♦",SUBSTITUTE(LEFT(F410,N10)," ","♦",LEN(LEFT(F410,N10))-LEN(SUBSTITUTE(LEFT(F410,N10)," ","")))),FIND(" ",F410&amp;" ",N10+1)-1)))</f>
        <v>1</v>
      </c>
      <c r="N410" s="119">
        <f t="shared" si="47"/>
        <v>393</v>
      </c>
      <c r="O410" s="99" t="str">
        <f t="shared" si="48"/>
        <v>0</v>
      </c>
      <c r="P410" s="119">
        <f t="shared" si="49"/>
        <v>1</v>
      </c>
      <c r="Q410" s="119">
        <f t="shared" si="50"/>
        <v>1</v>
      </c>
    </row>
    <row r="411" spans="2:17">
      <c r="B411" s="116"/>
      <c r="C411" s="116"/>
      <c r="D411" s="116"/>
      <c r="E411" s="116" cm="1">
        <f t="array" ref="E411">IF(H410&lt;&gt;"",E410,IF(E410="","",IFERROR(MATCH(TRUE(),INDEX(INDEX(K:K,E410+1):K203&lt;&gt;"",0),0)+E410,"")))</f>
        <v>553</v>
      </c>
      <c r="F411" s="117" cm="1">
        <f t="array" ref="F411">IF(E411="","",IF(H410&lt;&gt;"",H410,INDEX(D:D,E411)))</f>
        <v>0</v>
      </c>
      <c r="G411" s="117" t="str">
        <f t="shared" si="45"/>
        <v>0</v>
      </c>
      <c r="H411" s="118" t="str">
        <f t="shared" si="46"/>
        <v/>
      </c>
      <c r="I411" s="116" t="str">
        <f>IF(AND(F411&lt;&gt;"",N10&gt;0,M411&gt;N10),"Mot &gt; limite","")</f>
        <v/>
      </c>
      <c r="M411" s="70">
        <f>IF(OR(F411="",N10="",N10&lt;=0),"",IF(LEN(F411)&lt;=N10,LEN(F411),IFERROR(FIND("♦",SUBSTITUTE(LEFT(F411,N10)," ","♦",LEN(LEFT(F411,N10))-LEN(SUBSTITUTE(LEFT(F411,N10)," ","")))),FIND(" ",F411&amp;" ",N10+1)-1)))</f>
        <v>1</v>
      </c>
      <c r="N411" s="119">
        <f t="shared" si="47"/>
        <v>394</v>
      </c>
      <c r="O411" s="99" t="str">
        <f t="shared" si="48"/>
        <v>0</v>
      </c>
      <c r="P411" s="119">
        <f t="shared" si="49"/>
        <v>1</v>
      </c>
      <c r="Q411" s="119">
        <f t="shared" si="50"/>
        <v>1</v>
      </c>
    </row>
    <row r="412" spans="2:17">
      <c r="B412" s="116"/>
      <c r="C412" s="116"/>
      <c r="D412" s="116"/>
      <c r="E412" s="116" cm="1">
        <f t="array" ref="E412">IF(H411&lt;&gt;"",E411,IF(E411="","",IFERROR(MATCH(TRUE(),INDEX(INDEX(K:K,E411+1):K203&lt;&gt;"",0),0)+E411,"")))</f>
        <v>554</v>
      </c>
      <c r="F412" s="117" cm="1">
        <f t="array" ref="F412">IF(E412="","",IF(H411&lt;&gt;"",H411,INDEX(D:D,E412)))</f>
        <v>0</v>
      </c>
      <c r="G412" s="117" t="str">
        <f t="shared" si="45"/>
        <v>0</v>
      </c>
      <c r="H412" s="118" t="str">
        <f t="shared" si="46"/>
        <v/>
      </c>
      <c r="I412" s="116" t="str">
        <f>IF(AND(F412&lt;&gt;"",N10&gt;0,M412&gt;N10),"Mot &gt; limite","")</f>
        <v/>
      </c>
      <c r="M412" s="70">
        <f>IF(OR(F412="",N10="",N10&lt;=0),"",IF(LEN(F412)&lt;=N10,LEN(F412),IFERROR(FIND("♦",SUBSTITUTE(LEFT(F412,N10)," ","♦",LEN(LEFT(F412,N10))-LEN(SUBSTITUTE(LEFT(F412,N10)," ","")))),FIND(" ",F412&amp;" ",N10+1)-1)))</f>
        <v>1</v>
      </c>
      <c r="N412" s="119">
        <f t="shared" si="47"/>
        <v>395</v>
      </c>
      <c r="O412" s="99" t="str">
        <f t="shared" si="48"/>
        <v>0</v>
      </c>
      <c r="P412" s="119">
        <f t="shared" si="49"/>
        <v>1</v>
      </c>
      <c r="Q412" s="119">
        <f t="shared" si="50"/>
        <v>1</v>
      </c>
    </row>
    <row r="413" spans="2:17">
      <c r="B413" s="116"/>
      <c r="C413" s="116"/>
      <c r="D413" s="116"/>
      <c r="E413" s="116" cm="1">
        <f t="array" ref="E413">IF(H412&lt;&gt;"",E412,IF(E412="","",IFERROR(MATCH(TRUE(),INDEX(INDEX(K:K,E412+1):K203&lt;&gt;"",0),0)+E412,"")))</f>
        <v>555</v>
      </c>
      <c r="F413" s="117" cm="1">
        <f t="array" ref="F413">IF(E413="","",IF(H412&lt;&gt;"",H412,INDEX(D:D,E413)))</f>
        <v>0</v>
      </c>
      <c r="G413" s="117" t="str">
        <f t="shared" si="45"/>
        <v>0</v>
      </c>
      <c r="H413" s="118" t="str">
        <f t="shared" si="46"/>
        <v/>
      </c>
      <c r="I413" s="116" t="str">
        <f>IF(AND(F413&lt;&gt;"",N10&gt;0,M413&gt;N10),"Mot &gt; limite","")</f>
        <v/>
      </c>
      <c r="M413" s="70">
        <f>IF(OR(F413="",N10="",N10&lt;=0),"",IF(LEN(F413)&lt;=N10,LEN(F413),IFERROR(FIND("♦",SUBSTITUTE(LEFT(F413,N10)," ","♦",LEN(LEFT(F413,N10))-LEN(SUBSTITUTE(LEFT(F413,N10)," ","")))),FIND(" ",F413&amp;" ",N10+1)-1)))</f>
        <v>1</v>
      </c>
      <c r="N413" s="119">
        <f t="shared" si="47"/>
        <v>396</v>
      </c>
      <c r="O413" s="99" t="str">
        <f t="shared" si="48"/>
        <v>0</v>
      </c>
      <c r="P413" s="119">
        <f t="shared" si="49"/>
        <v>1</v>
      </c>
      <c r="Q413" s="119">
        <f t="shared" si="50"/>
        <v>1</v>
      </c>
    </row>
    <row r="414" spans="2:17">
      <c r="B414" s="116"/>
      <c r="C414" s="116"/>
      <c r="D414" s="116"/>
      <c r="E414" s="116" cm="1">
        <f t="array" ref="E414">IF(H413&lt;&gt;"",E413,IF(E413="","",IFERROR(MATCH(TRUE(),INDEX(INDEX(K:K,E413+1):K203&lt;&gt;"",0),0)+E413,"")))</f>
        <v>556</v>
      </c>
      <c r="F414" s="117" cm="1">
        <f t="array" ref="F414">IF(E414="","",IF(H413&lt;&gt;"",H413,INDEX(D:D,E414)))</f>
        <v>0</v>
      </c>
      <c r="G414" s="117" t="str">
        <f t="shared" si="45"/>
        <v>0</v>
      </c>
      <c r="H414" s="118" t="str">
        <f t="shared" si="46"/>
        <v/>
      </c>
      <c r="I414" s="116" t="str">
        <f>IF(AND(F414&lt;&gt;"",N10&gt;0,M414&gt;N10),"Mot &gt; limite","")</f>
        <v/>
      </c>
      <c r="M414" s="70">
        <f>IF(OR(F414="",N10="",N10&lt;=0),"",IF(LEN(F414)&lt;=N10,LEN(F414),IFERROR(FIND("♦",SUBSTITUTE(LEFT(F414,N10)," ","♦",LEN(LEFT(F414,N10))-LEN(SUBSTITUTE(LEFT(F414,N10)," ","")))),FIND(" ",F414&amp;" ",N10+1)-1)))</f>
        <v>1</v>
      </c>
      <c r="N414" s="119">
        <f t="shared" si="47"/>
        <v>397</v>
      </c>
      <c r="O414" s="99" t="str">
        <f t="shared" si="48"/>
        <v>0</v>
      </c>
      <c r="P414" s="119">
        <f t="shared" si="49"/>
        <v>1</v>
      </c>
      <c r="Q414" s="119">
        <f t="shared" si="50"/>
        <v>1</v>
      </c>
    </row>
    <row r="415" spans="2:17">
      <c r="B415" s="116"/>
      <c r="C415" s="116"/>
      <c r="D415" s="116"/>
      <c r="E415" s="116" cm="1">
        <f t="array" ref="E415">IF(H414&lt;&gt;"",E414,IF(E414="","",IFERROR(MATCH(TRUE(),INDEX(INDEX(K:K,E414+1):K203&lt;&gt;"",0),0)+E414,"")))</f>
        <v>557</v>
      </c>
      <c r="F415" s="117" cm="1">
        <f t="array" ref="F415">IF(E415="","",IF(H414&lt;&gt;"",H414,INDEX(D:D,E415)))</f>
        <v>0</v>
      </c>
      <c r="G415" s="117" t="str">
        <f t="shared" si="45"/>
        <v>0</v>
      </c>
      <c r="H415" s="118" t="str">
        <f t="shared" si="46"/>
        <v/>
      </c>
      <c r="I415" s="116" t="str">
        <f>IF(AND(F415&lt;&gt;"",N10&gt;0,M415&gt;N10),"Mot &gt; limite","")</f>
        <v/>
      </c>
      <c r="M415" s="70">
        <f>IF(OR(F415="",N10="",N10&lt;=0),"",IF(LEN(F415)&lt;=N10,LEN(F415),IFERROR(FIND("♦",SUBSTITUTE(LEFT(F415,N10)," ","♦",LEN(LEFT(F415,N10))-LEN(SUBSTITUTE(LEFT(F415,N10)," ","")))),FIND(" ",F415&amp;" ",N10+1)-1)))</f>
        <v>1</v>
      </c>
      <c r="N415" s="119">
        <f t="shared" si="47"/>
        <v>398</v>
      </c>
      <c r="O415" s="99" t="str">
        <f t="shared" si="48"/>
        <v>0</v>
      </c>
      <c r="P415" s="119">
        <f t="shared" si="49"/>
        <v>1</v>
      </c>
      <c r="Q415" s="119">
        <f t="shared" si="50"/>
        <v>1</v>
      </c>
    </row>
    <row r="416" spans="2:17">
      <c r="B416" s="116"/>
      <c r="C416" s="116"/>
      <c r="D416" s="116"/>
      <c r="E416" s="116" cm="1">
        <f t="array" ref="E416">IF(H415&lt;&gt;"",E415,IF(E415="","",IFERROR(MATCH(TRUE(),INDEX(INDEX(K:K,E415+1):K203&lt;&gt;"",0),0)+E415,"")))</f>
        <v>558</v>
      </c>
      <c r="F416" s="117" cm="1">
        <f t="array" ref="F416">IF(E416="","",IF(H415&lt;&gt;"",H415,INDEX(D:D,E416)))</f>
        <v>0</v>
      </c>
      <c r="G416" s="117" t="str">
        <f t="shared" si="45"/>
        <v>0</v>
      </c>
      <c r="H416" s="118" t="str">
        <f t="shared" si="46"/>
        <v/>
      </c>
      <c r="I416" s="116" t="str">
        <f>IF(AND(F416&lt;&gt;"",N10&gt;0,M416&gt;N10),"Mot &gt; limite","")</f>
        <v/>
      </c>
      <c r="M416" s="70">
        <f>IF(OR(F416="",N10="",N10&lt;=0),"",IF(LEN(F416)&lt;=N10,LEN(F416),IFERROR(FIND("♦",SUBSTITUTE(LEFT(F416,N10)," ","♦",LEN(LEFT(F416,N10))-LEN(SUBSTITUTE(LEFT(F416,N10)," ","")))),FIND(" ",F416&amp;" ",N10+1)-1)))</f>
        <v>1</v>
      </c>
      <c r="N416" s="119">
        <f t="shared" si="47"/>
        <v>399</v>
      </c>
      <c r="O416" s="99" t="str">
        <f t="shared" si="48"/>
        <v>0</v>
      </c>
      <c r="P416" s="119">
        <f t="shared" si="49"/>
        <v>1</v>
      </c>
      <c r="Q416" s="119">
        <f t="shared" si="50"/>
        <v>1</v>
      </c>
    </row>
    <row r="417" spans="2:17">
      <c r="B417" s="116"/>
      <c r="C417" s="116"/>
      <c r="D417" s="116"/>
      <c r="E417" s="116" cm="1">
        <f t="array" ref="E417">IF(H416&lt;&gt;"",E416,IF(E416="","",IFERROR(MATCH(TRUE(),INDEX(INDEX(K:K,E416+1):K203&lt;&gt;"",0),0)+E416,"")))</f>
        <v>559</v>
      </c>
      <c r="F417" s="117" cm="1">
        <f t="array" ref="F417">IF(E417="","",IF(H416&lt;&gt;"",H416,INDEX(D:D,E417)))</f>
        <v>0</v>
      </c>
      <c r="G417" s="117" t="str">
        <f t="shared" si="45"/>
        <v>0</v>
      </c>
      <c r="H417" s="118" t="str">
        <f t="shared" si="46"/>
        <v/>
      </c>
      <c r="I417" s="116" t="str">
        <f>IF(AND(F417&lt;&gt;"",N10&gt;0,M417&gt;N10),"Mot &gt; limite","")</f>
        <v/>
      </c>
      <c r="M417" s="70">
        <f>IF(OR(F417="",N10="",N10&lt;=0),"",IF(LEN(F417)&lt;=N10,LEN(F417),IFERROR(FIND("♦",SUBSTITUTE(LEFT(F417,N10)," ","♦",LEN(LEFT(F417,N10))-LEN(SUBSTITUTE(LEFT(F417,N10)," ","")))),FIND(" ",F417&amp;" ",N10+1)-1)))</f>
        <v>1</v>
      </c>
      <c r="N417" s="119">
        <f t="shared" si="47"/>
        <v>400</v>
      </c>
      <c r="O417" s="99" t="str">
        <f t="shared" si="48"/>
        <v>0</v>
      </c>
      <c r="P417" s="119">
        <f t="shared" si="49"/>
        <v>1</v>
      </c>
      <c r="Q417" s="119">
        <f t="shared" si="50"/>
        <v>1</v>
      </c>
    </row>
    <row r="418" spans="2:17">
      <c r="B418" s="116"/>
      <c r="C418" s="116"/>
      <c r="D418" s="116"/>
      <c r="E418" s="116" cm="1">
        <f t="array" ref="E418">IF(H417&lt;&gt;"",E417,IF(E417="","",IFERROR(MATCH(TRUE(),INDEX(INDEX(K:K,E417+1):K203&lt;&gt;"",0),0)+E417,"")))</f>
        <v>560</v>
      </c>
      <c r="F418" s="117" cm="1">
        <f t="array" ref="F418">IF(E418="","",IF(H417&lt;&gt;"",H417,INDEX(D:D,E418)))</f>
        <v>0</v>
      </c>
      <c r="G418" s="117" t="str">
        <f t="shared" si="45"/>
        <v>0</v>
      </c>
      <c r="H418" s="118" t="str">
        <f t="shared" si="46"/>
        <v/>
      </c>
      <c r="I418" s="116" t="str">
        <f>IF(AND(F418&lt;&gt;"",N10&gt;0,M418&gt;N10),"Mot &gt; limite","")</f>
        <v/>
      </c>
      <c r="M418" s="70">
        <f>IF(OR(F418="",N10="",N10&lt;=0),"",IF(LEN(F418)&lt;=N10,LEN(F418),IFERROR(FIND("♦",SUBSTITUTE(LEFT(F418,N10)," ","♦",LEN(LEFT(F418,N10))-LEN(SUBSTITUTE(LEFT(F418,N10)," ","")))),FIND(" ",F418&amp;" ",N10+1)-1)))</f>
        <v>1</v>
      </c>
      <c r="N418" s="119">
        <f t="shared" si="47"/>
        <v>401</v>
      </c>
      <c r="O418" s="99" t="str">
        <f t="shared" si="48"/>
        <v>0</v>
      </c>
      <c r="P418" s="119">
        <f t="shared" si="49"/>
        <v>1</v>
      </c>
      <c r="Q418" s="119">
        <f t="shared" si="50"/>
        <v>1</v>
      </c>
    </row>
    <row r="419" spans="2:17">
      <c r="B419" s="116"/>
      <c r="C419" s="116"/>
      <c r="D419" s="116"/>
      <c r="E419" s="116" cm="1">
        <f t="array" ref="E419">IF(H418&lt;&gt;"",E418,IF(E418="","",IFERROR(MATCH(TRUE(),INDEX(INDEX(K:K,E418+1):K203&lt;&gt;"",0),0)+E418,"")))</f>
        <v>561</v>
      </c>
      <c r="F419" s="117" cm="1">
        <f t="array" ref="F419">IF(E419="","",IF(H418&lt;&gt;"",H418,INDEX(D:D,E419)))</f>
        <v>0</v>
      </c>
      <c r="G419" s="117" t="str">
        <f t="shared" si="45"/>
        <v>0</v>
      </c>
      <c r="H419" s="118" t="str">
        <f t="shared" si="46"/>
        <v/>
      </c>
      <c r="I419" s="116" t="str">
        <f>IF(AND(F419&lt;&gt;"",N10&gt;0,M419&gt;N10),"Mot &gt; limite","")</f>
        <v/>
      </c>
      <c r="M419" s="70">
        <f>IF(OR(F419="",N10="",N10&lt;=0),"",IF(LEN(F419)&lt;=N10,LEN(F419),IFERROR(FIND("♦",SUBSTITUTE(LEFT(F419,N10)," ","♦",LEN(LEFT(F419,N10))-LEN(SUBSTITUTE(LEFT(F419,N10)," ","")))),FIND(" ",F419&amp;" ",N10+1)-1)))</f>
        <v>1</v>
      </c>
      <c r="N419" s="119">
        <f t="shared" si="47"/>
        <v>402</v>
      </c>
      <c r="O419" s="99" t="str">
        <f t="shared" si="48"/>
        <v>0</v>
      </c>
      <c r="P419" s="119">
        <f t="shared" si="49"/>
        <v>1</v>
      </c>
      <c r="Q419" s="119">
        <f t="shared" si="50"/>
        <v>1</v>
      </c>
    </row>
    <row r="420" spans="2:17">
      <c r="B420" s="116"/>
      <c r="C420" s="116"/>
      <c r="D420" s="116"/>
      <c r="E420" s="116" cm="1">
        <f t="array" ref="E420">IF(H419&lt;&gt;"",E419,IF(E419="","",IFERROR(MATCH(TRUE(),INDEX(INDEX(K:K,E419+1):K203&lt;&gt;"",0),0)+E419,"")))</f>
        <v>562</v>
      </c>
      <c r="F420" s="117" cm="1">
        <f t="array" ref="F420">IF(E420="","",IF(H419&lt;&gt;"",H419,INDEX(D:D,E420)))</f>
        <v>0</v>
      </c>
      <c r="G420" s="117" t="str">
        <f t="shared" si="45"/>
        <v>0</v>
      </c>
      <c r="H420" s="118" t="str">
        <f t="shared" si="46"/>
        <v/>
      </c>
      <c r="I420" s="116" t="str">
        <f>IF(AND(F420&lt;&gt;"",N10&gt;0,M420&gt;N10),"Mot &gt; limite","")</f>
        <v/>
      </c>
      <c r="M420" s="70">
        <f>IF(OR(F420="",N10="",N10&lt;=0),"",IF(LEN(F420)&lt;=N10,LEN(F420),IFERROR(FIND("♦",SUBSTITUTE(LEFT(F420,N10)," ","♦",LEN(LEFT(F420,N10))-LEN(SUBSTITUTE(LEFT(F420,N10)," ","")))),FIND(" ",F420&amp;" ",N10+1)-1)))</f>
        <v>1</v>
      </c>
      <c r="N420" s="119">
        <f t="shared" si="47"/>
        <v>403</v>
      </c>
      <c r="O420" s="99" t="str">
        <f t="shared" si="48"/>
        <v>0</v>
      </c>
      <c r="P420" s="119">
        <f t="shared" si="49"/>
        <v>1</v>
      </c>
      <c r="Q420" s="119">
        <f t="shared" si="50"/>
        <v>1</v>
      </c>
    </row>
    <row r="421" spans="2:17">
      <c r="B421" s="116"/>
      <c r="C421" s="116"/>
      <c r="D421" s="116"/>
      <c r="E421" s="116" cm="1">
        <f t="array" ref="E421">IF(H420&lt;&gt;"",E420,IF(E420="","",IFERROR(MATCH(TRUE(),INDEX(INDEX(K:K,E420+1):K203&lt;&gt;"",0),0)+E420,"")))</f>
        <v>563</v>
      </c>
      <c r="F421" s="117" cm="1">
        <f t="array" ref="F421">IF(E421="","",IF(H420&lt;&gt;"",H420,INDEX(D:D,E421)))</f>
        <v>0</v>
      </c>
      <c r="G421" s="117" t="str">
        <f t="shared" si="45"/>
        <v>0</v>
      </c>
      <c r="H421" s="118" t="str">
        <f t="shared" si="46"/>
        <v/>
      </c>
      <c r="I421" s="116" t="str">
        <f>IF(AND(F421&lt;&gt;"",N10&gt;0,M421&gt;N10),"Mot &gt; limite","")</f>
        <v/>
      </c>
      <c r="M421" s="70">
        <f>IF(OR(F421="",N10="",N10&lt;=0),"",IF(LEN(F421)&lt;=N10,LEN(F421),IFERROR(FIND("♦",SUBSTITUTE(LEFT(F421,N10)," ","♦",LEN(LEFT(F421,N10))-LEN(SUBSTITUTE(LEFT(F421,N10)," ","")))),FIND(" ",F421&amp;" ",N10+1)-1)))</f>
        <v>1</v>
      </c>
      <c r="N421" s="119">
        <f t="shared" si="47"/>
        <v>404</v>
      </c>
      <c r="O421" s="99" t="str">
        <f t="shared" si="48"/>
        <v>0</v>
      </c>
      <c r="P421" s="119">
        <f t="shared" si="49"/>
        <v>1</v>
      </c>
      <c r="Q421" s="119">
        <f t="shared" si="50"/>
        <v>1</v>
      </c>
    </row>
    <row r="422" spans="2:17">
      <c r="B422" s="116"/>
      <c r="C422" s="116"/>
      <c r="D422" s="116"/>
      <c r="E422" s="116" cm="1">
        <f t="array" ref="E422">IF(H421&lt;&gt;"",E421,IF(E421="","",IFERROR(MATCH(TRUE(),INDEX(INDEX(K:K,E421+1):K203&lt;&gt;"",0),0)+E421,"")))</f>
        <v>564</v>
      </c>
      <c r="F422" s="117" cm="1">
        <f t="array" ref="F422">IF(E422="","",IF(H421&lt;&gt;"",H421,INDEX(D:D,E422)))</f>
        <v>0</v>
      </c>
      <c r="G422" s="117" t="str">
        <f t="shared" si="45"/>
        <v>0</v>
      </c>
      <c r="H422" s="118" t="str">
        <f t="shared" si="46"/>
        <v/>
      </c>
      <c r="I422" s="116" t="str">
        <f>IF(AND(F422&lt;&gt;"",N10&gt;0,M422&gt;N10),"Mot &gt; limite","")</f>
        <v/>
      </c>
      <c r="M422" s="70">
        <f>IF(OR(F422="",N10="",N10&lt;=0),"",IF(LEN(F422)&lt;=N10,LEN(F422),IFERROR(FIND("♦",SUBSTITUTE(LEFT(F422,N10)," ","♦",LEN(LEFT(F422,N10))-LEN(SUBSTITUTE(LEFT(F422,N10)," ","")))),FIND(" ",F422&amp;" ",N10+1)-1)))</f>
        <v>1</v>
      </c>
      <c r="N422" s="119">
        <f t="shared" si="47"/>
        <v>405</v>
      </c>
      <c r="O422" s="99" t="str">
        <f t="shared" si="48"/>
        <v>0</v>
      </c>
      <c r="P422" s="119">
        <f t="shared" si="49"/>
        <v>1</v>
      </c>
      <c r="Q422" s="119">
        <f t="shared" si="50"/>
        <v>1</v>
      </c>
    </row>
    <row r="423" spans="2:17">
      <c r="B423" s="116"/>
      <c r="C423" s="116"/>
      <c r="D423" s="116"/>
      <c r="E423" s="116" cm="1">
        <f t="array" ref="E423">IF(H422&lt;&gt;"",E422,IF(E422="","",IFERROR(MATCH(TRUE(),INDEX(INDEX(K:K,E422+1):K203&lt;&gt;"",0),0)+E422,"")))</f>
        <v>565</v>
      </c>
      <c r="F423" s="117" cm="1">
        <f t="array" ref="F423">IF(E423="","",IF(H422&lt;&gt;"",H422,INDEX(D:D,E423)))</f>
        <v>0</v>
      </c>
      <c r="G423" s="117" t="str">
        <f t="shared" si="45"/>
        <v>0</v>
      </c>
      <c r="H423" s="118" t="str">
        <f t="shared" si="46"/>
        <v/>
      </c>
      <c r="I423" s="116" t="str">
        <f>IF(AND(F423&lt;&gt;"",N10&gt;0,M423&gt;N10),"Mot &gt; limite","")</f>
        <v/>
      </c>
      <c r="M423" s="70">
        <f>IF(OR(F423="",N10="",N10&lt;=0),"",IF(LEN(F423)&lt;=N10,LEN(F423),IFERROR(FIND("♦",SUBSTITUTE(LEFT(F423,N10)," ","♦",LEN(LEFT(F423,N10))-LEN(SUBSTITUTE(LEFT(F423,N10)," ","")))),FIND(" ",F423&amp;" ",N10+1)-1)))</f>
        <v>1</v>
      </c>
      <c r="N423" s="119">
        <f t="shared" si="47"/>
        <v>406</v>
      </c>
      <c r="O423" s="99" t="str">
        <f t="shared" si="48"/>
        <v>0</v>
      </c>
      <c r="P423" s="119">
        <f t="shared" si="49"/>
        <v>1</v>
      </c>
      <c r="Q423" s="119">
        <f t="shared" si="50"/>
        <v>1</v>
      </c>
    </row>
    <row r="424" spans="2:17">
      <c r="B424" s="116"/>
      <c r="C424" s="116"/>
      <c r="D424" s="116"/>
      <c r="E424" s="116" cm="1">
        <f t="array" ref="E424">IF(H423&lt;&gt;"",E423,IF(E423="","",IFERROR(MATCH(TRUE(),INDEX(INDEX(K:K,E423+1):K203&lt;&gt;"",0),0)+E423,"")))</f>
        <v>566</v>
      </c>
      <c r="F424" s="117" cm="1">
        <f t="array" ref="F424">IF(E424="","",IF(H423&lt;&gt;"",H423,INDEX(D:D,E424)))</f>
        <v>0</v>
      </c>
      <c r="G424" s="117" t="str">
        <f t="shared" si="45"/>
        <v>0</v>
      </c>
      <c r="H424" s="118" t="str">
        <f t="shared" si="46"/>
        <v/>
      </c>
      <c r="I424" s="116" t="str">
        <f>IF(AND(F424&lt;&gt;"",N10&gt;0,M424&gt;N10),"Mot &gt; limite","")</f>
        <v/>
      </c>
      <c r="M424" s="70">
        <f>IF(OR(F424="",N10="",N10&lt;=0),"",IF(LEN(F424)&lt;=N10,LEN(F424),IFERROR(FIND("♦",SUBSTITUTE(LEFT(F424,N10)," ","♦",LEN(LEFT(F424,N10))-LEN(SUBSTITUTE(LEFT(F424,N10)," ","")))),FIND(" ",F424&amp;" ",N10+1)-1)))</f>
        <v>1</v>
      </c>
      <c r="N424" s="119">
        <f t="shared" si="47"/>
        <v>407</v>
      </c>
      <c r="O424" s="99" t="str">
        <f t="shared" si="48"/>
        <v>0</v>
      </c>
      <c r="P424" s="119">
        <f t="shared" si="49"/>
        <v>1</v>
      </c>
      <c r="Q424" s="119">
        <f t="shared" si="50"/>
        <v>1</v>
      </c>
    </row>
    <row r="425" spans="2:17">
      <c r="B425" s="116"/>
      <c r="C425" s="116"/>
      <c r="D425" s="116"/>
      <c r="E425" s="116" cm="1">
        <f t="array" ref="E425">IF(H424&lt;&gt;"",E424,IF(E424="","",IFERROR(MATCH(TRUE(),INDEX(INDEX(K:K,E424+1):K203&lt;&gt;"",0),0)+E424,"")))</f>
        <v>567</v>
      </c>
      <c r="F425" s="117" cm="1">
        <f t="array" ref="F425">IF(E425="","",IF(H424&lt;&gt;"",H424,INDEX(D:D,E425)))</f>
        <v>0</v>
      </c>
      <c r="G425" s="117" t="str">
        <f t="shared" si="45"/>
        <v>0</v>
      </c>
      <c r="H425" s="118" t="str">
        <f t="shared" si="46"/>
        <v/>
      </c>
      <c r="I425" s="116" t="str">
        <f>IF(AND(F425&lt;&gt;"",N10&gt;0,M425&gt;N10),"Mot &gt; limite","")</f>
        <v/>
      </c>
      <c r="M425" s="70">
        <f>IF(OR(F425="",N10="",N10&lt;=0),"",IF(LEN(F425)&lt;=N10,LEN(F425),IFERROR(FIND("♦",SUBSTITUTE(LEFT(F425,N10)," ","♦",LEN(LEFT(F425,N10))-LEN(SUBSTITUTE(LEFT(F425,N10)," ","")))),FIND(" ",F425&amp;" ",N10+1)-1)))</f>
        <v>1</v>
      </c>
      <c r="N425" s="119">
        <f t="shared" si="47"/>
        <v>408</v>
      </c>
      <c r="O425" s="99" t="str">
        <f t="shared" si="48"/>
        <v>0</v>
      </c>
      <c r="P425" s="119">
        <f t="shared" si="49"/>
        <v>1</v>
      </c>
      <c r="Q425" s="119">
        <f t="shared" si="50"/>
        <v>1</v>
      </c>
    </row>
    <row r="426" spans="2:17">
      <c r="B426" s="116"/>
      <c r="C426" s="116"/>
      <c r="D426" s="116"/>
      <c r="E426" s="116" cm="1">
        <f t="array" ref="E426">IF(H425&lt;&gt;"",E425,IF(E425="","",IFERROR(MATCH(TRUE(),INDEX(INDEX(K:K,E425+1):K203&lt;&gt;"",0),0)+E425,"")))</f>
        <v>568</v>
      </c>
      <c r="F426" s="117" cm="1">
        <f t="array" ref="F426">IF(E426="","",IF(H425&lt;&gt;"",H425,INDEX(D:D,E426)))</f>
        <v>0</v>
      </c>
      <c r="G426" s="117" t="str">
        <f t="shared" si="45"/>
        <v>0</v>
      </c>
      <c r="H426" s="118" t="str">
        <f t="shared" si="46"/>
        <v/>
      </c>
      <c r="I426" s="116" t="str">
        <f>IF(AND(F426&lt;&gt;"",N10&gt;0,M426&gt;N10),"Mot &gt; limite","")</f>
        <v/>
      </c>
      <c r="M426" s="70">
        <f>IF(OR(F426="",N10="",N10&lt;=0),"",IF(LEN(F426)&lt;=N10,LEN(F426),IFERROR(FIND("♦",SUBSTITUTE(LEFT(F426,N10)," ","♦",LEN(LEFT(F426,N10))-LEN(SUBSTITUTE(LEFT(F426,N10)," ","")))),FIND(" ",F426&amp;" ",N10+1)-1)))</f>
        <v>1</v>
      </c>
      <c r="N426" s="119">
        <f t="shared" si="47"/>
        <v>409</v>
      </c>
      <c r="O426" s="99" t="str">
        <f t="shared" si="48"/>
        <v>0</v>
      </c>
      <c r="P426" s="119">
        <f t="shared" si="49"/>
        <v>1</v>
      </c>
      <c r="Q426" s="119">
        <f t="shared" si="50"/>
        <v>1</v>
      </c>
    </row>
    <row r="427" spans="2:17">
      <c r="B427" s="116"/>
      <c r="C427" s="116"/>
      <c r="D427" s="116"/>
      <c r="E427" s="116" cm="1">
        <f t="array" ref="E427">IF(H426&lt;&gt;"",E426,IF(E426="","",IFERROR(MATCH(TRUE(),INDEX(INDEX(K:K,E426+1):K203&lt;&gt;"",0),0)+E426,"")))</f>
        <v>569</v>
      </c>
      <c r="F427" s="117" cm="1">
        <f t="array" ref="F427">IF(E427="","",IF(H426&lt;&gt;"",H426,INDEX(D:D,E427)))</f>
        <v>0</v>
      </c>
      <c r="G427" s="117" t="str">
        <f t="shared" si="45"/>
        <v>0</v>
      </c>
      <c r="H427" s="118" t="str">
        <f t="shared" si="46"/>
        <v/>
      </c>
      <c r="I427" s="116" t="str">
        <f>IF(AND(F427&lt;&gt;"",N10&gt;0,M427&gt;N10),"Mot &gt; limite","")</f>
        <v/>
      </c>
      <c r="M427" s="70">
        <f>IF(OR(F427="",N10="",N10&lt;=0),"",IF(LEN(F427)&lt;=N10,LEN(F427),IFERROR(FIND("♦",SUBSTITUTE(LEFT(F427,N10)," ","♦",LEN(LEFT(F427,N10))-LEN(SUBSTITUTE(LEFT(F427,N10)," ","")))),FIND(" ",F427&amp;" ",N10+1)-1)))</f>
        <v>1</v>
      </c>
      <c r="N427" s="119">
        <f t="shared" si="47"/>
        <v>410</v>
      </c>
      <c r="O427" s="99" t="str">
        <f t="shared" si="48"/>
        <v>0</v>
      </c>
      <c r="P427" s="119">
        <f t="shared" si="49"/>
        <v>1</v>
      </c>
      <c r="Q427" s="119">
        <f t="shared" si="50"/>
        <v>1</v>
      </c>
    </row>
    <row r="428" spans="2:17">
      <c r="B428" s="116"/>
      <c r="C428" s="116"/>
      <c r="D428" s="116"/>
      <c r="E428" s="116" cm="1">
        <f t="array" ref="E428">IF(H427&lt;&gt;"",E427,IF(E427="","",IFERROR(MATCH(TRUE(),INDEX(INDEX(K:K,E427+1):K203&lt;&gt;"",0),0)+E427,"")))</f>
        <v>570</v>
      </c>
      <c r="F428" s="117" cm="1">
        <f t="array" ref="F428">IF(E428="","",IF(H427&lt;&gt;"",H427,INDEX(D:D,E428)))</f>
        <v>0</v>
      </c>
      <c r="G428" s="117" t="str">
        <f t="shared" si="45"/>
        <v>0</v>
      </c>
      <c r="H428" s="118" t="str">
        <f t="shared" si="46"/>
        <v/>
      </c>
      <c r="I428" s="116" t="str">
        <f>IF(AND(F428&lt;&gt;"",N10&gt;0,M428&gt;N10),"Mot &gt; limite","")</f>
        <v/>
      </c>
      <c r="M428" s="70">
        <f>IF(OR(F428="",N10="",N10&lt;=0),"",IF(LEN(F428)&lt;=N10,LEN(F428),IFERROR(FIND("♦",SUBSTITUTE(LEFT(F428,N10)," ","♦",LEN(LEFT(F428,N10))-LEN(SUBSTITUTE(LEFT(F428,N10)," ","")))),FIND(" ",F428&amp;" ",N10+1)-1)))</f>
        <v>1</v>
      </c>
      <c r="N428" s="119">
        <f t="shared" si="47"/>
        <v>411</v>
      </c>
      <c r="O428" s="99" t="str">
        <f t="shared" si="48"/>
        <v>0</v>
      </c>
      <c r="P428" s="119">
        <f t="shared" si="49"/>
        <v>1</v>
      </c>
      <c r="Q428" s="119">
        <f t="shared" si="50"/>
        <v>1</v>
      </c>
    </row>
    <row r="429" spans="2:17">
      <c r="B429" s="116"/>
      <c r="C429" s="116"/>
      <c r="D429" s="116"/>
      <c r="E429" s="116" cm="1">
        <f t="array" ref="E429">IF(H428&lt;&gt;"",E428,IF(E428="","",IFERROR(MATCH(TRUE(),INDEX(INDEX(K:K,E428+1):K203&lt;&gt;"",0),0)+E428,"")))</f>
        <v>571</v>
      </c>
      <c r="F429" s="117" cm="1">
        <f t="array" ref="F429">IF(E429="","",IF(H428&lt;&gt;"",H428,INDEX(D:D,E429)))</f>
        <v>0</v>
      </c>
      <c r="G429" s="117" t="str">
        <f t="shared" si="45"/>
        <v>0</v>
      </c>
      <c r="H429" s="118" t="str">
        <f t="shared" si="46"/>
        <v/>
      </c>
      <c r="I429" s="116" t="str">
        <f>IF(AND(F429&lt;&gt;"",N10&gt;0,M429&gt;N10),"Mot &gt; limite","")</f>
        <v/>
      </c>
      <c r="M429" s="70">
        <f>IF(OR(F429="",N10="",N10&lt;=0),"",IF(LEN(F429)&lt;=N10,LEN(F429),IFERROR(FIND("♦",SUBSTITUTE(LEFT(F429,N10)," ","♦",LEN(LEFT(F429,N10))-LEN(SUBSTITUTE(LEFT(F429,N10)," ","")))),FIND(" ",F429&amp;" ",N10+1)-1)))</f>
        <v>1</v>
      </c>
      <c r="N429" s="119">
        <f t="shared" si="47"/>
        <v>412</v>
      </c>
      <c r="O429" s="99" t="str">
        <f t="shared" si="48"/>
        <v>0</v>
      </c>
      <c r="P429" s="119">
        <f t="shared" si="49"/>
        <v>1</v>
      </c>
      <c r="Q429" s="119">
        <f t="shared" si="50"/>
        <v>1</v>
      </c>
    </row>
    <row r="430" spans="2:17">
      <c r="B430" s="116"/>
      <c r="C430" s="116"/>
      <c r="D430" s="116"/>
      <c r="E430" s="116" cm="1">
        <f t="array" ref="E430">IF(H429&lt;&gt;"",E429,IF(E429="","",IFERROR(MATCH(TRUE(),INDEX(INDEX(K:K,E429+1):K203&lt;&gt;"",0),0)+E429,"")))</f>
        <v>572</v>
      </c>
      <c r="F430" s="117" cm="1">
        <f t="array" ref="F430">IF(E430="","",IF(H429&lt;&gt;"",H429,INDEX(D:D,E430)))</f>
        <v>0</v>
      </c>
      <c r="G430" s="117" t="str">
        <f t="shared" si="45"/>
        <v>0</v>
      </c>
      <c r="H430" s="118" t="str">
        <f t="shared" si="46"/>
        <v/>
      </c>
      <c r="I430" s="116" t="str">
        <f>IF(AND(F430&lt;&gt;"",N10&gt;0,M430&gt;N10),"Mot &gt; limite","")</f>
        <v/>
      </c>
      <c r="M430" s="70">
        <f>IF(OR(F430="",N10="",N10&lt;=0),"",IF(LEN(F430)&lt;=N10,LEN(F430),IFERROR(FIND("♦",SUBSTITUTE(LEFT(F430,N10)," ","♦",LEN(LEFT(F430,N10))-LEN(SUBSTITUTE(LEFT(F430,N10)," ","")))),FIND(" ",F430&amp;" ",N10+1)-1)))</f>
        <v>1</v>
      </c>
      <c r="N430" s="119">
        <f t="shared" si="47"/>
        <v>413</v>
      </c>
      <c r="O430" s="99" t="str">
        <f t="shared" si="48"/>
        <v>0</v>
      </c>
      <c r="P430" s="119">
        <f t="shared" si="49"/>
        <v>1</v>
      </c>
      <c r="Q430" s="119">
        <f t="shared" si="50"/>
        <v>1</v>
      </c>
    </row>
    <row r="431" spans="2:17">
      <c r="B431" s="116"/>
      <c r="C431" s="116"/>
      <c r="D431" s="116"/>
      <c r="E431" s="116" cm="1">
        <f t="array" ref="E431">IF(H430&lt;&gt;"",E430,IF(E430="","",IFERROR(MATCH(TRUE(),INDEX(INDEX(K:K,E430+1):K203&lt;&gt;"",0),0)+E430,"")))</f>
        <v>573</v>
      </c>
      <c r="F431" s="117" cm="1">
        <f t="array" ref="F431">IF(E431="","",IF(H430&lt;&gt;"",H430,INDEX(D:D,E431)))</f>
        <v>0</v>
      </c>
      <c r="G431" s="117" t="str">
        <f t="shared" si="45"/>
        <v>0</v>
      </c>
      <c r="H431" s="118" t="str">
        <f t="shared" si="46"/>
        <v/>
      </c>
      <c r="I431" s="116" t="str">
        <f>IF(AND(F431&lt;&gt;"",N10&gt;0,M431&gt;N10),"Mot &gt; limite","")</f>
        <v/>
      </c>
      <c r="M431" s="70">
        <f>IF(OR(F431="",N10="",N10&lt;=0),"",IF(LEN(F431)&lt;=N10,LEN(F431),IFERROR(FIND("♦",SUBSTITUTE(LEFT(F431,N10)," ","♦",LEN(LEFT(F431,N10))-LEN(SUBSTITUTE(LEFT(F431,N10)," ","")))),FIND(" ",F431&amp;" ",N10+1)-1)))</f>
        <v>1</v>
      </c>
      <c r="N431" s="119">
        <f t="shared" si="47"/>
        <v>414</v>
      </c>
      <c r="O431" s="99" t="str">
        <f t="shared" si="48"/>
        <v>0</v>
      </c>
      <c r="P431" s="119">
        <f t="shared" si="49"/>
        <v>1</v>
      </c>
      <c r="Q431" s="119">
        <f t="shared" si="50"/>
        <v>1</v>
      </c>
    </row>
    <row r="432" spans="2:17">
      <c r="B432" s="116"/>
      <c r="C432" s="116"/>
      <c r="D432" s="116"/>
      <c r="E432" s="116" cm="1">
        <f t="array" ref="E432">IF(H431&lt;&gt;"",E431,IF(E431="","",IFERROR(MATCH(TRUE(),INDEX(INDEX(K:K,E431+1):K203&lt;&gt;"",0),0)+E431,"")))</f>
        <v>574</v>
      </c>
      <c r="F432" s="117" cm="1">
        <f t="array" ref="F432">IF(E432="","",IF(H431&lt;&gt;"",H431,INDEX(D:D,E432)))</f>
        <v>0</v>
      </c>
      <c r="G432" s="117" t="str">
        <f t="shared" si="45"/>
        <v>0</v>
      </c>
      <c r="H432" s="118" t="str">
        <f t="shared" si="46"/>
        <v/>
      </c>
      <c r="I432" s="116" t="str">
        <f>IF(AND(F432&lt;&gt;"",N10&gt;0,M432&gt;N10),"Mot &gt; limite","")</f>
        <v/>
      </c>
      <c r="M432" s="70">
        <f>IF(OR(F432="",N10="",N10&lt;=0),"",IF(LEN(F432)&lt;=N10,LEN(F432),IFERROR(FIND("♦",SUBSTITUTE(LEFT(F432,N10)," ","♦",LEN(LEFT(F432,N10))-LEN(SUBSTITUTE(LEFT(F432,N10)," ","")))),FIND(" ",F432&amp;" ",N10+1)-1)))</f>
        <v>1</v>
      </c>
      <c r="N432" s="119">
        <f t="shared" si="47"/>
        <v>415</v>
      </c>
      <c r="O432" s="99" t="str">
        <f t="shared" si="48"/>
        <v>0</v>
      </c>
      <c r="P432" s="119">
        <f t="shared" si="49"/>
        <v>1</v>
      </c>
      <c r="Q432" s="119">
        <f t="shared" si="50"/>
        <v>1</v>
      </c>
    </row>
    <row r="433" spans="2:17">
      <c r="B433" s="116"/>
      <c r="C433" s="116"/>
      <c r="D433" s="116"/>
      <c r="E433" s="116" cm="1">
        <f t="array" ref="E433">IF(H432&lt;&gt;"",E432,IF(E432="","",IFERROR(MATCH(TRUE(),INDEX(INDEX(K:K,E432+1):K203&lt;&gt;"",0),0)+E432,"")))</f>
        <v>575</v>
      </c>
      <c r="F433" s="117" cm="1">
        <f t="array" ref="F433">IF(E433="","",IF(H432&lt;&gt;"",H432,INDEX(D:D,E433)))</f>
        <v>0</v>
      </c>
      <c r="G433" s="117" t="str">
        <f t="shared" si="45"/>
        <v>0</v>
      </c>
      <c r="H433" s="118" t="str">
        <f t="shared" si="46"/>
        <v/>
      </c>
      <c r="I433" s="116" t="str">
        <f>IF(AND(F433&lt;&gt;"",N10&gt;0,M433&gt;N10),"Mot &gt; limite","")</f>
        <v/>
      </c>
      <c r="M433" s="70">
        <f>IF(OR(F433="",N10="",N10&lt;=0),"",IF(LEN(F433)&lt;=N10,LEN(F433),IFERROR(FIND("♦",SUBSTITUTE(LEFT(F433,N10)," ","♦",LEN(LEFT(F433,N10))-LEN(SUBSTITUTE(LEFT(F433,N10)," ","")))),FIND(" ",F433&amp;" ",N10+1)-1)))</f>
        <v>1</v>
      </c>
      <c r="N433" s="119">
        <f t="shared" si="47"/>
        <v>416</v>
      </c>
      <c r="O433" s="99" t="str">
        <f t="shared" si="48"/>
        <v>0</v>
      </c>
      <c r="P433" s="119">
        <f t="shared" si="49"/>
        <v>1</v>
      </c>
      <c r="Q433" s="119">
        <f t="shared" si="50"/>
        <v>1</v>
      </c>
    </row>
    <row r="434" spans="2:17">
      <c r="B434" s="116"/>
      <c r="C434" s="116"/>
      <c r="D434" s="116"/>
      <c r="E434" s="116" cm="1">
        <f t="array" ref="E434">IF(H433&lt;&gt;"",E433,IF(E433="","",IFERROR(MATCH(TRUE(),INDEX(INDEX(K:K,E433+1):K203&lt;&gt;"",0),0)+E433,"")))</f>
        <v>576</v>
      </c>
      <c r="F434" s="117" cm="1">
        <f t="array" ref="F434">IF(E434="","",IF(H433&lt;&gt;"",H433,INDEX(D:D,E434)))</f>
        <v>0</v>
      </c>
      <c r="G434" s="117" t="str">
        <f t="shared" si="45"/>
        <v>0</v>
      </c>
      <c r="H434" s="118" t="str">
        <f t="shared" si="46"/>
        <v/>
      </c>
      <c r="I434" s="116" t="str">
        <f>IF(AND(F434&lt;&gt;"",N10&gt;0,M434&gt;N10),"Mot &gt; limite","")</f>
        <v/>
      </c>
      <c r="M434" s="70">
        <f>IF(OR(F434="",N10="",N10&lt;=0),"",IF(LEN(F434)&lt;=N10,LEN(F434),IFERROR(FIND("♦",SUBSTITUTE(LEFT(F434,N10)," ","♦",LEN(LEFT(F434,N10))-LEN(SUBSTITUTE(LEFT(F434,N10)," ","")))),FIND(" ",F434&amp;" ",N10+1)-1)))</f>
        <v>1</v>
      </c>
      <c r="N434" s="119">
        <f t="shared" si="47"/>
        <v>417</v>
      </c>
      <c r="O434" s="99" t="str">
        <f t="shared" si="48"/>
        <v>0</v>
      </c>
      <c r="P434" s="119">
        <f t="shared" si="49"/>
        <v>1</v>
      </c>
      <c r="Q434" s="119">
        <f t="shared" si="50"/>
        <v>1</v>
      </c>
    </row>
    <row r="435" spans="2:17">
      <c r="B435" s="116"/>
      <c r="C435" s="116"/>
      <c r="D435" s="116"/>
      <c r="E435" s="116" cm="1">
        <f t="array" ref="E435">IF(H434&lt;&gt;"",E434,IF(E434="","",IFERROR(MATCH(TRUE(),INDEX(INDEX(K:K,E434+1):K203&lt;&gt;"",0),0)+E434,"")))</f>
        <v>577</v>
      </c>
      <c r="F435" s="117" cm="1">
        <f t="array" ref="F435">IF(E435="","",IF(H434&lt;&gt;"",H434,INDEX(D:D,E435)))</f>
        <v>0</v>
      </c>
      <c r="G435" s="117" t="str">
        <f t="shared" si="45"/>
        <v>0</v>
      </c>
      <c r="H435" s="118" t="str">
        <f t="shared" si="46"/>
        <v/>
      </c>
      <c r="I435" s="116" t="str">
        <f>IF(AND(F435&lt;&gt;"",N10&gt;0,M435&gt;N10),"Mot &gt; limite","")</f>
        <v/>
      </c>
      <c r="M435" s="70">
        <f>IF(OR(F435="",N10="",N10&lt;=0),"",IF(LEN(F435)&lt;=N10,LEN(F435),IFERROR(FIND("♦",SUBSTITUTE(LEFT(F435,N10)," ","♦",LEN(LEFT(F435,N10))-LEN(SUBSTITUTE(LEFT(F435,N10)," ","")))),FIND(" ",F435&amp;" ",N10+1)-1)))</f>
        <v>1</v>
      </c>
      <c r="N435" s="119">
        <f t="shared" si="47"/>
        <v>418</v>
      </c>
      <c r="O435" s="99" t="str">
        <f t="shared" si="48"/>
        <v>0</v>
      </c>
      <c r="P435" s="119">
        <f t="shared" si="49"/>
        <v>1</v>
      </c>
      <c r="Q435" s="119">
        <f t="shared" si="50"/>
        <v>1</v>
      </c>
    </row>
    <row r="436" spans="2:17">
      <c r="B436" s="116"/>
      <c r="C436" s="116"/>
      <c r="D436" s="116"/>
      <c r="E436" s="116" cm="1">
        <f t="array" ref="E436">IF(H435&lt;&gt;"",E435,IF(E435="","",IFERROR(MATCH(TRUE(),INDEX(INDEX(K:K,E435+1):K203&lt;&gt;"",0),0)+E435,"")))</f>
        <v>578</v>
      </c>
      <c r="F436" s="117" cm="1">
        <f t="array" ref="F436">IF(E436="","",IF(H435&lt;&gt;"",H435,INDEX(D:D,E436)))</f>
        <v>0</v>
      </c>
      <c r="G436" s="117" t="str">
        <f t="shared" si="45"/>
        <v>0</v>
      </c>
      <c r="H436" s="118" t="str">
        <f t="shared" si="46"/>
        <v/>
      </c>
      <c r="I436" s="116" t="str">
        <f>IF(AND(F436&lt;&gt;"",N10&gt;0,M436&gt;N10),"Mot &gt; limite","")</f>
        <v/>
      </c>
      <c r="M436" s="70">
        <f>IF(OR(F436="",N10="",N10&lt;=0),"",IF(LEN(F436)&lt;=N10,LEN(F436),IFERROR(FIND("♦",SUBSTITUTE(LEFT(F436,N10)," ","♦",LEN(LEFT(F436,N10))-LEN(SUBSTITUTE(LEFT(F436,N10)," ","")))),FIND(" ",F436&amp;" ",N10+1)-1)))</f>
        <v>1</v>
      </c>
      <c r="N436" s="119">
        <f t="shared" si="47"/>
        <v>419</v>
      </c>
      <c r="O436" s="99" t="str">
        <f t="shared" si="48"/>
        <v>0</v>
      </c>
      <c r="P436" s="119">
        <f t="shared" si="49"/>
        <v>1</v>
      </c>
      <c r="Q436" s="119">
        <f t="shared" si="50"/>
        <v>1</v>
      </c>
    </row>
    <row r="437" spans="2:17">
      <c r="B437" s="116"/>
      <c r="C437" s="116"/>
      <c r="D437" s="116"/>
      <c r="E437" s="116" cm="1">
        <f t="array" ref="E437">IF(H436&lt;&gt;"",E436,IF(E436="","",IFERROR(MATCH(TRUE(),INDEX(INDEX(K:K,E436+1):K203&lt;&gt;"",0),0)+E436,"")))</f>
        <v>579</v>
      </c>
      <c r="F437" s="117" cm="1">
        <f t="array" ref="F437">IF(E437="","",IF(H436&lt;&gt;"",H436,INDEX(D:D,E437)))</f>
        <v>0</v>
      </c>
      <c r="G437" s="117" t="str">
        <f t="shared" si="45"/>
        <v>0</v>
      </c>
      <c r="H437" s="118" t="str">
        <f t="shared" si="46"/>
        <v/>
      </c>
      <c r="I437" s="116" t="str">
        <f>IF(AND(F437&lt;&gt;"",N10&gt;0,M437&gt;N10),"Mot &gt; limite","")</f>
        <v/>
      </c>
      <c r="M437" s="70">
        <f>IF(OR(F437="",N10="",N10&lt;=0),"",IF(LEN(F437)&lt;=N10,LEN(F437),IFERROR(FIND("♦",SUBSTITUTE(LEFT(F437,N10)," ","♦",LEN(LEFT(F437,N10))-LEN(SUBSTITUTE(LEFT(F437,N10)," ","")))),FIND(" ",F437&amp;" ",N10+1)-1)))</f>
        <v>1</v>
      </c>
      <c r="N437" s="119">
        <f t="shared" si="47"/>
        <v>420</v>
      </c>
      <c r="O437" s="99" t="str">
        <f t="shared" si="48"/>
        <v>0</v>
      </c>
      <c r="P437" s="119">
        <f t="shared" si="49"/>
        <v>1</v>
      </c>
      <c r="Q437" s="119">
        <f t="shared" si="50"/>
        <v>1</v>
      </c>
    </row>
    <row r="438" spans="2:17">
      <c r="B438" s="116"/>
      <c r="C438" s="116"/>
      <c r="D438" s="116"/>
      <c r="E438" s="116" cm="1">
        <f t="array" ref="E438">IF(H437&lt;&gt;"",E437,IF(E437="","",IFERROR(MATCH(TRUE(),INDEX(INDEX(K:K,E437+1):K203&lt;&gt;"",0),0)+E437,"")))</f>
        <v>580</v>
      </c>
      <c r="F438" s="117" cm="1">
        <f t="array" ref="F438">IF(E438="","",IF(H437&lt;&gt;"",H437,INDEX(D:D,E438)))</f>
        <v>0</v>
      </c>
      <c r="G438" s="117" t="str">
        <f t="shared" si="45"/>
        <v>0</v>
      </c>
      <c r="H438" s="118" t="str">
        <f t="shared" si="46"/>
        <v/>
      </c>
      <c r="I438" s="116" t="str">
        <f>IF(AND(F438&lt;&gt;"",N10&gt;0,M438&gt;N10),"Mot &gt; limite","")</f>
        <v/>
      </c>
      <c r="M438" s="70">
        <f>IF(OR(F438="",N10="",N10&lt;=0),"",IF(LEN(F438)&lt;=N10,LEN(F438),IFERROR(FIND("♦",SUBSTITUTE(LEFT(F438,N10)," ","♦",LEN(LEFT(F438,N10))-LEN(SUBSTITUTE(LEFT(F438,N10)," ","")))),FIND(" ",F438&amp;" ",N10+1)-1)))</f>
        <v>1</v>
      </c>
      <c r="N438" s="119">
        <f t="shared" si="47"/>
        <v>421</v>
      </c>
      <c r="O438" s="99" t="str">
        <f t="shared" si="48"/>
        <v>0</v>
      </c>
      <c r="P438" s="119">
        <f t="shared" si="49"/>
        <v>1</v>
      </c>
      <c r="Q438" s="119">
        <f t="shared" si="50"/>
        <v>1</v>
      </c>
    </row>
    <row r="439" spans="2:17">
      <c r="B439" s="116"/>
      <c r="C439" s="116"/>
      <c r="D439" s="116"/>
      <c r="E439" s="116" cm="1">
        <f t="array" ref="E439">IF(H438&lt;&gt;"",E438,IF(E438="","",IFERROR(MATCH(TRUE(),INDEX(INDEX(K:K,E438+1):K203&lt;&gt;"",0),0)+E438,"")))</f>
        <v>581</v>
      </c>
      <c r="F439" s="117" cm="1">
        <f t="array" ref="F439">IF(E439="","",IF(H438&lt;&gt;"",H438,INDEX(D:D,E439)))</f>
        <v>0</v>
      </c>
      <c r="G439" s="117" t="str">
        <f t="shared" si="45"/>
        <v>0</v>
      </c>
      <c r="H439" s="118" t="str">
        <f t="shared" si="46"/>
        <v/>
      </c>
      <c r="I439" s="116" t="str">
        <f>IF(AND(F439&lt;&gt;"",N10&gt;0,M439&gt;N10),"Mot &gt; limite","")</f>
        <v/>
      </c>
      <c r="M439" s="70">
        <f>IF(OR(F439="",N10="",N10&lt;=0),"",IF(LEN(F439)&lt;=N10,LEN(F439),IFERROR(FIND("♦",SUBSTITUTE(LEFT(F439,N10)," ","♦",LEN(LEFT(F439,N10))-LEN(SUBSTITUTE(LEFT(F439,N10)," ","")))),FIND(" ",F439&amp;" ",N10+1)-1)))</f>
        <v>1</v>
      </c>
      <c r="N439" s="119">
        <f t="shared" si="47"/>
        <v>422</v>
      </c>
      <c r="O439" s="99" t="str">
        <f t="shared" si="48"/>
        <v>0</v>
      </c>
      <c r="P439" s="119">
        <f t="shared" si="49"/>
        <v>1</v>
      </c>
      <c r="Q439" s="119">
        <f t="shared" si="50"/>
        <v>1</v>
      </c>
    </row>
    <row r="440" spans="2:17">
      <c r="B440" s="116"/>
      <c r="C440" s="116"/>
      <c r="D440" s="116"/>
      <c r="E440" s="116" cm="1">
        <f t="array" ref="E440">IF(H439&lt;&gt;"",E439,IF(E439="","",IFERROR(MATCH(TRUE(),INDEX(INDEX(K:K,E439+1):K203&lt;&gt;"",0),0)+E439,"")))</f>
        <v>582</v>
      </c>
      <c r="F440" s="117" cm="1">
        <f t="array" ref="F440">IF(E440="","",IF(H439&lt;&gt;"",H439,INDEX(D:D,E440)))</f>
        <v>0</v>
      </c>
      <c r="G440" s="117" t="str">
        <f t="shared" si="45"/>
        <v>0</v>
      </c>
      <c r="H440" s="118" t="str">
        <f t="shared" si="46"/>
        <v/>
      </c>
      <c r="I440" s="116" t="str">
        <f>IF(AND(F440&lt;&gt;"",N10&gt;0,M440&gt;N10),"Mot &gt; limite","")</f>
        <v/>
      </c>
      <c r="M440" s="70">
        <f>IF(OR(F440="",N10="",N10&lt;=0),"",IF(LEN(F440)&lt;=N10,LEN(F440),IFERROR(FIND("♦",SUBSTITUTE(LEFT(F440,N10)," ","♦",LEN(LEFT(F440,N10))-LEN(SUBSTITUTE(LEFT(F440,N10)," ","")))),FIND(" ",F440&amp;" ",N10+1)-1)))</f>
        <v>1</v>
      </c>
      <c r="N440" s="119">
        <f t="shared" si="47"/>
        <v>423</v>
      </c>
      <c r="O440" s="99" t="str">
        <f t="shared" si="48"/>
        <v>0</v>
      </c>
      <c r="P440" s="119">
        <f t="shared" si="49"/>
        <v>1</v>
      </c>
      <c r="Q440" s="119">
        <f t="shared" si="50"/>
        <v>1</v>
      </c>
    </row>
    <row r="441" spans="2:17">
      <c r="B441" s="116"/>
      <c r="C441" s="116"/>
      <c r="D441" s="116"/>
      <c r="E441" s="116" cm="1">
        <f t="array" ref="E441">IF(H440&lt;&gt;"",E440,IF(E440="","",IFERROR(MATCH(TRUE(),INDEX(INDEX(K:K,E440+1):K203&lt;&gt;"",0),0)+E440,"")))</f>
        <v>583</v>
      </c>
      <c r="F441" s="117" cm="1">
        <f t="array" ref="F441">IF(E441="","",IF(H440&lt;&gt;"",H440,INDEX(D:D,E441)))</f>
        <v>0</v>
      </c>
      <c r="G441" s="117" t="str">
        <f t="shared" si="45"/>
        <v>0</v>
      </c>
      <c r="H441" s="118" t="str">
        <f t="shared" si="46"/>
        <v/>
      </c>
      <c r="I441" s="116" t="str">
        <f>IF(AND(F441&lt;&gt;"",N10&gt;0,M441&gt;N10),"Mot &gt; limite","")</f>
        <v/>
      </c>
      <c r="M441" s="70">
        <f>IF(OR(F441="",N10="",N10&lt;=0),"",IF(LEN(F441)&lt;=N10,LEN(F441),IFERROR(FIND("♦",SUBSTITUTE(LEFT(F441,N10)," ","♦",LEN(LEFT(F441,N10))-LEN(SUBSTITUTE(LEFT(F441,N10)," ","")))),FIND(" ",F441&amp;" ",N10+1)-1)))</f>
        <v>1</v>
      </c>
      <c r="N441" s="119">
        <f t="shared" si="47"/>
        <v>424</v>
      </c>
      <c r="O441" s="99" t="str">
        <f t="shared" si="48"/>
        <v>0</v>
      </c>
      <c r="P441" s="119">
        <f t="shared" si="49"/>
        <v>1</v>
      </c>
      <c r="Q441" s="119">
        <f t="shared" si="50"/>
        <v>1</v>
      </c>
    </row>
    <row r="442" spans="2:17">
      <c r="B442" s="116"/>
      <c r="C442" s="116"/>
      <c r="D442" s="116"/>
      <c r="E442" s="116" cm="1">
        <f t="array" ref="E442">IF(H441&lt;&gt;"",E441,IF(E441="","",IFERROR(MATCH(TRUE(),INDEX(INDEX(K:K,E441+1):K203&lt;&gt;"",0),0)+E441,"")))</f>
        <v>584</v>
      </c>
      <c r="F442" s="117" cm="1">
        <f t="array" ref="F442">IF(E442="","",IF(H441&lt;&gt;"",H441,INDEX(D:D,E442)))</f>
        <v>0</v>
      </c>
      <c r="G442" s="117" t="str">
        <f t="shared" si="45"/>
        <v>0</v>
      </c>
      <c r="H442" s="118" t="str">
        <f t="shared" si="46"/>
        <v/>
      </c>
      <c r="I442" s="116" t="str">
        <f>IF(AND(F442&lt;&gt;"",N10&gt;0,M442&gt;N10),"Mot &gt; limite","")</f>
        <v/>
      </c>
      <c r="M442" s="70">
        <f>IF(OR(F442="",N10="",N10&lt;=0),"",IF(LEN(F442)&lt;=N10,LEN(F442),IFERROR(FIND("♦",SUBSTITUTE(LEFT(F442,N10)," ","♦",LEN(LEFT(F442,N10))-LEN(SUBSTITUTE(LEFT(F442,N10)," ","")))),FIND(" ",F442&amp;" ",N10+1)-1)))</f>
        <v>1</v>
      </c>
      <c r="N442" s="119">
        <f t="shared" si="47"/>
        <v>425</v>
      </c>
      <c r="O442" s="99" t="str">
        <f t="shared" si="48"/>
        <v>0</v>
      </c>
      <c r="P442" s="119">
        <f t="shared" si="49"/>
        <v>1</v>
      </c>
      <c r="Q442" s="119">
        <f t="shared" si="50"/>
        <v>1</v>
      </c>
    </row>
    <row r="443" spans="2:17">
      <c r="B443" s="116"/>
      <c r="C443" s="116"/>
      <c r="D443" s="116"/>
      <c r="E443" s="116" cm="1">
        <f t="array" ref="E443">IF(H442&lt;&gt;"",E442,IF(E442="","",IFERROR(MATCH(TRUE(),INDEX(INDEX(K:K,E442+1):K203&lt;&gt;"",0),0)+E442,"")))</f>
        <v>585</v>
      </c>
      <c r="F443" s="117" cm="1">
        <f t="array" ref="F443">IF(E443="","",IF(H442&lt;&gt;"",H442,INDEX(D:D,E443)))</f>
        <v>0</v>
      </c>
      <c r="G443" s="117" t="str">
        <f t="shared" si="45"/>
        <v>0</v>
      </c>
      <c r="H443" s="118" t="str">
        <f t="shared" si="46"/>
        <v/>
      </c>
      <c r="I443" s="116" t="str">
        <f>IF(AND(F443&lt;&gt;"",N10&gt;0,M443&gt;N10),"Mot &gt; limite","")</f>
        <v/>
      </c>
      <c r="M443" s="70">
        <f>IF(OR(F443="",N10="",N10&lt;=0),"",IF(LEN(F443)&lt;=N10,LEN(F443),IFERROR(FIND("♦",SUBSTITUTE(LEFT(F443,N10)," ","♦",LEN(LEFT(F443,N10))-LEN(SUBSTITUTE(LEFT(F443,N10)," ","")))),FIND(" ",F443&amp;" ",N10+1)-1)))</f>
        <v>1</v>
      </c>
      <c r="N443" s="119">
        <f t="shared" si="47"/>
        <v>426</v>
      </c>
      <c r="O443" s="99" t="str">
        <f t="shared" si="48"/>
        <v>0</v>
      </c>
      <c r="P443" s="119">
        <f t="shared" si="49"/>
        <v>1</v>
      </c>
      <c r="Q443" s="119">
        <f t="shared" si="50"/>
        <v>1</v>
      </c>
    </row>
    <row r="444" spans="2:17">
      <c r="B444" s="116"/>
      <c r="C444" s="116"/>
      <c r="D444" s="116"/>
      <c r="E444" s="116" cm="1">
        <f t="array" ref="E444">IF(H443&lt;&gt;"",E443,IF(E443="","",IFERROR(MATCH(TRUE(),INDEX(INDEX(K:K,E443+1):K203&lt;&gt;"",0),0)+E443,"")))</f>
        <v>586</v>
      </c>
      <c r="F444" s="117" cm="1">
        <f t="array" ref="F444">IF(E444="","",IF(H443&lt;&gt;"",H443,INDEX(D:D,E444)))</f>
        <v>0</v>
      </c>
      <c r="G444" s="117" t="str">
        <f t="shared" si="45"/>
        <v>0</v>
      </c>
      <c r="H444" s="118" t="str">
        <f t="shared" si="46"/>
        <v/>
      </c>
      <c r="I444" s="116" t="str">
        <f>IF(AND(F444&lt;&gt;"",N10&gt;0,M444&gt;N10),"Mot &gt; limite","")</f>
        <v/>
      </c>
      <c r="M444" s="70">
        <f>IF(OR(F444="",N10="",N10&lt;=0),"",IF(LEN(F444)&lt;=N10,LEN(F444),IFERROR(FIND("♦",SUBSTITUTE(LEFT(F444,N10)," ","♦",LEN(LEFT(F444,N10))-LEN(SUBSTITUTE(LEFT(F444,N10)," ","")))),FIND(" ",F444&amp;" ",N10+1)-1)))</f>
        <v>1</v>
      </c>
      <c r="N444" s="119">
        <f t="shared" si="47"/>
        <v>427</v>
      </c>
      <c r="O444" s="99" t="str">
        <f t="shared" si="48"/>
        <v>0</v>
      </c>
      <c r="P444" s="119">
        <f t="shared" si="49"/>
        <v>1</v>
      </c>
      <c r="Q444" s="119">
        <f t="shared" si="50"/>
        <v>1</v>
      </c>
    </row>
    <row r="445" spans="2:17">
      <c r="B445" s="116"/>
      <c r="C445" s="116"/>
      <c r="D445" s="116"/>
      <c r="E445" s="116" cm="1">
        <f t="array" ref="E445">IF(H444&lt;&gt;"",E444,IF(E444="","",IFERROR(MATCH(TRUE(),INDEX(INDEX(K:K,E444+1):K203&lt;&gt;"",0),0)+E444,"")))</f>
        <v>587</v>
      </c>
      <c r="F445" s="117" cm="1">
        <f t="array" ref="F445">IF(E445="","",IF(H444&lt;&gt;"",H444,INDEX(D:D,E445)))</f>
        <v>0</v>
      </c>
      <c r="G445" s="117" t="str">
        <f t="shared" si="45"/>
        <v>0</v>
      </c>
      <c r="H445" s="118" t="str">
        <f t="shared" si="46"/>
        <v/>
      </c>
      <c r="I445" s="116" t="str">
        <f>IF(AND(F445&lt;&gt;"",N10&gt;0,M445&gt;N10),"Mot &gt; limite","")</f>
        <v/>
      </c>
      <c r="M445" s="70">
        <f>IF(OR(F445="",N10="",N10&lt;=0),"",IF(LEN(F445)&lt;=N10,LEN(F445),IFERROR(FIND("♦",SUBSTITUTE(LEFT(F445,N10)," ","♦",LEN(LEFT(F445,N10))-LEN(SUBSTITUTE(LEFT(F445,N10)," ","")))),FIND(" ",F445&amp;" ",N10+1)-1)))</f>
        <v>1</v>
      </c>
      <c r="N445" s="119">
        <f t="shared" si="47"/>
        <v>428</v>
      </c>
      <c r="O445" s="99" t="str">
        <f t="shared" si="48"/>
        <v>0</v>
      </c>
      <c r="P445" s="119">
        <f t="shared" si="49"/>
        <v>1</v>
      </c>
      <c r="Q445" s="119">
        <f t="shared" si="50"/>
        <v>1</v>
      </c>
    </row>
    <row r="446" spans="2:17">
      <c r="B446" s="116"/>
      <c r="C446" s="116"/>
      <c r="D446" s="116"/>
      <c r="E446" s="116" cm="1">
        <f t="array" ref="E446">IF(H445&lt;&gt;"",E445,IF(E445="","",IFERROR(MATCH(TRUE(),INDEX(INDEX(K:K,E445+1):K203&lt;&gt;"",0),0)+E445,"")))</f>
        <v>588</v>
      </c>
      <c r="F446" s="117" cm="1">
        <f t="array" ref="F446">IF(E446="","",IF(H445&lt;&gt;"",H445,INDEX(D:D,E446)))</f>
        <v>0</v>
      </c>
      <c r="G446" s="117" t="str">
        <f t="shared" si="45"/>
        <v>0</v>
      </c>
      <c r="H446" s="118" t="str">
        <f t="shared" si="46"/>
        <v/>
      </c>
      <c r="I446" s="116" t="str">
        <f>IF(AND(F446&lt;&gt;"",N10&gt;0,M446&gt;N10),"Mot &gt; limite","")</f>
        <v/>
      </c>
      <c r="M446" s="70">
        <f>IF(OR(F446="",N10="",N10&lt;=0),"",IF(LEN(F446)&lt;=N10,LEN(F446),IFERROR(FIND("♦",SUBSTITUTE(LEFT(F446,N10)," ","♦",LEN(LEFT(F446,N10))-LEN(SUBSTITUTE(LEFT(F446,N10)," ","")))),FIND(" ",F446&amp;" ",N10+1)-1)))</f>
        <v>1</v>
      </c>
      <c r="N446" s="119">
        <f t="shared" si="47"/>
        <v>429</v>
      </c>
      <c r="O446" s="99" t="str">
        <f t="shared" si="48"/>
        <v>0</v>
      </c>
      <c r="P446" s="119">
        <f t="shared" si="49"/>
        <v>1</v>
      </c>
      <c r="Q446" s="119">
        <f t="shared" si="50"/>
        <v>1</v>
      </c>
    </row>
    <row r="447" spans="2:17">
      <c r="B447" s="116"/>
      <c r="C447" s="116"/>
      <c r="D447" s="116"/>
      <c r="E447" s="116" cm="1">
        <f t="array" ref="E447">IF(H446&lt;&gt;"",E446,IF(E446="","",IFERROR(MATCH(TRUE(),INDEX(INDEX(K:K,E446+1):K203&lt;&gt;"",0),0)+E446,"")))</f>
        <v>589</v>
      </c>
      <c r="F447" s="117" cm="1">
        <f t="array" ref="F447">IF(E447="","",IF(H446&lt;&gt;"",H446,INDEX(D:D,E447)))</f>
        <v>0</v>
      </c>
      <c r="G447" s="117" t="str">
        <f t="shared" si="45"/>
        <v>0</v>
      </c>
      <c r="H447" s="118" t="str">
        <f t="shared" si="46"/>
        <v/>
      </c>
      <c r="I447" s="116" t="str">
        <f>IF(AND(F447&lt;&gt;"",N10&gt;0,M447&gt;N10),"Mot &gt; limite","")</f>
        <v/>
      </c>
      <c r="M447" s="70">
        <f>IF(OR(F447="",N10="",N10&lt;=0),"",IF(LEN(F447)&lt;=N10,LEN(F447),IFERROR(FIND("♦",SUBSTITUTE(LEFT(F447,N10)," ","♦",LEN(LEFT(F447,N10))-LEN(SUBSTITUTE(LEFT(F447,N10)," ","")))),FIND(" ",F447&amp;" ",N10+1)-1)))</f>
        <v>1</v>
      </c>
      <c r="N447" s="119">
        <f t="shared" si="47"/>
        <v>430</v>
      </c>
      <c r="O447" s="99" t="str">
        <f t="shared" si="48"/>
        <v>0</v>
      </c>
      <c r="P447" s="119">
        <f t="shared" si="49"/>
        <v>1</v>
      </c>
      <c r="Q447" s="119">
        <f t="shared" si="50"/>
        <v>1</v>
      </c>
    </row>
    <row r="448" spans="2:17">
      <c r="B448" s="116"/>
      <c r="C448" s="116"/>
      <c r="D448" s="116"/>
      <c r="E448" s="116" cm="1">
        <f t="array" ref="E448">IF(H447&lt;&gt;"",E447,IF(E447="","",IFERROR(MATCH(TRUE(),INDEX(INDEX(K:K,E447+1):K203&lt;&gt;"",0),0)+E447,"")))</f>
        <v>590</v>
      </c>
      <c r="F448" s="117" cm="1">
        <f t="array" ref="F448">IF(E448="","",IF(H447&lt;&gt;"",H447,INDEX(D:D,E448)))</f>
        <v>0</v>
      </c>
      <c r="G448" s="117" t="str">
        <f t="shared" si="45"/>
        <v>0</v>
      </c>
      <c r="H448" s="118" t="str">
        <f t="shared" si="46"/>
        <v/>
      </c>
      <c r="I448" s="116" t="str">
        <f>IF(AND(F448&lt;&gt;"",N10&gt;0,M448&gt;N10),"Mot &gt; limite","")</f>
        <v/>
      </c>
      <c r="M448" s="70">
        <f>IF(OR(F448="",N10="",N10&lt;=0),"",IF(LEN(F448)&lt;=N10,LEN(F448),IFERROR(FIND("♦",SUBSTITUTE(LEFT(F448,N10)," ","♦",LEN(LEFT(F448,N10))-LEN(SUBSTITUTE(LEFT(F448,N10)," ","")))),FIND(" ",F448&amp;" ",N10+1)-1)))</f>
        <v>1</v>
      </c>
      <c r="N448" s="119">
        <f t="shared" si="47"/>
        <v>431</v>
      </c>
      <c r="O448" s="99" t="str">
        <f t="shared" si="48"/>
        <v>0</v>
      </c>
      <c r="P448" s="119">
        <f t="shared" si="49"/>
        <v>1</v>
      </c>
      <c r="Q448" s="119">
        <f t="shared" si="50"/>
        <v>1</v>
      </c>
    </row>
    <row r="449" spans="2:17">
      <c r="B449" s="116"/>
      <c r="C449" s="116"/>
      <c r="D449" s="116"/>
      <c r="E449" s="116" cm="1">
        <f t="array" ref="E449">IF(H448&lt;&gt;"",E448,IF(E448="","",IFERROR(MATCH(TRUE(),INDEX(INDEX(K:K,E448+1):K203&lt;&gt;"",0),0)+E448,"")))</f>
        <v>591</v>
      </c>
      <c r="F449" s="117" cm="1">
        <f t="array" ref="F449">IF(E449="","",IF(H448&lt;&gt;"",H448,INDEX(D:D,E449)))</f>
        <v>0</v>
      </c>
      <c r="G449" s="117" t="str">
        <f t="shared" si="45"/>
        <v>0</v>
      </c>
      <c r="H449" s="118" t="str">
        <f t="shared" si="46"/>
        <v/>
      </c>
      <c r="I449" s="116" t="str">
        <f>IF(AND(F449&lt;&gt;"",N10&gt;0,M449&gt;N10),"Mot &gt; limite","")</f>
        <v/>
      </c>
      <c r="M449" s="70">
        <f>IF(OR(F449="",N10="",N10&lt;=0),"",IF(LEN(F449)&lt;=N10,LEN(F449),IFERROR(FIND("♦",SUBSTITUTE(LEFT(F449,N10)," ","♦",LEN(LEFT(F449,N10))-LEN(SUBSTITUTE(LEFT(F449,N10)," ","")))),FIND(" ",F449&amp;" ",N10+1)-1)))</f>
        <v>1</v>
      </c>
      <c r="N449" s="119">
        <f t="shared" si="47"/>
        <v>432</v>
      </c>
      <c r="O449" s="99" t="str">
        <f t="shared" si="48"/>
        <v>0</v>
      </c>
      <c r="P449" s="119">
        <f t="shared" si="49"/>
        <v>1</v>
      </c>
      <c r="Q449" s="119">
        <f t="shared" si="50"/>
        <v>1</v>
      </c>
    </row>
    <row r="450" spans="2:17">
      <c r="B450" s="116"/>
      <c r="C450" s="116"/>
      <c r="D450" s="116"/>
      <c r="E450" s="116" cm="1">
        <f t="array" ref="E450">IF(H449&lt;&gt;"",E449,IF(E449="","",IFERROR(MATCH(TRUE(),INDEX(INDEX(K:K,E449+1):K203&lt;&gt;"",0),0)+E449,"")))</f>
        <v>592</v>
      </c>
      <c r="F450" s="117" cm="1">
        <f t="array" ref="F450">IF(E450="","",IF(H449&lt;&gt;"",H449,INDEX(D:D,E450)))</f>
        <v>0</v>
      </c>
      <c r="G450" s="117" t="str">
        <f t="shared" si="45"/>
        <v>0</v>
      </c>
      <c r="H450" s="118" t="str">
        <f t="shared" si="46"/>
        <v/>
      </c>
      <c r="I450" s="116" t="str">
        <f>IF(AND(F450&lt;&gt;"",N10&gt;0,M450&gt;N10),"Mot &gt; limite","")</f>
        <v/>
      </c>
      <c r="M450" s="70">
        <f>IF(OR(F450="",N10="",N10&lt;=0),"",IF(LEN(F450)&lt;=N10,LEN(F450),IFERROR(FIND("♦",SUBSTITUTE(LEFT(F450,N10)," ","♦",LEN(LEFT(F450,N10))-LEN(SUBSTITUTE(LEFT(F450,N10)," ","")))),FIND(" ",F450&amp;" ",N10+1)-1)))</f>
        <v>1</v>
      </c>
      <c r="N450" s="119">
        <f t="shared" si="47"/>
        <v>433</v>
      </c>
      <c r="O450" s="99" t="str">
        <f t="shared" si="48"/>
        <v>0</v>
      </c>
      <c r="P450" s="119">
        <f t="shared" si="49"/>
        <v>1</v>
      </c>
      <c r="Q450" s="119">
        <f t="shared" si="50"/>
        <v>1</v>
      </c>
    </row>
    <row r="451" spans="2:17">
      <c r="B451" s="116"/>
      <c r="C451" s="116"/>
      <c r="D451" s="116"/>
      <c r="E451" s="116" cm="1">
        <f t="array" ref="E451">IF(H450&lt;&gt;"",E450,IF(E450="","",IFERROR(MATCH(TRUE(),INDEX(INDEX(K:K,E450+1):K203&lt;&gt;"",0),0)+E450,"")))</f>
        <v>593</v>
      </c>
      <c r="F451" s="117" cm="1">
        <f t="array" ref="F451">IF(E451="","",IF(H450&lt;&gt;"",H450,INDEX(D:D,E451)))</f>
        <v>0</v>
      </c>
      <c r="G451" s="117" t="str">
        <f t="shared" si="45"/>
        <v>0</v>
      </c>
      <c r="H451" s="118" t="str">
        <f t="shared" si="46"/>
        <v/>
      </c>
      <c r="I451" s="116" t="str">
        <f>IF(AND(F451&lt;&gt;"",N10&gt;0,M451&gt;N10),"Mot &gt; limite","")</f>
        <v/>
      </c>
      <c r="M451" s="70">
        <f>IF(OR(F451="",N10="",N10&lt;=0),"",IF(LEN(F451)&lt;=N10,LEN(F451),IFERROR(FIND("♦",SUBSTITUTE(LEFT(F451,N10)," ","♦",LEN(LEFT(F451,N10))-LEN(SUBSTITUTE(LEFT(F451,N10)," ","")))),FIND(" ",F451&amp;" ",N10+1)-1)))</f>
        <v>1</v>
      </c>
      <c r="N451" s="119">
        <f t="shared" si="47"/>
        <v>434</v>
      </c>
      <c r="O451" s="99" t="str">
        <f t="shared" si="48"/>
        <v>0</v>
      </c>
      <c r="P451" s="119">
        <f t="shared" si="49"/>
        <v>1</v>
      </c>
      <c r="Q451" s="119">
        <f t="shared" si="50"/>
        <v>1</v>
      </c>
    </row>
    <row r="452" spans="2:17">
      <c r="B452" s="116"/>
      <c r="C452" s="116"/>
      <c r="D452" s="116"/>
      <c r="E452" s="116" cm="1">
        <f t="array" ref="E452">IF(H451&lt;&gt;"",E451,IF(E451="","",IFERROR(MATCH(TRUE(),INDEX(INDEX(K:K,E451+1):K203&lt;&gt;"",0),0)+E451,"")))</f>
        <v>594</v>
      </c>
      <c r="F452" s="117" cm="1">
        <f t="array" ref="F452">IF(E452="","",IF(H451&lt;&gt;"",H451,INDEX(D:D,E452)))</f>
        <v>0</v>
      </c>
      <c r="G452" s="117" t="str">
        <f t="shared" si="45"/>
        <v>0</v>
      </c>
      <c r="H452" s="118" t="str">
        <f t="shared" si="46"/>
        <v/>
      </c>
      <c r="I452" s="116" t="str">
        <f>IF(AND(F452&lt;&gt;"",N10&gt;0,M452&gt;N10),"Mot &gt; limite","")</f>
        <v/>
      </c>
      <c r="M452" s="70">
        <f>IF(OR(F452="",N10="",N10&lt;=0),"",IF(LEN(F452)&lt;=N10,LEN(F452),IFERROR(FIND("♦",SUBSTITUTE(LEFT(F452,N10)," ","♦",LEN(LEFT(F452,N10))-LEN(SUBSTITUTE(LEFT(F452,N10)," ","")))),FIND(" ",F452&amp;" ",N10+1)-1)))</f>
        <v>1</v>
      </c>
      <c r="N452" s="119">
        <f t="shared" si="47"/>
        <v>435</v>
      </c>
      <c r="O452" s="99" t="str">
        <f t="shared" si="48"/>
        <v>0</v>
      </c>
      <c r="P452" s="119">
        <f t="shared" si="49"/>
        <v>1</v>
      </c>
      <c r="Q452" s="119">
        <f t="shared" si="50"/>
        <v>1</v>
      </c>
    </row>
    <row r="453" spans="2:17">
      <c r="B453" s="116"/>
      <c r="C453" s="116"/>
      <c r="D453" s="116"/>
      <c r="E453" s="116" cm="1">
        <f t="array" ref="E453">IF(H452&lt;&gt;"",E452,IF(E452="","",IFERROR(MATCH(TRUE(),INDEX(INDEX(K:K,E452+1):K203&lt;&gt;"",0),0)+E452,"")))</f>
        <v>595</v>
      </c>
      <c r="F453" s="117" cm="1">
        <f t="array" ref="F453">IF(E453="","",IF(H452&lt;&gt;"",H452,INDEX(D:D,E453)))</f>
        <v>0</v>
      </c>
      <c r="G453" s="117" t="str">
        <f t="shared" si="45"/>
        <v>0</v>
      </c>
      <c r="H453" s="118" t="str">
        <f t="shared" si="46"/>
        <v/>
      </c>
      <c r="I453" s="116" t="str">
        <f>IF(AND(F453&lt;&gt;"",N10&gt;0,M453&gt;N10),"Mot &gt; limite","")</f>
        <v/>
      </c>
      <c r="M453" s="70">
        <f>IF(OR(F453="",N10="",N10&lt;=0),"",IF(LEN(F453)&lt;=N10,LEN(F453),IFERROR(FIND("♦",SUBSTITUTE(LEFT(F453,N10)," ","♦",LEN(LEFT(F453,N10))-LEN(SUBSTITUTE(LEFT(F453,N10)," ","")))),FIND(" ",F453&amp;" ",N10+1)-1)))</f>
        <v>1</v>
      </c>
      <c r="N453" s="119">
        <f t="shared" si="47"/>
        <v>436</v>
      </c>
      <c r="O453" s="99" t="str">
        <f t="shared" si="48"/>
        <v>0</v>
      </c>
      <c r="P453" s="119">
        <f t="shared" si="49"/>
        <v>1</v>
      </c>
      <c r="Q453" s="119">
        <f t="shared" si="50"/>
        <v>1</v>
      </c>
    </row>
    <row r="454" spans="2:17">
      <c r="B454" s="116"/>
      <c r="C454" s="116"/>
      <c r="D454" s="116"/>
      <c r="E454" s="116" cm="1">
        <f t="array" ref="E454">IF(H453&lt;&gt;"",E453,IF(E453="","",IFERROR(MATCH(TRUE(),INDEX(INDEX(K:K,E453+1):K203&lt;&gt;"",0),0)+E453,"")))</f>
        <v>596</v>
      </c>
      <c r="F454" s="117" cm="1">
        <f t="array" ref="F454">IF(E454="","",IF(H453&lt;&gt;"",H453,INDEX(D:D,E454)))</f>
        <v>0</v>
      </c>
      <c r="G454" s="117" t="str">
        <f t="shared" si="45"/>
        <v>0</v>
      </c>
      <c r="H454" s="118" t="str">
        <f t="shared" si="46"/>
        <v/>
      </c>
      <c r="I454" s="116" t="str">
        <f>IF(AND(F454&lt;&gt;"",N10&gt;0,M454&gt;N10),"Mot &gt; limite","")</f>
        <v/>
      </c>
      <c r="M454" s="70">
        <f>IF(OR(F454="",N10="",N10&lt;=0),"",IF(LEN(F454)&lt;=N10,LEN(F454),IFERROR(FIND("♦",SUBSTITUTE(LEFT(F454,N10)," ","♦",LEN(LEFT(F454,N10))-LEN(SUBSTITUTE(LEFT(F454,N10)," ","")))),FIND(" ",F454&amp;" ",N10+1)-1)))</f>
        <v>1</v>
      </c>
      <c r="N454" s="119">
        <f t="shared" si="47"/>
        <v>437</v>
      </c>
      <c r="O454" s="99" t="str">
        <f t="shared" si="48"/>
        <v>0</v>
      </c>
      <c r="P454" s="119">
        <f t="shared" si="49"/>
        <v>1</v>
      </c>
      <c r="Q454" s="119">
        <f t="shared" si="50"/>
        <v>1</v>
      </c>
    </row>
    <row r="455" spans="2:17">
      <c r="B455" s="116"/>
      <c r="C455" s="116"/>
      <c r="D455" s="116"/>
      <c r="E455" s="116" cm="1">
        <f t="array" ref="E455">IF(H454&lt;&gt;"",E454,IF(E454="","",IFERROR(MATCH(TRUE(),INDEX(INDEX(K:K,E454+1):K203&lt;&gt;"",0),0)+E454,"")))</f>
        <v>597</v>
      </c>
      <c r="F455" s="117" cm="1">
        <f t="array" ref="F455">IF(E455="","",IF(H454&lt;&gt;"",H454,INDEX(D:D,E455)))</f>
        <v>0</v>
      </c>
      <c r="G455" s="117" t="str">
        <f t="shared" si="45"/>
        <v>0</v>
      </c>
      <c r="H455" s="118" t="str">
        <f t="shared" si="46"/>
        <v/>
      </c>
      <c r="I455" s="116" t="str">
        <f>IF(AND(F455&lt;&gt;"",N10&gt;0,M455&gt;N10),"Mot &gt; limite","")</f>
        <v/>
      </c>
      <c r="M455" s="70">
        <f>IF(OR(F455="",N10="",N10&lt;=0),"",IF(LEN(F455)&lt;=N10,LEN(F455),IFERROR(FIND("♦",SUBSTITUTE(LEFT(F455,N10)," ","♦",LEN(LEFT(F455,N10))-LEN(SUBSTITUTE(LEFT(F455,N10)," ","")))),FIND(" ",F455&amp;" ",N10+1)-1)))</f>
        <v>1</v>
      </c>
      <c r="N455" s="119">
        <f t="shared" si="47"/>
        <v>438</v>
      </c>
      <c r="O455" s="99" t="str">
        <f t="shared" si="48"/>
        <v>0</v>
      </c>
      <c r="P455" s="119">
        <f t="shared" si="49"/>
        <v>1</v>
      </c>
      <c r="Q455" s="119">
        <f t="shared" si="50"/>
        <v>1</v>
      </c>
    </row>
    <row r="456" spans="2:17">
      <c r="B456" s="116"/>
      <c r="C456" s="116"/>
      <c r="D456" s="116"/>
      <c r="E456" s="116" cm="1">
        <f t="array" ref="E456">IF(H455&lt;&gt;"",E455,IF(E455="","",IFERROR(MATCH(TRUE(),INDEX(INDEX(K:K,E455+1):K203&lt;&gt;"",0),0)+E455,"")))</f>
        <v>598</v>
      </c>
      <c r="F456" s="117" cm="1">
        <f t="array" ref="F456">IF(E456="","",IF(H455&lt;&gt;"",H455,INDEX(D:D,E456)))</f>
        <v>0</v>
      </c>
      <c r="G456" s="117" t="str">
        <f t="shared" si="45"/>
        <v>0</v>
      </c>
      <c r="H456" s="118" t="str">
        <f t="shared" si="46"/>
        <v/>
      </c>
      <c r="I456" s="116" t="str">
        <f>IF(AND(F456&lt;&gt;"",N10&gt;0,M456&gt;N10),"Mot &gt; limite","")</f>
        <v/>
      </c>
      <c r="M456" s="70">
        <f>IF(OR(F456="",N10="",N10&lt;=0),"",IF(LEN(F456)&lt;=N10,LEN(F456),IFERROR(FIND("♦",SUBSTITUTE(LEFT(F456,N10)," ","♦",LEN(LEFT(F456,N10))-LEN(SUBSTITUTE(LEFT(F456,N10)," ","")))),FIND(" ",F456&amp;" ",N10+1)-1)))</f>
        <v>1</v>
      </c>
      <c r="N456" s="119">
        <f t="shared" si="47"/>
        <v>439</v>
      </c>
      <c r="O456" s="99" t="str">
        <f t="shared" si="48"/>
        <v>0</v>
      </c>
      <c r="P456" s="119">
        <f t="shared" si="49"/>
        <v>1</v>
      </c>
      <c r="Q456" s="119">
        <f t="shared" si="50"/>
        <v>1</v>
      </c>
    </row>
    <row r="457" spans="2:17">
      <c r="B457" s="116"/>
      <c r="C457" s="116"/>
      <c r="D457" s="116"/>
      <c r="E457" s="116" cm="1">
        <f t="array" ref="E457">IF(H456&lt;&gt;"",E456,IF(E456="","",IFERROR(MATCH(TRUE(),INDEX(INDEX(K:K,E456+1):K203&lt;&gt;"",0),0)+E456,"")))</f>
        <v>599</v>
      </c>
      <c r="F457" s="117" cm="1">
        <f t="array" ref="F457">IF(E457="","",IF(H456&lt;&gt;"",H456,INDEX(D:D,E457)))</f>
        <v>0</v>
      </c>
      <c r="G457" s="117" t="str">
        <f t="shared" si="45"/>
        <v>0</v>
      </c>
      <c r="H457" s="118" t="str">
        <f t="shared" si="46"/>
        <v/>
      </c>
      <c r="I457" s="116" t="str">
        <f>IF(AND(F457&lt;&gt;"",N10&gt;0,M457&gt;N10),"Mot &gt; limite","")</f>
        <v/>
      </c>
      <c r="M457" s="70">
        <f>IF(OR(F457="",N10="",N10&lt;=0),"",IF(LEN(F457)&lt;=N10,LEN(F457),IFERROR(FIND("♦",SUBSTITUTE(LEFT(F457,N10)," ","♦",LEN(LEFT(F457,N10))-LEN(SUBSTITUTE(LEFT(F457,N10)," ","")))),FIND(" ",F457&amp;" ",N10+1)-1)))</f>
        <v>1</v>
      </c>
      <c r="N457" s="119">
        <f t="shared" si="47"/>
        <v>440</v>
      </c>
      <c r="O457" s="99" t="str">
        <f t="shared" si="48"/>
        <v>0</v>
      </c>
      <c r="P457" s="119">
        <f t="shared" si="49"/>
        <v>1</v>
      </c>
      <c r="Q457" s="119">
        <f t="shared" si="50"/>
        <v>1</v>
      </c>
    </row>
    <row r="458" spans="2:17">
      <c r="B458" s="116"/>
      <c r="C458" s="116"/>
      <c r="D458" s="116"/>
      <c r="E458" s="116" cm="1">
        <f t="array" ref="E458">IF(H457&lt;&gt;"",E457,IF(E457="","",IFERROR(MATCH(TRUE(),INDEX(INDEX(K:K,E457+1):K203&lt;&gt;"",0),0)+E457,"")))</f>
        <v>600</v>
      </c>
      <c r="F458" s="117" cm="1">
        <f t="array" ref="F458">IF(E458="","",IF(H457&lt;&gt;"",H457,INDEX(D:D,E458)))</f>
        <v>0</v>
      </c>
      <c r="G458" s="117" t="str">
        <f t="shared" si="45"/>
        <v>0</v>
      </c>
      <c r="H458" s="118" t="str">
        <f t="shared" si="46"/>
        <v/>
      </c>
      <c r="I458" s="116" t="str">
        <f>IF(AND(F458&lt;&gt;"",N10&gt;0,M458&gt;N10),"Mot &gt; limite","")</f>
        <v/>
      </c>
      <c r="M458" s="70">
        <f>IF(OR(F458="",N10="",N10&lt;=0),"",IF(LEN(F458)&lt;=N10,LEN(F458),IFERROR(FIND("♦",SUBSTITUTE(LEFT(F458,N10)," ","♦",LEN(LEFT(F458,N10))-LEN(SUBSTITUTE(LEFT(F458,N10)," ","")))),FIND(" ",F458&amp;" ",N10+1)-1)))</f>
        <v>1</v>
      </c>
      <c r="N458" s="119">
        <f t="shared" si="47"/>
        <v>441</v>
      </c>
      <c r="O458" s="99" t="str">
        <f t="shared" si="48"/>
        <v>0</v>
      </c>
      <c r="P458" s="119">
        <f t="shared" si="49"/>
        <v>1</v>
      </c>
      <c r="Q458" s="119">
        <f t="shared" si="50"/>
        <v>1</v>
      </c>
    </row>
    <row r="459" spans="2:17">
      <c r="B459" s="116"/>
      <c r="C459" s="116"/>
      <c r="D459" s="116"/>
      <c r="E459" s="116" cm="1">
        <f t="array" ref="E459">IF(H458&lt;&gt;"",E458,IF(E458="","",IFERROR(MATCH(TRUE(),INDEX(INDEX(K:K,E458+1):K203&lt;&gt;"",0),0)+E458,"")))</f>
        <v>601</v>
      </c>
      <c r="F459" s="117" cm="1">
        <f t="array" ref="F459">IF(E459="","",IF(H458&lt;&gt;"",H458,INDEX(D:D,E459)))</f>
        <v>0</v>
      </c>
      <c r="G459" s="117" t="str">
        <f t="shared" si="45"/>
        <v>0</v>
      </c>
      <c r="H459" s="118" t="str">
        <f t="shared" si="46"/>
        <v/>
      </c>
      <c r="I459" s="116" t="str">
        <f>IF(AND(F459&lt;&gt;"",N10&gt;0,M459&gt;N10),"Mot &gt; limite","")</f>
        <v/>
      </c>
      <c r="M459" s="70">
        <f>IF(OR(F459="",N10="",N10&lt;=0),"",IF(LEN(F459)&lt;=N10,LEN(F459),IFERROR(FIND("♦",SUBSTITUTE(LEFT(F459,N10)," ","♦",LEN(LEFT(F459,N10))-LEN(SUBSTITUTE(LEFT(F459,N10)," ","")))),FIND(" ",F459&amp;" ",N10+1)-1)))</f>
        <v>1</v>
      </c>
      <c r="N459" s="119">
        <f t="shared" si="47"/>
        <v>442</v>
      </c>
      <c r="O459" s="99" t="str">
        <f t="shared" si="48"/>
        <v>0</v>
      </c>
      <c r="P459" s="119">
        <f t="shared" si="49"/>
        <v>1</v>
      </c>
      <c r="Q459" s="119">
        <f t="shared" si="50"/>
        <v>1</v>
      </c>
    </row>
    <row r="460" spans="2:17">
      <c r="B460" s="116"/>
      <c r="C460" s="116"/>
      <c r="D460" s="116"/>
      <c r="E460" s="116" cm="1">
        <f t="array" ref="E460">IF(H459&lt;&gt;"",E459,IF(E459="","",IFERROR(MATCH(TRUE(),INDEX(INDEX(K:K,E459+1):K203&lt;&gt;"",0),0)+E459,"")))</f>
        <v>602</v>
      </c>
      <c r="F460" s="117" cm="1">
        <f t="array" ref="F460">IF(E460="","",IF(H459&lt;&gt;"",H459,INDEX(D:D,E460)))</f>
        <v>0</v>
      </c>
      <c r="G460" s="117" t="str">
        <f t="shared" si="45"/>
        <v>0</v>
      </c>
      <c r="H460" s="118" t="str">
        <f t="shared" si="46"/>
        <v/>
      </c>
      <c r="I460" s="116" t="str">
        <f>IF(AND(F460&lt;&gt;"",N10&gt;0,M460&gt;N10),"Mot &gt; limite","")</f>
        <v/>
      </c>
      <c r="M460" s="70">
        <f>IF(OR(F460="",N10="",N10&lt;=0),"",IF(LEN(F460)&lt;=N10,LEN(F460),IFERROR(FIND("♦",SUBSTITUTE(LEFT(F460,N10)," ","♦",LEN(LEFT(F460,N10))-LEN(SUBSTITUTE(LEFT(F460,N10)," ","")))),FIND(" ",F460&amp;" ",N10+1)-1)))</f>
        <v>1</v>
      </c>
      <c r="N460" s="119">
        <f t="shared" si="47"/>
        <v>443</v>
      </c>
      <c r="O460" s="99" t="str">
        <f t="shared" si="48"/>
        <v>0</v>
      </c>
      <c r="P460" s="119">
        <f t="shared" si="49"/>
        <v>1</v>
      </c>
      <c r="Q460" s="119">
        <f t="shared" si="50"/>
        <v>1</v>
      </c>
    </row>
    <row r="461" spans="2:17">
      <c r="B461" s="116"/>
      <c r="C461" s="116"/>
      <c r="D461" s="116"/>
      <c r="E461" s="116" cm="1">
        <f t="array" ref="E461">IF(H460&lt;&gt;"",E460,IF(E460="","",IFERROR(MATCH(TRUE(),INDEX(INDEX(K:K,E460+1):K203&lt;&gt;"",0),0)+E460,"")))</f>
        <v>603</v>
      </c>
      <c r="F461" s="117" cm="1">
        <f t="array" ref="F461">IF(E461="","",IF(H460&lt;&gt;"",H460,INDEX(D:D,E461)))</f>
        <v>0</v>
      </c>
      <c r="G461" s="117" t="str">
        <f t="shared" si="45"/>
        <v>0</v>
      </c>
      <c r="H461" s="118" t="str">
        <f t="shared" si="46"/>
        <v/>
      </c>
      <c r="I461" s="116" t="str">
        <f>IF(AND(F461&lt;&gt;"",N10&gt;0,M461&gt;N10),"Mot &gt; limite","")</f>
        <v/>
      </c>
      <c r="M461" s="70">
        <f>IF(OR(F461="",N10="",N10&lt;=0),"",IF(LEN(F461)&lt;=N10,LEN(F461),IFERROR(FIND("♦",SUBSTITUTE(LEFT(F461,N10)," ","♦",LEN(LEFT(F461,N10))-LEN(SUBSTITUTE(LEFT(F461,N10)," ","")))),FIND(" ",F461&amp;" ",N10+1)-1)))</f>
        <v>1</v>
      </c>
      <c r="N461" s="119">
        <f t="shared" si="47"/>
        <v>444</v>
      </c>
      <c r="O461" s="99" t="str">
        <f t="shared" si="48"/>
        <v>0</v>
      </c>
      <c r="P461" s="119">
        <f t="shared" si="49"/>
        <v>1</v>
      </c>
      <c r="Q461" s="119">
        <f t="shared" si="50"/>
        <v>1</v>
      </c>
    </row>
    <row r="462" spans="2:17">
      <c r="B462" s="116"/>
      <c r="C462" s="116"/>
      <c r="D462" s="116"/>
      <c r="E462" s="116" cm="1">
        <f t="array" ref="E462">IF(H461&lt;&gt;"",E461,IF(E461="","",IFERROR(MATCH(TRUE(),INDEX(INDEX(K:K,E461+1):K203&lt;&gt;"",0),0)+E461,"")))</f>
        <v>604</v>
      </c>
      <c r="F462" s="117" cm="1">
        <f t="array" ref="F462">IF(E462="","",IF(H461&lt;&gt;"",H461,INDEX(D:D,E462)))</f>
        <v>0</v>
      </c>
      <c r="G462" s="117" t="str">
        <f t="shared" si="45"/>
        <v>0</v>
      </c>
      <c r="H462" s="118" t="str">
        <f t="shared" si="46"/>
        <v/>
      </c>
      <c r="I462" s="116" t="str">
        <f>IF(AND(F462&lt;&gt;"",N10&gt;0,M462&gt;N10),"Mot &gt; limite","")</f>
        <v/>
      </c>
      <c r="M462" s="70">
        <f>IF(OR(F462="",N10="",N10&lt;=0),"",IF(LEN(F462)&lt;=N10,LEN(F462),IFERROR(FIND("♦",SUBSTITUTE(LEFT(F462,N10)," ","♦",LEN(LEFT(F462,N10))-LEN(SUBSTITUTE(LEFT(F462,N10)," ","")))),FIND(" ",F462&amp;" ",N10+1)-1)))</f>
        <v>1</v>
      </c>
      <c r="N462" s="119">
        <f t="shared" si="47"/>
        <v>445</v>
      </c>
      <c r="O462" s="99" t="str">
        <f t="shared" si="48"/>
        <v>0</v>
      </c>
      <c r="P462" s="119">
        <f t="shared" si="49"/>
        <v>1</v>
      </c>
      <c r="Q462" s="119">
        <f t="shared" si="50"/>
        <v>1</v>
      </c>
    </row>
    <row r="463" spans="2:17">
      <c r="B463" s="116"/>
      <c r="C463" s="116"/>
      <c r="D463" s="116"/>
      <c r="E463" s="116" cm="1">
        <f t="array" ref="E463">IF(H462&lt;&gt;"",E462,IF(E462="","",IFERROR(MATCH(TRUE(),INDEX(INDEX(K:K,E462+1):K203&lt;&gt;"",0),0)+E462,"")))</f>
        <v>605</v>
      </c>
      <c r="F463" s="117" cm="1">
        <f t="array" ref="F463">IF(E463="","",IF(H462&lt;&gt;"",H462,INDEX(D:D,E463)))</f>
        <v>0</v>
      </c>
      <c r="G463" s="117" t="str">
        <f t="shared" si="45"/>
        <v>0</v>
      </c>
      <c r="H463" s="118" t="str">
        <f t="shared" si="46"/>
        <v/>
      </c>
      <c r="I463" s="116" t="str">
        <f>IF(AND(F463&lt;&gt;"",N10&gt;0,M463&gt;N10),"Mot &gt; limite","")</f>
        <v/>
      </c>
      <c r="M463" s="70">
        <f>IF(OR(F463="",N10="",N10&lt;=0),"",IF(LEN(F463)&lt;=N10,LEN(F463),IFERROR(FIND("♦",SUBSTITUTE(LEFT(F463,N10)," ","♦",LEN(LEFT(F463,N10))-LEN(SUBSTITUTE(LEFT(F463,N10)," ","")))),FIND(" ",F463&amp;" ",N10+1)-1)))</f>
        <v>1</v>
      </c>
      <c r="N463" s="119">
        <f t="shared" si="47"/>
        <v>446</v>
      </c>
      <c r="O463" s="99" t="str">
        <f t="shared" si="48"/>
        <v>0</v>
      </c>
      <c r="P463" s="119">
        <f t="shared" si="49"/>
        <v>1</v>
      </c>
      <c r="Q463" s="119">
        <f t="shared" si="50"/>
        <v>1</v>
      </c>
    </row>
    <row r="464" spans="2:17">
      <c r="B464" s="116"/>
      <c r="C464" s="116"/>
      <c r="D464" s="116"/>
      <c r="E464" s="116" cm="1">
        <f t="array" ref="E464">IF(H463&lt;&gt;"",E463,IF(E463="","",IFERROR(MATCH(TRUE(),INDEX(INDEX(K:K,E463+1):K203&lt;&gt;"",0),0)+E463,"")))</f>
        <v>606</v>
      </c>
      <c r="F464" s="117" cm="1">
        <f t="array" ref="F464">IF(E464="","",IF(H463&lt;&gt;"",H463,INDEX(D:D,E464)))</f>
        <v>0</v>
      </c>
      <c r="G464" s="117" t="str">
        <f t="shared" si="45"/>
        <v>0</v>
      </c>
      <c r="H464" s="118" t="str">
        <f t="shared" si="46"/>
        <v/>
      </c>
      <c r="I464" s="116" t="str">
        <f>IF(AND(F464&lt;&gt;"",N10&gt;0,M464&gt;N10),"Mot &gt; limite","")</f>
        <v/>
      </c>
      <c r="M464" s="70">
        <f>IF(OR(F464="",N10="",N10&lt;=0),"",IF(LEN(F464)&lt;=N10,LEN(F464),IFERROR(FIND("♦",SUBSTITUTE(LEFT(F464,N10)," ","♦",LEN(LEFT(F464,N10))-LEN(SUBSTITUTE(LEFT(F464,N10)," ","")))),FIND(" ",F464&amp;" ",N10+1)-1)))</f>
        <v>1</v>
      </c>
      <c r="N464" s="119">
        <f t="shared" si="47"/>
        <v>447</v>
      </c>
      <c r="O464" s="99" t="str">
        <f t="shared" si="48"/>
        <v>0</v>
      </c>
      <c r="P464" s="119">
        <f t="shared" si="49"/>
        <v>1</v>
      </c>
      <c r="Q464" s="119">
        <f t="shared" si="50"/>
        <v>1</v>
      </c>
    </row>
    <row r="465" spans="2:17">
      <c r="B465" s="116"/>
      <c r="C465" s="116"/>
      <c r="D465" s="116"/>
      <c r="E465" s="116" cm="1">
        <f t="array" ref="E465">IF(H464&lt;&gt;"",E464,IF(E464="","",IFERROR(MATCH(TRUE(),INDEX(INDEX(K:K,E464+1):K203&lt;&gt;"",0),0)+E464,"")))</f>
        <v>607</v>
      </c>
      <c r="F465" s="117" cm="1">
        <f t="array" ref="F465">IF(E465="","",IF(H464&lt;&gt;"",H464,INDEX(D:D,E465)))</f>
        <v>0</v>
      </c>
      <c r="G465" s="117" t="str">
        <f t="shared" si="45"/>
        <v>0</v>
      </c>
      <c r="H465" s="118" t="str">
        <f t="shared" si="46"/>
        <v/>
      </c>
      <c r="I465" s="116" t="str">
        <f>IF(AND(F465&lt;&gt;"",N10&gt;0,M465&gt;N10),"Mot &gt; limite","")</f>
        <v/>
      </c>
      <c r="M465" s="70">
        <f>IF(OR(F465="",N10="",N10&lt;=0),"",IF(LEN(F465)&lt;=N10,LEN(F465),IFERROR(FIND("♦",SUBSTITUTE(LEFT(F465,N10)," ","♦",LEN(LEFT(F465,N10))-LEN(SUBSTITUTE(LEFT(F465,N10)," ","")))),FIND(" ",F465&amp;" ",N10+1)-1)))</f>
        <v>1</v>
      </c>
      <c r="N465" s="119">
        <f t="shared" si="47"/>
        <v>448</v>
      </c>
      <c r="O465" s="99" t="str">
        <f t="shared" si="48"/>
        <v>0</v>
      </c>
      <c r="P465" s="119">
        <f t="shared" si="49"/>
        <v>1</v>
      </c>
      <c r="Q465" s="119">
        <f t="shared" si="50"/>
        <v>1</v>
      </c>
    </row>
    <row r="466" spans="2:17">
      <c r="B466" s="116"/>
      <c r="C466" s="116"/>
      <c r="D466" s="116"/>
      <c r="E466" s="116" cm="1">
        <f t="array" ref="E466">IF(H465&lt;&gt;"",E465,IF(E465="","",IFERROR(MATCH(TRUE(),INDEX(INDEX(K:K,E465+1):K203&lt;&gt;"",0),0)+E465,"")))</f>
        <v>608</v>
      </c>
      <c r="F466" s="117" cm="1">
        <f t="array" ref="F466">IF(E466="","",IF(H465&lt;&gt;"",H465,INDEX(D:D,E466)))</f>
        <v>0</v>
      </c>
      <c r="G466" s="117" t="str">
        <f t="shared" ref="G466:G529" si="51">IF(OR(F466="",M466=""),"",LEFT(F466,M466))</f>
        <v>0</v>
      </c>
      <c r="H466" s="118" t="str">
        <f t="shared" ref="H466:H529" si="52">IF(OR(F466="",M466=""),"",TRIM(MID(F466,M466+1,99999)))</f>
        <v/>
      </c>
      <c r="I466" s="116" t="str">
        <f>IF(AND(F466&lt;&gt;"",N10&gt;0,M466&gt;N10),"Mot &gt; limite","")</f>
        <v/>
      </c>
      <c r="M466" s="70">
        <f>IF(OR(F466="",N10="",N10&lt;=0),"",IF(LEN(F466)&lt;=N10,LEN(F466),IFERROR(FIND("♦",SUBSTITUTE(LEFT(F466,N10)," ","♦",LEN(LEFT(F466,N10))-LEN(SUBSTITUTE(LEFT(F466,N10)," ","")))),FIND(" ",F466&amp;" ",N10+1)-1)))</f>
        <v>1</v>
      </c>
      <c r="N466" s="119">
        <f t="shared" ref="N466:N529" si="53">IF(O466="","",ROW()-17)</f>
        <v>449</v>
      </c>
      <c r="O466" s="99" t="str">
        <f t="shared" ref="O466:O529" si="54">G466</f>
        <v>0</v>
      </c>
      <c r="P466" s="119">
        <f t="shared" ref="P466:P529" si="55">IF(O466="","",LEN(TRIM(O466))-LEN(SUBSTITUTE(TRIM(O466)," ",""))+1)</f>
        <v>1</v>
      </c>
      <c r="Q466" s="119">
        <f t="shared" ref="Q466:Q529" si="56">IF(O466="","",LEN(O466))</f>
        <v>1</v>
      </c>
    </row>
    <row r="467" spans="2:17">
      <c r="B467" s="116"/>
      <c r="C467" s="116"/>
      <c r="D467" s="116"/>
      <c r="E467" s="116" cm="1">
        <f t="array" ref="E467">IF(H466&lt;&gt;"",E466,IF(E466="","",IFERROR(MATCH(TRUE(),INDEX(INDEX(K:K,E466+1):K203&lt;&gt;"",0),0)+E466,"")))</f>
        <v>609</v>
      </c>
      <c r="F467" s="117" cm="1">
        <f t="array" ref="F467">IF(E467="","",IF(H466&lt;&gt;"",H466,INDEX(D:D,E467)))</f>
        <v>0</v>
      </c>
      <c r="G467" s="117" t="str">
        <f t="shared" si="51"/>
        <v>0</v>
      </c>
      <c r="H467" s="118" t="str">
        <f t="shared" si="52"/>
        <v/>
      </c>
      <c r="I467" s="116" t="str">
        <f>IF(AND(F467&lt;&gt;"",N10&gt;0,M467&gt;N10),"Mot &gt; limite","")</f>
        <v/>
      </c>
      <c r="M467" s="70">
        <f>IF(OR(F467="",N10="",N10&lt;=0),"",IF(LEN(F467)&lt;=N10,LEN(F467),IFERROR(FIND("♦",SUBSTITUTE(LEFT(F467,N10)," ","♦",LEN(LEFT(F467,N10))-LEN(SUBSTITUTE(LEFT(F467,N10)," ","")))),FIND(" ",F467&amp;" ",N10+1)-1)))</f>
        <v>1</v>
      </c>
      <c r="N467" s="119">
        <f t="shared" si="53"/>
        <v>450</v>
      </c>
      <c r="O467" s="99" t="str">
        <f t="shared" si="54"/>
        <v>0</v>
      </c>
      <c r="P467" s="119">
        <f t="shared" si="55"/>
        <v>1</v>
      </c>
      <c r="Q467" s="119">
        <f t="shared" si="56"/>
        <v>1</v>
      </c>
    </row>
    <row r="468" spans="2:17">
      <c r="B468" s="116"/>
      <c r="C468" s="116"/>
      <c r="D468" s="116"/>
      <c r="E468" s="116" cm="1">
        <f t="array" ref="E468">IF(H467&lt;&gt;"",E467,IF(E467="","",IFERROR(MATCH(TRUE(),INDEX(INDEX(K:K,E467+1):K203&lt;&gt;"",0),0)+E467,"")))</f>
        <v>610</v>
      </c>
      <c r="F468" s="117" cm="1">
        <f t="array" ref="F468">IF(E468="","",IF(H467&lt;&gt;"",H467,INDEX(D:D,E468)))</f>
        <v>0</v>
      </c>
      <c r="G468" s="117" t="str">
        <f t="shared" si="51"/>
        <v>0</v>
      </c>
      <c r="H468" s="118" t="str">
        <f t="shared" si="52"/>
        <v/>
      </c>
      <c r="I468" s="116" t="str">
        <f>IF(AND(F468&lt;&gt;"",N10&gt;0,M468&gt;N10),"Mot &gt; limite","")</f>
        <v/>
      </c>
      <c r="M468" s="70">
        <f>IF(OR(F468="",N10="",N10&lt;=0),"",IF(LEN(F468)&lt;=N10,LEN(F468),IFERROR(FIND("♦",SUBSTITUTE(LEFT(F468,N10)," ","♦",LEN(LEFT(F468,N10))-LEN(SUBSTITUTE(LEFT(F468,N10)," ","")))),FIND(" ",F468&amp;" ",N10+1)-1)))</f>
        <v>1</v>
      </c>
      <c r="N468" s="119">
        <f t="shared" si="53"/>
        <v>451</v>
      </c>
      <c r="O468" s="99" t="str">
        <f t="shared" si="54"/>
        <v>0</v>
      </c>
      <c r="P468" s="119">
        <f t="shared" si="55"/>
        <v>1</v>
      </c>
      <c r="Q468" s="119">
        <f t="shared" si="56"/>
        <v>1</v>
      </c>
    </row>
    <row r="469" spans="2:17">
      <c r="B469" s="116"/>
      <c r="C469" s="116"/>
      <c r="D469" s="116"/>
      <c r="E469" s="116" cm="1">
        <f t="array" ref="E469">IF(H468&lt;&gt;"",E468,IF(E468="","",IFERROR(MATCH(TRUE(),INDEX(INDEX(K:K,E468+1):K203&lt;&gt;"",0),0)+E468,"")))</f>
        <v>611</v>
      </c>
      <c r="F469" s="117" cm="1">
        <f t="array" ref="F469">IF(E469="","",IF(H468&lt;&gt;"",H468,INDEX(D:D,E469)))</f>
        <v>0</v>
      </c>
      <c r="G469" s="117" t="str">
        <f t="shared" si="51"/>
        <v>0</v>
      </c>
      <c r="H469" s="118" t="str">
        <f t="shared" si="52"/>
        <v/>
      </c>
      <c r="I469" s="116" t="str">
        <f>IF(AND(F469&lt;&gt;"",N10&gt;0,M469&gt;N10),"Mot &gt; limite","")</f>
        <v/>
      </c>
      <c r="M469" s="70">
        <f>IF(OR(F469="",N10="",N10&lt;=0),"",IF(LEN(F469)&lt;=N10,LEN(F469),IFERROR(FIND("♦",SUBSTITUTE(LEFT(F469,N10)," ","♦",LEN(LEFT(F469,N10))-LEN(SUBSTITUTE(LEFT(F469,N10)," ","")))),FIND(" ",F469&amp;" ",N10+1)-1)))</f>
        <v>1</v>
      </c>
      <c r="N469" s="119">
        <f t="shared" si="53"/>
        <v>452</v>
      </c>
      <c r="O469" s="99" t="str">
        <f t="shared" si="54"/>
        <v>0</v>
      </c>
      <c r="P469" s="119">
        <f t="shared" si="55"/>
        <v>1</v>
      </c>
      <c r="Q469" s="119">
        <f t="shared" si="56"/>
        <v>1</v>
      </c>
    </row>
    <row r="470" spans="2:17">
      <c r="B470" s="116"/>
      <c r="C470" s="116"/>
      <c r="D470" s="116"/>
      <c r="E470" s="116" cm="1">
        <f t="array" ref="E470">IF(H469&lt;&gt;"",E469,IF(E469="","",IFERROR(MATCH(TRUE(),INDEX(INDEX(K:K,E469+1):K203&lt;&gt;"",0),0)+E469,"")))</f>
        <v>612</v>
      </c>
      <c r="F470" s="117" cm="1">
        <f t="array" ref="F470">IF(E470="","",IF(H469&lt;&gt;"",H469,INDEX(D:D,E470)))</f>
        <v>0</v>
      </c>
      <c r="G470" s="117" t="str">
        <f t="shared" si="51"/>
        <v>0</v>
      </c>
      <c r="H470" s="118" t="str">
        <f t="shared" si="52"/>
        <v/>
      </c>
      <c r="I470" s="116" t="str">
        <f>IF(AND(F470&lt;&gt;"",N10&gt;0,M470&gt;N10),"Mot &gt; limite","")</f>
        <v/>
      </c>
      <c r="M470" s="70">
        <f>IF(OR(F470="",N10="",N10&lt;=0),"",IF(LEN(F470)&lt;=N10,LEN(F470),IFERROR(FIND("♦",SUBSTITUTE(LEFT(F470,N10)," ","♦",LEN(LEFT(F470,N10))-LEN(SUBSTITUTE(LEFT(F470,N10)," ","")))),FIND(" ",F470&amp;" ",N10+1)-1)))</f>
        <v>1</v>
      </c>
      <c r="N470" s="119">
        <f t="shared" si="53"/>
        <v>453</v>
      </c>
      <c r="O470" s="99" t="str">
        <f t="shared" si="54"/>
        <v>0</v>
      </c>
      <c r="P470" s="119">
        <f t="shared" si="55"/>
        <v>1</v>
      </c>
      <c r="Q470" s="119">
        <f t="shared" si="56"/>
        <v>1</v>
      </c>
    </row>
    <row r="471" spans="2:17">
      <c r="B471" s="116"/>
      <c r="C471" s="116"/>
      <c r="D471" s="116"/>
      <c r="E471" s="116" cm="1">
        <f t="array" ref="E471">IF(H470&lt;&gt;"",E470,IF(E470="","",IFERROR(MATCH(TRUE(),INDEX(INDEX(K:K,E470+1):K203&lt;&gt;"",0),0)+E470,"")))</f>
        <v>613</v>
      </c>
      <c r="F471" s="117" cm="1">
        <f t="array" ref="F471">IF(E471="","",IF(H470&lt;&gt;"",H470,INDEX(D:D,E471)))</f>
        <v>0</v>
      </c>
      <c r="G471" s="117" t="str">
        <f t="shared" si="51"/>
        <v>0</v>
      </c>
      <c r="H471" s="118" t="str">
        <f t="shared" si="52"/>
        <v/>
      </c>
      <c r="I471" s="116" t="str">
        <f>IF(AND(F471&lt;&gt;"",N10&gt;0,M471&gt;N10),"Mot &gt; limite","")</f>
        <v/>
      </c>
      <c r="M471" s="70">
        <f>IF(OR(F471="",N10="",N10&lt;=0),"",IF(LEN(F471)&lt;=N10,LEN(F471),IFERROR(FIND("♦",SUBSTITUTE(LEFT(F471,N10)," ","♦",LEN(LEFT(F471,N10))-LEN(SUBSTITUTE(LEFT(F471,N10)," ","")))),FIND(" ",F471&amp;" ",N10+1)-1)))</f>
        <v>1</v>
      </c>
      <c r="N471" s="119">
        <f t="shared" si="53"/>
        <v>454</v>
      </c>
      <c r="O471" s="99" t="str">
        <f t="shared" si="54"/>
        <v>0</v>
      </c>
      <c r="P471" s="119">
        <f t="shared" si="55"/>
        <v>1</v>
      </c>
      <c r="Q471" s="119">
        <f t="shared" si="56"/>
        <v>1</v>
      </c>
    </row>
    <row r="472" spans="2:17">
      <c r="B472" s="116"/>
      <c r="C472" s="116"/>
      <c r="D472" s="116"/>
      <c r="E472" s="116" cm="1">
        <f t="array" ref="E472">IF(H471&lt;&gt;"",E471,IF(E471="","",IFERROR(MATCH(TRUE(),INDEX(INDEX(K:K,E471+1):K203&lt;&gt;"",0),0)+E471,"")))</f>
        <v>614</v>
      </c>
      <c r="F472" s="117" cm="1">
        <f t="array" ref="F472">IF(E472="","",IF(H471&lt;&gt;"",H471,INDEX(D:D,E472)))</f>
        <v>0</v>
      </c>
      <c r="G472" s="117" t="str">
        <f t="shared" si="51"/>
        <v>0</v>
      </c>
      <c r="H472" s="118" t="str">
        <f t="shared" si="52"/>
        <v/>
      </c>
      <c r="I472" s="116" t="str">
        <f>IF(AND(F472&lt;&gt;"",N10&gt;0,M472&gt;N10),"Mot &gt; limite","")</f>
        <v/>
      </c>
      <c r="M472" s="70">
        <f>IF(OR(F472="",N10="",N10&lt;=0),"",IF(LEN(F472)&lt;=N10,LEN(F472),IFERROR(FIND("♦",SUBSTITUTE(LEFT(F472,N10)," ","♦",LEN(LEFT(F472,N10))-LEN(SUBSTITUTE(LEFT(F472,N10)," ","")))),FIND(" ",F472&amp;" ",N10+1)-1)))</f>
        <v>1</v>
      </c>
      <c r="N472" s="119">
        <f t="shared" si="53"/>
        <v>455</v>
      </c>
      <c r="O472" s="99" t="str">
        <f t="shared" si="54"/>
        <v>0</v>
      </c>
      <c r="P472" s="119">
        <f t="shared" si="55"/>
        <v>1</v>
      </c>
      <c r="Q472" s="119">
        <f t="shared" si="56"/>
        <v>1</v>
      </c>
    </row>
    <row r="473" spans="2:17">
      <c r="B473" s="116"/>
      <c r="C473" s="116"/>
      <c r="D473" s="116"/>
      <c r="E473" s="116" cm="1">
        <f t="array" ref="E473">IF(H472&lt;&gt;"",E472,IF(E472="","",IFERROR(MATCH(TRUE(),INDEX(INDEX(K:K,E472+1):K203&lt;&gt;"",0),0)+E472,"")))</f>
        <v>615</v>
      </c>
      <c r="F473" s="117" cm="1">
        <f t="array" ref="F473">IF(E473="","",IF(H472&lt;&gt;"",H472,INDEX(D:D,E473)))</f>
        <v>0</v>
      </c>
      <c r="G473" s="117" t="str">
        <f t="shared" si="51"/>
        <v>0</v>
      </c>
      <c r="H473" s="118" t="str">
        <f t="shared" si="52"/>
        <v/>
      </c>
      <c r="I473" s="116" t="str">
        <f>IF(AND(F473&lt;&gt;"",N10&gt;0,M473&gt;N10),"Mot &gt; limite","")</f>
        <v/>
      </c>
      <c r="M473" s="70">
        <f>IF(OR(F473="",N10="",N10&lt;=0),"",IF(LEN(F473)&lt;=N10,LEN(F473),IFERROR(FIND("♦",SUBSTITUTE(LEFT(F473,N10)," ","♦",LEN(LEFT(F473,N10))-LEN(SUBSTITUTE(LEFT(F473,N10)," ","")))),FIND(" ",F473&amp;" ",N10+1)-1)))</f>
        <v>1</v>
      </c>
      <c r="N473" s="119">
        <f t="shared" si="53"/>
        <v>456</v>
      </c>
      <c r="O473" s="99" t="str">
        <f t="shared" si="54"/>
        <v>0</v>
      </c>
      <c r="P473" s="119">
        <f t="shared" si="55"/>
        <v>1</v>
      </c>
      <c r="Q473" s="119">
        <f t="shared" si="56"/>
        <v>1</v>
      </c>
    </row>
    <row r="474" spans="2:17">
      <c r="B474" s="116"/>
      <c r="C474" s="116"/>
      <c r="D474" s="116"/>
      <c r="E474" s="116" cm="1">
        <f t="array" ref="E474">IF(H473&lt;&gt;"",E473,IF(E473="","",IFERROR(MATCH(TRUE(),INDEX(INDEX(K:K,E473+1):K203&lt;&gt;"",0),0)+E473,"")))</f>
        <v>616</v>
      </c>
      <c r="F474" s="117" cm="1">
        <f t="array" ref="F474">IF(E474="","",IF(H473&lt;&gt;"",H473,INDEX(D:D,E474)))</f>
        <v>0</v>
      </c>
      <c r="G474" s="117" t="str">
        <f t="shared" si="51"/>
        <v>0</v>
      </c>
      <c r="H474" s="118" t="str">
        <f t="shared" si="52"/>
        <v/>
      </c>
      <c r="I474" s="116" t="str">
        <f>IF(AND(F474&lt;&gt;"",N10&gt;0,M474&gt;N10),"Mot &gt; limite","")</f>
        <v/>
      </c>
      <c r="M474" s="70">
        <f>IF(OR(F474="",N10="",N10&lt;=0),"",IF(LEN(F474)&lt;=N10,LEN(F474),IFERROR(FIND("♦",SUBSTITUTE(LEFT(F474,N10)," ","♦",LEN(LEFT(F474,N10))-LEN(SUBSTITUTE(LEFT(F474,N10)," ","")))),FIND(" ",F474&amp;" ",N10+1)-1)))</f>
        <v>1</v>
      </c>
      <c r="N474" s="119">
        <f t="shared" si="53"/>
        <v>457</v>
      </c>
      <c r="O474" s="99" t="str">
        <f t="shared" si="54"/>
        <v>0</v>
      </c>
      <c r="P474" s="119">
        <f t="shared" si="55"/>
        <v>1</v>
      </c>
      <c r="Q474" s="119">
        <f t="shared" si="56"/>
        <v>1</v>
      </c>
    </row>
    <row r="475" spans="2:17">
      <c r="B475" s="116"/>
      <c r="C475" s="116"/>
      <c r="D475" s="116"/>
      <c r="E475" s="116" cm="1">
        <f t="array" ref="E475">IF(H474&lt;&gt;"",E474,IF(E474="","",IFERROR(MATCH(TRUE(),INDEX(INDEX(K:K,E474+1):K203&lt;&gt;"",0),0)+E474,"")))</f>
        <v>617</v>
      </c>
      <c r="F475" s="117" cm="1">
        <f t="array" ref="F475">IF(E475="","",IF(H474&lt;&gt;"",H474,INDEX(D:D,E475)))</f>
        <v>0</v>
      </c>
      <c r="G475" s="117" t="str">
        <f t="shared" si="51"/>
        <v>0</v>
      </c>
      <c r="H475" s="118" t="str">
        <f t="shared" si="52"/>
        <v/>
      </c>
      <c r="I475" s="116" t="str">
        <f>IF(AND(F475&lt;&gt;"",N10&gt;0,M475&gt;N10),"Mot &gt; limite","")</f>
        <v/>
      </c>
      <c r="M475" s="70">
        <f>IF(OR(F475="",N10="",N10&lt;=0),"",IF(LEN(F475)&lt;=N10,LEN(F475),IFERROR(FIND("♦",SUBSTITUTE(LEFT(F475,N10)," ","♦",LEN(LEFT(F475,N10))-LEN(SUBSTITUTE(LEFT(F475,N10)," ","")))),FIND(" ",F475&amp;" ",N10+1)-1)))</f>
        <v>1</v>
      </c>
      <c r="N475" s="119">
        <f t="shared" si="53"/>
        <v>458</v>
      </c>
      <c r="O475" s="99" t="str">
        <f t="shared" si="54"/>
        <v>0</v>
      </c>
      <c r="P475" s="119">
        <f t="shared" si="55"/>
        <v>1</v>
      </c>
      <c r="Q475" s="119">
        <f t="shared" si="56"/>
        <v>1</v>
      </c>
    </row>
    <row r="476" spans="2:17">
      <c r="B476" s="116"/>
      <c r="C476" s="116"/>
      <c r="D476" s="116"/>
      <c r="E476" s="116" cm="1">
        <f t="array" ref="E476">IF(H475&lt;&gt;"",E475,IF(E475="","",IFERROR(MATCH(TRUE(),INDEX(INDEX(K:K,E475+1):K203&lt;&gt;"",0),0)+E475,"")))</f>
        <v>618</v>
      </c>
      <c r="F476" s="117" cm="1">
        <f t="array" ref="F476">IF(E476="","",IF(H475&lt;&gt;"",H475,INDEX(D:D,E476)))</f>
        <v>0</v>
      </c>
      <c r="G476" s="117" t="str">
        <f t="shared" si="51"/>
        <v>0</v>
      </c>
      <c r="H476" s="118" t="str">
        <f t="shared" si="52"/>
        <v/>
      </c>
      <c r="I476" s="116" t="str">
        <f>IF(AND(F476&lt;&gt;"",N10&gt;0,M476&gt;N10),"Mot &gt; limite","")</f>
        <v/>
      </c>
      <c r="M476" s="70">
        <f>IF(OR(F476="",N10="",N10&lt;=0),"",IF(LEN(F476)&lt;=N10,LEN(F476),IFERROR(FIND("♦",SUBSTITUTE(LEFT(F476,N10)," ","♦",LEN(LEFT(F476,N10))-LEN(SUBSTITUTE(LEFT(F476,N10)," ","")))),FIND(" ",F476&amp;" ",N10+1)-1)))</f>
        <v>1</v>
      </c>
      <c r="N476" s="119">
        <f t="shared" si="53"/>
        <v>459</v>
      </c>
      <c r="O476" s="99" t="str">
        <f t="shared" si="54"/>
        <v>0</v>
      </c>
      <c r="P476" s="119">
        <f t="shared" si="55"/>
        <v>1</v>
      </c>
      <c r="Q476" s="119">
        <f t="shared" si="56"/>
        <v>1</v>
      </c>
    </row>
    <row r="477" spans="2:17">
      <c r="B477" s="116"/>
      <c r="C477" s="116"/>
      <c r="D477" s="116"/>
      <c r="E477" s="116" cm="1">
        <f t="array" ref="E477">IF(H476&lt;&gt;"",E476,IF(E476="","",IFERROR(MATCH(TRUE(),INDEX(INDEX(K:K,E476+1):K203&lt;&gt;"",0),0)+E476,"")))</f>
        <v>619</v>
      </c>
      <c r="F477" s="117" cm="1">
        <f t="array" ref="F477">IF(E477="","",IF(H476&lt;&gt;"",H476,INDEX(D:D,E477)))</f>
        <v>0</v>
      </c>
      <c r="G477" s="117" t="str">
        <f t="shared" si="51"/>
        <v>0</v>
      </c>
      <c r="H477" s="118" t="str">
        <f t="shared" si="52"/>
        <v/>
      </c>
      <c r="I477" s="116" t="str">
        <f>IF(AND(F477&lt;&gt;"",N10&gt;0,M477&gt;N10),"Mot &gt; limite","")</f>
        <v/>
      </c>
      <c r="M477" s="70">
        <f>IF(OR(F477="",N10="",N10&lt;=0),"",IF(LEN(F477)&lt;=N10,LEN(F477),IFERROR(FIND("♦",SUBSTITUTE(LEFT(F477,N10)," ","♦",LEN(LEFT(F477,N10))-LEN(SUBSTITUTE(LEFT(F477,N10)," ","")))),FIND(" ",F477&amp;" ",N10+1)-1)))</f>
        <v>1</v>
      </c>
      <c r="N477" s="119">
        <f t="shared" si="53"/>
        <v>460</v>
      </c>
      <c r="O477" s="99" t="str">
        <f t="shared" si="54"/>
        <v>0</v>
      </c>
      <c r="P477" s="119">
        <f t="shared" si="55"/>
        <v>1</v>
      </c>
      <c r="Q477" s="119">
        <f t="shared" si="56"/>
        <v>1</v>
      </c>
    </row>
    <row r="478" spans="2:17">
      <c r="B478" s="116"/>
      <c r="C478" s="116"/>
      <c r="D478" s="116"/>
      <c r="E478" s="116" cm="1">
        <f t="array" ref="E478">IF(H477&lt;&gt;"",E477,IF(E477="","",IFERROR(MATCH(TRUE(),INDEX(INDEX(K:K,E477+1):K203&lt;&gt;"",0),0)+E477,"")))</f>
        <v>620</v>
      </c>
      <c r="F478" s="117" cm="1">
        <f t="array" ref="F478">IF(E478="","",IF(H477&lt;&gt;"",H477,INDEX(D:D,E478)))</f>
        <v>0</v>
      </c>
      <c r="G478" s="117" t="str">
        <f t="shared" si="51"/>
        <v>0</v>
      </c>
      <c r="H478" s="118" t="str">
        <f t="shared" si="52"/>
        <v/>
      </c>
      <c r="I478" s="116" t="str">
        <f>IF(AND(F478&lt;&gt;"",N10&gt;0,M478&gt;N10),"Mot &gt; limite","")</f>
        <v/>
      </c>
      <c r="M478" s="70">
        <f>IF(OR(F478="",N10="",N10&lt;=0),"",IF(LEN(F478)&lt;=N10,LEN(F478),IFERROR(FIND("♦",SUBSTITUTE(LEFT(F478,N10)," ","♦",LEN(LEFT(F478,N10))-LEN(SUBSTITUTE(LEFT(F478,N10)," ","")))),FIND(" ",F478&amp;" ",N10+1)-1)))</f>
        <v>1</v>
      </c>
      <c r="N478" s="119">
        <f t="shared" si="53"/>
        <v>461</v>
      </c>
      <c r="O478" s="99" t="str">
        <f t="shared" si="54"/>
        <v>0</v>
      </c>
      <c r="P478" s="119">
        <f t="shared" si="55"/>
        <v>1</v>
      </c>
      <c r="Q478" s="119">
        <f t="shared" si="56"/>
        <v>1</v>
      </c>
    </row>
    <row r="479" spans="2:17">
      <c r="B479" s="116"/>
      <c r="C479" s="116"/>
      <c r="D479" s="116"/>
      <c r="E479" s="116" cm="1">
        <f t="array" ref="E479">IF(H478&lt;&gt;"",E478,IF(E478="","",IFERROR(MATCH(TRUE(),INDEX(INDEX(K:K,E478+1):K203&lt;&gt;"",0),0)+E478,"")))</f>
        <v>621</v>
      </c>
      <c r="F479" s="117" cm="1">
        <f t="array" ref="F479">IF(E479="","",IF(H478&lt;&gt;"",H478,INDEX(D:D,E479)))</f>
        <v>0</v>
      </c>
      <c r="G479" s="117" t="str">
        <f t="shared" si="51"/>
        <v>0</v>
      </c>
      <c r="H479" s="118" t="str">
        <f t="shared" si="52"/>
        <v/>
      </c>
      <c r="I479" s="116" t="str">
        <f>IF(AND(F479&lt;&gt;"",N10&gt;0,M479&gt;N10),"Mot &gt; limite","")</f>
        <v/>
      </c>
      <c r="M479" s="70">
        <f>IF(OR(F479="",N10="",N10&lt;=0),"",IF(LEN(F479)&lt;=N10,LEN(F479),IFERROR(FIND("♦",SUBSTITUTE(LEFT(F479,N10)," ","♦",LEN(LEFT(F479,N10))-LEN(SUBSTITUTE(LEFT(F479,N10)," ","")))),FIND(" ",F479&amp;" ",N10+1)-1)))</f>
        <v>1</v>
      </c>
      <c r="N479" s="119">
        <f t="shared" si="53"/>
        <v>462</v>
      </c>
      <c r="O479" s="99" t="str">
        <f t="shared" si="54"/>
        <v>0</v>
      </c>
      <c r="P479" s="119">
        <f t="shared" si="55"/>
        <v>1</v>
      </c>
      <c r="Q479" s="119">
        <f t="shared" si="56"/>
        <v>1</v>
      </c>
    </row>
    <row r="480" spans="2:17">
      <c r="B480" s="116"/>
      <c r="C480" s="116"/>
      <c r="D480" s="116"/>
      <c r="E480" s="116" cm="1">
        <f t="array" ref="E480">IF(H479&lt;&gt;"",E479,IF(E479="","",IFERROR(MATCH(TRUE(),INDEX(INDEX(K:K,E479+1):K203&lt;&gt;"",0),0)+E479,"")))</f>
        <v>622</v>
      </c>
      <c r="F480" s="117" cm="1">
        <f t="array" ref="F480">IF(E480="","",IF(H479&lt;&gt;"",H479,INDEX(D:D,E480)))</f>
        <v>0</v>
      </c>
      <c r="G480" s="117" t="str">
        <f t="shared" si="51"/>
        <v>0</v>
      </c>
      <c r="H480" s="118" t="str">
        <f t="shared" si="52"/>
        <v/>
      </c>
      <c r="I480" s="116" t="str">
        <f>IF(AND(F480&lt;&gt;"",N10&gt;0,M480&gt;N10),"Mot &gt; limite","")</f>
        <v/>
      </c>
      <c r="M480" s="70">
        <f>IF(OR(F480="",N10="",N10&lt;=0),"",IF(LEN(F480)&lt;=N10,LEN(F480),IFERROR(FIND("♦",SUBSTITUTE(LEFT(F480,N10)," ","♦",LEN(LEFT(F480,N10))-LEN(SUBSTITUTE(LEFT(F480,N10)," ","")))),FIND(" ",F480&amp;" ",N10+1)-1)))</f>
        <v>1</v>
      </c>
      <c r="N480" s="119">
        <f t="shared" si="53"/>
        <v>463</v>
      </c>
      <c r="O480" s="99" t="str">
        <f t="shared" si="54"/>
        <v>0</v>
      </c>
      <c r="P480" s="119">
        <f t="shared" si="55"/>
        <v>1</v>
      </c>
      <c r="Q480" s="119">
        <f t="shared" si="56"/>
        <v>1</v>
      </c>
    </row>
    <row r="481" spans="2:17">
      <c r="B481" s="116"/>
      <c r="C481" s="116"/>
      <c r="D481" s="116"/>
      <c r="E481" s="116" cm="1">
        <f t="array" ref="E481">IF(H480&lt;&gt;"",E480,IF(E480="","",IFERROR(MATCH(TRUE(),INDEX(INDEX(K:K,E480+1):K203&lt;&gt;"",0),0)+E480,"")))</f>
        <v>623</v>
      </c>
      <c r="F481" s="117" cm="1">
        <f t="array" ref="F481">IF(E481="","",IF(H480&lt;&gt;"",H480,INDEX(D:D,E481)))</f>
        <v>0</v>
      </c>
      <c r="G481" s="117" t="str">
        <f t="shared" si="51"/>
        <v>0</v>
      </c>
      <c r="H481" s="118" t="str">
        <f t="shared" si="52"/>
        <v/>
      </c>
      <c r="I481" s="116" t="str">
        <f>IF(AND(F481&lt;&gt;"",N10&gt;0,M481&gt;N10),"Mot &gt; limite","")</f>
        <v/>
      </c>
      <c r="M481" s="70">
        <f>IF(OR(F481="",N10="",N10&lt;=0),"",IF(LEN(F481)&lt;=N10,LEN(F481),IFERROR(FIND("♦",SUBSTITUTE(LEFT(F481,N10)," ","♦",LEN(LEFT(F481,N10))-LEN(SUBSTITUTE(LEFT(F481,N10)," ","")))),FIND(" ",F481&amp;" ",N10+1)-1)))</f>
        <v>1</v>
      </c>
      <c r="N481" s="119">
        <f t="shared" si="53"/>
        <v>464</v>
      </c>
      <c r="O481" s="99" t="str">
        <f t="shared" si="54"/>
        <v>0</v>
      </c>
      <c r="P481" s="119">
        <f t="shared" si="55"/>
        <v>1</v>
      </c>
      <c r="Q481" s="119">
        <f t="shared" si="56"/>
        <v>1</v>
      </c>
    </row>
    <row r="482" spans="2:17">
      <c r="B482" s="116"/>
      <c r="C482" s="116"/>
      <c r="D482" s="116"/>
      <c r="E482" s="116" cm="1">
        <f t="array" ref="E482">IF(H481&lt;&gt;"",E481,IF(E481="","",IFERROR(MATCH(TRUE(),INDEX(INDEX(K:K,E481+1):K203&lt;&gt;"",0),0)+E481,"")))</f>
        <v>624</v>
      </c>
      <c r="F482" s="117" cm="1">
        <f t="array" ref="F482">IF(E482="","",IF(H481&lt;&gt;"",H481,INDEX(D:D,E482)))</f>
        <v>0</v>
      </c>
      <c r="G482" s="117" t="str">
        <f t="shared" si="51"/>
        <v>0</v>
      </c>
      <c r="H482" s="118" t="str">
        <f t="shared" si="52"/>
        <v/>
      </c>
      <c r="I482" s="116" t="str">
        <f>IF(AND(F482&lt;&gt;"",N10&gt;0,M482&gt;N10),"Mot &gt; limite","")</f>
        <v/>
      </c>
      <c r="M482" s="70">
        <f>IF(OR(F482="",N10="",N10&lt;=0),"",IF(LEN(F482)&lt;=N10,LEN(F482),IFERROR(FIND("♦",SUBSTITUTE(LEFT(F482,N10)," ","♦",LEN(LEFT(F482,N10))-LEN(SUBSTITUTE(LEFT(F482,N10)," ","")))),FIND(" ",F482&amp;" ",N10+1)-1)))</f>
        <v>1</v>
      </c>
      <c r="N482" s="119">
        <f t="shared" si="53"/>
        <v>465</v>
      </c>
      <c r="O482" s="99" t="str">
        <f t="shared" si="54"/>
        <v>0</v>
      </c>
      <c r="P482" s="119">
        <f t="shared" si="55"/>
        <v>1</v>
      </c>
      <c r="Q482" s="119">
        <f t="shared" si="56"/>
        <v>1</v>
      </c>
    </row>
    <row r="483" spans="2:17">
      <c r="B483" s="116"/>
      <c r="C483" s="116"/>
      <c r="D483" s="116"/>
      <c r="E483" s="116" cm="1">
        <f t="array" ref="E483">IF(H482&lt;&gt;"",E482,IF(E482="","",IFERROR(MATCH(TRUE(),INDEX(INDEX(K:K,E482+1):K203&lt;&gt;"",0),0)+E482,"")))</f>
        <v>625</v>
      </c>
      <c r="F483" s="117" cm="1">
        <f t="array" ref="F483">IF(E483="","",IF(H482&lt;&gt;"",H482,INDEX(D:D,E483)))</f>
        <v>0</v>
      </c>
      <c r="G483" s="117" t="str">
        <f t="shared" si="51"/>
        <v>0</v>
      </c>
      <c r="H483" s="118" t="str">
        <f t="shared" si="52"/>
        <v/>
      </c>
      <c r="I483" s="116" t="str">
        <f>IF(AND(F483&lt;&gt;"",N10&gt;0,M483&gt;N10),"Mot &gt; limite","")</f>
        <v/>
      </c>
      <c r="M483" s="70">
        <f>IF(OR(F483="",N10="",N10&lt;=0),"",IF(LEN(F483)&lt;=N10,LEN(F483),IFERROR(FIND("♦",SUBSTITUTE(LEFT(F483,N10)," ","♦",LEN(LEFT(F483,N10))-LEN(SUBSTITUTE(LEFT(F483,N10)," ","")))),FIND(" ",F483&amp;" ",N10+1)-1)))</f>
        <v>1</v>
      </c>
      <c r="N483" s="119">
        <f t="shared" si="53"/>
        <v>466</v>
      </c>
      <c r="O483" s="99" t="str">
        <f t="shared" si="54"/>
        <v>0</v>
      </c>
      <c r="P483" s="119">
        <f t="shared" si="55"/>
        <v>1</v>
      </c>
      <c r="Q483" s="119">
        <f t="shared" si="56"/>
        <v>1</v>
      </c>
    </row>
    <row r="484" spans="2:17">
      <c r="B484" s="116"/>
      <c r="C484" s="116"/>
      <c r="D484" s="116"/>
      <c r="E484" s="116" cm="1">
        <f t="array" ref="E484">IF(H483&lt;&gt;"",E483,IF(E483="","",IFERROR(MATCH(TRUE(),INDEX(INDEX(K:K,E483+1):K203&lt;&gt;"",0),0)+E483,"")))</f>
        <v>626</v>
      </c>
      <c r="F484" s="117" cm="1">
        <f t="array" ref="F484">IF(E484="","",IF(H483&lt;&gt;"",H483,INDEX(D:D,E484)))</f>
        <v>0</v>
      </c>
      <c r="G484" s="117" t="str">
        <f t="shared" si="51"/>
        <v>0</v>
      </c>
      <c r="H484" s="118" t="str">
        <f t="shared" si="52"/>
        <v/>
      </c>
      <c r="I484" s="116" t="str">
        <f>IF(AND(F484&lt;&gt;"",N10&gt;0,M484&gt;N10),"Mot &gt; limite","")</f>
        <v/>
      </c>
      <c r="M484" s="70">
        <f>IF(OR(F484="",N10="",N10&lt;=0),"",IF(LEN(F484)&lt;=N10,LEN(F484),IFERROR(FIND("♦",SUBSTITUTE(LEFT(F484,N10)," ","♦",LEN(LEFT(F484,N10))-LEN(SUBSTITUTE(LEFT(F484,N10)," ","")))),FIND(" ",F484&amp;" ",N10+1)-1)))</f>
        <v>1</v>
      </c>
      <c r="N484" s="119">
        <f t="shared" si="53"/>
        <v>467</v>
      </c>
      <c r="O484" s="99" t="str">
        <f t="shared" si="54"/>
        <v>0</v>
      </c>
      <c r="P484" s="119">
        <f t="shared" si="55"/>
        <v>1</v>
      </c>
      <c r="Q484" s="119">
        <f t="shared" si="56"/>
        <v>1</v>
      </c>
    </row>
    <row r="485" spans="2:17">
      <c r="B485" s="116"/>
      <c r="C485" s="116"/>
      <c r="D485" s="116"/>
      <c r="E485" s="116" cm="1">
        <f t="array" ref="E485">IF(H484&lt;&gt;"",E484,IF(E484="","",IFERROR(MATCH(TRUE(),INDEX(INDEX(K:K,E484+1):K203&lt;&gt;"",0),0)+E484,"")))</f>
        <v>627</v>
      </c>
      <c r="F485" s="117" cm="1">
        <f t="array" ref="F485">IF(E485="","",IF(H484&lt;&gt;"",H484,INDEX(D:D,E485)))</f>
        <v>0</v>
      </c>
      <c r="G485" s="117" t="str">
        <f t="shared" si="51"/>
        <v>0</v>
      </c>
      <c r="H485" s="118" t="str">
        <f t="shared" si="52"/>
        <v/>
      </c>
      <c r="I485" s="116" t="str">
        <f>IF(AND(F485&lt;&gt;"",N10&gt;0,M485&gt;N10),"Mot &gt; limite","")</f>
        <v/>
      </c>
      <c r="M485" s="70">
        <f>IF(OR(F485="",N10="",N10&lt;=0),"",IF(LEN(F485)&lt;=N10,LEN(F485),IFERROR(FIND("♦",SUBSTITUTE(LEFT(F485,N10)," ","♦",LEN(LEFT(F485,N10))-LEN(SUBSTITUTE(LEFT(F485,N10)," ","")))),FIND(" ",F485&amp;" ",N10+1)-1)))</f>
        <v>1</v>
      </c>
      <c r="N485" s="119">
        <f t="shared" si="53"/>
        <v>468</v>
      </c>
      <c r="O485" s="99" t="str">
        <f t="shared" si="54"/>
        <v>0</v>
      </c>
      <c r="P485" s="119">
        <f t="shared" si="55"/>
        <v>1</v>
      </c>
      <c r="Q485" s="119">
        <f t="shared" si="56"/>
        <v>1</v>
      </c>
    </row>
    <row r="486" spans="2:17">
      <c r="B486" s="116"/>
      <c r="C486" s="116"/>
      <c r="D486" s="116"/>
      <c r="E486" s="116" cm="1">
        <f t="array" ref="E486">IF(H485&lt;&gt;"",E485,IF(E485="","",IFERROR(MATCH(TRUE(),INDEX(INDEX(K:K,E485+1):K203&lt;&gt;"",0),0)+E485,"")))</f>
        <v>628</v>
      </c>
      <c r="F486" s="117" cm="1">
        <f t="array" ref="F486">IF(E486="","",IF(H485&lt;&gt;"",H485,INDEX(D:D,E486)))</f>
        <v>0</v>
      </c>
      <c r="G486" s="117" t="str">
        <f t="shared" si="51"/>
        <v>0</v>
      </c>
      <c r="H486" s="118" t="str">
        <f t="shared" si="52"/>
        <v/>
      </c>
      <c r="I486" s="116" t="str">
        <f>IF(AND(F486&lt;&gt;"",N10&gt;0,M486&gt;N10),"Mot &gt; limite","")</f>
        <v/>
      </c>
      <c r="M486" s="70">
        <f>IF(OR(F486="",N10="",N10&lt;=0),"",IF(LEN(F486)&lt;=N10,LEN(F486),IFERROR(FIND("♦",SUBSTITUTE(LEFT(F486,N10)," ","♦",LEN(LEFT(F486,N10))-LEN(SUBSTITUTE(LEFT(F486,N10)," ","")))),FIND(" ",F486&amp;" ",N10+1)-1)))</f>
        <v>1</v>
      </c>
      <c r="N486" s="119">
        <f t="shared" si="53"/>
        <v>469</v>
      </c>
      <c r="O486" s="99" t="str">
        <f t="shared" si="54"/>
        <v>0</v>
      </c>
      <c r="P486" s="119">
        <f t="shared" si="55"/>
        <v>1</v>
      </c>
      <c r="Q486" s="119">
        <f t="shared" si="56"/>
        <v>1</v>
      </c>
    </row>
    <row r="487" spans="2:17">
      <c r="B487" s="116"/>
      <c r="C487" s="116"/>
      <c r="D487" s="116"/>
      <c r="E487" s="116" cm="1">
        <f t="array" ref="E487">IF(H486&lt;&gt;"",E486,IF(E486="","",IFERROR(MATCH(TRUE(),INDEX(INDEX(K:K,E486+1):K203&lt;&gt;"",0),0)+E486,"")))</f>
        <v>629</v>
      </c>
      <c r="F487" s="117" cm="1">
        <f t="array" ref="F487">IF(E487="","",IF(H486&lt;&gt;"",H486,INDEX(D:D,E487)))</f>
        <v>0</v>
      </c>
      <c r="G487" s="117" t="str">
        <f t="shared" si="51"/>
        <v>0</v>
      </c>
      <c r="H487" s="118" t="str">
        <f t="shared" si="52"/>
        <v/>
      </c>
      <c r="I487" s="116" t="str">
        <f>IF(AND(F487&lt;&gt;"",N10&gt;0,M487&gt;N10),"Mot &gt; limite","")</f>
        <v/>
      </c>
      <c r="M487" s="70">
        <f>IF(OR(F487="",N10="",N10&lt;=0),"",IF(LEN(F487)&lt;=N10,LEN(F487),IFERROR(FIND("♦",SUBSTITUTE(LEFT(F487,N10)," ","♦",LEN(LEFT(F487,N10))-LEN(SUBSTITUTE(LEFT(F487,N10)," ","")))),FIND(" ",F487&amp;" ",N10+1)-1)))</f>
        <v>1</v>
      </c>
      <c r="N487" s="119">
        <f t="shared" si="53"/>
        <v>470</v>
      </c>
      <c r="O487" s="99" t="str">
        <f t="shared" si="54"/>
        <v>0</v>
      </c>
      <c r="P487" s="119">
        <f t="shared" si="55"/>
        <v>1</v>
      </c>
      <c r="Q487" s="119">
        <f t="shared" si="56"/>
        <v>1</v>
      </c>
    </row>
    <row r="488" spans="2:17">
      <c r="B488" s="116"/>
      <c r="C488" s="116"/>
      <c r="D488" s="116"/>
      <c r="E488" s="116" cm="1">
        <f t="array" ref="E488">IF(H487&lt;&gt;"",E487,IF(E487="","",IFERROR(MATCH(TRUE(),INDEX(INDEX(K:K,E487+1):K203&lt;&gt;"",0),0)+E487,"")))</f>
        <v>630</v>
      </c>
      <c r="F488" s="117" cm="1">
        <f t="array" ref="F488">IF(E488="","",IF(H487&lt;&gt;"",H487,INDEX(D:D,E488)))</f>
        <v>0</v>
      </c>
      <c r="G488" s="117" t="str">
        <f t="shared" si="51"/>
        <v>0</v>
      </c>
      <c r="H488" s="118" t="str">
        <f t="shared" si="52"/>
        <v/>
      </c>
      <c r="I488" s="116" t="str">
        <f>IF(AND(F488&lt;&gt;"",N10&gt;0,M488&gt;N10),"Mot &gt; limite","")</f>
        <v/>
      </c>
      <c r="M488" s="70">
        <f>IF(OR(F488="",N10="",N10&lt;=0),"",IF(LEN(F488)&lt;=N10,LEN(F488),IFERROR(FIND("♦",SUBSTITUTE(LEFT(F488,N10)," ","♦",LEN(LEFT(F488,N10))-LEN(SUBSTITUTE(LEFT(F488,N10)," ","")))),FIND(" ",F488&amp;" ",N10+1)-1)))</f>
        <v>1</v>
      </c>
      <c r="N488" s="119">
        <f t="shared" si="53"/>
        <v>471</v>
      </c>
      <c r="O488" s="99" t="str">
        <f t="shared" si="54"/>
        <v>0</v>
      </c>
      <c r="P488" s="119">
        <f t="shared" si="55"/>
        <v>1</v>
      </c>
      <c r="Q488" s="119">
        <f t="shared" si="56"/>
        <v>1</v>
      </c>
    </row>
    <row r="489" spans="2:17">
      <c r="B489" s="116"/>
      <c r="C489" s="116"/>
      <c r="D489" s="116"/>
      <c r="E489" s="116" cm="1">
        <f t="array" ref="E489">IF(H488&lt;&gt;"",E488,IF(E488="","",IFERROR(MATCH(TRUE(),INDEX(INDEX(K:K,E488+1):K203&lt;&gt;"",0),0)+E488,"")))</f>
        <v>631</v>
      </c>
      <c r="F489" s="117" cm="1">
        <f t="array" ref="F489">IF(E489="","",IF(H488&lt;&gt;"",H488,INDEX(D:D,E489)))</f>
        <v>0</v>
      </c>
      <c r="G489" s="117" t="str">
        <f t="shared" si="51"/>
        <v>0</v>
      </c>
      <c r="H489" s="118" t="str">
        <f t="shared" si="52"/>
        <v/>
      </c>
      <c r="I489" s="116" t="str">
        <f>IF(AND(F489&lt;&gt;"",N10&gt;0,M489&gt;N10),"Mot &gt; limite","")</f>
        <v/>
      </c>
      <c r="M489" s="70">
        <f>IF(OR(F489="",N10="",N10&lt;=0),"",IF(LEN(F489)&lt;=N10,LEN(F489),IFERROR(FIND("♦",SUBSTITUTE(LEFT(F489,N10)," ","♦",LEN(LEFT(F489,N10))-LEN(SUBSTITUTE(LEFT(F489,N10)," ","")))),FIND(" ",F489&amp;" ",N10+1)-1)))</f>
        <v>1</v>
      </c>
      <c r="N489" s="119">
        <f t="shared" si="53"/>
        <v>472</v>
      </c>
      <c r="O489" s="99" t="str">
        <f t="shared" si="54"/>
        <v>0</v>
      </c>
      <c r="P489" s="119">
        <f t="shared" si="55"/>
        <v>1</v>
      </c>
      <c r="Q489" s="119">
        <f t="shared" si="56"/>
        <v>1</v>
      </c>
    </row>
    <row r="490" spans="2:17">
      <c r="B490" s="116"/>
      <c r="C490" s="116"/>
      <c r="D490" s="116"/>
      <c r="E490" s="116" cm="1">
        <f t="array" ref="E490">IF(H489&lt;&gt;"",E489,IF(E489="","",IFERROR(MATCH(TRUE(),INDEX(INDEX(K:K,E489+1):K203&lt;&gt;"",0),0)+E489,"")))</f>
        <v>632</v>
      </c>
      <c r="F490" s="117" cm="1">
        <f t="array" ref="F490">IF(E490="","",IF(H489&lt;&gt;"",H489,INDEX(D:D,E490)))</f>
        <v>0</v>
      </c>
      <c r="G490" s="117" t="str">
        <f t="shared" si="51"/>
        <v>0</v>
      </c>
      <c r="H490" s="118" t="str">
        <f t="shared" si="52"/>
        <v/>
      </c>
      <c r="I490" s="116" t="str">
        <f>IF(AND(F490&lt;&gt;"",N10&gt;0,M490&gt;N10),"Mot &gt; limite","")</f>
        <v/>
      </c>
      <c r="M490" s="70">
        <f>IF(OR(F490="",N10="",N10&lt;=0),"",IF(LEN(F490)&lt;=N10,LEN(F490),IFERROR(FIND("♦",SUBSTITUTE(LEFT(F490,N10)," ","♦",LEN(LEFT(F490,N10))-LEN(SUBSTITUTE(LEFT(F490,N10)," ","")))),FIND(" ",F490&amp;" ",N10+1)-1)))</f>
        <v>1</v>
      </c>
      <c r="N490" s="119">
        <f t="shared" si="53"/>
        <v>473</v>
      </c>
      <c r="O490" s="99" t="str">
        <f t="shared" si="54"/>
        <v>0</v>
      </c>
      <c r="P490" s="119">
        <f t="shared" si="55"/>
        <v>1</v>
      </c>
      <c r="Q490" s="119">
        <f t="shared" si="56"/>
        <v>1</v>
      </c>
    </row>
    <row r="491" spans="2:17">
      <c r="B491" s="116"/>
      <c r="C491" s="116"/>
      <c r="D491" s="116"/>
      <c r="E491" s="116" cm="1">
        <f t="array" ref="E491">IF(H490&lt;&gt;"",E490,IF(E490="","",IFERROR(MATCH(TRUE(),INDEX(INDEX(K:K,E490+1):K203&lt;&gt;"",0),0)+E490,"")))</f>
        <v>633</v>
      </c>
      <c r="F491" s="117" cm="1">
        <f t="array" ref="F491">IF(E491="","",IF(H490&lt;&gt;"",H490,INDEX(D:D,E491)))</f>
        <v>0</v>
      </c>
      <c r="G491" s="117" t="str">
        <f t="shared" si="51"/>
        <v>0</v>
      </c>
      <c r="H491" s="118" t="str">
        <f t="shared" si="52"/>
        <v/>
      </c>
      <c r="I491" s="116" t="str">
        <f>IF(AND(F491&lt;&gt;"",N10&gt;0,M491&gt;N10),"Mot &gt; limite","")</f>
        <v/>
      </c>
      <c r="M491" s="70">
        <f>IF(OR(F491="",N10="",N10&lt;=0),"",IF(LEN(F491)&lt;=N10,LEN(F491),IFERROR(FIND("♦",SUBSTITUTE(LEFT(F491,N10)," ","♦",LEN(LEFT(F491,N10))-LEN(SUBSTITUTE(LEFT(F491,N10)," ","")))),FIND(" ",F491&amp;" ",N10+1)-1)))</f>
        <v>1</v>
      </c>
      <c r="N491" s="119">
        <f t="shared" si="53"/>
        <v>474</v>
      </c>
      <c r="O491" s="99" t="str">
        <f t="shared" si="54"/>
        <v>0</v>
      </c>
      <c r="P491" s="119">
        <f t="shared" si="55"/>
        <v>1</v>
      </c>
      <c r="Q491" s="119">
        <f t="shared" si="56"/>
        <v>1</v>
      </c>
    </row>
    <row r="492" spans="2:17">
      <c r="B492" s="116"/>
      <c r="C492" s="116"/>
      <c r="D492" s="116"/>
      <c r="E492" s="116" cm="1">
        <f t="array" ref="E492">IF(H491&lt;&gt;"",E491,IF(E491="","",IFERROR(MATCH(TRUE(),INDEX(INDEX(K:K,E491+1):K203&lt;&gt;"",0),0)+E491,"")))</f>
        <v>634</v>
      </c>
      <c r="F492" s="117" cm="1">
        <f t="array" ref="F492">IF(E492="","",IF(H491&lt;&gt;"",H491,INDEX(D:D,E492)))</f>
        <v>0</v>
      </c>
      <c r="G492" s="117" t="str">
        <f t="shared" si="51"/>
        <v>0</v>
      </c>
      <c r="H492" s="118" t="str">
        <f t="shared" si="52"/>
        <v/>
      </c>
      <c r="I492" s="116" t="str">
        <f>IF(AND(F492&lt;&gt;"",N10&gt;0,M492&gt;N10),"Mot &gt; limite","")</f>
        <v/>
      </c>
      <c r="M492" s="70">
        <f>IF(OR(F492="",N10="",N10&lt;=0),"",IF(LEN(F492)&lt;=N10,LEN(F492),IFERROR(FIND("♦",SUBSTITUTE(LEFT(F492,N10)," ","♦",LEN(LEFT(F492,N10))-LEN(SUBSTITUTE(LEFT(F492,N10)," ","")))),FIND(" ",F492&amp;" ",N10+1)-1)))</f>
        <v>1</v>
      </c>
      <c r="N492" s="119">
        <f t="shared" si="53"/>
        <v>475</v>
      </c>
      <c r="O492" s="99" t="str">
        <f t="shared" si="54"/>
        <v>0</v>
      </c>
      <c r="P492" s="119">
        <f t="shared" si="55"/>
        <v>1</v>
      </c>
      <c r="Q492" s="119">
        <f t="shared" si="56"/>
        <v>1</v>
      </c>
    </row>
    <row r="493" spans="2:17">
      <c r="B493" s="116"/>
      <c r="C493" s="116"/>
      <c r="D493" s="116"/>
      <c r="E493" s="116" cm="1">
        <f t="array" ref="E493">IF(H492&lt;&gt;"",E492,IF(E492="","",IFERROR(MATCH(TRUE(),INDEX(INDEX(K:K,E492+1):K203&lt;&gt;"",0),0)+E492,"")))</f>
        <v>635</v>
      </c>
      <c r="F493" s="117" cm="1">
        <f t="array" ref="F493">IF(E493="","",IF(H492&lt;&gt;"",H492,INDEX(D:D,E493)))</f>
        <v>0</v>
      </c>
      <c r="G493" s="117" t="str">
        <f t="shared" si="51"/>
        <v>0</v>
      </c>
      <c r="H493" s="118" t="str">
        <f t="shared" si="52"/>
        <v/>
      </c>
      <c r="I493" s="116" t="str">
        <f>IF(AND(F493&lt;&gt;"",N10&gt;0,M493&gt;N10),"Mot &gt; limite","")</f>
        <v/>
      </c>
      <c r="M493" s="70">
        <f>IF(OR(F493="",N10="",N10&lt;=0),"",IF(LEN(F493)&lt;=N10,LEN(F493),IFERROR(FIND("♦",SUBSTITUTE(LEFT(F493,N10)," ","♦",LEN(LEFT(F493,N10))-LEN(SUBSTITUTE(LEFT(F493,N10)," ","")))),FIND(" ",F493&amp;" ",N10+1)-1)))</f>
        <v>1</v>
      </c>
      <c r="N493" s="119">
        <f t="shared" si="53"/>
        <v>476</v>
      </c>
      <c r="O493" s="99" t="str">
        <f t="shared" si="54"/>
        <v>0</v>
      </c>
      <c r="P493" s="119">
        <f t="shared" si="55"/>
        <v>1</v>
      </c>
      <c r="Q493" s="119">
        <f t="shared" si="56"/>
        <v>1</v>
      </c>
    </row>
    <row r="494" spans="2:17">
      <c r="B494" s="116"/>
      <c r="C494" s="116"/>
      <c r="D494" s="116"/>
      <c r="E494" s="116" cm="1">
        <f t="array" ref="E494">IF(H493&lt;&gt;"",E493,IF(E493="","",IFERROR(MATCH(TRUE(),INDEX(INDEX(K:K,E493+1):K203&lt;&gt;"",0),0)+E493,"")))</f>
        <v>636</v>
      </c>
      <c r="F494" s="117" cm="1">
        <f t="array" ref="F494">IF(E494="","",IF(H493&lt;&gt;"",H493,INDEX(D:D,E494)))</f>
        <v>0</v>
      </c>
      <c r="G494" s="117" t="str">
        <f t="shared" si="51"/>
        <v>0</v>
      </c>
      <c r="H494" s="118" t="str">
        <f t="shared" si="52"/>
        <v/>
      </c>
      <c r="I494" s="116" t="str">
        <f>IF(AND(F494&lt;&gt;"",N10&gt;0,M494&gt;N10),"Mot &gt; limite","")</f>
        <v/>
      </c>
      <c r="M494" s="70">
        <f>IF(OR(F494="",N10="",N10&lt;=0),"",IF(LEN(F494)&lt;=N10,LEN(F494),IFERROR(FIND("♦",SUBSTITUTE(LEFT(F494,N10)," ","♦",LEN(LEFT(F494,N10))-LEN(SUBSTITUTE(LEFT(F494,N10)," ","")))),FIND(" ",F494&amp;" ",N10+1)-1)))</f>
        <v>1</v>
      </c>
      <c r="N494" s="119">
        <f t="shared" si="53"/>
        <v>477</v>
      </c>
      <c r="O494" s="99" t="str">
        <f t="shared" si="54"/>
        <v>0</v>
      </c>
      <c r="P494" s="119">
        <f t="shared" si="55"/>
        <v>1</v>
      </c>
      <c r="Q494" s="119">
        <f t="shared" si="56"/>
        <v>1</v>
      </c>
    </row>
    <row r="495" spans="2:17">
      <c r="B495" s="116"/>
      <c r="C495" s="116"/>
      <c r="D495" s="116"/>
      <c r="E495" s="116" cm="1">
        <f t="array" ref="E495">IF(H494&lt;&gt;"",E494,IF(E494="","",IFERROR(MATCH(TRUE(),INDEX(INDEX(K:K,E494+1):K203&lt;&gt;"",0),0)+E494,"")))</f>
        <v>637</v>
      </c>
      <c r="F495" s="117" cm="1">
        <f t="array" ref="F495">IF(E495="","",IF(H494&lt;&gt;"",H494,INDEX(D:D,E495)))</f>
        <v>0</v>
      </c>
      <c r="G495" s="117" t="str">
        <f t="shared" si="51"/>
        <v>0</v>
      </c>
      <c r="H495" s="118" t="str">
        <f t="shared" si="52"/>
        <v/>
      </c>
      <c r="I495" s="116" t="str">
        <f>IF(AND(F495&lt;&gt;"",N10&gt;0,M495&gt;N10),"Mot &gt; limite","")</f>
        <v/>
      </c>
      <c r="M495" s="70">
        <f>IF(OR(F495="",N10="",N10&lt;=0),"",IF(LEN(F495)&lt;=N10,LEN(F495),IFERROR(FIND("♦",SUBSTITUTE(LEFT(F495,N10)," ","♦",LEN(LEFT(F495,N10))-LEN(SUBSTITUTE(LEFT(F495,N10)," ","")))),FIND(" ",F495&amp;" ",N10+1)-1)))</f>
        <v>1</v>
      </c>
      <c r="N495" s="119">
        <f t="shared" si="53"/>
        <v>478</v>
      </c>
      <c r="O495" s="99" t="str">
        <f t="shared" si="54"/>
        <v>0</v>
      </c>
      <c r="P495" s="119">
        <f t="shared" si="55"/>
        <v>1</v>
      </c>
      <c r="Q495" s="119">
        <f t="shared" si="56"/>
        <v>1</v>
      </c>
    </row>
    <row r="496" spans="2:17">
      <c r="B496" s="116"/>
      <c r="C496" s="116"/>
      <c r="D496" s="116"/>
      <c r="E496" s="116" cm="1">
        <f t="array" ref="E496">IF(H495&lt;&gt;"",E495,IF(E495="","",IFERROR(MATCH(TRUE(),INDEX(INDEX(K:K,E495+1):K203&lt;&gt;"",0),0)+E495,"")))</f>
        <v>638</v>
      </c>
      <c r="F496" s="117" cm="1">
        <f t="array" ref="F496">IF(E496="","",IF(H495&lt;&gt;"",H495,INDEX(D:D,E496)))</f>
        <v>0</v>
      </c>
      <c r="G496" s="117" t="str">
        <f t="shared" si="51"/>
        <v>0</v>
      </c>
      <c r="H496" s="118" t="str">
        <f t="shared" si="52"/>
        <v/>
      </c>
      <c r="I496" s="116" t="str">
        <f>IF(AND(F496&lt;&gt;"",N10&gt;0,M496&gt;N10),"Mot &gt; limite","")</f>
        <v/>
      </c>
      <c r="M496" s="70">
        <f>IF(OR(F496="",N10="",N10&lt;=0),"",IF(LEN(F496)&lt;=N10,LEN(F496),IFERROR(FIND("♦",SUBSTITUTE(LEFT(F496,N10)," ","♦",LEN(LEFT(F496,N10))-LEN(SUBSTITUTE(LEFT(F496,N10)," ","")))),FIND(" ",F496&amp;" ",N10+1)-1)))</f>
        <v>1</v>
      </c>
      <c r="N496" s="119">
        <f t="shared" si="53"/>
        <v>479</v>
      </c>
      <c r="O496" s="99" t="str">
        <f t="shared" si="54"/>
        <v>0</v>
      </c>
      <c r="P496" s="119">
        <f t="shared" si="55"/>
        <v>1</v>
      </c>
      <c r="Q496" s="119">
        <f t="shared" si="56"/>
        <v>1</v>
      </c>
    </row>
    <row r="497" spans="2:17">
      <c r="B497" s="116"/>
      <c r="C497" s="116"/>
      <c r="D497" s="116"/>
      <c r="E497" s="116" cm="1">
        <f t="array" ref="E497">IF(H496&lt;&gt;"",E496,IF(E496="","",IFERROR(MATCH(TRUE(),INDEX(INDEX(K:K,E496+1):K203&lt;&gt;"",0),0)+E496,"")))</f>
        <v>639</v>
      </c>
      <c r="F497" s="117" cm="1">
        <f t="array" ref="F497">IF(E497="","",IF(H496&lt;&gt;"",H496,INDEX(D:D,E497)))</f>
        <v>0</v>
      </c>
      <c r="G497" s="117" t="str">
        <f t="shared" si="51"/>
        <v>0</v>
      </c>
      <c r="H497" s="118" t="str">
        <f t="shared" si="52"/>
        <v/>
      </c>
      <c r="I497" s="116" t="str">
        <f>IF(AND(F497&lt;&gt;"",N10&gt;0,M497&gt;N10),"Mot &gt; limite","")</f>
        <v/>
      </c>
      <c r="M497" s="70">
        <f>IF(OR(F497="",N10="",N10&lt;=0),"",IF(LEN(F497)&lt;=N10,LEN(F497),IFERROR(FIND("♦",SUBSTITUTE(LEFT(F497,N10)," ","♦",LEN(LEFT(F497,N10))-LEN(SUBSTITUTE(LEFT(F497,N10)," ","")))),FIND(" ",F497&amp;" ",N10+1)-1)))</f>
        <v>1</v>
      </c>
      <c r="N497" s="119">
        <f t="shared" si="53"/>
        <v>480</v>
      </c>
      <c r="O497" s="99" t="str">
        <f t="shared" si="54"/>
        <v>0</v>
      </c>
      <c r="P497" s="119">
        <f t="shared" si="55"/>
        <v>1</v>
      </c>
      <c r="Q497" s="119">
        <f t="shared" si="56"/>
        <v>1</v>
      </c>
    </row>
    <row r="498" spans="2:17">
      <c r="B498" s="116"/>
      <c r="C498" s="116"/>
      <c r="D498" s="116"/>
      <c r="E498" s="116" cm="1">
        <f t="array" ref="E498">IF(H497&lt;&gt;"",E497,IF(E497="","",IFERROR(MATCH(TRUE(),INDEX(INDEX(K:K,E497+1):K203&lt;&gt;"",0),0)+E497,"")))</f>
        <v>640</v>
      </c>
      <c r="F498" s="117" cm="1">
        <f t="array" ref="F498">IF(E498="","",IF(H497&lt;&gt;"",H497,INDEX(D:D,E498)))</f>
        <v>0</v>
      </c>
      <c r="G498" s="117" t="str">
        <f t="shared" si="51"/>
        <v>0</v>
      </c>
      <c r="H498" s="118" t="str">
        <f t="shared" si="52"/>
        <v/>
      </c>
      <c r="I498" s="116" t="str">
        <f>IF(AND(F498&lt;&gt;"",N10&gt;0,M498&gt;N10),"Mot &gt; limite","")</f>
        <v/>
      </c>
      <c r="M498" s="70">
        <f>IF(OR(F498="",N10="",N10&lt;=0),"",IF(LEN(F498)&lt;=N10,LEN(F498),IFERROR(FIND("♦",SUBSTITUTE(LEFT(F498,N10)," ","♦",LEN(LEFT(F498,N10))-LEN(SUBSTITUTE(LEFT(F498,N10)," ","")))),FIND(" ",F498&amp;" ",N10+1)-1)))</f>
        <v>1</v>
      </c>
      <c r="N498" s="119">
        <f t="shared" si="53"/>
        <v>481</v>
      </c>
      <c r="O498" s="99" t="str">
        <f t="shared" si="54"/>
        <v>0</v>
      </c>
      <c r="P498" s="119">
        <f t="shared" si="55"/>
        <v>1</v>
      </c>
      <c r="Q498" s="119">
        <f t="shared" si="56"/>
        <v>1</v>
      </c>
    </row>
    <row r="499" spans="2:17">
      <c r="B499" s="116"/>
      <c r="C499" s="116"/>
      <c r="D499" s="116"/>
      <c r="E499" s="116" cm="1">
        <f t="array" ref="E499">IF(H498&lt;&gt;"",E498,IF(E498="","",IFERROR(MATCH(TRUE(),INDEX(INDEX(K:K,E498+1):K203&lt;&gt;"",0),0)+E498,"")))</f>
        <v>641</v>
      </c>
      <c r="F499" s="117" cm="1">
        <f t="array" ref="F499">IF(E499="","",IF(H498&lt;&gt;"",H498,INDEX(D:D,E499)))</f>
        <v>0</v>
      </c>
      <c r="G499" s="117" t="str">
        <f t="shared" si="51"/>
        <v>0</v>
      </c>
      <c r="H499" s="118" t="str">
        <f t="shared" si="52"/>
        <v/>
      </c>
      <c r="I499" s="116" t="str">
        <f>IF(AND(F499&lt;&gt;"",N10&gt;0,M499&gt;N10),"Mot &gt; limite","")</f>
        <v/>
      </c>
      <c r="M499" s="70">
        <f>IF(OR(F499="",N10="",N10&lt;=0),"",IF(LEN(F499)&lt;=N10,LEN(F499),IFERROR(FIND("♦",SUBSTITUTE(LEFT(F499,N10)," ","♦",LEN(LEFT(F499,N10))-LEN(SUBSTITUTE(LEFT(F499,N10)," ","")))),FIND(" ",F499&amp;" ",N10+1)-1)))</f>
        <v>1</v>
      </c>
      <c r="N499" s="119">
        <f t="shared" si="53"/>
        <v>482</v>
      </c>
      <c r="O499" s="99" t="str">
        <f t="shared" si="54"/>
        <v>0</v>
      </c>
      <c r="P499" s="119">
        <f t="shared" si="55"/>
        <v>1</v>
      </c>
      <c r="Q499" s="119">
        <f t="shared" si="56"/>
        <v>1</v>
      </c>
    </row>
    <row r="500" spans="2:17">
      <c r="B500" s="116"/>
      <c r="C500" s="116"/>
      <c r="D500" s="116"/>
      <c r="E500" s="116" cm="1">
        <f t="array" ref="E500">IF(H499&lt;&gt;"",E499,IF(E499="","",IFERROR(MATCH(TRUE(),INDEX(INDEX(K:K,E499+1):K203&lt;&gt;"",0),0)+E499,"")))</f>
        <v>642</v>
      </c>
      <c r="F500" s="117" cm="1">
        <f t="array" ref="F500">IF(E500="","",IF(H499&lt;&gt;"",H499,INDEX(D:D,E500)))</f>
        <v>0</v>
      </c>
      <c r="G500" s="117" t="str">
        <f t="shared" si="51"/>
        <v>0</v>
      </c>
      <c r="H500" s="118" t="str">
        <f t="shared" si="52"/>
        <v/>
      </c>
      <c r="I500" s="116" t="str">
        <f>IF(AND(F500&lt;&gt;"",N10&gt;0,M500&gt;N10),"Mot &gt; limite","")</f>
        <v/>
      </c>
      <c r="M500" s="70">
        <f>IF(OR(F500="",N10="",N10&lt;=0),"",IF(LEN(F500)&lt;=N10,LEN(F500),IFERROR(FIND("♦",SUBSTITUTE(LEFT(F500,N10)," ","♦",LEN(LEFT(F500,N10))-LEN(SUBSTITUTE(LEFT(F500,N10)," ","")))),FIND(" ",F500&amp;" ",N10+1)-1)))</f>
        <v>1</v>
      </c>
      <c r="N500" s="119">
        <f t="shared" si="53"/>
        <v>483</v>
      </c>
      <c r="O500" s="99" t="str">
        <f t="shared" si="54"/>
        <v>0</v>
      </c>
      <c r="P500" s="119">
        <f t="shared" si="55"/>
        <v>1</v>
      </c>
      <c r="Q500" s="119">
        <f t="shared" si="56"/>
        <v>1</v>
      </c>
    </row>
    <row r="501" spans="2:17">
      <c r="B501" s="116"/>
      <c r="C501" s="116"/>
      <c r="D501" s="116"/>
      <c r="E501" s="116" cm="1">
        <f t="array" ref="E501">IF(H500&lt;&gt;"",E500,IF(E500="","",IFERROR(MATCH(TRUE(),INDEX(INDEX(K:K,E500+1):K203&lt;&gt;"",0),0)+E500,"")))</f>
        <v>643</v>
      </c>
      <c r="F501" s="117" cm="1">
        <f t="array" ref="F501">IF(E501="","",IF(H500&lt;&gt;"",H500,INDEX(D:D,E501)))</f>
        <v>0</v>
      </c>
      <c r="G501" s="117" t="str">
        <f t="shared" si="51"/>
        <v>0</v>
      </c>
      <c r="H501" s="118" t="str">
        <f t="shared" si="52"/>
        <v/>
      </c>
      <c r="I501" s="116" t="str">
        <f>IF(AND(F501&lt;&gt;"",N10&gt;0,M501&gt;N10),"Mot &gt; limite","")</f>
        <v/>
      </c>
      <c r="M501" s="70">
        <f>IF(OR(F501="",N10="",N10&lt;=0),"",IF(LEN(F501)&lt;=N10,LEN(F501),IFERROR(FIND("♦",SUBSTITUTE(LEFT(F501,N10)," ","♦",LEN(LEFT(F501,N10))-LEN(SUBSTITUTE(LEFT(F501,N10)," ","")))),FIND(" ",F501&amp;" ",N10+1)-1)))</f>
        <v>1</v>
      </c>
      <c r="N501" s="119">
        <f t="shared" si="53"/>
        <v>484</v>
      </c>
      <c r="O501" s="99" t="str">
        <f t="shared" si="54"/>
        <v>0</v>
      </c>
      <c r="P501" s="119">
        <f t="shared" si="55"/>
        <v>1</v>
      </c>
      <c r="Q501" s="119">
        <f t="shared" si="56"/>
        <v>1</v>
      </c>
    </row>
    <row r="502" spans="2:17">
      <c r="B502" s="116"/>
      <c r="C502" s="116"/>
      <c r="D502" s="116"/>
      <c r="E502" s="116" cm="1">
        <f t="array" ref="E502">IF(H501&lt;&gt;"",E501,IF(E501="","",IFERROR(MATCH(TRUE(),INDEX(INDEX(K:K,E501+1):K203&lt;&gt;"",0),0)+E501,"")))</f>
        <v>644</v>
      </c>
      <c r="F502" s="117" cm="1">
        <f t="array" ref="F502">IF(E502="","",IF(H501&lt;&gt;"",H501,INDEX(D:D,E502)))</f>
        <v>0</v>
      </c>
      <c r="G502" s="117" t="str">
        <f t="shared" si="51"/>
        <v>0</v>
      </c>
      <c r="H502" s="118" t="str">
        <f t="shared" si="52"/>
        <v/>
      </c>
      <c r="I502" s="116" t="str">
        <f>IF(AND(F502&lt;&gt;"",N10&gt;0,M502&gt;N10),"Mot &gt; limite","")</f>
        <v/>
      </c>
      <c r="M502" s="70">
        <f>IF(OR(F502="",N10="",N10&lt;=0),"",IF(LEN(F502)&lt;=N10,LEN(F502),IFERROR(FIND("♦",SUBSTITUTE(LEFT(F502,N10)," ","♦",LEN(LEFT(F502,N10))-LEN(SUBSTITUTE(LEFT(F502,N10)," ","")))),FIND(" ",F502&amp;" ",N10+1)-1)))</f>
        <v>1</v>
      </c>
      <c r="N502" s="119">
        <f t="shared" si="53"/>
        <v>485</v>
      </c>
      <c r="O502" s="99" t="str">
        <f t="shared" si="54"/>
        <v>0</v>
      </c>
      <c r="P502" s="119">
        <f t="shared" si="55"/>
        <v>1</v>
      </c>
      <c r="Q502" s="119">
        <f t="shared" si="56"/>
        <v>1</v>
      </c>
    </row>
    <row r="503" spans="2:17">
      <c r="B503" s="116"/>
      <c r="C503" s="116"/>
      <c r="D503" s="116"/>
      <c r="E503" s="116" cm="1">
        <f t="array" ref="E503">IF(H502&lt;&gt;"",E502,IF(E502="","",IFERROR(MATCH(TRUE(),INDEX(INDEX(K:K,E502+1):K203&lt;&gt;"",0),0)+E502,"")))</f>
        <v>645</v>
      </c>
      <c r="F503" s="117" cm="1">
        <f t="array" ref="F503">IF(E503="","",IF(H502&lt;&gt;"",H502,INDEX(D:D,E503)))</f>
        <v>0</v>
      </c>
      <c r="G503" s="117" t="str">
        <f t="shared" si="51"/>
        <v>0</v>
      </c>
      <c r="H503" s="118" t="str">
        <f t="shared" si="52"/>
        <v/>
      </c>
      <c r="I503" s="116" t="str">
        <f>IF(AND(F503&lt;&gt;"",N10&gt;0,M503&gt;N10),"Mot &gt; limite","")</f>
        <v/>
      </c>
      <c r="M503" s="70">
        <f>IF(OR(F503="",N10="",N10&lt;=0),"",IF(LEN(F503)&lt;=N10,LEN(F503),IFERROR(FIND("♦",SUBSTITUTE(LEFT(F503,N10)," ","♦",LEN(LEFT(F503,N10))-LEN(SUBSTITUTE(LEFT(F503,N10)," ","")))),FIND(" ",F503&amp;" ",N10+1)-1)))</f>
        <v>1</v>
      </c>
      <c r="N503" s="119">
        <f t="shared" si="53"/>
        <v>486</v>
      </c>
      <c r="O503" s="99" t="str">
        <f t="shared" si="54"/>
        <v>0</v>
      </c>
      <c r="P503" s="119">
        <f t="shared" si="55"/>
        <v>1</v>
      </c>
      <c r="Q503" s="119">
        <f t="shared" si="56"/>
        <v>1</v>
      </c>
    </row>
    <row r="504" spans="2:17">
      <c r="B504" s="116"/>
      <c r="C504" s="116"/>
      <c r="D504" s="116"/>
      <c r="E504" s="116" cm="1">
        <f t="array" ref="E504">IF(H503&lt;&gt;"",E503,IF(E503="","",IFERROR(MATCH(TRUE(),INDEX(INDEX(K:K,E503+1):K203&lt;&gt;"",0),0)+E503,"")))</f>
        <v>646</v>
      </c>
      <c r="F504" s="117" cm="1">
        <f t="array" ref="F504">IF(E504="","",IF(H503&lt;&gt;"",H503,INDEX(D:D,E504)))</f>
        <v>0</v>
      </c>
      <c r="G504" s="117" t="str">
        <f t="shared" si="51"/>
        <v>0</v>
      </c>
      <c r="H504" s="118" t="str">
        <f t="shared" si="52"/>
        <v/>
      </c>
      <c r="I504" s="116" t="str">
        <f>IF(AND(F504&lt;&gt;"",N10&gt;0,M504&gt;N10),"Mot &gt; limite","")</f>
        <v/>
      </c>
      <c r="M504" s="70">
        <f>IF(OR(F504="",N10="",N10&lt;=0),"",IF(LEN(F504)&lt;=N10,LEN(F504),IFERROR(FIND("♦",SUBSTITUTE(LEFT(F504,N10)," ","♦",LEN(LEFT(F504,N10))-LEN(SUBSTITUTE(LEFT(F504,N10)," ","")))),FIND(" ",F504&amp;" ",N10+1)-1)))</f>
        <v>1</v>
      </c>
      <c r="N504" s="119">
        <f t="shared" si="53"/>
        <v>487</v>
      </c>
      <c r="O504" s="99" t="str">
        <f t="shared" si="54"/>
        <v>0</v>
      </c>
      <c r="P504" s="119">
        <f t="shared" si="55"/>
        <v>1</v>
      </c>
      <c r="Q504" s="119">
        <f t="shared" si="56"/>
        <v>1</v>
      </c>
    </row>
    <row r="505" spans="2:17">
      <c r="B505" s="116"/>
      <c r="C505" s="116"/>
      <c r="D505" s="116"/>
      <c r="E505" s="116" cm="1">
        <f t="array" ref="E505">IF(H504&lt;&gt;"",E504,IF(E504="","",IFERROR(MATCH(TRUE(),INDEX(INDEX(K:K,E504+1):K203&lt;&gt;"",0),0)+E504,"")))</f>
        <v>647</v>
      </c>
      <c r="F505" s="117" cm="1">
        <f t="array" ref="F505">IF(E505="","",IF(H504&lt;&gt;"",H504,INDEX(D:D,E505)))</f>
        <v>0</v>
      </c>
      <c r="G505" s="117" t="str">
        <f t="shared" si="51"/>
        <v>0</v>
      </c>
      <c r="H505" s="118" t="str">
        <f t="shared" si="52"/>
        <v/>
      </c>
      <c r="I505" s="116" t="str">
        <f>IF(AND(F505&lt;&gt;"",N10&gt;0,M505&gt;N10),"Mot &gt; limite","")</f>
        <v/>
      </c>
      <c r="M505" s="70">
        <f>IF(OR(F505="",N10="",N10&lt;=0),"",IF(LEN(F505)&lt;=N10,LEN(F505),IFERROR(FIND("♦",SUBSTITUTE(LEFT(F505,N10)," ","♦",LEN(LEFT(F505,N10))-LEN(SUBSTITUTE(LEFT(F505,N10)," ","")))),FIND(" ",F505&amp;" ",N10+1)-1)))</f>
        <v>1</v>
      </c>
      <c r="N505" s="119">
        <f t="shared" si="53"/>
        <v>488</v>
      </c>
      <c r="O505" s="99" t="str">
        <f t="shared" si="54"/>
        <v>0</v>
      </c>
      <c r="P505" s="119">
        <f t="shared" si="55"/>
        <v>1</v>
      </c>
      <c r="Q505" s="119">
        <f t="shared" si="56"/>
        <v>1</v>
      </c>
    </row>
    <row r="506" spans="2:17">
      <c r="B506" s="116"/>
      <c r="C506" s="116"/>
      <c r="D506" s="116"/>
      <c r="E506" s="116" cm="1">
        <f t="array" ref="E506">IF(H505&lt;&gt;"",E505,IF(E505="","",IFERROR(MATCH(TRUE(),INDEX(INDEX(K:K,E505+1):K203&lt;&gt;"",0),0)+E505,"")))</f>
        <v>648</v>
      </c>
      <c r="F506" s="117" cm="1">
        <f t="array" ref="F506">IF(E506="","",IF(H505&lt;&gt;"",H505,INDEX(D:D,E506)))</f>
        <v>0</v>
      </c>
      <c r="G506" s="117" t="str">
        <f t="shared" si="51"/>
        <v>0</v>
      </c>
      <c r="H506" s="118" t="str">
        <f t="shared" si="52"/>
        <v/>
      </c>
      <c r="I506" s="116" t="str">
        <f>IF(AND(F506&lt;&gt;"",N10&gt;0,M506&gt;N10),"Mot &gt; limite","")</f>
        <v/>
      </c>
      <c r="M506" s="70">
        <f>IF(OR(F506="",N10="",N10&lt;=0),"",IF(LEN(F506)&lt;=N10,LEN(F506),IFERROR(FIND("♦",SUBSTITUTE(LEFT(F506,N10)," ","♦",LEN(LEFT(F506,N10))-LEN(SUBSTITUTE(LEFT(F506,N10)," ","")))),FIND(" ",F506&amp;" ",N10+1)-1)))</f>
        <v>1</v>
      </c>
      <c r="N506" s="119">
        <f t="shared" si="53"/>
        <v>489</v>
      </c>
      <c r="O506" s="99" t="str">
        <f t="shared" si="54"/>
        <v>0</v>
      </c>
      <c r="P506" s="119">
        <f t="shared" si="55"/>
        <v>1</v>
      </c>
      <c r="Q506" s="119">
        <f t="shared" si="56"/>
        <v>1</v>
      </c>
    </row>
    <row r="507" spans="2:17">
      <c r="B507" s="116"/>
      <c r="C507" s="116"/>
      <c r="D507" s="116"/>
      <c r="E507" s="116" cm="1">
        <f t="array" ref="E507">IF(H506&lt;&gt;"",E506,IF(E506="","",IFERROR(MATCH(TRUE(),INDEX(INDEX(K:K,E506+1):K203&lt;&gt;"",0),0)+E506,"")))</f>
        <v>649</v>
      </c>
      <c r="F507" s="117" cm="1">
        <f t="array" ref="F507">IF(E507="","",IF(H506&lt;&gt;"",H506,INDEX(D:D,E507)))</f>
        <v>0</v>
      </c>
      <c r="G507" s="117" t="str">
        <f t="shared" si="51"/>
        <v>0</v>
      </c>
      <c r="H507" s="118" t="str">
        <f t="shared" si="52"/>
        <v/>
      </c>
      <c r="I507" s="116" t="str">
        <f>IF(AND(F507&lt;&gt;"",N10&gt;0,M507&gt;N10),"Mot &gt; limite","")</f>
        <v/>
      </c>
      <c r="M507" s="70">
        <f>IF(OR(F507="",N10="",N10&lt;=0),"",IF(LEN(F507)&lt;=N10,LEN(F507),IFERROR(FIND("♦",SUBSTITUTE(LEFT(F507,N10)," ","♦",LEN(LEFT(F507,N10))-LEN(SUBSTITUTE(LEFT(F507,N10)," ","")))),FIND(" ",F507&amp;" ",N10+1)-1)))</f>
        <v>1</v>
      </c>
      <c r="N507" s="119">
        <f t="shared" si="53"/>
        <v>490</v>
      </c>
      <c r="O507" s="99" t="str">
        <f t="shared" si="54"/>
        <v>0</v>
      </c>
      <c r="P507" s="119">
        <f t="shared" si="55"/>
        <v>1</v>
      </c>
      <c r="Q507" s="119">
        <f t="shared" si="56"/>
        <v>1</v>
      </c>
    </row>
    <row r="508" spans="2:17">
      <c r="B508" s="116"/>
      <c r="C508" s="116"/>
      <c r="D508" s="116"/>
      <c r="E508" s="116" cm="1">
        <f t="array" ref="E508">IF(H507&lt;&gt;"",E507,IF(E507="","",IFERROR(MATCH(TRUE(),INDEX(INDEX(K:K,E507+1):K203&lt;&gt;"",0),0)+E507,"")))</f>
        <v>650</v>
      </c>
      <c r="F508" s="117" cm="1">
        <f t="array" ref="F508">IF(E508="","",IF(H507&lt;&gt;"",H507,INDEX(D:D,E508)))</f>
        <v>0</v>
      </c>
      <c r="G508" s="117" t="str">
        <f t="shared" si="51"/>
        <v>0</v>
      </c>
      <c r="H508" s="118" t="str">
        <f t="shared" si="52"/>
        <v/>
      </c>
      <c r="I508" s="116" t="str">
        <f>IF(AND(F508&lt;&gt;"",N10&gt;0,M508&gt;N10),"Mot &gt; limite","")</f>
        <v/>
      </c>
      <c r="M508" s="70">
        <f>IF(OR(F508="",N10="",N10&lt;=0),"",IF(LEN(F508)&lt;=N10,LEN(F508),IFERROR(FIND("♦",SUBSTITUTE(LEFT(F508,N10)," ","♦",LEN(LEFT(F508,N10))-LEN(SUBSTITUTE(LEFT(F508,N10)," ","")))),FIND(" ",F508&amp;" ",N10+1)-1)))</f>
        <v>1</v>
      </c>
      <c r="N508" s="119">
        <f t="shared" si="53"/>
        <v>491</v>
      </c>
      <c r="O508" s="99" t="str">
        <f t="shared" si="54"/>
        <v>0</v>
      </c>
      <c r="P508" s="119">
        <f t="shared" si="55"/>
        <v>1</v>
      </c>
      <c r="Q508" s="119">
        <f t="shared" si="56"/>
        <v>1</v>
      </c>
    </row>
    <row r="509" spans="2:17">
      <c r="B509" s="116"/>
      <c r="C509" s="116"/>
      <c r="D509" s="116"/>
      <c r="E509" s="116" cm="1">
        <f t="array" ref="E509">IF(H508&lt;&gt;"",E508,IF(E508="","",IFERROR(MATCH(TRUE(),INDEX(INDEX(K:K,E508+1):K203&lt;&gt;"",0),0)+E508,"")))</f>
        <v>651</v>
      </c>
      <c r="F509" s="117" cm="1">
        <f t="array" ref="F509">IF(E509="","",IF(H508&lt;&gt;"",H508,INDEX(D:D,E509)))</f>
        <v>0</v>
      </c>
      <c r="G509" s="117" t="str">
        <f t="shared" si="51"/>
        <v>0</v>
      </c>
      <c r="H509" s="118" t="str">
        <f t="shared" si="52"/>
        <v/>
      </c>
      <c r="I509" s="116" t="str">
        <f>IF(AND(F509&lt;&gt;"",N10&gt;0,M509&gt;N10),"Mot &gt; limite","")</f>
        <v/>
      </c>
      <c r="M509" s="70">
        <f>IF(OR(F509="",N10="",N10&lt;=0),"",IF(LEN(F509)&lt;=N10,LEN(F509),IFERROR(FIND("♦",SUBSTITUTE(LEFT(F509,N10)," ","♦",LEN(LEFT(F509,N10))-LEN(SUBSTITUTE(LEFT(F509,N10)," ","")))),FIND(" ",F509&amp;" ",N10+1)-1)))</f>
        <v>1</v>
      </c>
      <c r="N509" s="119">
        <f t="shared" si="53"/>
        <v>492</v>
      </c>
      <c r="O509" s="99" t="str">
        <f t="shared" si="54"/>
        <v>0</v>
      </c>
      <c r="P509" s="119">
        <f t="shared" si="55"/>
        <v>1</v>
      </c>
      <c r="Q509" s="119">
        <f t="shared" si="56"/>
        <v>1</v>
      </c>
    </row>
    <row r="510" spans="2:17">
      <c r="B510" s="116"/>
      <c r="C510" s="116"/>
      <c r="D510" s="116"/>
      <c r="E510" s="116" cm="1">
        <f t="array" ref="E510">IF(H509&lt;&gt;"",E509,IF(E509="","",IFERROR(MATCH(TRUE(),INDEX(INDEX(K:K,E509+1):K203&lt;&gt;"",0),0)+E509,"")))</f>
        <v>652</v>
      </c>
      <c r="F510" s="117" cm="1">
        <f t="array" ref="F510">IF(E510="","",IF(H509&lt;&gt;"",H509,INDEX(D:D,E510)))</f>
        <v>0</v>
      </c>
      <c r="G510" s="117" t="str">
        <f t="shared" si="51"/>
        <v>0</v>
      </c>
      <c r="H510" s="118" t="str">
        <f t="shared" si="52"/>
        <v/>
      </c>
      <c r="I510" s="116" t="str">
        <f>IF(AND(F510&lt;&gt;"",N10&gt;0,M510&gt;N10),"Mot &gt; limite","")</f>
        <v/>
      </c>
      <c r="M510" s="70">
        <f>IF(OR(F510="",N10="",N10&lt;=0),"",IF(LEN(F510)&lt;=N10,LEN(F510),IFERROR(FIND("♦",SUBSTITUTE(LEFT(F510,N10)," ","♦",LEN(LEFT(F510,N10))-LEN(SUBSTITUTE(LEFT(F510,N10)," ","")))),FIND(" ",F510&amp;" ",N10+1)-1)))</f>
        <v>1</v>
      </c>
      <c r="N510" s="119">
        <f t="shared" si="53"/>
        <v>493</v>
      </c>
      <c r="O510" s="99" t="str">
        <f t="shared" si="54"/>
        <v>0</v>
      </c>
      <c r="P510" s="119">
        <f t="shared" si="55"/>
        <v>1</v>
      </c>
      <c r="Q510" s="119">
        <f t="shared" si="56"/>
        <v>1</v>
      </c>
    </row>
    <row r="511" spans="2:17">
      <c r="B511" s="116"/>
      <c r="C511" s="116"/>
      <c r="D511" s="116"/>
      <c r="E511" s="116" cm="1">
        <f t="array" ref="E511">IF(H510&lt;&gt;"",E510,IF(E510="","",IFERROR(MATCH(TRUE(),INDEX(INDEX(K:K,E510+1):K203&lt;&gt;"",0),0)+E510,"")))</f>
        <v>653</v>
      </c>
      <c r="F511" s="117" cm="1">
        <f t="array" ref="F511">IF(E511="","",IF(H510&lt;&gt;"",H510,INDEX(D:D,E511)))</f>
        <v>0</v>
      </c>
      <c r="G511" s="117" t="str">
        <f t="shared" si="51"/>
        <v>0</v>
      </c>
      <c r="H511" s="118" t="str">
        <f t="shared" si="52"/>
        <v/>
      </c>
      <c r="I511" s="116" t="str">
        <f>IF(AND(F511&lt;&gt;"",N10&gt;0,M511&gt;N10),"Mot &gt; limite","")</f>
        <v/>
      </c>
      <c r="M511" s="70">
        <f>IF(OR(F511="",N10="",N10&lt;=0),"",IF(LEN(F511)&lt;=N10,LEN(F511),IFERROR(FIND("♦",SUBSTITUTE(LEFT(F511,N10)," ","♦",LEN(LEFT(F511,N10))-LEN(SUBSTITUTE(LEFT(F511,N10)," ","")))),FIND(" ",F511&amp;" ",N10+1)-1)))</f>
        <v>1</v>
      </c>
      <c r="N511" s="119">
        <f t="shared" si="53"/>
        <v>494</v>
      </c>
      <c r="O511" s="99" t="str">
        <f t="shared" si="54"/>
        <v>0</v>
      </c>
      <c r="P511" s="119">
        <f t="shared" si="55"/>
        <v>1</v>
      </c>
      <c r="Q511" s="119">
        <f t="shared" si="56"/>
        <v>1</v>
      </c>
    </row>
    <row r="512" spans="2:17">
      <c r="B512" s="116"/>
      <c r="C512" s="116"/>
      <c r="D512" s="116"/>
      <c r="E512" s="116" cm="1">
        <f t="array" ref="E512">IF(H511&lt;&gt;"",E511,IF(E511="","",IFERROR(MATCH(TRUE(),INDEX(INDEX(K:K,E511+1):K203&lt;&gt;"",0),0)+E511,"")))</f>
        <v>654</v>
      </c>
      <c r="F512" s="117" cm="1">
        <f t="array" ref="F512">IF(E512="","",IF(H511&lt;&gt;"",H511,INDEX(D:D,E512)))</f>
        <v>0</v>
      </c>
      <c r="G512" s="117" t="str">
        <f t="shared" si="51"/>
        <v>0</v>
      </c>
      <c r="H512" s="118" t="str">
        <f t="shared" si="52"/>
        <v/>
      </c>
      <c r="I512" s="116" t="str">
        <f>IF(AND(F512&lt;&gt;"",N10&gt;0,M512&gt;N10),"Mot &gt; limite","")</f>
        <v/>
      </c>
      <c r="M512" s="70">
        <f>IF(OR(F512="",N10="",N10&lt;=0),"",IF(LEN(F512)&lt;=N10,LEN(F512),IFERROR(FIND("♦",SUBSTITUTE(LEFT(F512,N10)," ","♦",LEN(LEFT(F512,N10))-LEN(SUBSTITUTE(LEFT(F512,N10)," ","")))),FIND(" ",F512&amp;" ",N10+1)-1)))</f>
        <v>1</v>
      </c>
      <c r="N512" s="119">
        <f t="shared" si="53"/>
        <v>495</v>
      </c>
      <c r="O512" s="99" t="str">
        <f t="shared" si="54"/>
        <v>0</v>
      </c>
      <c r="P512" s="119">
        <f t="shared" si="55"/>
        <v>1</v>
      </c>
      <c r="Q512" s="119">
        <f t="shared" si="56"/>
        <v>1</v>
      </c>
    </row>
    <row r="513" spans="2:17">
      <c r="B513" s="116"/>
      <c r="C513" s="116"/>
      <c r="D513" s="116"/>
      <c r="E513" s="116" cm="1">
        <f t="array" ref="E513">IF(H512&lt;&gt;"",E512,IF(E512="","",IFERROR(MATCH(TRUE(),INDEX(INDEX(K:K,E512+1):K203&lt;&gt;"",0),0)+E512,"")))</f>
        <v>655</v>
      </c>
      <c r="F513" s="117" cm="1">
        <f t="array" ref="F513">IF(E513="","",IF(H512&lt;&gt;"",H512,INDEX(D:D,E513)))</f>
        <v>0</v>
      </c>
      <c r="G513" s="117" t="str">
        <f t="shared" si="51"/>
        <v>0</v>
      </c>
      <c r="H513" s="118" t="str">
        <f t="shared" si="52"/>
        <v/>
      </c>
      <c r="I513" s="116" t="str">
        <f>IF(AND(F513&lt;&gt;"",N10&gt;0,M513&gt;N10),"Mot &gt; limite","")</f>
        <v/>
      </c>
      <c r="M513" s="70">
        <f>IF(OR(F513="",N10="",N10&lt;=0),"",IF(LEN(F513)&lt;=N10,LEN(F513),IFERROR(FIND("♦",SUBSTITUTE(LEFT(F513,N10)," ","♦",LEN(LEFT(F513,N10))-LEN(SUBSTITUTE(LEFT(F513,N10)," ","")))),FIND(" ",F513&amp;" ",N10+1)-1)))</f>
        <v>1</v>
      </c>
      <c r="N513" s="119">
        <f t="shared" si="53"/>
        <v>496</v>
      </c>
      <c r="O513" s="99" t="str">
        <f t="shared" si="54"/>
        <v>0</v>
      </c>
      <c r="P513" s="119">
        <f t="shared" si="55"/>
        <v>1</v>
      </c>
      <c r="Q513" s="119">
        <f t="shared" si="56"/>
        <v>1</v>
      </c>
    </row>
    <row r="514" spans="2:17">
      <c r="B514" s="116"/>
      <c r="C514" s="116"/>
      <c r="D514" s="116"/>
      <c r="E514" s="116" cm="1">
        <f t="array" ref="E514">IF(H513&lt;&gt;"",E513,IF(E513="","",IFERROR(MATCH(TRUE(),INDEX(INDEX(K:K,E513+1):K203&lt;&gt;"",0),0)+E513,"")))</f>
        <v>656</v>
      </c>
      <c r="F514" s="117" cm="1">
        <f t="array" ref="F514">IF(E514="","",IF(H513&lt;&gt;"",H513,INDEX(D:D,E514)))</f>
        <v>0</v>
      </c>
      <c r="G514" s="117" t="str">
        <f t="shared" si="51"/>
        <v>0</v>
      </c>
      <c r="H514" s="118" t="str">
        <f t="shared" si="52"/>
        <v/>
      </c>
      <c r="I514" s="116" t="str">
        <f>IF(AND(F514&lt;&gt;"",N10&gt;0,M514&gt;N10),"Mot &gt; limite","")</f>
        <v/>
      </c>
      <c r="M514" s="70">
        <f>IF(OR(F514="",N10="",N10&lt;=0),"",IF(LEN(F514)&lt;=N10,LEN(F514),IFERROR(FIND("♦",SUBSTITUTE(LEFT(F514,N10)," ","♦",LEN(LEFT(F514,N10))-LEN(SUBSTITUTE(LEFT(F514,N10)," ","")))),FIND(" ",F514&amp;" ",N10+1)-1)))</f>
        <v>1</v>
      </c>
      <c r="N514" s="119">
        <f t="shared" si="53"/>
        <v>497</v>
      </c>
      <c r="O514" s="99" t="str">
        <f t="shared" si="54"/>
        <v>0</v>
      </c>
      <c r="P514" s="119">
        <f t="shared" si="55"/>
        <v>1</v>
      </c>
      <c r="Q514" s="119">
        <f t="shared" si="56"/>
        <v>1</v>
      </c>
    </row>
    <row r="515" spans="2:17">
      <c r="B515" s="116"/>
      <c r="C515" s="116"/>
      <c r="D515" s="116"/>
      <c r="E515" s="116" cm="1">
        <f t="array" ref="E515">IF(H514&lt;&gt;"",E514,IF(E514="","",IFERROR(MATCH(TRUE(),INDEX(INDEX(K:K,E514+1):K203&lt;&gt;"",0),0)+E514,"")))</f>
        <v>657</v>
      </c>
      <c r="F515" s="117" cm="1">
        <f t="array" ref="F515">IF(E515="","",IF(H514&lt;&gt;"",H514,INDEX(D:D,E515)))</f>
        <v>0</v>
      </c>
      <c r="G515" s="117" t="str">
        <f t="shared" si="51"/>
        <v>0</v>
      </c>
      <c r="H515" s="118" t="str">
        <f t="shared" si="52"/>
        <v/>
      </c>
      <c r="I515" s="116" t="str">
        <f>IF(AND(F515&lt;&gt;"",N10&gt;0,M515&gt;N10),"Mot &gt; limite","")</f>
        <v/>
      </c>
      <c r="M515" s="70">
        <f>IF(OR(F515="",N10="",N10&lt;=0),"",IF(LEN(F515)&lt;=N10,LEN(F515),IFERROR(FIND("♦",SUBSTITUTE(LEFT(F515,N10)," ","♦",LEN(LEFT(F515,N10))-LEN(SUBSTITUTE(LEFT(F515,N10)," ","")))),FIND(" ",F515&amp;" ",N10+1)-1)))</f>
        <v>1</v>
      </c>
      <c r="N515" s="119">
        <f t="shared" si="53"/>
        <v>498</v>
      </c>
      <c r="O515" s="99" t="str">
        <f t="shared" si="54"/>
        <v>0</v>
      </c>
      <c r="P515" s="119">
        <f t="shared" si="55"/>
        <v>1</v>
      </c>
      <c r="Q515" s="119">
        <f t="shared" si="56"/>
        <v>1</v>
      </c>
    </row>
    <row r="516" spans="2:17">
      <c r="B516" s="116"/>
      <c r="C516" s="116"/>
      <c r="D516" s="116"/>
      <c r="E516" s="116" cm="1">
        <f t="array" ref="E516">IF(H515&lt;&gt;"",E515,IF(E515="","",IFERROR(MATCH(TRUE(),INDEX(INDEX(K:K,E515+1):K203&lt;&gt;"",0),0)+E515,"")))</f>
        <v>658</v>
      </c>
      <c r="F516" s="117" cm="1">
        <f t="array" ref="F516">IF(E516="","",IF(H515&lt;&gt;"",H515,INDEX(D:D,E516)))</f>
        <v>0</v>
      </c>
      <c r="G516" s="117" t="str">
        <f t="shared" si="51"/>
        <v>0</v>
      </c>
      <c r="H516" s="118" t="str">
        <f t="shared" si="52"/>
        <v/>
      </c>
      <c r="I516" s="116" t="str">
        <f>IF(AND(F516&lt;&gt;"",N10&gt;0,M516&gt;N10),"Mot &gt; limite","")</f>
        <v/>
      </c>
      <c r="M516" s="70">
        <f>IF(OR(F516="",N10="",N10&lt;=0),"",IF(LEN(F516)&lt;=N10,LEN(F516),IFERROR(FIND("♦",SUBSTITUTE(LEFT(F516,N10)," ","♦",LEN(LEFT(F516,N10))-LEN(SUBSTITUTE(LEFT(F516,N10)," ","")))),FIND(" ",F516&amp;" ",N10+1)-1)))</f>
        <v>1</v>
      </c>
      <c r="N516" s="119">
        <f t="shared" si="53"/>
        <v>499</v>
      </c>
      <c r="O516" s="99" t="str">
        <f t="shared" si="54"/>
        <v>0</v>
      </c>
      <c r="P516" s="119">
        <f t="shared" si="55"/>
        <v>1</v>
      </c>
      <c r="Q516" s="119">
        <f t="shared" si="56"/>
        <v>1</v>
      </c>
    </row>
    <row r="517" spans="2:17">
      <c r="B517" s="116"/>
      <c r="C517" s="116"/>
      <c r="D517" s="116"/>
      <c r="E517" s="116" cm="1">
        <f t="array" ref="E517">IF(H516&lt;&gt;"",E516,IF(E516="","",IFERROR(MATCH(TRUE(),INDEX(INDEX(K:K,E516+1):K203&lt;&gt;"",0),0)+E516,"")))</f>
        <v>659</v>
      </c>
      <c r="F517" s="117" cm="1">
        <f t="array" ref="F517">IF(E517="","",IF(H516&lt;&gt;"",H516,INDEX(D:D,E517)))</f>
        <v>0</v>
      </c>
      <c r="G517" s="117" t="str">
        <f t="shared" si="51"/>
        <v>0</v>
      </c>
      <c r="H517" s="118" t="str">
        <f t="shared" si="52"/>
        <v/>
      </c>
      <c r="I517" s="116" t="str">
        <f>IF(AND(F517&lt;&gt;"",N10&gt;0,M517&gt;N10),"Mot &gt; limite","")</f>
        <v/>
      </c>
      <c r="M517" s="70">
        <f>IF(OR(F517="",N10="",N10&lt;=0),"",IF(LEN(F517)&lt;=N10,LEN(F517),IFERROR(FIND("♦",SUBSTITUTE(LEFT(F517,N10)," ","♦",LEN(LEFT(F517,N10))-LEN(SUBSTITUTE(LEFT(F517,N10)," ","")))),FIND(" ",F517&amp;" ",N10+1)-1)))</f>
        <v>1</v>
      </c>
      <c r="N517" s="119">
        <f t="shared" si="53"/>
        <v>500</v>
      </c>
      <c r="O517" s="99" t="str">
        <f t="shared" si="54"/>
        <v>0</v>
      </c>
      <c r="P517" s="119">
        <f t="shared" si="55"/>
        <v>1</v>
      </c>
      <c r="Q517" s="119">
        <f t="shared" si="56"/>
        <v>1</v>
      </c>
    </row>
    <row r="518" spans="2:17">
      <c r="B518" s="116"/>
      <c r="C518" s="116"/>
      <c r="D518" s="116"/>
      <c r="E518" s="116" cm="1">
        <f t="array" ref="E518">IF(H517&lt;&gt;"",E517,IF(E517="","",IFERROR(MATCH(TRUE(),INDEX(INDEX(K:K,E517+1):K203&lt;&gt;"",0),0)+E517,"")))</f>
        <v>660</v>
      </c>
      <c r="F518" s="117" cm="1">
        <f t="array" ref="F518">IF(E518="","",IF(H517&lt;&gt;"",H517,INDEX(D:D,E518)))</f>
        <v>0</v>
      </c>
      <c r="G518" s="117" t="str">
        <f t="shared" si="51"/>
        <v>0</v>
      </c>
      <c r="H518" s="118" t="str">
        <f t="shared" si="52"/>
        <v/>
      </c>
      <c r="I518" s="116" t="str">
        <f>IF(AND(F518&lt;&gt;"",N10&gt;0,M518&gt;N10),"Mot &gt; limite","")</f>
        <v/>
      </c>
      <c r="M518" s="70">
        <f>IF(OR(F518="",N10="",N10&lt;=0),"",IF(LEN(F518)&lt;=N10,LEN(F518),IFERROR(FIND("♦",SUBSTITUTE(LEFT(F518,N10)," ","♦",LEN(LEFT(F518,N10))-LEN(SUBSTITUTE(LEFT(F518,N10)," ","")))),FIND(" ",F518&amp;" ",N10+1)-1)))</f>
        <v>1</v>
      </c>
      <c r="N518" s="119">
        <f t="shared" si="53"/>
        <v>501</v>
      </c>
      <c r="O518" s="99" t="str">
        <f t="shared" si="54"/>
        <v>0</v>
      </c>
      <c r="P518" s="119">
        <f t="shared" si="55"/>
        <v>1</v>
      </c>
      <c r="Q518" s="119">
        <f t="shared" si="56"/>
        <v>1</v>
      </c>
    </row>
    <row r="519" spans="2:17">
      <c r="B519" s="116"/>
      <c r="C519" s="116"/>
      <c r="D519" s="116"/>
      <c r="E519" s="116" cm="1">
        <f t="array" ref="E519">IF(H518&lt;&gt;"",E518,IF(E518="","",IFERROR(MATCH(TRUE(),INDEX(INDEX(K:K,E518+1):K203&lt;&gt;"",0),0)+E518,"")))</f>
        <v>661</v>
      </c>
      <c r="F519" s="117" cm="1">
        <f t="array" ref="F519">IF(E519="","",IF(H518&lt;&gt;"",H518,INDEX(D:D,E519)))</f>
        <v>0</v>
      </c>
      <c r="G519" s="117" t="str">
        <f t="shared" si="51"/>
        <v>0</v>
      </c>
      <c r="H519" s="118" t="str">
        <f t="shared" si="52"/>
        <v/>
      </c>
      <c r="I519" s="116" t="str">
        <f>IF(AND(F519&lt;&gt;"",N10&gt;0,M519&gt;N10),"Mot &gt; limite","")</f>
        <v/>
      </c>
      <c r="M519" s="70">
        <f>IF(OR(F519="",N10="",N10&lt;=0),"",IF(LEN(F519)&lt;=N10,LEN(F519),IFERROR(FIND("♦",SUBSTITUTE(LEFT(F519,N10)," ","♦",LEN(LEFT(F519,N10))-LEN(SUBSTITUTE(LEFT(F519,N10)," ","")))),FIND(" ",F519&amp;" ",N10+1)-1)))</f>
        <v>1</v>
      </c>
      <c r="N519" s="119">
        <f t="shared" si="53"/>
        <v>502</v>
      </c>
      <c r="O519" s="99" t="str">
        <f t="shared" si="54"/>
        <v>0</v>
      </c>
      <c r="P519" s="119">
        <f t="shared" si="55"/>
        <v>1</v>
      </c>
      <c r="Q519" s="119">
        <f t="shared" si="56"/>
        <v>1</v>
      </c>
    </row>
    <row r="520" spans="2:17">
      <c r="B520" s="116"/>
      <c r="C520" s="116"/>
      <c r="D520" s="116"/>
      <c r="E520" s="116" cm="1">
        <f t="array" ref="E520">IF(H519&lt;&gt;"",E519,IF(E519="","",IFERROR(MATCH(TRUE(),INDEX(INDEX(K:K,E519+1):K203&lt;&gt;"",0),0)+E519,"")))</f>
        <v>662</v>
      </c>
      <c r="F520" s="117" cm="1">
        <f t="array" ref="F520">IF(E520="","",IF(H519&lt;&gt;"",H519,INDEX(D:D,E520)))</f>
        <v>0</v>
      </c>
      <c r="G520" s="117" t="str">
        <f t="shared" si="51"/>
        <v>0</v>
      </c>
      <c r="H520" s="118" t="str">
        <f t="shared" si="52"/>
        <v/>
      </c>
      <c r="I520" s="116" t="str">
        <f>IF(AND(F520&lt;&gt;"",N10&gt;0,M520&gt;N10),"Mot &gt; limite","")</f>
        <v/>
      </c>
      <c r="M520" s="70">
        <f>IF(OR(F520="",N10="",N10&lt;=0),"",IF(LEN(F520)&lt;=N10,LEN(F520),IFERROR(FIND("♦",SUBSTITUTE(LEFT(F520,N10)," ","♦",LEN(LEFT(F520,N10))-LEN(SUBSTITUTE(LEFT(F520,N10)," ","")))),FIND(" ",F520&amp;" ",N10+1)-1)))</f>
        <v>1</v>
      </c>
      <c r="N520" s="119">
        <f t="shared" si="53"/>
        <v>503</v>
      </c>
      <c r="O520" s="99" t="str">
        <f t="shared" si="54"/>
        <v>0</v>
      </c>
      <c r="P520" s="119">
        <f t="shared" si="55"/>
        <v>1</v>
      </c>
      <c r="Q520" s="119">
        <f t="shared" si="56"/>
        <v>1</v>
      </c>
    </row>
    <row r="521" spans="2:17">
      <c r="B521" s="116"/>
      <c r="C521" s="116"/>
      <c r="D521" s="116"/>
      <c r="E521" s="116" cm="1">
        <f t="array" ref="E521">IF(H520&lt;&gt;"",E520,IF(E520="","",IFERROR(MATCH(TRUE(),INDEX(INDEX(K:K,E520+1):K203&lt;&gt;"",0),0)+E520,"")))</f>
        <v>663</v>
      </c>
      <c r="F521" s="117" cm="1">
        <f t="array" ref="F521">IF(E521="","",IF(H520&lt;&gt;"",H520,INDEX(D:D,E521)))</f>
        <v>0</v>
      </c>
      <c r="G521" s="117" t="str">
        <f t="shared" si="51"/>
        <v>0</v>
      </c>
      <c r="H521" s="118" t="str">
        <f t="shared" si="52"/>
        <v/>
      </c>
      <c r="I521" s="116" t="str">
        <f>IF(AND(F521&lt;&gt;"",N10&gt;0,M521&gt;N10),"Mot &gt; limite","")</f>
        <v/>
      </c>
      <c r="M521" s="70">
        <f>IF(OR(F521="",N10="",N10&lt;=0),"",IF(LEN(F521)&lt;=N10,LEN(F521),IFERROR(FIND("♦",SUBSTITUTE(LEFT(F521,N10)," ","♦",LEN(LEFT(F521,N10))-LEN(SUBSTITUTE(LEFT(F521,N10)," ","")))),FIND(" ",F521&amp;" ",N10+1)-1)))</f>
        <v>1</v>
      </c>
      <c r="N521" s="119">
        <f t="shared" si="53"/>
        <v>504</v>
      </c>
      <c r="O521" s="99" t="str">
        <f t="shared" si="54"/>
        <v>0</v>
      </c>
      <c r="P521" s="119">
        <f t="shared" si="55"/>
        <v>1</v>
      </c>
      <c r="Q521" s="119">
        <f t="shared" si="56"/>
        <v>1</v>
      </c>
    </row>
    <row r="522" spans="2:17">
      <c r="B522" s="116"/>
      <c r="C522" s="116"/>
      <c r="D522" s="116"/>
      <c r="E522" s="116" cm="1">
        <f t="array" ref="E522">IF(H521&lt;&gt;"",E521,IF(E521="","",IFERROR(MATCH(TRUE(),INDEX(INDEX(K:K,E521+1):K203&lt;&gt;"",0),0)+E521,"")))</f>
        <v>664</v>
      </c>
      <c r="F522" s="117" cm="1">
        <f t="array" ref="F522">IF(E522="","",IF(H521&lt;&gt;"",H521,INDEX(D:D,E522)))</f>
        <v>0</v>
      </c>
      <c r="G522" s="117" t="str">
        <f t="shared" si="51"/>
        <v>0</v>
      </c>
      <c r="H522" s="118" t="str">
        <f t="shared" si="52"/>
        <v/>
      </c>
      <c r="I522" s="116" t="str">
        <f>IF(AND(F522&lt;&gt;"",N10&gt;0,M522&gt;N10),"Mot &gt; limite","")</f>
        <v/>
      </c>
      <c r="M522" s="70">
        <f>IF(OR(F522="",N10="",N10&lt;=0),"",IF(LEN(F522)&lt;=N10,LEN(F522),IFERROR(FIND("♦",SUBSTITUTE(LEFT(F522,N10)," ","♦",LEN(LEFT(F522,N10))-LEN(SUBSTITUTE(LEFT(F522,N10)," ","")))),FIND(" ",F522&amp;" ",N10+1)-1)))</f>
        <v>1</v>
      </c>
      <c r="N522" s="119">
        <f t="shared" si="53"/>
        <v>505</v>
      </c>
      <c r="O522" s="99" t="str">
        <f t="shared" si="54"/>
        <v>0</v>
      </c>
      <c r="P522" s="119">
        <f t="shared" si="55"/>
        <v>1</v>
      </c>
      <c r="Q522" s="119">
        <f t="shared" si="56"/>
        <v>1</v>
      </c>
    </row>
    <row r="523" spans="2:17">
      <c r="B523" s="116"/>
      <c r="C523" s="116"/>
      <c r="D523" s="116"/>
      <c r="E523" s="116" cm="1">
        <f t="array" ref="E523">IF(H522&lt;&gt;"",E522,IF(E522="","",IFERROR(MATCH(TRUE(),INDEX(INDEX(K:K,E522+1):K203&lt;&gt;"",0),0)+E522,"")))</f>
        <v>665</v>
      </c>
      <c r="F523" s="117" cm="1">
        <f t="array" ref="F523">IF(E523="","",IF(H522&lt;&gt;"",H522,INDEX(D:D,E523)))</f>
        <v>0</v>
      </c>
      <c r="G523" s="117" t="str">
        <f t="shared" si="51"/>
        <v>0</v>
      </c>
      <c r="H523" s="118" t="str">
        <f t="shared" si="52"/>
        <v/>
      </c>
      <c r="I523" s="116" t="str">
        <f>IF(AND(F523&lt;&gt;"",N10&gt;0,M523&gt;N10),"Mot &gt; limite","")</f>
        <v/>
      </c>
      <c r="M523" s="70">
        <f>IF(OR(F523="",N10="",N10&lt;=0),"",IF(LEN(F523)&lt;=N10,LEN(F523),IFERROR(FIND("♦",SUBSTITUTE(LEFT(F523,N10)," ","♦",LEN(LEFT(F523,N10))-LEN(SUBSTITUTE(LEFT(F523,N10)," ","")))),FIND(" ",F523&amp;" ",N10+1)-1)))</f>
        <v>1</v>
      </c>
      <c r="N523" s="119">
        <f t="shared" si="53"/>
        <v>506</v>
      </c>
      <c r="O523" s="99" t="str">
        <f t="shared" si="54"/>
        <v>0</v>
      </c>
      <c r="P523" s="119">
        <f t="shared" si="55"/>
        <v>1</v>
      </c>
      <c r="Q523" s="119">
        <f t="shared" si="56"/>
        <v>1</v>
      </c>
    </row>
    <row r="524" spans="2:17">
      <c r="B524" s="116"/>
      <c r="C524" s="116"/>
      <c r="D524" s="116"/>
      <c r="E524" s="116" cm="1">
        <f t="array" ref="E524">IF(H523&lt;&gt;"",E523,IF(E523="","",IFERROR(MATCH(TRUE(),INDEX(INDEX(K:K,E523+1):K203&lt;&gt;"",0),0)+E523,"")))</f>
        <v>666</v>
      </c>
      <c r="F524" s="117" cm="1">
        <f t="array" ref="F524">IF(E524="","",IF(H523&lt;&gt;"",H523,INDEX(D:D,E524)))</f>
        <v>0</v>
      </c>
      <c r="G524" s="117" t="str">
        <f t="shared" si="51"/>
        <v>0</v>
      </c>
      <c r="H524" s="118" t="str">
        <f t="shared" si="52"/>
        <v/>
      </c>
      <c r="I524" s="116" t="str">
        <f>IF(AND(F524&lt;&gt;"",N10&gt;0,M524&gt;N10),"Mot &gt; limite","")</f>
        <v/>
      </c>
      <c r="M524" s="70">
        <f>IF(OR(F524="",N10="",N10&lt;=0),"",IF(LEN(F524)&lt;=N10,LEN(F524),IFERROR(FIND("♦",SUBSTITUTE(LEFT(F524,N10)," ","♦",LEN(LEFT(F524,N10))-LEN(SUBSTITUTE(LEFT(F524,N10)," ","")))),FIND(" ",F524&amp;" ",N10+1)-1)))</f>
        <v>1</v>
      </c>
      <c r="N524" s="119">
        <f t="shared" si="53"/>
        <v>507</v>
      </c>
      <c r="O524" s="99" t="str">
        <f t="shared" si="54"/>
        <v>0</v>
      </c>
      <c r="P524" s="119">
        <f t="shared" si="55"/>
        <v>1</v>
      </c>
      <c r="Q524" s="119">
        <f t="shared" si="56"/>
        <v>1</v>
      </c>
    </row>
    <row r="525" spans="2:17">
      <c r="B525" s="116"/>
      <c r="C525" s="116"/>
      <c r="D525" s="116"/>
      <c r="E525" s="116" cm="1">
        <f t="array" ref="E525">IF(H524&lt;&gt;"",E524,IF(E524="","",IFERROR(MATCH(TRUE(),INDEX(INDEX(K:K,E524+1):K203&lt;&gt;"",0),0)+E524,"")))</f>
        <v>667</v>
      </c>
      <c r="F525" s="117" cm="1">
        <f t="array" ref="F525">IF(E525="","",IF(H524&lt;&gt;"",H524,INDEX(D:D,E525)))</f>
        <v>0</v>
      </c>
      <c r="G525" s="117" t="str">
        <f t="shared" si="51"/>
        <v>0</v>
      </c>
      <c r="H525" s="118" t="str">
        <f t="shared" si="52"/>
        <v/>
      </c>
      <c r="I525" s="116" t="str">
        <f>IF(AND(F525&lt;&gt;"",N10&gt;0,M525&gt;N10),"Mot &gt; limite","")</f>
        <v/>
      </c>
      <c r="M525" s="70">
        <f>IF(OR(F525="",N10="",N10&lt;=0),"",IF(LEN(F525)&lt;=N10,LEN(F525),IFERROR(FIND("♦",SUBSTITUTE(LEFT(F525,N10)," ","♦",LEN(LEFT(F525,N10))-LEN(SUBSTITUTE(LEFT(F525,N10)," ","")))),FIND(" ",F525&amp;" ",N10+1)-1)))</f>
        <v>1</v>
      </c>
      <c r="N525" s="119">
        <f t="shared" si="53"/>
        <v>508</v>
      </c>
      <c r="O525" s="99" t="str">
        <f t="shared" si="54"/>
        <v>0</v>
      </c>
      <c r="P525" s="119">
        <f t="shared" si="55"/>
        <v>1</v>
      </c>
      <c r="Q525" s="119">
        <f t="shared" si="56"/>
        <v>1</v>
      </c>
    </row>
    <row r="526" spans="2:17">
      <c r="B526" s="116"/>
      <c r="C526" s="116"/>
      <c r="D526" s="116"/>
      <c r="E526" s="116" cm="1">
        <f t="array" ref="E526">IF(H525&lt;&gt;"",E525,IF(E525="","",IFERROR(MATCH(TRUE(),INDEX(INDEX(K:K,E525+1):K203&lt;&gt;"",0),0)+E525,"")))</f>
        <v>668</v>
      </c>
      <c r="F526" s="117" cm="1">
        <f t="array" ref="F526">IF(E526="","",IF(H525&lt;&gt;"",H525,INDEX(D:D,E526)))</f>
        <v>0</v>
      </c>
      <c r="G526" s="117" t="str">
        <f t="shared" si="51"/>
        <v>0</v>
      </c>
      <c r="H526" s="118" t="str">
        <f t="shared" si="52"/>
        <v/>
      </c>
      <c r="I526" s="116" t="str">
        <f>IF(AND(F526&lt;&gt;"",N10&gt;0,M526&gt;N10),"Mot &gt; limite","")</f>
        <v/>
      </c>
      <c r="M526" s="70">
        <f>IF(OR(F526="",N10="",N10&lt;=0),"",IF(LEN(F526)&lt;=N10,LEN(F526),IFERROR(FIND("♦",SUBSTITUTE(LEFT(F526,N10)," ","♦",LEN(LEFT(F526,N10))-LEN(SUBSTITUTE(LEFT(F526,N10)," ","")))),FIND(" ",F526&amp;" ",N10+1)-1)))</f>
        <v>1</v>
      </c>
      <c r="N526" s="119">
        <f t="shared" si="53"/>
        <v>509</v>
      </c>
      <c r="O526" s="99" t="str">
        <f t="shared" si="54"/>
        <v>0</v>
      </c>
      <c r="P526" s="119">
        <f t="shared" si="55"/>
        <v>1</v>
      </c>
      <c r="Q526" s="119">
        <f t="shared" si="56"/>
        <v>1</v>
      </c>
    </row>
    <row r="527" spans="2:17">
      <c r="B527" s="116"/>
      <c r="C527" s="116"/>
      <c r="D527" s="116"/>
      <c r="E527" s="116" cm="1">
        <f t="array" ref="E527">IF(H526&lt;&gt;"",E526,IF(E526="","",IFERROR(MATCH(TRUE(),INDEX(INDEX(K:K,E526+1):K203&lt;&gt;"",0),0)+E526,"")))</f>
        <v>669</v>
      </c>
      <c r="F527" s="117" cm="1">
        <f t="array" ref="F527">IF(E527="","",IF(H526&lt;&gt;"",H526,INDEX(D:D,E527)))</f>
        <v>0</v>
      </c>
      <c r="G527" s="117" t="str">
        <f t="shared" si="51"/>
        <v>0</v>
      </c>
      <c r="H527" s="118" t="str">
        <f t="shared" si="52"/>
        <v/>
      </c>
      <c r="I527" s="116" t="str">
        <f>IF(AND(F527&lt;&gt;"",N10&gt;0,M527&gt;N10),"Mot &gt; limite","")</f>
        <v/>
      </c>
      <c r="M527" s="70">
        <f>IF(OR(F527="",N10="",N10&lt;=0),"",IF(LEN(F527)&lt;=N10,LEN(F527),IFERROR(FIND("♦",SUBSTITUTE(LEFT(F527,N10)," ","♦",LEN(LEFT(F527,N10))-LEN(SUBSTITUTE(LEFT(F527,N10)," ","")))),FIND(" ",F527&amp;" ",N10+1)-1)))</f>
        <v>1</v>
      </c>
      <c r="N527" s="119">
        <f t="shared" si="53"/>
        <v>510</v>
      </c>
      <c r="O527" s="99" t="str">
        <f t="shared" si="54"/>
        <v>0</v>
      </c>
      <c r="P527" s="119">
        <f t="shared" si="55"/>
        <v>1</v>
      </c>
      <c r="Q527" s="119">
        <f t="shared" si="56"/>
        <v>1</v>
      </c>
    </row>
    <row r="528" spans="2:17">
      <c r="B528" s="116"/>
      <c r="C528" s="116"/>
      <c r="D528" s="116"/>
      <c r="E528" s="116" cm="1">
        <f t="array" ref="E528">IF(H527&lt;&gt;"",E527,IF(E527="","",IFERROR(MATCH(TRUE(),INDEX(INDEX(K:K,E527+1):K203&lt;&gt;"",0),0)+E527,"")))</f>
        <v>670</v>
      </c>
      <c r="F528" s="117" cm="1">
        <f t="array" ref="F528">IF(E528="","",IF(H527&lt;&gt;"",H527,INDEX(D:D,E528)))</f>
        <v>0</v>
      </c>
      <c r="G528" s="117" t="str">
        <f t="shared" si="51"/>
        <v>0</v>
      </c>
      <c r="H528" s="118" t="str">
        <f t="shared" si="52"/>
        <v/>
      </c>
      <c r="I528" s="116" t="str">
        <f>IF(AND(F528&lt;&gt;"",N10&gt;0,M528&gt;N10),"Mot &gt; limite","")</f>
        <v/>
      </c>
      <c r="M528" s="70">
        <f>IF(OR(F528="",N10="",N10&lt;=0),"",IF(LEN(F528)&lt;=N10,LEN(F528),IFERROR(FIND("♦",SUBSTITUTE(LEFT(F528,N10)," ","♦",LEN(LEFT(F528,N10))-LEN(SUBSTITUTE(LEFT(F528,N10)," ","")))),FIND(" ",F528&amp;" ",N10+1)-1)))</f>
        <v>1</v>
      </c>
      <c r="N528" s="119">
        <f t="shared" si="53"/>
        <v>511</v>
      </c>
      <c r="O528" s="99" t="str">
        <f t="shared" si="54"/>
        <v>0</v>
      </c>
      <c r="P528" s="119">
        <f t="shared" si="55"/>
        <v>1</v>
      </c>
      <c r="Q528" s="119">
        <f t="shared" si="56"/>
        <v>1</v>
      </c>
    </row>
    <row r="529" spans="2:17">
      <c r="B529" s="116"/>
      <c r="C529" s="116"/>
      <c r="D529" s="116"/>
      <c r="E529" s="116" cm="1">
        <f t="array" ref="E529">IF(H528&lt;&gt;"",E528,IF(E528="","",IFERROR(MATCH(TRUE(),INDEX(INDEX(K:K,E528+1):K203&lt;&gt;"",0),0)+E528,"")))</f>
        <v>671</v>
      </c>
      <c r="F529" s="117" cm="1">
        <f t="array" ref="F529">IF(E529="","",IF(H528&lt;&gt;"",H528,INDEX(D:D,E529)))</f>
        <v>0</v>
      </c>
      <c r="G529" s="117" t="str">
        <f t="shared" si="51"/>
        <v>0</v>
      </c>
      <c r="H529" s="118" t="str">
        <f t="shared" si="52"/>
        <v/>
      </c>
      <c r="I529" s="116" t="str">
        <f>IF(AND(F529&lt;&gt;"",N10&gt;0,M529&gt;N10),"Mot &gt; limite","")</f>
        <v/>
      </c>
      <c r="M529" s="70">
        <f>IF(OR(F529="",N10="",N10&lt;=0),"",IF(LEN(F529)&lt;=N10,LEN(F529),IFERROR(FIND("♦",SUBSTITUTE(LEFT(F529,N10)," ","♦",LEN(LEFT(F529,N10))-LEN(SUBSTITUTE(LEFT(F529,N10)," ","")))),FIND(" ",F529&amp;" ",N10+1)-1)))</f>
        <v>1</v>
      </c>
      <c r="N529" s="119">
        <f t="shared" si="53"/>
        <v>512</v>
      </c>
      <c r="O529" s="99" t="str">
        <f t="shared" si="54"/>
        <v>0</v>
      </c>
      <c r="P529" s="119">
        <f t="shared" si="55"/>
        <v>1</v>
      </c>
      <c r="Q529" s="119">
        <f t="shared" si="56"/>
        <v>1</v>
      </c>
    </row>
    <row r="530" spans="2:17">
      <c r="B530" s="116"/>
      <c r="C530" s="116"/>
      <c r="D530" s="116"/>
      <c r="E530" s="116" cm="1">
        <f t="array" ref="E530">IF(H529&lt;&gt;"",E529,IF(E529="","",IFERROR(MATCH(TRUE(),INDEX(INDEX(K:K,E529+1):K203&lt;&gt;"",0),0)+E529,"")))</f>
        <v>672</v>
      </c>
      <c r="F530" s="117" cm="1">
        <f t="array" ref="F530">IF(E530="","",IF(H529&lt;&gt;"",H529,INDEX(D:D,E530)))</f>
        <v>0</v>
      </c>
      <c r="G530" s="117" t="str">
        <f t="shared" ref="G530:G593" si="57">IF(OR(F530="",M530=""),"",LEFT(F530,M530))</f>
        <v>0</v>
      </c>
      <c r="H530" s="118" t="str">
        <f t="shared" ref="H530:H593" si="58">IF(OR(F530="",M530=""),"",TRIM(MID(F530,M530+1,99999)))</f>
        <v/>
      </c>
      <c r="I530" s="116" t="str">
        <f>IF(AND(F530&lt;&gt;"",N10&gt;0,M530&gt;N10),"Mot &gt; limite","")</f>
        <v/>
      </c>
      <c r="M530" s="70">
        <f>IF(OR(F530="",N10="",N10&lt;=0),"",IF(LEN(F530)&lt;=N10,LEN(F530),IFERROR(FIND("♦",SUBSTITUTE(LEFT(F530,N10)," ","♦",LEN(LEFT(F530,N10))-LEN(SUBSTITUTE(LEFT(F530,N10)," ","")))),FIND(" ",F530&amp;" ",N10+1)-1)))</f>
        <v>1</v>
      </c>
      <c r="N530" s="119">
        <f t="shared" ref="N530:N593" si="59">IF(O530="","",ROW()-17)</f>
        <v>513</v>
      </c>
      <c r="O530" s="99" t="str">
        <f t="shared" ref="O530:O593" si="60">G530</f>
        <v>0</v>
      </c>
      <c r="P530" s="119">
        <f t="shared" ref="P530:P593" si="61">IF(O530="","",LEN(TRIM(O530))-LEN(SUBSTITUTE(TRIM(O530)," ",""))+1)</f>
        <v>1</v>
      </c>
      <c r="Q530" s="119">
        <f t="shared" ref="Q530:Q593" si="62">IF(O530="","",LEN(O530))</f>
        <v>1</v>
      </c>
    </row>
    <row r="531" spans="2:17">
      <c r="B531" s="116"/>
      <c r="C531" s="116"/>
      <c r="D531" s="116"/>
      <c r="E531" s="116" cm="1">
        <f t="array" ref="E531">IF(H530&lt;&gt;"",E530,IF(E530="","",IFERROR(MATCH(TRUE(),INDEX(INDEX(K:K,E530+1):K203&lt;&gt;"",0),0)+E530,"")))</f>
        <v>673</v>
      </c>
      <c r="F531" s="117" cm="1">
        <f t="array" ref="F531">IF(E531="","",IF(H530&lt;&gt;"",H530,INDEX(D:D,E531)))</f>
        <v>0</v>
      </c>
      <c r="G531" s="117" t="str">
        <f t="shared" si="57"/>
        <v>0</v>
      </c>
      <c r="H531" s="118" t="str">
        <f t="shared" si="58"/>
        <v/>
      </c>
      <c r="I531" s="116" t="str">
        <f>IF(AND(F531&lt;&gt;"",N10&gt;0,M531&gt;N10),"Mot &gt; limite","")</f>
        <v/>
      </c>
      <c r="M531" s="70">
        <f>IF(OR(F531="",N10="",N10&lt;=0),"",IF(LEN(F531)&lt;=N10,LEN(F531),IFERROR(FIND("♦",SUBSTITUTE(LEFT(F531,N10)," ","♦",LEN(LEFT(F531,N10))-LEN(SUBSTITUTE(LEFT(F531,N10)," ","")))),FIND(" ",F531&amp;" ",N10+1)-1)))</f>
        <v>1</v>
      </c>
      <c r="N531" s="119">
        <f t="shared" si="59"/>
        <v>514</v>
      </c>
      <c r="O531" s="99" t="str">
        <f t="shared" si="60"/>
        <v>0</v>
      </c>
      <c r="P531" s="119">
        <f t="shared" si="61"/>
        <v>1</v>
      </c>
      <c r="Q531" s="119">
        <f t="shared" si="62"/>
        <v>1</v>
      </c>
    </row>
    <row r="532" spans="2:17">
      <c r="B532" s="116"/>
      <c r="C532" s="116"/>
      <c r="D532" s="116"/>
      <c r="E532" s="116" cm="1">
        <f t="array" ref="E532">IF(H531&lt;&gt;"",E531,IF(E531="","",IFERROR(MATCH(TRUE(),INDEX(INDEX(K:K,E531+1):K203&lt;&gt;"",0),0)+E531,"")))</f>
        <v>674</v>
      </c>
      <c r="F532" s="117" cm="1">
        <f t="array" ref="F532">IF(E532="","",IF(H531&lt;&gt;"",H531,INDEX(D:D,E532)))</f>
        <v>0</v>
      </c>
      <c r="G532" s="117" t="str">
        <f t="shared" si="57"/>
        <v>0</v>
      </c>
      <c r="H532" s="118" t="str">
        <f t="shared" si="58"/>
        <v/>
      </c>
      <c r="I532" s="116" t="str">
        <f>IF(AND(F532&lt;&gt;"",N10&gt;0,M532&gt;N10),"Mot &gt; limite","")</f>
        <v/>
      </c>
      <c r="M532" s="70">
        <f>IF(OR(F532="",N10="",N10&lt;=0),"",IF(LEN(F532)&lt;=N10,LEN(F532),IFERROR(FIND("♦",SUBSTITUTE(LEFT(F532,N10)," ","♦",LEN(LEFT(F532,N10))-LEN(SUBSTITUTE(LEFT(F532,N10)," ","")))),FIND(" ",F532&amp;" ",N10+1)-1)))</f>
        <v>1</v>
      </c>
      <c r="N532" s="119">
        <f t="shared" si="59"/>
        <v>515</v>
      </c>
      <c r="O532" s="99" t="str">
        <f t="shared" si="60"/>
        <v>0</v>
      </c>
      <c r="P532" s="119">
        <f t="shared" si="61"/>
        <v>1</v>
      </c>
      <c r="Q532" s="119">
        <f t="shared" si="62"/>
        <v>1</v>
      </c>
    </row>
    <row r="533" spans="2:17">
      <c r="B533" s="116"/>
      <c r="C533" s="116"/>
      <c r="D533" s="116"/>
      <c r="E533" s="116" cm="1">
        <f t="array" ref="E533">IF(H532&lt;&gt;"",E532,IF(E532="","",IFERROR(MATCH(TRUE(),INDEX(INDEX(K:K,E532+1):K203&lt;&gt;"",0),0)+E532,"")))</f>
        <v>675</v>
      </c>
      <c r="F533" s="117" cm="1">
        <f t="array" ref="F533">IF(E533="","",IF(H532&lt;&gt;"",H532,INDEX(D:D,E533)))</f>
        <v>0</v>
      </c>
      <c r="G533" s="117" t="str">
        <f t="shared" si="57"/>
        <v>0</v>
      </c>
      <c r="H533" s="118" t="str">
        <f t="shared" si="58"/>
        <v/>
      </c>
      <c r="I533" s="116" t="str">
        <f>IF(AND(F533&lt;&gt;"",N10&gt;0,M533&gt;N10),"Mot &gt; limite","")</f>
        <v/>
      </c>
      <c r="M533" s="70">
        <f>IF(OR(F533="",N10="",N10&lt;=0),"",IF(LEN(F533)&lt;=N10,LEN(F533),IFERROR(FIND("♦",SUBSTITUTE(LEFT(F533,N10)," ","♦",LEN(LEFT(F533,N10))-LEN(SUBSTITUTE(LEFT(F533,N10)," ","")))),FIND(" ",F533&amp;" ",N10+1)-1)))</f>
        <v>1</v>
      </c>
      <c r="N533" s="119">
        <f t="shared" si="59"/>
        <v>516</v>
      </c>
      <c r="O533" s="99" t="str">
        <f t="shared" si="60"/>
        <v>0</v>
      </c>
      <c r="P533" s="119">
        <f t="shared" si="61"/>
        <v>1</v>
      </c>
      <c r="Q533" s="119">
        <f t="shared" si="62"/>
        <v>1</v>
      </c>
    </row>
    <row r="534" spans="2:17">
      <c r="B534" s="116"/>
      <c r="C534" s="116"/>
      <c r="D534" s="116"/>
      <c r="E534" s="116" cm="1">
        <f t="array" ref="E534">IF(H533&lt;&gt;"",E533,IF(E533="","",IFERROR(MATCH(TRUE(),INDEX(INDEX(K:K,E533+1):K203&lt;&gt;"",0),0)+E533,"")))</f>
        <v>676</v>
      </c>
      <c r="F534" s="117" cm="1">
        <f t="array" ref="F534">IF(E534="","",IF(H533&lt;&gt;"",H533,INDEX(D:D,E534)))</f>
        <v>0</v>
      </c>
      <c r="G534" s="117" t="str">
        <f t="shared" si="57"/>
        <v>0</v>
      </c>
      <c r="H534" s="118" t="str">
        <f t="shared" si="58"/>
        <v/>
      </c>
      <c r="I534" s="116" t="str">
        <f>IF(AND(F534&lt;&gt;"",N10&gt;0,M534&gt;N10),"Mot &gt; limite","")</f>
        <v/>
      </c>
      <c r="M534" s="70">
        <f>IF(OR(F534="",N10="",N10&lt;=0),"",IF(LEN(F534)&lt;=N10,LEN(F534),IFERROR(FIND("♦",SUBSTITUTE(LEFT(F534,N10)," ","♦",LEN(LEFT(F534,N10))-LEN(SUBSTITUTE(LEFT(F534,N10)," ","")))),FIND(" ",F534&amp;" ",N10+1)-1)))</f>
        <v>1</v>
      </c>
      <c r="N534" s="119">
        <f t="shared" si="59"/>
        <v>517</v>
      </c>
      <c r="O534" s="99" t="str">
        <f t="shared" si="60"/>
        <v>0</v>
      </c>
      <c r="P534" s="119">
        <f t="shared" si="61"/>
        <v>1</v>
      </c>
      <c r="Q534" s="119">
        <f t="shared" si="62"/>
        <v>1</v>
      </c>
    </row>
    <row r="535" spans="2:17">
      <c r="B535" s="116"/>
      <c r="C535" s="116"/>
      <c r="D535" s="116"/>
      <c r="E535" s="116" cm="1">
        <f t="array" ref="E535">IF(H534&lt;&gt;"",E534,IF(E534="","",IFERROR(MATCH(TRUE(),INDEX(INDEX(K:K,E534+1):K203&lt;&gt;"",0),0)+E534,"")))</f>
        <v>677</v>
      </c>
      <c r="F535" s="117" cm="1">
        <f t="array" ref="F535">IF(E535="","",IF(H534&lt;&gt;"",H534,INDEX(D:D,E535)))</f>
        <v>0</v>
      </c>
      <c r="G535" s="117" t="str">
        <f t="shared" si="57"/>
        <v>0</v>
      </c>
      <c r="H535" s="118" t="str">
        <f t="shared" si="58"/>
        <v/>
      </c>
      <c r="I535" s="116" t="str">
        <f>IF(AND(F535&lt;&gt;"",N10&gt;0,M535&gt;N10),"Mot &gt; limite","")</f>
        <v/>
      </c>
      <c r="M535" s="70">
        <f>IF(OR(F535="",N10="",N10&lt;=0),"",IF(LEN(F535)&lt;=N10,LEN(F535),IFERROR(FIND("♦",SUBSTITUTE(LEFT(F535,N10)," ","♦",LEN(LEFT(F535,N10))-LEN(SUBSTITUTE(LEFT(F535,N10)," ","")))),FIND(" ",F535&amp;" ",N10+1)-1)))</f>
        <v>1</v>
      </c>
      <c r="N535" s="119">
        <f t="shared" si="59"/>
        <v>518</v>
      </c>
      <c r="O535" s="99" t="str">
        <f t="shared" si="60"/>
        <v>0</v>
      </c>
      <c r="P535" s="119">
        <f t="shared" si="61"/>
        <v>1</v>
      </c>
      <c r="Q535" s="119">
        <f t="shared" si="62"/>
        <v>1</v>
      </c>
    </row>
    <row r="536" spans="2:17">
      <c r="B536" s="116"/>
      <c r="C536" s="116"/>
      <c r="D536" s="116"/>
      <c r="E536" s="116" cm="1">
        <f t="array" ref="E536">IF(H535&lt;&gt;"",E535,IF(E535="","",IFERROR(MATCH(TRUE(),INDEX(INDEX(K:K,E535+1):K203&lt;&gt;"",0),0)+E535,"")))</f>
        <v>678</v>
      </c>
      <c r="F536" s="117" cm="1">
        <f t="array" ref="F536">IF(E536="","",IF(H535&lt;&gt;"",H535,INDEX(D:D,E536)))</f>
        <v>0</v>
      </c>
      <c r="G536" s="117" t="str">
        <f t="shared" si="57"/>
        <v>0</v>
      </c>
      <c r="H536" s="118" t="str">
        <f t="shared" si="58"/>
        <v/>
      </c>
      <c r="I536" s="116" t="str">
        <f>IF(AND(F536&lt;&gt;"",N10&gt;0,M536&gt;N10),"Mot &gt; limite","")</f>
        <v/>
      </c>
      <c r="M536" s="70">
        <f>IF(OR(F536="",N10="",N10&lt;=0),"",IF(LEN(F536)&lt;=N10,LEN(F536),IFERROR(FIND("♦",SUBSTITUTE(LEFT(F536,N10)," ","♦",LEN(LEFT(F536,N10))-LEN(SUBSTITUTE(LEFT(F536,N10)," ","")))),FIND(" ",F536&amp;" ",N10+1)-1)))</f>
        <v>1</v>
      </c>
      <c r="N536" s="119">
        <f t="shared" si="59"/>
        <v>519</v>
      </c>
      <c r="O536" s="99" t="str">
        <f t="shared" si="60"/>
        <v>0</v>
      </c>
      <c r="P536" s="119">
        <f t="shared" si="61"/>
        <v>1</v>
      </c>
      <c r="Q536" s="119">
        <f t="shared" si="62"/>
        <v>1</v>
      </c>
    </row>
    <row r="537" spans="2:17">
      <c r="B537" s="116"/>
      <c r="C537" s="116"/>
      <c r="D537" s="116"/>
      <c r="E537" s="116" cm="1">
        <f t="array" ref="E537">IF(H536&lt;&gt;"",E536,IF(E536="","",IFERROR(MATCH(TRUE(),INDEX(INDEX(K:K,E536+1):K203&lt;&gt;"",0),0)+E536,"")))</f>
        <v>679</v>
      </c>
      <c r="F537" s="117" cm="1">
        <f t="array" ref="F537">IF(E537="","",IF(H536&lt;&gt;"",H536,INDEX(D:D,E537)))</f>
        <v>0</v>
      </c>
      <c r="G537" s="117" t="str">
        <f t="shared" si="57"/>
        <v>0</v>
      </c>
      <c r="H537" s="118" t="str">
        <f t="shared" si="58"/>
        <v/>
      </c>
      <c r="I537" s="116" t="str">
        <f>IF(AND(F537&lt;&gt;"",N10&gt;0,M537&gt;N10),"Mot &gt; limite","")</f>
        <v/>
      </c>
      <c r="M537" s="70">
        <f>IF(OR(F537="",N10="",N10&lt;=0),"",IF(LEN(F537)&lt;=N10,LEN(F537),IFERROR(FIND("♦",SUBSTITUTE(LEFT(F537,N10)," ","♦",LEN(LEFT(F537,N10))-LEN(SUBSTITUTE(LEFT(F537,N10)," ","")))),FIND(" ",F537&amp;" ",N10+1)-1)))</f>
        <v>1</v>
      </c>
      <c r="N537" s="119">
        <f t="shared" si="59"/>
        <v>520</v>
      </c>
      <c r="O537" s="99" t="str">
        <f t="shared" si="60"/>
        <v>0</v>
      </c>
      <c r="P537" s="119">
        <f t="shared" si="61"/>
        <v>1</v>
      </c>
      <c r="Q537" s="119">
        <f t="shared" si="62"/>
        <v>1</v>
      </c>
    </row>
    <row r="538" spans="2:17">
      <c r="B538" s="116"/>
      <c r="C538" s="116"/>
      <c r="D538" s="116"/>
      <c r="E538" s="116" cm="1">
        <f t="array" ref="E538">IF(H537&lt;&gt;"",E537,IF(E537="","",IFERROR(MATCH(TRUE(),INDEX(INDEX(K:K,E537+1):K203&lt;&gt;"",0),0)+E537,"")))</f>
        <v>680</v>
      </c>
      <c r="F538" s="117" cm="1">
        <f t="array" ref="F538">IF(E538="","",IF(H537&lt;&gt;"",H537,INDEX(D:D,E538)))</f>
        <v>0</v>
      </c>
      <c r="G538" s="117" t="str">
        <f t="shared" si="57"/>
        <v>0</v>
      </c>
      <c r="H538" s="118" t="str">
        <f t="shared" si="58"/>
        <v/>
      </c>
      <c r="I538" s="116" t="str">
        <f>IF(AND(F538&lt;&gt;"",N10&gt;0,M538&gt;N10),"Mot &gt; limite","")</f>
        <v/>
      </c>
      <c r="M538" s="70">
        <f>IF(OR(F538="",N10="",N10&lt;=0),"",IF(LEN(F538)&lt;=N10,LEN(F538),IFERROR(FIND("♦",SUBSTITUTE(LEFT(F538,N10)," ","♦",LEN(LEFT(F538,N10))-LEN(SUBSTITUTE(LEFT(F538,N10)," ","")))),FIND(" ",F538&amp;" ",N10+1)-1)))</f>
        <v>1</v>
      </c>
      <c r="N538" s="119">
        <f t="shared" si="59"/>
        <v>521</v>
      </c>
      <c r="O538" s="99" t="str">
        <f t="shared" si="60"/>
        <v>0</v>
      </c>
      <c r="P538" s="119">
        <f t="shared" si="61"/>
        <v>1</v>
      </c>
      <c r="Q538" s="119">
        <f t="shared" si="62"/>
        <v>1</v>
      </c>
    </row>
    <row r="539" spans="2:17">
      <c r="B539" s="116"/>
      <c r="C539" s="116"/>
      <c r="D539" s="116"/>
      <c r="E539" s="116" cm="1">
        <f t="array" ref="E539">IF(H538&lt;&gt;"",E538,IF(E538="","",IFERROR(MATCH(TRUE(),INDEX(INDEX(K:K,E538+1):K203&lt;&gt;"",0),0)+E538,"")))</f>
        <v>681</v>
      </c>
      <c r="F539" s="117" cm="1">
        <f t="array" ref="F539">IF(E539="","",IF(H538&lt;&gt;"",H538,INDEX(D:D,E539)))</f>
        <v>0</v>
      </c>
      <c r="G539" s="117" t="str">
        <f t="shared" si="57"/>
        <v>0</v>
      </c>
      <c r="H539" s="118" t="str">
        <f t="shared" si="58"/>
        <v/>
      </c>
      <c r="I539" s="116" t="str">
        <f>IF(AND(F539&lt;&gt;"",N10&gt;0,M539&gt;N10),"Mot &gt; limite","")</f>
        <v/>
      </c>
      <c r="M539" s="70">
        <f>IF(OR(F539="",N10="",N10&lt;=0),"",IF(LEN(F539)&lt;=N10,LEN(F539),IFERROR(FIND("♦",SUBSTITUTE(LEFT(F539,N10)," ","♦",LEN(LEFT(F539,N10))-LEN(SUBSTITUTE(LEFT(F539,N10)," ","")))),FIND(" ",F539&amp;" ",N10+1)-1)))</f>
        <v>1</v>
      </c>
      <c r="N539" s="119">
        <f t="shared" si="59"/>
        <v>522</v>
      </c>
      <c r="O539" s="99" t="str">
        <f t="shared" si="60"/>
        <v>0</v>
      </c>
      <c r="P539" s="119">
        <f t="shared" si="61"/>
        <v>1</v>
      </c>
      <c r="Q539" s="119">
        <f t="shared" si="62"/>
        <v>1</v>
      </c>
    </row>
    <row r="540" spans="2:17">
      <c r="B540" s="116"/>
      <c r="C540" s="116"/>
      <c r="D540" s="116"/>
      <c r="E540" s="116" cm="1">
        <f t="array" ref="E540">IF(H539&lt;&gt;"",E539,IF(E539="","",IFERROR(MATCH(TRUE(),INDEX(INDEX(K:K,E539+1):K203&lt;&gt;"",0),0)+E539,"")))</f>
        <v>682</v>
      </c>
      <c r="F540" s="117" cm="1">
        <f t="array" ref="F540">IF(E540="","",IF(H539&lt;&gt;"",H539,INDEX(D:D,E540)))</f>
        <v>0</v>
      </c>
      <c r="G540" s="117" t="str">
        <f t="shared" si="57"/>
        <v>0</v>
      </c>
      <c r="H540" s="118" t="str">
        <f t="shared" si="58"/>
        <v/>
      </c>
      <c r="I540" s="116" t="str">
        <f>IF(AND(F540&lt;&gt;"",N10&gt;0,M540&gt;N10),"Mot &gt; limite","")</f>
        <v/>
      </c>
      <c r="M540" s="70">
        <f>IF(OR(F540="",N10="",N10&lt;=0),"",IF(LEN(F540)&lt;=N10,LEN(F540),IFERROR(FIND("♦",SUBSTITUTE(LEFT(F540,N10)," ","♦",LEN(LEFT(F540,N10))-LEN(SUBSTITUTE(LEFT(F540,N10)," ","")))),FIND(" ",F540&amp;" ",N10+1)-1)))</f>
        <v>1</v>
      </c>
      <c r="N540" s="119">
        <f t="shared" si="59"/>
        <v>523</v>
      </c>
      <c r="O540" s="99" t="str">
        <f t="shared" si="60"/>
        <v>0</v>
      </c>
      <c r="P540" s="119">
        <f t="shared" si="61"/>
        <v>1</v>
      </c>
      <c r="Q540" s="119">
        <f t="shared" si="62"/>
        <v>1</v>
      </c>
    </row>
    <row r="541" spans="2:17">
      <c r="B541" s="116"/>
      <c r="C541" s="116"/>
      <c r="D541" s="116"/>
      <c r="E541" s="116" cm="1">
        <f t="array" ref="E541">IF(H540&lt;&gt;"",E540,IF(E540="","",IFERROR(MATCH(TRUE(),INDEX(INDEX(K:K,E540+1):K203&lt;&gt;"",0),0)+E540,"")))</f>
        <v>683</v>
      </c>
      <c r="F541" s="117" cm="1">
        <f t="array" ref="F541">IF(E541="","",IF(H540&lt;&gt;"",H540,INDEX(D:D,E541)))</f>
        <v>0</v>
      </c>
      <c r="G541" s="117" t="str">
        <f t="shared" si="57"/>
        <v>0</v>
      </c>
      <c r="H541" s="118" t="str">
        <f t="shared" si="58"/>
        <v/>
      </c>
      <c r="I541" s="116" t="str">
        <f>IF(AND(F541&lt;&gt;"",N10&gt;0,M541&gt;N10),"Mot &gt; limite","")</f>
        <v/>
      </c>
      <c r="M541" s="70">
        <f>IF(OR(F541="",N10="",N10&lt;=0),"",IF(LEN(F541)&lt;=N10,LEN(F541),IFERROR(FIND("♦",SUBSTITUTE(LEFT(F541,N10)," ","♦",LEN(LEFT(F541,N10))-LEN(SUBSTITUTE(LEFT(F541,N10)," ","")))),FIND(" ",F541&amp;" ",N10+1)-1)))</f>
        <v>1</v>
      </c>
      <c r="N541" s="119">
        <f t="shared" si="59"/>
        <v>524</v>
      </c>
      <c r="O541" s="99" t="str">
        <f t="shared" si="60"/>
        <v>0</v>
      </c>
      <c r="P541" s="119">
        <f t="shared" si="61"/>
        <v>1</v>
      </c>
      <c r="Q541" s="119">
        <f t="shared" si="62"/>
        <v>1</v>
      </c>
    </row>
    <row r="542" spans="2:17">
      <c r="B542" s="116"/>
      <c r="C542" s="116"/>
      <c r="D542" s="116"/>
      <c r="E542" s="116" cm="1">
        <f t="array" ref="E542">IF(H541&lt;&gt;"",E541,IF(E541="","",IFERROR(MATCH(TRUE(),INDEX(INDEX(K:K,E541+1):K203&lt;&gt;"",0),0)+E541,"")))</f>
        <v>684</v>
      </c>
      <c r="F542" s="117" cm="1">
        <f t="array" ref="F542">IF(E542="","",IF(H541&lt;&gt;"",H541,INDEX(D:D,E542)))</f>
        <v>0</v>
      </c>
      <c r="G542" s="117" t="str">
        <f t="shared" si="57"/>
        <v>0</v>
      </c>
      <c r="H542" s="118" t="str">
        <f t="shared" si="58"/>
        <v/>
      </c>
      <c r="I542" s="116" t="str">
        <f>IF(AND(F542&lt;&gt;"",N10&gt;0,M542&gt;N10),"Mot &gt; limite","")</f>
        <v/>
      </c>
      <c r="M542" s="70">
        <f>IF(OR(F542="",N10="",N10&lt;=0),"",IF(LEN(F542)&lt;=N10,LEN(F542),IFERROR(FIND("♦",SUBSTITUTE(LEFT(F542,N10)," ","♦",LEN(LEFT(F542,N10))-LEN(SUBSTITUTE(LEFT(F542,N10)," ","")))),FIND(" ",F542&amp;" ",N10+1)-1)))</f>
        <v>1</v>
      </c>
      <c r="N542" s="119">
        <f t="shared" si="59"/>
        <v>525</v>
      </c>
      <c r="O542" s="99" t="str">
        <f t="shared" si="60"/>
        <v>0</v>
      </c>
      <c r="P542" s="119">
        <f t="shared" si="61"/>
        <v>1</v>
      </c>
      <c r="Q542" s="119">
        <f t="shared" si="62"/>
        <v>1</v>
      </c>
    </row>
    <row r="543" spans="2:17">
      <c r="B543" s="116"/>
      <c r="C543" s="116"/>
      <c r="D543" s="116"/>
      <c r="E543" s="116" cm="1">
        <f t="array" ref="E543">IF(H542&lt;&gt;"",E542,IF(E542="","",IFERROR(MATCH(TRUE(),INDEX(INDEX(K:K,E542+1):K203&lt;&gt;"",0),0)+E542,"")))</f>
        <v>685</v>
      </c>
      <c r="F543" s="117" cm="1">
        <f t="array" ref="F543">IF(E543="","",IF(H542&lt;&gt;"",H542,INDEX(D:D,E543)))</f>
        <v>0</v>
      </c>
      <c r="G543" s="117" t="str">
        <f t="shared" si="57"/>
        <v>0</v>
      </c>
      <c r="H543" s="118" t="str">
        <f t="shared" si="58"/>
        <v/>
      </c>
      <c r="I543" s="116" t="str">
        <f>IF(AND(F543&lt;&gt;"",N10&gt;0,M543&gt;N10),"Mot &gt; limite","")</f>
        <v/>
      </c>
      <c r="M543" s="70">
        <f>IF(OR(F543="",N10="",N10&lt;=0),"",IF(LEN(F543)&lt;=N10,LEN(F543),IFERROR(FIND("♦",SUBSTITUTE(LEFT(F543,N10)," ","♦",LEN(LEFT(F543,N10))-LEN(SUBSTITUTE(LEFT(F543,N10)," ","")))),FIND(" ",F543&amp;" ",N10+1)-1)))</f>
        <v>1</v>
      </c>
      <c r="N543" s="119">
        <f t="shared" si="59"/>
        <v>526</v>
      </c>
      <c r="O543" s="99" t="str">
        <f t="shared" si="60"/>
        <v>0</v>
      </c>
      <c r="P543" s="119">
        <f t="shared" si="61"/>
        <v>1</v>
      </c>
      <c r="Q543" s="119">
        <f t="shared" si="62"/>
        <v>1</v>
      </c>
    </row>
    <row r="544" spans="2:17">
      <c r="B544" s="116"/>
      <c r="C544" s="116"/>
      <c r="D544" s="116"/>
      <c r="E544" s="116" cm="1">
        <f t="array" ref="E544">IF(H543&lt;&gt;"",E543,IF(E543="","",IFERROR(MATCH(TRUE(),INDEX(INDEX(K:K,E543+1):K203&lt;&gt;"",0),0)+E543,"")))</f>
        <v>686</v>
      </c>
      <c r="F544" s="117" cm="1">
        <f t="array" ref="F544">IF(E544="","",IF(H543&lt;&gt;"",H543,INDEX(D:D,E544)))</f>
        <v>0</v>
      </c>
      <c r="G544" s="117" t="str">
        <f t="shared" si="57"/>
        <v>0</v>
      </c>
      <c r="H544" s="118" t="str">
        <f t="shared" si="58"/>
        <v/>
      </c>
      <c r="I544" s="116" t="str">
        <f>IF(AND(F544&lt;&gt;"",N10&gt;0,M544&gt;N10),"Mot &gt; limite","")</f>
        <v/>
      </c>
      <c r="M544" s="70">
        <f>IF(OR(F544="",N10="",N10&lt;=0),"",IF(LEN(F544)&lt;=N10,LEN(F544),IFERROR(FIND("♦",SUBSTITUTE(LEFT(F544,N10)," ","♦",LEN(LEFT(F544,N10))-LEN(SUBSTITUTE(LEFT(F544,N10)," ","")))),FIND(" ",F544&amp;" ",N10+1)-1)))</f>
        <v>1</v>
      </c>
      <c r="N544" s="119">
        <f t="shared" si="59"/>
        <v>527</v>
      </c>
      <c r="O544" s="99" t="str">
        <f t="shared" si="60"/>
        <v>0</v>
      </c>
      <c r="P544" s="119">
        <f t="shared" si="61"/>
        <v>1</v>
      </c>
      <c r="Q544" s="119">
        <f t="shared" si="62"/>
        <v>1</v>
      </c>
    </row>
    <row r="545" spans="2:17">
      <c r="B545" s="116"/>
      <c r="C545" s="116"/>
      <c r="D545" s="116"/>
      <c r="E545" s="116" cm="1">
        <f t="array" ref="E545">IF(H544&lt;&gt;"",E544,IF(E544="","",IFERROR(MATCH(TRUE(),INDEX(INDEX(K:K,E544+1):K203&lt;&gt;"",0),0)+E544,"")))</f>
        <v>687</v>
      </c>
      <c r="F545" s="117" cm="1">
        <f t="array" ref="F545">IF(E545="","",IF(H544&lt;&gt;"",H544,INDEX(D:D,E545)))</f>
        <v>0</v>
      </c>
      <c r="G545" s="117" t="str">
        <f t="shared" si="57"/>
        <v>0</v>
      </c>
      <c r="H545" s="118" t="str">
        <f t="shared" si="58"/>
        <v/>
      </c>
      <c r="I545" s="116" t="str">
        <f>IF(AND(F545&lt;&gt;"",N10&gt;0,M545&gt;N10),"Mot &gt; limite","")</f>
        <v/>
      </c>
      <c r="M545" s="70">
        <f>IF(OR(F545="",N10="",N10&lt;=0),"",IF(LEN(F545)&lt;=N10,LEN(F545),IFERROR(FIND("♦",SUBSTITUTE(LEFT(F545,N10)," ","♦",LEN(LEFT(F545,N10))-LEN(SUBSTITUTE(LEFT(F545,N10)," ","")))),FIND(" ",F545&amp;" ",N10+1)-1)))</f>
        <v>1</v>
      </c>
      <c r="N545" s="119">
        <f t="shared" si="59"/>
        <v>528</v>
      </c>
      <c r="O545" s="99" t="str">
        <f t="shared" si="60"/>
        <v>0</v>
      </c>
      <c r="P545" s="119">
        <f t="shared" si="61"/>
        <v>1</v>
      </c>
      <c r="Q545" s="119">
        <f t="shared" si="62"/>
        <v>1</v>
      </c>
    </row>
    <row r="546" spans="2:17">
      <c r="B546" s="116"/>
      <c r="C546" s="116"/>
      <c r="D546" s="116"/>
      <c r="E546" s="116" cm="1">
        <f t="array" ref="E546">IF(H545&lt;&gt;"",E545,IF(E545="","",IFERROR(MATCH(TRUE(),INDEX(INDEX(K:K,E545+1):K203&lt;&gt;"",0),0)+E545,"")))</f>
        <v>688</v>
      </c>
      <c r="F546" s="117" cm="1">
        <f t="array" ref="F546">IF(E546="","",IF(H545&lt;&gt;"",H545,INDEX(D:D,E546)))</f>
        <v>0</v>
      </c>
      <c r="G546" s="117" t="str">
        <f t="shared" si="57"/>
        <v>0</v>
      </c>
      <c r="H546" s="118" t="str">
        <f t="shared" si="58"/>
        <v/>
      </c>
      <c r="I546" s="116" t="str">
        <f>IF(AND(F546&lt;&gt;"",N10&gt;0,M546&gt;N10),"Mot &gt; limite","")</f>
        <v/>
      </c>
      <c r="M546" s="70">
        <f>IF(OR(F546="",N10="",N10&lt;=0),"",IF(LEN(F546)&lt;=N10,LEN(F546),IFERROR(FIND("♦",SUBSTITUTE(LEFT(F546,N10)," ","♦",LEN(LEFT(F546,N10))-LEN(SUBSTITUTE(LEFT(F546,N10)," ","")))),FIND(" ",F546&amp;" ",N10+1)-1)))</f>
        <v>1</v>
      </c>
      <c r="N546" s="119">
        <f t="shared" si="59"/>
        <v>529</v>
      </c>
      <c r="O546" s="99" t="str">
        <f t="shared" si="60"/>
        <v>0</v>
      </c>
      <c r="P546" s="119">
        <f t="shared" si="61"/>
        <v>1</v>
      </c>
      <c r="Q546" s="119">
        <f t="shared" si="62"/>
        <v>1</v>
      </c>
    </row>
    <row r="547" spans="2:17">
      <c r="B547" s="116"/>
      <c r="C547" s="116"/>
      <c r="D547" s="116"/>
      <c r="E547" s="116" cm="1">
        <f t="array" ref="E547">IF(H546&lt;&gt;"",E546,IF(E546="","",IFERROR(MATCH(TRUE(),INDEX(INDEX(K:K,E546+1):K203&lt;&gt;"",0),0)+E546,"")))</f>
        <v>689</v>
      </c>
      <c r="F547" s="117" cm="1">
        <f t="array" ref="F547">IF(E547="","",IF(H546&lt;&gt;"",H546,INDEX(D:D,E547)))</f>
        <v>0</v>
      </c>
      <c r="G547" s="117" t="str">
        <f t="shared" si="57"/>
        <v>0</v>
      </c>
      <c r="H547" s="118" t="str">
        <f t="shared" si="58"/>
        <v/>
      </c>
      <c r="I547" s="116" t="str">
        <f>IF(AND(F547&lt;&gt;"",N10&gt;0,M547&gt;N10),"Mot &gt; limite","")</f>
        <v/>
      </c>
      <c r="M547" s="70">
        <f>IF(OR(F547="",N10="",N10&lt;=0),"",IF(LEN(F547)&lt;=N10,LEN(F547),IFERROR(FIND("♦",SUBSTITUTE(LEFT(F547,N10)," ","♦",LEN(LEFT(F547,N10))-LEN(SUBSTITUTE(LEFT(F547,N10)," ","")))),FIND(" ",F547&amp;" ",N10+1)-1)))</f>
        <v>1</v>
      </c>
      <c r="N547" s="119">
        <f t="shared" si="59"/>
        <v>530</v>
      </c>
      <c r="O547" s="99" t="str">
        <f t="shared" si="60"/>
        <v>0</v>
      </c>
      <c r="P547" s="119">
        <f t="shared" si="61"/>
        <v>1</v>
      </c>
      <c r="Q547" s="119">
        <f t="shared" si="62"/>
        <v>1</v>
      </c>
    </row>
    <row r="548" spans="2:17">
      <c r="B548" s="116"/>
      <c r="C548" s="116"/>
      <c r="D548" s="116"/>
      <c r="E548" s="116" cm="1">
        <f t="array" ref="E548">IF(H547&lt;&gt;"",E547,IF(E547="","",IFERROR(MATCH(TRUE(),INDEX(INDEX(K:K,E547+1):K203&lt;&gt;"",0),0)+E547,"")))</f>
        <v>690</v>
      </c>
      <c r="F548" s="117" cm="1">
        <f t="array" ref="F548">IF(E548="","",IF(H547&lt;&gt;"",H547,INDEX(D:D,E548)))</f>
        <v>0</v>
      </c>
      <c r="G548" s="117" t="str">
        <f t="shared" si="57"/>
        <v>0</v>
      </c>
      <c r="H548" s="118" t="str">
        <f t="shared" si="58"/>
        <v/>
      </c>
      <c r="I548" s="116" t="str">
        <f>IF(AND(F548&lt;&gt;"",N10&gt;0,M548&gt;N10),"Mot &gt; limite","")</f>
        <v/>
      </c>
      <c r="M548" s="70">
        <f>IF(OR(F548="",N10="",N10&lt;=0),"",IF(LEN(F548)&lt;=N10,LEN(F548),IFERROR(FIND("♦",SUBSTITUTE(LEFT(F548,N10)," ","♦",LEN(LEFT(F548,N10))-LEN(SUBSTITUTE(LEFT(F548,N10)," ","")))),FIND(" ",F548&amp;" ",N10+1)-1)))</f>
        <v>1</v>
      </c>
      <c r="N548" s="119">
        <f t="shared" si="59"/>
        <v>531</v>
      </c>
      <c r="O548" s="99" t="str">
        <f t="shared" si="60"/>
        <v>0</v>
      </c>
      <c r="P548" s="119">
        <f t="shared" si="61"/>
        <v>1</v>
      </c>
      <c r="Q548" s="119">
        <f t="shared" si="62"/>
        <v>1</v>
      </c>
    </row>
    <row r="549" spans="2:17">
      <c r="B549" s="116"/>
      <c r="C549" s="116"/>
      <c r="D549" s="116"/>
      <c r="E549" s="116" cm="1">
        <f t="array" ref="E549">IF(H548&lt;&gt;"",E548,IF(E548="","",IFERROR(MATCH(TRUE(),INDEX(INDEX(K:K,E548+1):K203&lt;&gt;"",0),0)+E548,"")))</f>
        <v>691</v>
      </c>
      <c r="F549" s="117" cm="1">
        <f t="array" ref="F549">IF(E549="","",IF(H548&lt;&gt;"",H548,INDEX(D:D,E549)))</f>
        <v>0</v>
      </c>
      <c r="G549" s="117" t="str">
        <f t="shared" si="57"/>
        <v>0</v>
      </c>
      <c r="H549" s="118" t="str">
        <f t="shared" si="58"/>
        <v/>
      </c>
      <c r="I549" s="116" t="str">
        <f>IF(AND(F549&lt;&gt;"",N10&gt;0,M549&gt;N10),"Mot &gt; limite","")</f>
        <v/>
      </c>
      <c r="M549" s="70">
        <f>IF(OR(F549="",N10="",N10&lt;=0),"",IF(LEN(F549)&lt;=N10,LEN(F549),IFERROR(FIND("♦",SUBSTITUTE(LEFT(F549,N10)," ","♦",LEN(LEFT(F549,N10))-LEN(SUBSTITUTE(LEFT(F549,N10)," ","")))),FIND(" ",F549&amp;" ",N10+1)-1)))</f>
        <v>1</v>
      </c>
      <c r="N549" s="119">
        <f t="shared" si="59"/>
        <v>532</v>
      </c>
      <c r="O549" s="99" t="str">
        <f t="shared" si="60"/>
        <v>0</v>
      </c>
      <c r="P549" s="119">
        <f t="shared" si="61"/>
        <v>1</v>
      </c>
      <c r="Q549" s="119">
        <f t="shared" si="62"/>
        <v>1</v>
      </c>
    </row>
    <row r="550" spans="2:17">
      <c r="B550" s="116"/>
      <c r="C550" s="116"/>
      <c r="D550" s="116"/>
      <c r="E550" s="116" cm="1">
        <f t="array" ref="E550">IF(H549&lt;&gt;"",E549,IF(E549="","",IFERROR(MATCH(TRUE(),INDEX(INDEX(K:K,E549+1):K203&lt;&gt;"",0),0)+E549,"")))</f>
        <v>692</v>
      </c>
      <c r="F550" s="117" cm="1">
        <f t="array" ref="F550">IF(E550="","",IF(H549&lt;&gt;"",H549,INDEX(D:D,E550)))</f>
        <v>0</v>
      </c>
      <c r="G550" s="117" t="str">
        <f t="shared" si="57"/>
        <v>0</v>
      </c>
      <c r="H550" s="118" t="str">
        <f t="shared" si="58"/>
        <v/>
      </c>
      <c r="I550" s="116" t="str">
        <f>IF(AND(F550&lt;&gt;"",N10&gt;0,M550&gt;N10),"Mot &gt; limite","")</f>
        <v/>
      </c>
      <c r="M550" s="70">
        <f>IF(OR(F550="",N10="",N10&lt;=0),"",IF(LEN(F550)&lt;=N10,LEN(F550),IFERROR(FIND("♦",SUBSTITUTE(LEFT(F550,N10)," ","♦",LEN(LEFT(F550,N10))-LEN(SUBSTITUTE(LEFT(F550,N10)," ","")))),FIND(" ",F550&amp;" ",N10+1)-1)))</f>
        <v>1</v>
      </c>
      <c r="N550" s="119">
        <f t="shared" si="59"/>
        <v>533</v>
      </c>
      <c r="O550" s="99" t="str">
        <f t="shared" si="60"/>
        <v>0</v>
      </c>
      <c r="P550" s="119">
        <f t="shared" si="61"/>
        <v>1</v>
      </c>
      <c r="Q550" s="119">
        <f t="shared" si="62"/>
        <v>1</v>
      </c>
    </row>
    <row r="551" spans="2:17">
      <c r="B551" s="116"/>
      <c r="C551" s="116"/>
      <c r="D551" s="116"/>
      <c r="E551" s="116" cm="1">
        <f t="array" ref="E551">IF(H550&lt;&gt;"",E550,IF(E550="","",IFERROR(MATCH(TRUE(),INDEX(INDEX(K:K,E550+1):K203&lt;&gt;"",0),0)+E550,"")))</f>
        <v>693</v>
      </c>
      <c r="F551" s="117" cm="1">
        <f t="array" ref="F551">IF(E551="","",IF(H550&lt;&gt;"",H550,INDEX(D:D,E551)))</f>
        <v>0</v>
      </c>
      <c r="G551" s="117" t="str">
        <f t="shared" si="57"/>
        <v>0</v>
      </c>
      <c r="H551" s="118" t="str">
        <f t="shared" si="58"/>
        <v/>
      </c>
      <c r="I551" s="116" t="str">
        <f>IF(AND(F551&lt;&gt;"",N10&gt;0,M551&gt;N10),"Mot &gt; limite","")</f>
        <v/>
      </c>
      <c r="M551" s="70">
        <f>IF(OR(F551="",N10="",N10&lt;=0),"",IF(LEN(F551)&lt;=N10,LEN(F551),IFERROR(FIND("♦",SUBSTITUTE(LEFT(F551,N10)," ","♦",LEN(LEFT(F551,N10))-LEN(SUBSTITUTE(LEFT(F551,N10)," ","")))),FIND(" ",F551&amp;" ",N10+1)-1)))</f>
        <v>1</v>
      </c>
      <c r="N551" s="119">
        <f t="shared" si="59"/>
        <v>534</v>
      </c>
      <c r="O551" s="99" t="str">
        <f t="shared" si="60"/>
        <v>0</v>
      </c>
      <c r="P551" s="119">
        <f t="shared" si="61"/>
        <v>1</v>
      </c>
      <c r="Q551" s="119">
        <f t="shared" si="62"/>
        <v>1</v>
      </c>
    </row>
    <row r="552" spans="2:17">
      <c r="B552" s="116"/>
      <c r="C552" s="116"/>
      <c r="D552" s="116"/>
      <c r="E552" s="116" cm="1">
        <f t="array" ref="E552">IF(H551&lt;&gt;"",E551,IF(E551="","",IFERROR(MATCH(TRUE(),INDEX(INDEX(K:K,E551+1):K203&lt;&gt;"",0),0)+E551,"")))</f>
        <v>694</v>
      </c>
      <c r="F552" s="117" cm="1">
        <f t="array" ref="F552">IF(E552="","",IF(H551&lt;&gt;"",H551,INDEX(D:D,E552)))</f>
        <v>0</v>
      </c>
      <c r="G552" s="117" t="str">
        <f t="shared" si="57"/>
        <v>0</v>
      </c>
      <c r="H552" s="118" t="str">
        <f t="shared" si="58"/>
        <v/>
      </c>
      <c r="I552" s="116" t="str">
        <f>IF(AND(F552&lt;&gt;"",N10&gt;0,M552&gt;N10),"Mot &gt; limite","")</f>
        <v/>
      </c>
      <c r="M552" s="70">
        <f>IF(OR(F552="",N10="",N10&lt;=0),"",IF(LEN(F552)&lt;=N10,LEN(F552),IFERROR(FIND("♦",SUBSTITUTE(LEFT(F552,N10)," ","♦",LEN(LEFT(F552,N10))-LEN(SUBSTITUTE(LEFT(F552,N10)," ","")))),FIND(" ",F552&amp;" ",N10+1)-1)))</f>
        <v>1</v>
      </c>
      <c r="N552" s="119">
        <f t="shared" si="59"/>
        <v>535</v>
      </c>
      <c r="O552" s="99" t="str">
        <f t="shared" si="60"/>
        <v>0</v>
      </c>
      <c r="P552" s="119">
        <f t="shared" si="61"/>
        <v>1</v>
      </c>
      <c r="Q552" s="119">
        <f t="shared" si="62"/>
        <v>1</v>
      </c>
    </row>
    <row r="553" spans="2:17">
      <c r="B553" s="116"/>
      <c r="C553" s="116"/>
      <c r="D553" s="116"/>
      <c r="E553" s="116" cm="1">
        <f t="array" ref="E553">IF(H552&lt;&gt;"",E552,IF(E552="","",IFERROR(MATCH(TRUE(),INDEX(INDEX(K:K,E552+1):K203&lt;&gt;"",0),0)+E552,"")))</f>
        <v>695</v>
      </c>
      <c r="F553" s="117" cm="1">
        <f t="array" ref="F553">IF(E553="","",IF(H552&lt;&gt;"",H552,INDEX(D:D,E553)))</f>
        <v>0</v>
      </c>
      <c r="G553" s="117" t="str">
        <f t="shared" si="57"/>
        <v>0</v>
      </c>
      <c r="H553" s="118" t="str">
        <f t="shared" si="58"/>
        <v/>
      </c>
      <c r="I553" s="116" t="str">
        <f>IF(AND(F553&lt;&gt;"",N10&gt;0,M553&gt;N10),"Mot &gt; limite","")</f>
        <v/>
      </c>
      <c r="M553" s="70">
        <f>IF(OR(F553="",N10="",N10&lt;=0),"",IF(LEN(F553)&lt;=N10,LEN(F553),IFERROR(FIND("♦",SUBSTITUTE(LEFT(F553,N10)," ","♦",LEN(LEFT(F553,N10))-LEN(SUBSTITUTE(LEFT(F553,N10)," ","")))),FIND(" ",F553&amp;" ",N10+1)-1)))</f>
        <v>1</v>
      </c>
      <c r="N553" s="119">
        <f t="shared" si="59"/>
        <v>536</v>
      </c>
      <c r="O553" s="99" t="str">
        <f t="shared" si="60"/>
        <v>0</v>
      </c>
      <c r="P553" s="119">
        <f t="shared" si="61"/>
        <v>1</v>
      </c>
      <c r="Q553" s="119">
        <f t="shared" si="62"/>
        <v>1</v>
      </c>
    </row>
    <row r="554" spans="2:17">
      <c r="B554" s="116"/>
      <c r="C554" s="116"/>
      <c r="D554" s="116"/>
      <c r="E554" s="116" cm="1">
        <f t="array" ref="E554">IF(H553&lt;&gt;"",E553,IF(E553="","",IFERROR(MATCH(TRUE(),INDEX(INDEX(K:K,E553+1):K203&lt;&gt;"",0),0)+E553,"")))</f>
        <v>696</v>
      </c>
      <c r="F554" s="117" cm="1">
        <f t="array" ref="F554">IF(E554="","",IF(H553&lt;&gt;"",H553,INDEX(D:D,E554)))</f>
        <v>0</v>
      </c>
      <c r="G554" s="117" t="str">
        <f t="shared" si="57"/>
        <v>0</v>
      </c>
      <c r="H554" s="118" t="str">
        <f t="shared" si="58"/>
        <v/>
      </c>
      <c r="I554" s="116" t="str">
        <f>IF(AND(F554&lt;&gt;"",N10&gt;0,M554&gt;N10),"Mot &gt; limite","")</f>
        <v/>
      </c>
      <c r="M554" s="70">
        <f>IF(OR(F554="",N10="",N10&lt;=0),"",IF(LEN(F554)&lt;=N10,LEN(F554),IFERROR(FIND("♦",SUBSTITUTE(LEFT(F554,N10)," ","♦",LEN(LEFT(F554,N10))-LEN(SUBSTITUTE(LEFT(F554,N10)," ","")))),FIND(" ",F554&amp;" ",N10+1)-1)))</f>
        <v>1</v>
      </c>
      <c r="N554" s="119">
        <f t="shared" si="59"/>
        <v>537</v>
      </c>
      <c r="O554" s="99" t="str">
        <f t="shared" si="60"/>
        <v>0</v>
      </c>
      <c r="P554" s="119">
        <f t="shared" si="61"/>
        <v>1</v>
      </c>
      <c r="Q554" s="119">
        <f t="shared" si="62"/>
        <v>1</v>
      </c>
    </row>
    <row r="555" spans="2:17">
      <c r="B555" s="116"/>
      <c r="C555" s="116"/>
      <c r="D555" s="116"/>
      <c r="E555" s="116" cm="1">
        <f t="array" ref="E555">IF(H554&lt;&gt;"",E554,IF(E554="","",IFERROR(MATCH(TRUE(),INDEX(INDEX(K:K,E554+1):K203&lt;&gt;"",0),0)+E554,"")))</f>
        <v>697</v>
      </c>
      <c r="F555" s="117" cm="1">
        <f t="array" ref="F555">IF(E555="","",IF(H554&lt;&gt;"",H554,INDEX(D:D,E555)))</f>
        <v>0</v>
      </c>
      <c r="G555" s="117" t="str">
        <f t="shared" si="57"/>
        <v>0</v>
      </c>
      <c r="H555" s="118" t="str">
        <f t="shared" si="58"/>
        <v/>
      </c>
      <c r="I555" s="116" t="str">
        <f>IF(AND(F555&lt;&gt;"",N10&gt;0,M555&gt;N10),"Mot &gt; limite","")</f>
        <v/>
      </c>
      <c r="M555" s="70">
        <f>IF(OR(F555="",N10="",N10&lt;=0),"",IF(LEN(F555)&lt;=N10,LEN(F555),IFERROR(FIND("♦",SUBSTITUTE(LEFT(F555,N10)," ","♦",LEN(LEFT(F555,N10))-LEN(SUBSTITUTE(LEFT(F555,N10)," ","")))),FIND(" ",F555&amp;" ",N10+1)-1)))</f>
        <v>1</v>
      </c>
      <c r="N555" s="119">
        <f t="shared" si="59"/>
        <v>538</v>
      </c>
      <c r="O555" s="99" t="str">
        <f t="shared" si="60"/>
        <v>0</v>
      </c>
      <c r="P555" s="119">
        <f t="shared" si="61"/>
        <v>1</v>
      </c>
      <c r="Q555" s="119">
        <f t="shared" si="62"/>
        <v>1</v>
      </c>
    </row>
    <row r="556" spans="2:17">
      <c r="B556" s="116"/>
      <c r="C556" s="116"/>
      <c r="D556" s="116"/>
      <c r="E556" s="116" cm="1">
        <f t="array" ref="E556">IF(H555&lt;&gt;"",E555,IF(E555="","",IFERROR(MATCH(TRUE(),INDEX(INDEX(K:K,E555+1):K203&lt;&gt;"",0),0)+E555,"")))</f>
        <v>698</v>
      </c>
      <c r="F556" s="117" cm="1">
        <f t="array" ref="F556">IF(E556="","",IF(H555&lt;&gt;"",H555,INDEX(D:D,E556)))</f>
        <v>0</v>
      </c>
      <c r="G556" s="117" t="str">
        <f t="shared" si="57"/>
        <v>0</v>
      </c>
      <c r="H556" s="118" t="str">
        <f t="shared" si="58"/>
        <v/>
      </c>
      <c r="I556" s="116" t="str">
        <f>IF(AND(F556&lt;&gt;"",N10&gt;0,M556&gt;N10),"Mot &gt; limite","")</f>
        <v/>
      </c>
      <c r="M556" s="70">
        <f>IF(OR(F556="",N10="",N10&lt;=0),"",IF(LEN(F556)&lt;=N10,LEN(F556),IFERROR(FIND("♦",SUBSTITUTE(LEFT(F556,N10)," ","♦",LEN(LEFT(F556,N10))-LEN(SUBSTITUTE(LEFT(F556,N10)," ","")))),FIND(" ",F556&amp;" ",N10+1)-1)))</f>
        <v>1</v>
      </c>
      <c r="N556" s="119">
        <f t="shared" si="59"/>
        <v>539</v>
      </c>
      <c r="O556" s="99" t="str">
        <f t="shared" si="60"/>
        <v>0</v>
      </c>
      <c r="P556" s="119">
        <f t="shared" si="61"/>
        <v>1</v>
      </c>
      <c r="Q556" s="119">
        <f t="shared" si="62"/>
        <v>1</v>
      </c>
    </row>
    <row r="557" spans="2:17">
      <c r="B557" s="116"/>
      <c r="C557" s="116"/>
      <c r="D557" s="116"/>
      <c r="E557" s="116" cm="1">
        <f t="array" ref="E557">IF(H556&lt;&gt;"",E556,IF(E556="","",IFERROR(MATCH(TRUE(),INDEX(INDEX(K:K,E556+1):K203&lt;&gt;"",0),0)+E556,"")))</f>
        <v>699</v>
      </c>
      <c r="F557" s="117" cm="1">
        <f t="array" ref="F557">IF(E557="","",IF(H556&lt;&gt;"",H556,INDEX(D:D,E557)))</f>
        <v>0</v>
      </c>
      <c r="G557" s="117" t="str">
        <f t="shared" si="57"/>
        <v>0</v>
      </c>
      <c r="H557" s="118" t="str">
        <f t="shared" si="58"/>
        <v/>
      </c>
      <c r="I557" s="116" t="str">
        <f>IF(AND(F557&lt;&gt;"",N10&gt;0,M557&gt;N10),"Mot &gt; limite","")</f>
        <v/>
      </c>
      <c r="M557" s="70">
        <f>IF(OR(F557="",N10="",N10&lt;=0),"",IF(LEN(F557)&lt;=N10,LEN(F557),IFERROR(FIND("♦",SUBSTITUTE(LEFT(F557,N10)," ","♦",LEN(LEFT(F557,N10))-LEN(SUBSTITUTE(LEFT(F557,N10)," ","")))),FIND(" ",F557&amp;" ",N10+1)-1)))</f>
        <v>1</v>
      </c>
      <c r="N557" s="119">
        <f t="shared" si="59"/>
        <v>540</v>
      </c>
      <c r="O557" s="99" t="str">
        <f t="shared" si="60"/>
        <v>0</v>
      </c>
      <c r="P557" s="119">
        <f t="shared" si="61"/>
        <v>1</v>
      </c>
      <c r="Q557" s="119">
        <f t="shared" si="62"/>
        <v>1</v>
      </c>
    </row>
    <row r="558" spans="2:17">
      <c r="B558" s="116"/>
      <c r="C558" s="116"/>
      <c r="D558" s="116"/>
      <c r="E558" s="116" cm="1">
        <f t="array" ref="E558">IF(H557&lt;&gt;"",E557,IF(E557="","",IFERROR(MATCH(TRUE(),INDEX(INDEX(K:K,E557+1):K203&lt;&gt;"",0),0)+E557,"")))</f>
        <v>700</v>
      </c>
      <c r="F558" s="117" cm="1">
        <f t="array" ref="F558">IF(E558="","",IF(H557&lt;&gt;"",H557,INDEX(D:D,E558)))</f>
        <v>0</v>
      </c>
      <c r="G558" s="117" t="str">
        <f t="shared" si="57"/>
        <v>0</v>
      </c>
      <c r="H558" s="118" t="str">
        <f t="shared" si="58"/>
        <v/>
      </c>
      <c r="I558" s="116" t="str">
        <f>IF(AND(F558&lt;&gt;"",N10&gt;0,M558&gt;N10),"Mot &gt; limite","")</f>
        <v/>
      </c>
      <c r="M558" s="70">
        <f>IF(OR(F558="",N10="",N10&lt;=0),"",IF(LEN(F558)&lt;=N10,LEN(F558),IFERROR(FIND("♦",SUBSTITUTE(LEFT(F558,N10)," ","♦",LEN(LEFT(F558,N10))-LEN(SUBSTITUTE(LEFT(F558,N10)," ","")))),FIND(" ",F558&amp;" ",N10+1)-1)))</f>
        <v>1</v>
      </c>
      <c r="N558" s="119">
        <f t="shared" si="59"/>
        <v>541</v>
      </c>
      <c r="O558" s="99" t="str">
        <f t="shared" si="60"/>
        <v>0</v>
      </c>
      <c r="P558" s="119">
        <f t="shared" si="61"/>
        <v>1</v>
      </c>
      <c r="Q558" s="119">
        <f t="shared" si="62"/>
        <v>1</v>
      </c>
    </row>
    <row r="559" spans="2:17">
      <c r="B559" s="116"/>
      <c r="C559" s="116"/>
      <c r="D559" s="116"/>
      <c r="E559" s="116" cm="1">
        <f t="array" ref="E559">IF(H558&lt;&gt;"",E558,IF(E558="","",IFERROR(MATCH(TRUE(),INDEX(INDEX(K:K,E558+1):K203&lt;&gt;"",0),0)+E558,"")))</f>
        <v>701</v>
      </c>
      <c r="F559" s="117" cm="1">
        <f t="array" ref="F559">IF(E559="","",IF(H558&lt;&gt;"",H558,INDEX(D:D,E559)))</f>
        <v>0</v>
      </c>
      <c r="G559" s="117" t="str">
        <f t="shared" si="57"/>
        <v>0</v>
      </c>
      <c r="H559" s="118" t="str">
        <f t="shared" si="58"/>
        <v/>
      </c>
      <c r="I559" s="116" t="str">
        <f>IF(AND(F559&lt;&gt;"",N10&gt;0,M559&gt;N10),"Mot &gt; limite","")</f>
        <v/>
      </c>
      <c r="M559" s="70">
        <f>IF(OR(F559="",N10="",N10&lt;=0),"",IF(LEN(F559)&lt;=N10,LEN(F559),IFERROR(FIND("♦",SUBSTITUTE(LEFT(F559,N10)," ","♦",LEN(LEFT(F559,N10))-LEN(SUBSTITUTE(LEFT(F559,N10)," ","")))),FIND(" ",F559&amp;" ",N10+1)-1)))</f>
        <v>1</v>
      </c>
      <c r="N559" s="119">
        <f t="shared" si="59"/>
        <v>542</v>
      </c>
      <c r="O559" s="99" t="str">
        <f t="shared" si="60"/>
        <v>0</v>
      </c>
      <c r="P559" s="119">
        <f t="shared" si="61"/>
        <v>1</v>
      </c>
      <c r="Q559" s="119">
        <f t="shared" si="62"/>
        <v>1</v>
      </c>
    </row>
    <row r="560" spans="2:17">
      <c r="B560" s="116"/>
      <c r="C560" s="116"/>
      <c r="D560" s="116"/>
      <c r="E560" s="116" cm="1">
        <f t="array" ref="E560">IF(H559&lt;&gt;"",E559,IF(E559="","",IFERROR(MATCH(TRUE(),INDEX(INDEX(K:K,E559+1):K203&lt;&gt;"",0),0)+E559,"")))</f>
        <v>702</v>
      </c>
      <c r="F560" s="117" cm="1">
        <f t="array" ref="F560">IF(E560="","",IF(H559&lt;&gt;"",H559,INDEX(D:D,E560)))</f>
        <v>0</v>
      </c>
      <c r="G560" s="117" t="str">
        <f t="shared" si="57"/>
        <v>0</v>
      </c>
      <c r="H560" s="118" t="str">
        <f t="shared" si="58"/>
        <v/>
      </c>
      <c r="I560" s="116" t="str">
        <f>IF(AND(F560&lt;&gt;"",N10&gt;0,M560&gt;N10),"Mot &gt; limite","")</f>
        <v/>
      </c>
      <c r="M560" s="70">
        <f>IF(OR(F560="",N10="",N10&lt;=0),"",IF(LEN(F560)&lt;=N10,LEN(F560),IFERROR(FIND("♦",SUBSTITUTE(LEFT(F560,N10)," ","♦",LEN(LEFT(F560,N10))-LEN(SUBSTITUTE(LEFT(F560,N10)," ","")))),FIND(" ",F560&amp;" ",N10+1)-1)))</f>
        <v>1</v>
      </c>
      <c r="N560" s="119">
        <f t="shared" si="59"/>
        <v>543</v>
      </c>
      <c r="O560" s="99" t="str">
        <f t="shared" si="60"/>
        <v>0</v>
      </c>
      <c r="P560" s="119">
        <f t="shared" si="61"/>
        <v>1</v>
      </c>
      <c r="Q560" s="119">
        <f t="shared" si="62"/>
        <v>1</v>
      </c>
    </row>
    <row r="561" spans="2:17">
      <c r="B561" s="116"/>
      <c r="C561" s="116"/>
      <c r="D561" s="116"/>
      <c r="E561" s="116" cm="1">
        <f t="array" ref="E561">IF(H560&lt;&gt;"",E560,IF(E560="","",IFERROR(MATCH(TRUE(),INDEX(INDEX(K:K,E560+1):K203&lt;&gt;"",0),0)+E560,"")))</f>
        <v>703</v>
      </c>
      <c r="F561" s="117" cm="1">
        <f t="array" ref="F561">IF(E561="","",IF(H560&lt;&gt;"",H560,INDEX(D:D,E561)))</f>
        <v>0</v>
      </c>
      <c r="G561" s="117" t="str">
        <f t="shared" si="57"/>
        <v>0</v>
      </c>
      <c r="H561" s="118" t="str">
        <f t="shared" si="58"/>
        <v/>
      </c>
      <c r="I561" s="116" t="str">
        <f>IF(AND(F561&lt;&gt;"",N10&gt;0,M561&gt;N10),"Mot &gt; limite","")</f>
        <v/>
      </c>
      <c r="M561" s="70">
        <f>IF(OR(F561="",N10="",N10&lt;=0),"",IF(LEN(F561)&lt;=N10,LEN(F561),IFERROR(FIND("♦",SUBSTITUTE(LEFT(F561,N10)," ","♦",LEN(LEFT(F561,N10))-LEN(SUBSTITUTE(LEFT(F561,N10)," ","")))),FIND(" ",F561&amp;" ",N10+1)-1)))</f>
        <v>1</v>
      </c>
      <c r="N561" s="119">
        <f t="shared" si="59"/>
        <v>544</v>
      </c>
      <c r="O561" s="99" t="str">
        <f t="shared" si="60"/>
        <v>0</v>
      </c>
      <c r="P561" s="119">
        <f t="shared" si="61"/>
        <v>1</v>
      </c>
      <c r="Q561" s="119">
        <f t="shared" si="62"/>
        <v>1</v>
      </c>
    </row>
    <row r="562" spans="2:17">
      <c r="B562" s="116"/>
      <c r="C562" s="116"/>
      <c r="D562" s="116"/>
      <c r="E562" s="116" cm="1">
        <f t="array" ref="E562">IF(H561&lt;&gt;"",E561,IF(E561="","",IFERROR(MATCH(TRUE(),INDEX(INDEX(K:K,E561+1):K203&lt;&gt;"",0),0)+E561,"")))</f>
        <v>704</v>
      </c>
      <c r="F562" s="117" cm="1">
        <f t="array" ref="F562">IF(E562="","",IF(H561&lt;&gt;"",H561,INDEX(D:D,E562)))</f>
        <v>0</v>
      </c>
      <c r="G562" s="117" t="str">
        <f t="shared" si="57"/>
        <v>0</v>
      </c>
      <c r="H562" s="118" t="str">
        <f t="shared" si="58"/>
        <v/>
      </c>
      <c r="I562" s="116" t="str">
        <f>IF(AND(F562&lt;&gt;"",N10&gt;0,M562&gt;N10),"Mot &gt; limite","")</f>
        <v/>
      </c>
      <c r="M562" s="70">
        <f>IF(OR(F562="",N10="",N10&lt;=0),"",IF(LEN(F562)&lt;=N10,LEN(F562),IFERROR(FIND("♦",SUBSTITUTE(LEFT(F562,N10)," ","♦",LEN(LEFT(F562,N10))-LEN(SUBSTITUTE(LEFT(F562,N10)," ","")))),FIND(" ",F562&amp;" ",N10+1)-1)))</f>
        <v>1</v>
      </c>
      <c r="N562" s="119">
        <f t="shared" si="59"/>
        <v>545</v>
      </c>
      <c r="O562" s="99" t="str">
        <f t="shared" si="60"/>
        <v>0</v>
      </c>
      <c r="P562" s="119">
        <f t="shared" si="61"/>
        <v>1</v>
      </c>
      <c r="Q562" s="119">
        <f t="shared" si="62"/>
        <v>1</v>
      </c>
    </row>
    <row r="563" spans="2:17">
      <c r="B563" s="116"/>
      <c r="C563" s="116"/>
      <c r="D563" s="116"/>
      <c r="E563" s="116" cm="1">
        <f t="array" ref="E563">IF(H562&lt;&gt;"",E562,IF(E562="","",IFERROR(MATCH(TRUE(),INDEX(INDEX(K:K,E562+1):K203&lt;&gt;"",0),0)+E562,"")))</f>
        <v>705</v>
      </c>
      <c r="F563" s="117" cm="1">
        <f t="array" ref="F563">IF(E563="","",IF(H562&lt;&gt;"",H562,INDEX(D:D,E563)))</f>
        <v>0</v>
      </c>
      <c r="G563" s="117" t="str">
        <f t="shared" si="57"/>
        <v>0</v>
      </c>
      <c r="H563" s="118" t="str">
        <f t="shared" si="58"/>
        <v/>
      </c>
      <c r="I563" s="116" t="str">
        <f>IF(AND(F563&lt;&gt;"",N10&gt;0,M563&gt;N10),"Mot &gt; limite","")</f>
        <v/>
      </c>
      <c r="M563" s="70">
        <f>IF(OR(F563="",N10="",N10&lt;=0),"",IF(LEN(F563)&lt;=N10,LEN(F563),IFERROR(FIND("♦",SUBSTITUTE(LEFT(F563,N10)," ","♦",LEN(LEFT(F563,N10))-LEN(SUBSTITUTE(LEFT(F563,N10)," ","")))),FIND(" ",F563&amp;" ",N10+1)-1)))</f>
        <v>1</v>
      </c>
      <c r="N563" s="119">
        <f t="shared" si="59"/>
        <v>546</v>
      </c>
      <c r="O563" s="99" t="str">
        <f t="shared" si="60"/>
        <v>0</v>
      </c>
      <c r="P563" s="119">
        <f t="shared" si="61"/>
        <v>1</v>
      </c>
      <c r="Q563" s="119">
        <f t="shared" si="62"/>
        <v>1</v>
      </c>
    </row>
    <row r="564" spans="2:17">
      <c r="B564" s="116"/>
      <c r="C564" s="116"/>
      <c r="D564" s="116"/>
      <c r="E564" s="116" cm="1">
        <f t="array" ref="E564">IF(H563&lt;&gt;"",E563,IF(E563="","",IFERROR(MATCH(TRUE(),INDEX(INDEX(K:K,E563+1):K203&lt;&gt;"",0),0)+E563,"")))</f>
        <v>706</v>
      </c>
      <c r="F564" s="117" cm="1">
        <f t="array" ref="F564">IF(E564="","",IF(H563&lt;&gt;"",H563,INDEX(D:D,E564)))</f>
        <v>0</v>
      </c>
      <c r="G564" s="117" t="str">
        <f t="shared" si="57"/>
        <v>0</v>
      </c>
      <c r="H564" s="118" t="str">
        <f t="shared" si="58"/>
        <v/>
      </c>
      <c r="I564" s="116" t="str">
        <f>IF(AND(F564&lt;&gt;"",N10&gt;0,M564&gt;N10),"Mot &gt; limite","")</f>
        <v/>
      </c>
      <c r="M564" s="70">
        <f>IF(OR(F564="",N10="",N10&lt;=0),"",IF(LEN(F564)&lt;=N10,LEN(F564),IFERROR(FIND("♦",SUBSTITUTE(LEFT(F564,N10)," ","♦",LEN(LEFT(F564,N10))-LEN(SUBSTITUTE(LEFT(F564,N10)," ","")))),FIND(" ",F564&amp;" ",N10+1)-1)))</f>
        <v>1</v>
      </c>
      <c r="N564" s="119">
        <f t="shared" si="59"/>
        <v>547</v>
      </c>
      <c r="O564" s="99" t="str">
        <f t="shared" si="60"/>
        <v>0</v>
      </c>
      <c r="P564" s="119">
        <f t="shared" si="61"/>
        <v>1</v>
      </c>
      <c r="Q564" s="119">
        <f t="shared" si="62"/>
        <v>1</v>
      </c>
    </row>
    <row r="565" spans="2:17">
      <c r="B565" s="116"/>
      <c r="C565" s="116"/>
      <c r="D565" s="116"/>
      <c r="E565" s="116" cm="1">
        <f t="array" ref="E565">IF(H564&lt;&gt;"",E564,IF(E564="","",IFERROR(MATCH(TRUE(),INDEX(INDEX(K:K,E564+1):K203&lt;&gt;"",0),0)+E564,"")))</f>
        <v>707</v>
      </c>
      <c r="F565" s="117" cm="1">
        <f t="array" ref="F565">IF(E565="","",IF(H564&lt;&gt;"",H564,INDEX(D:D,E565)))</f>
        <v>0</v>
      </c>
      <c r="G565" s="117" t="str">
        <f t="shared" si="57"/>
        <v>0</v>
      </c>
      <c r="H565" s="118" t="str">
        <f t="shared" si="58"/>
        <v/>
      </c>
      <c r="I565" s="116" t="str">
        <f>IF(AND(F565&lt;&gt;"",N10&gt;0,M565&gt;N10),"Mot &gt; limite","")</f>
        <v/>
      </c>
      <c r="M565" s="70">
        <f>IF(OR(F565="",N10="",N10&lt;=0),"",IF(LEN(F565)&lt;=N10,LEN(F565),IFERROR(FIND("♦",SUBSTITUTE(LEFT(F565,N10)," ","♦",LEN(LEFT(F565,N10))-LEN(SUBSTITUTE(LEFT(F565,N10)," ","")))),FIND(" ",F565&amp;" ",N10+1)-1)))</f>
        <v>1</v>
      </c>
      <c r="N565" s="119">
        <f t="shared" si="59"/>
        <v>548</v>
      </c>
      <c r="O565" s="99" t="str">
        <f t="shared" si="60"/>
        <v>0</v>
      </c>
      <c r="P565" s="119">
        <f t="shared" si="61"/>
        <v>1</v>
      </c>
      <c r="Q565" s="119">
        <f t="shared" si="62"/>
        <v>1</v>
      </c>
    </row>
    <row r="566" spans="2:17">
      <c r="B566" s="116"/>
      <c r="C566" s="116"/>
      <c r="D566" s="116"/>
      <c r="E566" s="116" cm="1">
        <f t="array" ref="E566">IF(H565&lt;&gt;"",E565,IF(E565="","",IFERROR(MATCH(TRUE(),INDEX(INDEX(K:K,E565+1):K203&lt;&gt;"",0),0)+E565,"")))</f>
        <v>708</v>
      </c>
      <c r="F566" s="117" cm="1">
        <f t="array" ref="F566">IF(E566="","",IF(H565&lt;&gt;"",H565,INDEX(D:D,E566)))</f>
        <v>0</v>
      </c>
      <c r="G566" s="117" t="str">
        <f t="shared" si="57"/>
        <v>0</v>
      </c>
      <c r="H566" s="118" t="str">
        <f t="shared" si="58"/>
        <v/>
      </c>
      <c r="I566" s="116" t="str">
        <f>IF(AND(F566&lt;&gt;"",N10&gt;0,M566&gt;N10),"Mot &gt; limite","")</f>
        <v/>
      </c>
      <c r="M566" s="70">
        <f>IF(OR(F566="",N10="",N10&lt;=0),"",IF(LEN(F566)&lt;=N10,LEN(F566),IFERROR(FIND("♦",SUBSTITUTE(LEFT(F566,N10)," ","♦",LEN(LEFT(F566,N10))-LEN(SUBSTITUTE(LEFT(F566,N10)," ","")))),FIND(" ",F566&amp;" ",N10+1)-1)))</f>
        <v>1</v>
      </c>
      <c r="N566" s="119">
        <f t="shared" si="59"/>
        <v>549</v>
      </c>
      <c r="O566" s="99" t="str">
        <f t="shared" si="60"/>
        <v>0</v>
      </c>
      <c r="P566" s="119">
        <f t="shared" si="61"/>
        <v>1</v>
      </c>
      <c r="Q566" s="119">
        <f t="shared" si="62"/>
        <v>1</v>
      </c>
    </row>
    <row r="567" spans="2:17">
      <c r="B567" s="116"/>
      <c r="C567" s="116"/>
      <c r="D567" s="116"/>
      <c r="E567" s="116" cm="1">
        <f t="array" ref="E567">IF(H566&lt;&gt;"",E566,IF(E566="","",IFERROR(MATCH(TRUE(),INDEX(INDEX(K:K,E566+1):K203&lt;&gt;"",0),0)+E566,"")))</f>
        <v>709</v>
      </c>
      <c r="F567" s="117" cm="1">
        <f t="array" ref="F567">IF(E567="","",IF(H566&lt;&gt;"",H566,INDEX(D:D,E567)))</f>
        <v>0</v>
      </c>
      <c r="G567" s="117" t="str">
        <f t="shared" si="57"/>
        <v>0</v>
      </c>
      <c r="H567" s="118" t="str">
        <f t="shared" si="58"/>
        <v/>
      </c>
      <c r="I567" s="116" t="str">
        <f>IF(AND(F567&lt;&gt;"",N10&gt;0,M567&gt;N10),"Mot &gt; limite","")</f>
        <v/>
      </c>
      <c r="M567" s="70">
        <f>IF(OR(F567="",N10="",N10&lt;=0),"",IF(LEN(F567)&lt;=N10,LEN(F567),IFERROR(FIND("♦",SUBSTITUTE(LEFT(F567,N10)," ","♦",LEN(LEFT(F567,N10))-LEN(SUBSTITUTE(LEFT(F567,N10)," ","")))),FIND(" ",F567&amp;" ",N10+1)-1)))</f>
        <v>1</v>
      </c>
      <c r="N567" s="119">
        <f t="shared" si="59"/>
        <v>550</v>
      </c>
      <c r="O567" s="99" t="str">
        <f t="shared" si="60"/>
        <v>0</v>
      </c>
      <c r="P567" s="119">
        <f t="shared" si="61"/>
        <v>1</v>
      </c>
      <c r="Q567" s="119">
        <f t="shared" si="62"/>
        <v>1</v>
      </c>
    </row>
    <row r="568" spans="2:17">
      <c r="B568" s="116"/>
      <c r="C568" s="116"/>
      <c r="D568" s="116"/>
      <c r="E568" s="116" cm="1">
        <f t="array" ref="E568">IF(H567&lt;&gt;"",E567,IF(E567="","",IFERROR(MATCH(TRUE(),INDEX(INDEX(K:K,E567+1):K203&lt;&gt;"",0),0)+E567,"")))</f>
        <v>710</v>
      </c>
      <c r="F568" s="117" cm="1">
        <f t="array" ref="F568">IF(E568="","",IF(H567&lt;&gt;"",H567,INDEX(D:D,E568)))</f>
        <v>0</v>
      </c>
      <c r="G568" s="117" t="str">
        <f t="shared" si="57"/>
        <v>0</v>
      </c>
      <c r="H568" s="118" t="str">
        <f t="shared" si="58"/>
        <v/>
      </c>
      <c r="I568" s="116" t="str">
        <f>IF(AND(F568&lt;&gt;"",N10&gt;0,M568&gt;N10),"Mot &gt; limite","")</f>
        <v/>
      </c>
      <c r="M568" s="70">
        <f>IF(OR(F568="",N10="",N10&lt;=0),"",IF(LEN(F568)&lt;=N10,LEN(F568),IFERROR(FIND("♦",SUBSTITUTE(LEFT(F568,N10)," ","♦",LEN(LEFT(F568,N10))-LEN(SUBSTITUTE(LEFT(F568,N10)," ","")))),FIND(" ",F568&amp;" ",N10+1)-1)))</f>
        <v>1</v>
      </c>
      <c r="N568" s="119">
        <f t="shared" si="59"/>
        <v>551</v>
      </c>
      <c r="O568" s="99" t="str">
        <f t="shared" si="60"/>
        <v>0</v>
      </c>
      <c r="P568" s="119">
        <f t="shared" si="61"/>
        <v>1</v>
      </c>
      <c r="Q568" s="119">
        <f t="shared" si="62"/>
        <v>1</v>
      </c>
    </row>
    <row r="569" spans="2:17">
      <c r="B569" s="116"/>
      <c r="C569" s="116"/>
      <c r="D569" s="116"/>
      <c r="E569" s="116" cm="1">
        <f t="array" ref="E569">IF(H568&lt;&gt;"",E568,IF(E568="","",IFERROR(MATCH(TRUE(),INDEX(INDEX(K:K,E568+1):K203&lt;&gt;"",0),0)+E568,"")))</f>
        <v>711</v>
      </c>
      <c r="F569" s="117" cm="1">
        <f t="array" ref="F569">IF(E569="","",IF(H568&lt;&gt;"",H568,INDEX(D:D,E569)))</f>
        <v>0</v>
      </c>
      <c r="G569" s="117" t="str">
        <f t="shared" si="57"/>
        <v>0</v>
      </c>
      <c r="H569" s="118" t="str">
        <f t="shared" si="58"/>
        <v/>
      </c>
      <c r="I569" s="116" t="str">
        <f>IF(AND(F569&lt;&gt;"",N10&gt;0,M569&gt;N10),"Mot &gt; limite","")</f>
        <v/>
      </c>
      <c r="M569" s="70">
        <f>IF(OR(F569="",N10="",N10&lt;=0),"",IF(LEN(F569)&lt;=N10,LEN(F569),IFERROR(FIND("♦",SUBSTITUTE(LEFT(F569,N10)," ","♦",LEN(LEFT(F569,N10))-LEN(SUBSTITUTE(LEFT(F569,N10)," ","")))),FIND(" ",F569&amp;" ",N10+1)-1)))</f>
        <v>1</v>
      </c>
      <c r="N569" s="119">
        <f t="shared" si="59"/>
        <v>552</v>
      </c>
      <c r="O569" s="99" t="str">
        <f t="shared" si="60"/>
        <v>0</v>
      </c>
      <c r="P569" s="119">
        <f t="shared" si="61"/>
        <v>1</v>
      </c>
      <c r="Q569" s="119">
        <f t="shared" si="62"/>
        <v>1</v>
      </c>
    </row>
    <row r="570" spans="2:17">
      <c r="B570" s="116"/>
      <c r="C570" s="116"/>
      <c r="D570" s="116"/>
      <c r="E570" s="116" cm="1">
        <f t="array" ref="E570">IF(H569&lt;&gt;"",E569,IF(E569="","",IFERROR(MATCH(TRUE(),INDEX(INDEX(K:K,E569+1):K203&lt;&gt;"",0),0)+E569,"")))</f>
        <v>712</v>
      </c>
      <c r="F570" s="117" cm="1">
        <f t="array" ref="F570">IF(E570="","",IF(H569&lt;&gt;"",H569,INDEX(D:D,E570)))</f>
        <v>0</v>
      </c>
      <c r="G570" s="117" t="str">
        <f t="shared" si="57"/>
        <v>0</v>
      </c>
      <c r="H570" s="118" t="str">
        <f t="shared" si="58"/>
        <v/>
      </c>
      <c r="I570" s="116" t="str">
        <f>IF(AND(F570&lt;&gt;"",N10&gt;0,M570&gt;N10),"Mot &gt; limite","")</f>
        <v/>
      </c>
      <c r="M570" s="70">
        <f>IF(OR(F570="",N10="",N10&lt;=0),"",IF(LEN(F570)&lt;=N10,LEN(F570),IFERROR(FIND("♦",SUBSTITUTE(LEFT(F570,N10)," ","♦",LEN(LEFT(F570,N10))-LEN(SUBSTITUTE(LEFT(F570,N10)," ","")))),FIND(" ",F570&amp;" ",N10+1)-1)))</f>
        <v>1</v>
      </c>
      <c r="N570" s="119">
        <f t="shared" si="59"/>
        <v>553</v>
      </c>
      <c r="O570" s="99" t="str">
        <f t="shared" si="60"/>
        <v>0</v>
      </c>
      <c r="P570" s="119">
        <f t="shared" si="61"/>
        <v>1</v>
      </c>
      <c r="Q570" s="119">
        <f t="shared" si="62"/>
        <v>1</v>
      </c>
    </row>
    <row r="571" spans="2:17">
      <c r="B571" s="116"/>
      <c r="C571" s="116"/>
      <c r="D571" s="116"/>
      <c r="E571" s="116" cm="1">
        <f t="array" ref="E571">IF(H570&lt;&gt;"",E570,IF(E570="","",IFERROR(MATCH(TRUE(),INDEX(INDEX(K:K,E570+1):K203&lt;&gt;"",0),0)+E570,"")))</f>
        <v>713</v>
      </c>
      <c r="F571" s="117" cm="1">
        <f t="array" ref="F571">IF(E571="","",IF(H570&lt;&gt;"",H570,INDEX(D:D,E571)))</f>
        <v>0</v>
      </c>
      <c r="G571" s="117" t="str">
        <f t="shared" si="57"/>
        <v>0</v>
      </c>
      <c r="H571" s="118" t="str">
        <f t="shared" si="58"/>
        <v/>
      </c>
      <c r="I571" s="116" t="str">
        <f>IF(AND(F571&lt;&gt;"",N10&gt;0,M571&gt;N10),"Mot &gt; limite","")</f>
        <v/>
      </c>
      <c r="M571" s="70">
        <f>IF(OR(F571="",N10="",N10&lt;=0),"",IF(LEN(F571)&lt;=N10,LEN(F571),IFERROR(FIND("♦",SUBSTITUTE(LEFT(F571,N10)," ","♦",LEN(LEFT(F571,N10))-LEN(SUBSTITUTE(LEFT(F571,N10)," ","")))),FIND(" ",F571&amp;" ",N10+1)-1)))</f>
        <v>1</v>
      </c>
      <c r="N571" s="119">
        <f t="shared" si="59"/>
        <v>554</v>
      </c>
      <c r="O571" s="99" t="str">
        <f t="shared" si="60"/>
        <v>0</v>
      </c>
      <c r="P571" s="119">
        <f t="shared" si="61"/>
        <v>1</v>
      </c>
      <c r="Q571" s="119">
        <f t="shared" si="62"/>
        <v>1</v>
      </c>
    </row>
    <row r="572" spans="2:17">
      <c r="B572" s="116"/>
      <c r="C572" s="116"/>
      <c r="D572" s="116"/>
      <c r="E572" s="116" cm="1">
        <f t="array" ref="E572">IF(H571&lt;&gt;"",E571,IF(E571="","",IFERROR(MATCH(TRUE(),INDEX(INDEX(K:K,E571+1):K203&lt;&gt;"",0),0)+E571,"")))</f>
        <v>714</v>
      </c>
      <c r="F572" s="117" cm="1">
        <f t="array" ref="F572">IF(E572="","",IF(H571&lt;&gt;"",H571,INDEX(D:D,E572)))</f>
        <v>0</v>
      </c>
      <c r="G572" s="117" t="str">
        <f t="shared" si="57"/>
        <v>0</v>
      </c>
      <c r="H572" s="118" t="str">
        <f t="shared" si="58"/>
        <v/>
      </c>
      <c r="I572" s="116" t="str">
        <f>IF(AND(F572&lt;&gt;"",N10&gt;0,M572&gt;N10),"Mot &gt; limite","")</f>
        <v/>
      </c>
      <c r="M572" s="70">
        <f>IF(OR(F572="",N10="",N10&lt;=0),"",IF(LEN(F572)&lt;=N10,LEN(F572),IFERROR(FIND("♦",SUBSTITUTE(LEFT(F572,N10)," ","♦",LEN(LEFT(F572,N10))-LEN(SUBSTITUTE(LEFT(F572,N10)," ","")))),FIND(" ",F572&amp;" ",N10+1)-1)))</f>
        <v>1</v>
      </c>
      <c r="N572" s="119">
        <f t="shared" si="59"/>
        <v>555</v>
      </c>
      <c r="O572" s="99" t="str">
        <f t="shared" si="60"/>
        <v>0</v>
      </c>
      <c r="P572" s="119">
        <f t="shared" si="61"/>
        <v>1</v>
      </c>
      <c r="Q572" s="119">
        <f t="shared" si="62"/>
        <v>1</v>
      </c>
    </row>
    <row r="573" spans="2:17">
      <c r="B573" s="116"/>
      <c r="C573" s="116"/>
      <c r="D573" s="116"/>
      <c r="E573" s="116" cm="1">
        <f t="array" ref="E573">IF(H572&lt;&gt;"",E572,IF(E572="","",IFERROR(MATCH(TRUE(),INDEX(INDEX(K:K,E572+1):K203&lt;&gt;"",0),0)+E572,"")))</f>
        <v>715</v>
      </c>
      <c r="F573" s="117" cm="1">
        <f t="array" ref="F573">IF(E573="","",IF(H572&lt;&gt;"",H572,INDEX(D:D,E573)))</f>
        <v>0</v>
      </c>
      <c r="G573" s="117" t="str">
        <f t="shared" si="57"/>
        <v>0</v>
      </c>
      <c r="H573" s="118" t="str">
        <f t="shared" si="58"/>
        <v/>
      </c>
      <c r="I573" s="116" t="str">
        <f>IF(AND(F573&lt;&gt;"",N10&gt;0,M573&gt;N10),"Mot &gt; limite","")</f>
        <v/>
      </c>
      <c r="M573" s="70">
        <f>IF(OR(F573="",N10="",N10&lt;=0),"",IF(LEN(F573)&lt;=N10,LEN(F573),IFERROR(FIND("♦",SUBSTITUTE(LEFT(F573,N10)," ","♦",LEN(LEFT(F573,N10))-LEN(SUBSTITUTE(LEFT(F573,N10)," ","")))),FIND(" ",F573&amp;" ",N10+1)-1)))</f>
        <v>1</v>
      </c>
      <c r="N573" s="119">
        <f t="shared" si="59"/>
        <v>556</v>
      </c>
      <c r="O573" s="99" t="str">
        <f t="shared" si="60"/>
        <v>0</v>
      </c>
      <c r="P573" s="119">
        <f t="shared" si="61"/>
        <v>1</v>
      </c>
      <c r="Q573" s="119">
        <f t="shared" si="62"/>
        <v>1</v>
      </c>
    </row>
    <row r="574" spans="2:17">
      <c r="B574" s="116"/>
      <c r="C574" s="116"/>
      <c r="D574" s="116"/>
      <c r="E574" s="116" cm="1">
        <f t="array" ref="E574">IF(H573&lt;&gt;"",E573,IF(E573="","",IFERROR(MATCH(TRUE(),INDEX(INDEX(K:K,E573+1):K203&lt;&gt;"",0),0)+E573,"")))</f>
        <v>716</v>
      </c>
      <c r="F574" s="117" cm="1">
        <f t="array" ref="F574">IF(E574="","",IF(H573&lt;&gt;"",H573,INDEX(D:D,E574)))</f>
        <v>0</v>
      </c>
      <c r="G574" s="117" t="str">
        <f t="shared" si="57"/>
        <v>0</v>
      </c>
      <c r="H574" s="118" t="str">
        <f t="shared" si="58"/>
        <v/>
      </c>
      <c r="I574" s="116" t="str">
        <f>IF(AND(F574&lt;&gt;"",N10&gt;0,M574&gt;N10),"Mot &gt; limite","")</f>
        <v/>
      </c>
      <c r="M574" s="70">
        <f>IF(OR(F574="",N10="",N10&lt;=0),"",IF(LEN(F574)&lt;=N10,LEN(F574),IFERROR(FIND("♦",SUBSTITUTE(LEFT(F574,N10)," ","♦",LEN(LEFT(F574,N10))-LEN(SUBSTITUTE(LEFT(F574,N10)," ","")))),FIND(" ",F574&amp;" ",N10+1)-1)))</f>
        <v>1</v>
      </c>
      <c r="N574" s="119">
        <f t="shared" si="59"/>
        <v>557</v>
      </c>
      <c r="O574" s="99" t="str">
        <f t="shared" si="60"/>
        <v>0</v>
      </c>
      <c r="P574" s="119">
        <f t="shared" si="61"/>
        <v>1</v>
      </c>
      <c r="Q574" s="119">
        <f t="shared" si="62"/>
        <v>1</v>
      </c>
    </row>
    <row r="575" spans="2:17">
      <c r="B575" s="116"/>
      <c r="C575" s="116"/>
      <c r="D575" s="116"/>
      <c r="E575" s="116" cm="1">
        <f t="array" ref="E575">IF(H574&lt;&gt;"",E574,IF(E574="","",IFERROR(MATCH(TRUE(),INDEX(INDEX(K:K,E574+1):K203&lt;&gt;"",0),0)+E574,"")))</f>
        <v>717</v>
      </c>
      <c r="F575" s="117" cm="1">
        <f t="array" ref="F575">IF(E575="","",IF(H574&lt;&gt;"",H574,INDEX(D:D,E575)))</f>
        <v>0</v>
      </c>
      <c r="G575" s="117" t="str">
        <f t="shared" si="57"/>
        <v>0</v>
      </c>
      <c r="H575" s="118" t="str">
        <f t="shared" si="58"/>
        <v/>
      </c>
      <c r="I575" s="116" t="str">
        <f>IF(AND(F575&lt;&gt;"",N10&gt;0,M575&gt;N10),"Mot &gt; limite","")</f>
        <v/>
      </c>
      <c r="M575" s="70">
        <f>IF(OR(F575="",N10="",N10&lt;=0),"",IF(LEN(F575)&lt;=N10,LEN(F575),IFERROR(FIND("♦",SUBSTITUTE(LEFT(F575,N10)," ","♦",LEN(LEFT(F575,N10))-LEN(SUBSTITUTE(LEFT(F575,N10)," ","")))),FIND(" ",F575&amp;" ",N10+1)-1)))</f>
        <v>1</v>
      </c>
      <c r="N575" s="119">
        <f t="shared" si="59"/>
        <v>558</v>
      </c>
      <c r="O575" s="99" t="str">
        <f t="shared" si="60"/>
        <v>0</v>
      </c>
      <c r="P575" s="119">
        <f t="shared" si="61"/>
        <v>1</v>
      </c>
      <c r="Q575" s="119">
        <f t="shared" si="62"/>
        <v>1</v>
      </c>
    </row>
    <row r="576" spans="2:17">
      <c r="B576" s="116"/>
      <c r="C576" s="116"/>
      <c r="D576" s="116"/>
      <c r="E576" s="116" cm="1">
        <f t="array" ref="E576">IF(H575&lt;&gt;"",E575,IF(E575="","",IFERROR(MATCH(TRUE(),INDEX(INDEX(K:K,E575+1):K203&lt;&gt;"",0),0)+E575,"")))</f>
        <v>718</v>
      </c>
      <c r="F576" s="117" cm="1">
        <f t="array" ref="F576">IF(E576="","",IF(H575&lt;&gt;"",H575,INDEX(D:D,E576)))</f>
        <v>0</v>
      </c>
      <c r="G576" s="117" t="str">
        <f t="shared" si="57"/>
        <v>0</v>
      </c>
      <c r="H576" s="118" t="str">
        <f t="shared" si="58"/>
        <v/>
      </c>
      <c r="I576" s="116" t="str">
        <f>IF(AND(F576&lt;&gt;"",N10&gt;0,M576&gt;N10),"Mot &gt; limite","")</f>
        <v/>
      </c>
      <c r="M576" s="70">
        <f>IF(OR(F576="",N10="",N10&lt;=0),"",IF(LEN(F576)&lt;=N10,LEN(F576),IFERROR(FIND("♦",SUBSTITUTE(LEFT(F576,N10)," ","♦",LEN(LEFT(F576,N10))-LEN(SUBSTITUTE(LEFT(F576,N10)," ","")))),FIND(" ",F576&amp;" ",N10+1)-1)))</f>
        <v>1</v>
      </c>
      <c r="N576" s="119">
        <f t="shared" si="59"/>
        <v>559</v>
      </c>
      <c r="O576" s="99" t="str">
        <f t="shared" si="60"/>
        <v>0</v>
      </c>
      <c r="P576" s="119">
        <f t="shared" si="61"/>
        <v>1</v>
      </c>
      <c r="Q576" s="119">
        <f t="shared" si="62"/>
        <v>1</v>
      </c>
    </row>
    <row r="577" spans="2:17">
      <c r="B577" s="116"/>
      <c r="C577" s="116"/>
      <c r="D577" s="116"/>
      <c r="E577" s="116" cm="1">
        <f t="array" ref="E577">IF(H576&lt;&gt;"",E576,IF(E576="","",IFERROR(MATCH(TRUE(),INDEX(INDEX(K:K,E576+1):K203&lt;&gt;"",0),0)+E576,"")))</f>
        <v>719</v>
      </c>
      <c r="F577" s="117" cm="1">
        <f t="array" ref="F577">IF(E577="","",IF(H576&lt;&gt;"",H576,INDEX(D:D,E577)))</f>
        <v>0</v>
      </c>
      <c r="G577" s="117" t="str">
        <f t="shared" si="57"/>
        <v>0</v>
      </c>
      <c r="H577" s="118" t="str">
        <f t="shared" si="58"/>
        <v/>
      </c>
      <c r="I577" s="116" t="str">
        <f>IF(AND(F577&lt;&gt;"",N10&gt;0,M577&gt;N10),"Mot &gt; limite","")</f>
        <v/>
      </c>
      <c r="M577" s="70">
        <f>IF(OR(F577="",N10="",N10&lt;=0),"",IF(LEN(F577)&lt;=N10,LEN(F577),IFERROR(FIND("♦",SUBSTITUTE(LEFT(F577,N10)," ","♦",LEN(LEFT(F577,N10))-LEN(SUBSTITUTE(LEFT(F577,N10)," ","")))),FIND(" ",F577&amp;" ",N10+1)-1)))</f>
        <v>1</v>
      </c>
      <c r="N577" s="119">
        <f t="shared" si="59"/>
        <v>560</v>
      </c>
      <c r="O577" s="99" t="str">
        <f t="shared" si="60"/>
        <v>0</v>
      </c>
      <c r="P577" s="119">
        <f t="shared" si="61"/>
        <v>1</v>
      </c>
      <c r="Q577" s="119">
        <f t="shared" si="62"/>
        <v>1</v>
      </c>
    </row>
    <row r="578" spans="2:17">
      <c r="B578" s="116"/>
      <c r="C578" s="116"/>
      <c r="D578" s="116"/>
      <c r="E578" s="116" cm="1">
        <f t="array" ref="E578">IF(H577&lt;&gt;"",E577,IF(E577="","",IFERROR(MATCH(TRUE(),INDEX(INDEX(K:K,E577+1):K203&lt;&gt;"",0),0)+E577,"")))</f>
        <v>720</v>
      </c>
      <c r="F578" s="117" cm="1">
        <f t="array" ref="F578">IF(E578="","",IF(H577&lt;&gt;"",H577,INDEX(D:D,E578)))</f>
        <v>0</v>
      </c>
      <c r="G578" s="117" t="str">
        <f t="shared" si="57"/>
        <v>0</v>
      </c>
      <c r="H578" s="118" t="str">
        <f t="shared" si="58"/>
        <v/>
      </c>
      <c r="I578" s="116" t="str">
        <f>IF(AND(F578&lt;&gt;"",N10&gt;0,M578&gt;N10),"Mot &gt; limite","")</f>
        <v/>
      </c>
      <c r="M578" s="70">
        <f>IF(OR(F578="",N10="",N10&lt;=0),"",IF(LEN(F578)&lt;=N10,LEN(F578),IFERROR(FIND("♦",SUBSTITUTE(LEFT(F578,N10)," ","♦",LEN(LEFT(F578,N10))-LEN(SUBSTITUTE(LEFT(F578,N10)," ","")))),FIND(" ",F578&amp;" ",N10+1)-1)))</f>
        <v>1</v>
      </c>
      <c r="N578" s="119">
        <f t="shared" si="59"/>
        <v>561</v>
      </c>
      <c r="O578" s="99" t="str">
        <f t="shared" si="60"/>
        <v>0</v>
      </c>
      <c r="P578" s="119">
        <f t="shared" si="61"/>
        <v>1</v>
      </c>
      <c r="Q578" s="119">
        <f t="shared" si="62"/>
        <v>1</v>
      </c>
    </row>
    <row r="579" spans="2:17">
      <c r="B579" s="116"/>
      <c r="C579" s="116"/>
      <c r="D579" s="116"/>
      <c r="E579" s="116" cm="1">
        <f t="array" ref="E579">IF(H578&lt;&gt;"",E578,IF(E578="","",IFERROR(MATCH(TRUE(),INDEX(INDEX(K:K,E578+1):K203&lt;&gt;"",0),0)+E578,"")))</f>
        <v>721</v>
      </c>
      <c r="F579" s="117" cm="1">
        <f t="array" ref="F579">IF(E579="","",IF(H578&lt;&gt;"",H578,INDEX(D:D,E579)))</f>
        <v>0</v>
      </c>
      <c r="G579" s="117" t="str">
        <f t="shared" si="57"/>
        <v>0</v>
      </c>
      <c r="H579" s="118" t="str">
        <f t="shared" si="58"/>
        <v/>
      </c>
      <c r="I579" s="116" t="str">
        <f>IF(AND(F579&lt;&gt;"",N10&gt;0,M579&gt;N10),"Mot &gt; limite","")</f>
        <v/>
      </c>
      <c r="M579" s="70">
        <f>IF(OR(F579="",N10="",N10&lt;=0),"",IF(LEN(F579)&lt;=N10,LEN(F579),IFERROR(FIND("♦",SUBSTITUTE(LEFT(F579,N10)," ","♦",LEN(LEFT(F579,N10))-LEN(SUBSTITUTE(LEFT(F579,N10)," ","")))),FIND(" ",F579&amp;" ",N10+1)-1)))</f>
        <v>1</v>
      </c>
      <c r="N579" s="119">
        <f t="shared" si="59"/>
        <v>562</v>
      </c>
      <c r="O579" s="99" t="str">
        <f t="shared" si="60"/>
        <v>0</v>
      </c>
      <c r="P579" s="119">
        <f t="shared" si="61"/>
        <v>1</v>
      </c>
      <c r="Q579" s="119">
        <f t="shared" si="62"/>
        <v>1</v>
      </c>
    </row>
    <row r="580" spans="2:17">
      <c r="B580" s="116"/>
      <c r="C580" s="116"/>
      <c r="D580" s="116"/>
      <c r="E580" s="116" cm="1">
        <f t="array" ref="E580">IF(H579&lt;&gt;"",E579,IF(E579="","",IFERROR(MATCH(TRUE(),INDEX(INDEX(K:K,E579+1):K203&lt;&gt;"",0),0)+E579,"")))</f>
        <v>722</v>
      </c>
      <c r="F580" s="117" cm="1">
        <f t="array" ref="F580">IF(E580="","",IF(H579&lt;&gt;"",H579,INDEX(D:D,E580)))</f>
        <v>0</v>
      </c>
      <c r="G580" s="117" t="str">
        <f t="shared" si="57"/>
        <v>0</v>
      </c>
      <c r="H580" s="118" t="str">
        <f t="shared" si="58"/>
        <v/>
      </c>
      <c r="I580" s="116" t="str">
        <f>IF(AND(F580&lt;&gt;"",N10&gt;0,M580&gt;N10),"Mot &gt; limite","")</f>
        <v/>
      </c>
      <c r="M580" s="70">
        <f>IF(OR(F580="",N10="",N10&lt;=0),"",IF(LEN(F580)&lt;=N10,LEN(F580),IFERROR(FIND("♦",SUBSTITUTE(LEFT(F580,N10)," ","♦",LEN(LEFT(F580,N10))-LEN(SUBSTITUTE(LEFT(F580,N10)," ","")))),FIND(" ",F580&amp;" ",N10+1)-1)))</f>
        <v>1</v>
      </c>
      <c r="N580" s="119">
        <f t="shared" si="59"/>
        <v>563</v>
      </c>
      <c r="O580" s="99" t="str">
        <f t="shared" si="60"/>
        <v>0</v>
      </c>
      <c r="P580" s="119">
        <f t="shared" si="61"/>
        <v>1</v>
      </c>
      <c r="Q580" s="119">
        <f t="shared" si="62"/>
        <v>1</v>
      </c>
    </row>
    <row r="581" spans="2:17">
      <c r="B581" s="116"/>
      <c r="C581" s="116"/>
      <c r="D581" s="116"/>
      <c r="E581" s="116" cm="1">
        <f t="array" ref="E581">IF(H580&lt;&gt;"",E580,IF(E580="","",IFERROR(MATCH(TRUE(),INDEX(INDEX(K:K,E580+1):K203&lt;&gt;"",0),0)+E580,"")))</f>
        <v>723</v>
      </c>
      <c r="F581" s="117" cm="1">
        <f t="array" ref="F581">IF(E581="","",IF(H580&lt;&gt;"",H580,INDEX(D:D,E581)))</f>
        <v>0</v>
      </c>
      <c r="G581" s="117" t="str">
        <f t="shared" si="57"/>
        <v>0</v>
      </c>
      <c r="H581" s="118" t="str">
        <f t="shared" si="58"/>
        <v/>
      </c>
      <c r="I581" s="116" t="str">
        <f>IF(AND(F581&lt;&gt;"",N10&gt;0,M581&gt;N10),"Mot &gt; limite","")</f>
        <v/>
      </c>
      <c r="M581" s="70">
        <f>IF(OR(F581="",N10="",N10&lt;=0),"",IF(LEN(F581)&lt;=N10,LEN(F581),IFERROR(FIND("♦",SUBSTITUTE(LEFT(F581,N10)," ","♦",LEN(LEFT(F581,N10))-LEN(SUBSTITUTE(LEFT(F581,N10)," ","")))),FIND(" ",F581&amp;" ",N10+1)-1)))</f>
        <v>1</v>
      </c>
      <c r="N581" s="119">
        <f t="shared" si="59"/>
        <v>564</v>
      </c>
      <c r="O581" s="99" t="str">
        <f t="shared" si="60"/>
        <v>0</v>
      </c>
      <c r="P581" s="119">
        <f t="shared" si="61"/>
        <v>1</v>
      </c>
      <c r="Q581" s="119">
        <f t="shared" si="62"/>
        <v>1</v>
      </c>
    </row>
    <row r="582" spans="2:17">
      <c r="B582" s="116"/>
      <c r="C582" s="116"/>
      <c r="D582" s="116"/>
      <c r="E582" s="116" cm="1">
        <f t="array" ref="E582">IF(H581&lt;&gt;"",E581,IF(E581="","",IFERROR(MATCH(TRUE(),INDEX(INDEX(K:K,E581+1):K203&lt;&gt;"",0),0)+E581,"")))</f>
        <v>724</v>
      </c>
      <c r="F582" s="117" cm="1">
        <f t="array" ref="F582">IF(E582="","",IF(H581&lt;&gt;"",H581,INDEX(D:D,E582)))</f>
        <v>0</v>
      </c>
      <c r="G582" s="117" t="str">
        <f t="shared" si="57"/>
        <v>0</v>
      </c>
      <c r="H582" s="118" t="str">
        <f t="shared" si="58"/>
        <v/>
      </c>
      <c r="I582" s="116" t="str">
        <f>IF(AND(F582&lt;&gt;"",N10&gt;0,M582&gt;N10),"Mot &gt; limite","")</f>
        <v/>
      </c>
      <c r="M582" s="70">
        <f>IF(OR(F582="",N10="",N10&lt;=0),"",IF(LEN(F582)&lt;=N10,LEN(F582),IFERROR(FIND("♦",SUBSTITUTE(LEFT(F582,N10)," ","♦",LEN(LEFT(F582,N10))-LEN(SUBSTITUTE(LEFT(F582,N10)," ","")))),FIND(" ",F582&amp;" ",N10+1)-1)))</f>
        <v>1</v>
      </c>
      <c r="N582" s="119">
        <f t="shared" si="59"/>
        <v>565</v>
      </c>
      <c r="O582" s="99" t="str">
        <f t="shared" si="60"/>
        <v>0</v>
      </c>
      <c r="P582" s="119">
        <f t="shared" si="61"/>
        <v>1</v>
      </c>
      <c r="Q582" s="119">
        <f t="shared" si="62"/>
        <v>1</v>
      </c>
    </row>
    <row r="583" spans="2:17">
      <c r="B583" s="116"/>
      <c r="C583" s="116"/>
      <c r="D583" s="116"/>
      <c r="E583" s="116" cm="1">
        <f t="array" ref="E583">IF(H582&lt;&gt;"",E582,IF(E582="","",IFERROR(MATCH(TRUE(),INDEX(INDEX(K:K,E582+1):K203&lt;&gt;"",0),0)+E582,"")))</f>
        <v>725</v>
      </c>
      <c r="F583" s="117" cm="1">
        <f t="array" ref="F583">IF(E583="","",IF(H582&lt;&gt;"",H582,INDEX(D:D,E583)))</f>
        <v>0</v>
      </c>
      <c r="G583" s="117" t="str">
        <f t="shared" si="57"/>
        <v>0</v>
      </c>
      <c r="H583" s="118" t="str">
        <f t="shared" si="58"/>
        <v/>
      </c>
      <c r="I583" s="116" t="str">
        <f>IF(AND(F583&lt;&gt;"",N10&gt;0,M583&gt;N10),"Mot &gt; limite","")</f>
        <v/>
      </c>
      <c r="M583" s="70">
        <f>IF(OR(F583="",N10="",N10&lt;=0),"",IF(LEN(F583)&lt;=N10,LEN(F583),IFERROR(FIND("♦",SUBSTITUTE(LEFT(F583,N10)," ","♦",LEN(LEFT(F583,N10))-LEN(SUBSTITUTE(LEFT(F583,N10)," ","")))),FIND(" ",F583&amp;" ",N10+1)-1)))</f>
        <v>1</v>
      </c>
      <c r="N583" s="119">
        <f t="shared" si="59"/>
        <v>566</v>
      </c>
      <c r="O583" s="99" t="str">
        <f t="shared" si="60"/>
        <v>0</v>
      </c>
      <c r="P583" s="119">
        <f t="shared" si="61"/>
        <v>1</v>
      </c>
      <c r="Q583" s="119">
        <f t="shared" si="62"/>
        <v>1</v>
      </c>
    </row>
    <row r="584" spans="2:17">
      <c r="B584" s="116"/>
      <c r="C584" s="116"/>
      <c r="D584" s="116"/>
      <c r="E584" s="116" cm="1">
        <f t="array" ref="E584">IF(H583&lt;&gt;"",E583,IF(E583="","",IFERROR(MATCH(TRUE(),INDEX(INDEX(K:K,E583+1):K203&lt;&gt;"",0),0)+E583,"")))</f>
        <v>726</v>
      </c>
      <c r="F584" s="117" cm="1">
        <f t="array" ref="F584">IF(E584="","",IF(H583&lt;&gt;"",H583,INDEX(D:D,E584)))</f>
        <v>0</v>
      </c>
      <c r="G584" s="117" t="str">
        <f t="shared" si="57"/>
        <v>0</v>
      </c>
      <c r="H584" s="118" t="str">
        <f t="shared" si="58"/>
        <v/>
      </c>
      <c r="I584" s="116" t="str">
        <f>IF(AND(F584&lt;&gt;"",N10&gt;0,M584&gt;N10),"Mot &gt; limite","")</f>
        <v/>
      </c>
      <c r="M584" s="70">
        <f>IF(OR(F584="",N10="",N10&lt;=0),"",IF(LEN(F584)&lt;=N10,LEN(F584),IFERROR(FIND("♦",SUBSTITUTE(LEFT(F584,N10)," ","♦",LEN(LEFT(F584,N10))-LEN(SUBSTITUTE(LEFT(F584,N10)," ","")))),FIND(" ",F584&amp;" ",N10+1)-1)))</f>
        <v>1</v>
      </c>
      <c r="N584" s="119">
        <f t="shared" si="59"/>
        <v>567</v>
      </c>
      <c r="O584" s="99" t="str">
        <f t="shared" si="60"/>
        <v>0</v>
      </c>
      <c r="P584" s="119">
        <f t="shared" si="61"/>
        <v>1</v>
      </c>
      <c r="Q584" s="119">
        <f t="shared" si="62"/>
        <v>1</v>
      </c>
    </row>
    <row r="585" spans="2:17">
      <c r="B585" s="116"/>
      <c r="C585" s="116"/>
      <c r="D585" s="116"/>
      <c r="E585" s="116" cm="1">
        <f t="array" ref="E585">IF(H584&lt;&gt;"",E584,IF(E584="","",IFERROR(MATCH(TRUE(),INDEX(INDEX(K:K,E584+1):K203&lt;&gt;"",0),0)+E584,"")))</f>
        <v>727</v>
      </c>
      <c r="F585" s="117" cm="1">
        <f t="array" ref="F585">IF(E585="","",IF(H584&lt;&gt;"",H584,INDEX(D:D,E585)))</f>
        <v>0</v>
      </c>
      <c r="G585" s="117" t="str">
        <f t="shared" si="57"/>
        <v>0</v>
      </c>
      <c r="H585" s="118" t="str">
        <f t="shared" si="58"/>
        <v/>
      </c>
      <c r="I585" s="116" t="str">
        <f>IF(AND(F585&lt;&gt;"",N10&gt;0,M585&gt;N10),"Mot &gt; limite","")</f>
        <v/>
      </c>
      <c r="M585" s="70">
        <f>IF(OR(F585="",N10="",N10&lt;=0),"",IF(LEN(F585)&lt;=N10,LEN(F585),IFERROR(FIND("♦",SUBSTITUTE(LEFT(F585,N10)," ","♦",LEN(LEFT(F585,N10))-LEN(SUBSTITUTE(LEFT(F585,N10)," ","")))),FIND(" ",F585&amp;" ",N10+1)-1)))</f>
        <v>1</v>
      </c>
      <c r="N585" s="119">
        <f t="shared" si="59"/>
        <v>568</v>
      </c>
      <c r="O585" s="99" t="str">
        <f t="shared" si="60"/>
        <v>0</v>
      </c>
      <c r="P585" s="119">
        <f t="shared" si="61"/>
        <v>1</v>
      </c>
      <c r="Q585" s="119">
        <f t="shared" si="62"/>
        <v>1</v>
      </c>
    </row>
    <row r="586" spans="2:17">
      <c r="B586" s="116"/>
      <c r="C586" s="116"/>
      <c r="D586" s="116"/>
      <c r="E586" s="116" cm="1">
        <f t="array" ref="E586">IF(H585&lt;&gt;"",E585,IF(E585="","",IFERROR(MATCH(TRUE(),INDEX(INDEX(K:K,E585+1):K203&lt;&gt;"",0),0)+E585,"")))</f>
        <v>728</v>
      </c>
      <c r="F586" s="117" cm="1">
        <f t="array" ref="F586">IF(E586="","",IF(H585&lt;&gt;"",H585,INDEX(D:D,E586)))</f>
        <v>0</v>
      </c>
      <c r="G586" s="117" t="str">
        <f t="shared" si="57"/>
        <v>0</v>
      </c>
      <c r="H586" s="118" t="str">
        <f t="shared" si="58"/>
        <v/>
      </c>
      <c r="I586" s="116" t="str">
        <f>IF(AND(F586&lt;&gt;"",N10&gt;0,M586&gt;N10),"Mot &gt; limite","")</f>
        <v/>
      </c>
      <c r="M586" s="70">
        <f>IF(OR(F586="",N10="",N10&lt;=0),"",IF(LEN(F586)&lt;=N10,LEN(F586),IFERROR(FIND("♦",SUBSTITUTE(LEFT(F586,N10)," ","♦",LEN(LEFT(F586,N10))-LEN(SUBSTITUTE(LEFT(F586,N10)," ","")))),FIND(" ",F586&amp;" ",N10+1)-1)))</f>
        <v>1</v>
      </c>
      <c r="N586" s="119">
        <f t="shared" si="59"/>
        <v>569</v>
      </c>
      <c r="O586" s="99" t="str">
        <f t="shared" si="60"/>
        <v>0</v>
      </c>
      <c r="P586" s="119">
        <f t="shared" si="61"/>
        <v>1</v>
      </c>
      <c r="Q586" s="119">
        <f t="shared" si="62"/>
        <v>1</v>
      </c>
    </row>
    <row r="587" spans="2:17">
      <c r="B587" s="116"/>
      <c r="C587" s="116"/>
      <c r="D587" s="116"/>
      <c r="E587" s="116" cm="1">
        <f t="array" ref="E587">IF(H586&lt;&gt;"",E586,IF(E586="","",IFERROR(MATCH(TRUE(),INDEX(INDEX(K:K,E586+1):K203&lt;&gt;"",0),0)+E586,"")))</f>
        <v>729</v>
      </c>
      <c r="F587" s="117" cm="1">
        <f t="array" ref="F587">IF(E587="","",IF(H586&lt;&gt;"",H586,INDEX(D:D,E587)))</f>
        <v>0</v>
      </c>
      <c r="G587" s="117" t="str">
        <f t="shared" si="57"/>
        <v>0</v>
      </c>
      <c r="H587" s="118" t="str">
        <f t="shared" si="58"/>
        <v/>
      </c>
      <c r="I587" s="116" t="str">
        <f>IF(AND(F587&lt;&gt;"",N10&gt;0,M587&gt;N10),"Mot &gt; limite","")</f>
        <v/>
      </c>
      <c r="M587" s="70">
        <f>IF(OR(F587="",N10="",N10&lt;=0),"",IF(LEN(F587)&lt;=N10,LEN(F587),IFERROR(FIND("♦",SUBSTITUTE(LEFT(F587,N10)," ","♦",LEN(LEFT(F587,N10))-LEN(SUBSTITUTE(LEFT(F587,N10)," ","")))),FIND(" ",F587&amp;" ",N10+1)-1)))</f>
        <v>1</v>
      </c>
      <c r="N587" s="119">
        <f t="shared" si="59"/>
        <v>570</v>
      </c>
      <c r="O587" s="99" t="str">
        <f t="shared" si="60"/>
        <v>0</v>
      </c>
      <c r="P587" s="119">
        <f t="shared" si="61"/>
        <v>1</v>
      </c>
      <c r="Q587" s="119">
        <f t="shared" si="62"/>
        <v>1</v>
      </c>
    </row>
    <row r="588" spans="2:17">
      <c r="B588" s="116"/>
      <c r="C588" s="116"/>
      <c r="D588" s="116"/>
      <c r="E588" s="116" cm="1">
        <f t="array" ref="E588">IF(H587&lt;&gt;"",E587,IF(E587="","",IFERROR(MATCH(TRUE(),INDEX(INDEX(K:K,E587+1):K203&lt;&gt;"",0),0)+E587,"")))</f>
        <v>730</v>
      </c>
      <c r="F588" s="117" cm="1">
        <f t="array" ref="F588">IF(E588="","",IF(H587&lt;&gt;"",H587,INDEX(D:D,E588)))</f>
        <v>0</v>
      </c>
      <c r="G588" s="117" t="str">
        <f t="shared" si="57"/>
        <v>0</v>
      </c>
      <c r="H588" s="118" t="str">
        <f t="shared" si="58"/>
        <v/>
      </c>
      <c r="I588" s="116" t="str">
        <f>IF(AND(F588&lt;&gt;"",N10&gt;0,M588&gt;N10),"Mot &gt; limite","")</f>
        <v/>
      </c>
      <c r="M588" s="70">
        <f>IF(OR(F588="",N10="",N10&lt;=0),"",IF(LEN(F588)&lt;=N10,LEN(F588),IFERROR(FIND("♦",SUBSTITUTE(LEFT(F588,N10)," ","♦",LEN(LEFT(F588,N10))-LEN(SUBSTITUTE(LEFT(F588,N10)," ","")))),FIND(" ",F588&amp;" ",N10+1)-1)))</f>
        <v>1</v>
      </c>
      <c r="N588" s="119">
        <f t="shared" si="59"/>
        <v>571</v>
      </c>
      <c r="O588" s="99" t="str">
        <f t="shared" si="60"/>
        <v>0</v>
      </c>
      <c r="P588" s="119">
        <f t="shared" si="61"/>
        <v>1</v>
      </c>
      <c r="Q588" s="119">
        <f t="shared" si="62"/>
        <v>1</v>
      </c>
    </row>
    <row r="589" spans="2:17">
      <c r="B589" s="116"/>
      <c r="C589" s="116"/>
      <c r="D589" s="116"/>
      <c r="E589" s="116" cm="1">
        <f t="array" ref="E589">IF(H588&lt;&gt;"",E588,IF(E588="","",IFERROR(MATCH(TRUE(),INDEX(INDEX(K:K,E588+1):K203&lt;&gt;"",0),0)+E588,"")))</f>
        <v>731</v>
      </c>
      <c r="F589" s="117" cm="1">
        <f t="array" ref="F589">IF(E589="","",IF(H588&lt;&gt;"",H588,INDEX(D:D,E589)))</f>
        <v>0</v>
      </c>
      <c r="G589" s="117" t="str">
        <f t="shared" si="57"/>
        <v>0</v>
      </c>
      <c r="H589" s="118" t="str">
        <f t="shared" si="58"/>
        <v/>
      </c>
      <c r="I589" s="116" t="str">
        <f>IF(AND(F589&lt;&gt;"",N10&gt;0,M589&gt;N10),"Mot &gt; limite","")</f>
        <v/>
      </c>
      <c r="M589" s="70">
        <f>IF(OR(F589="",N10="",N10&lt;=0),"",IF(LEN(F589)&lt;=N10,LEN(F589),IFERROR(FIND("♦",SUBSTITUTE(LEFT(F589,N10)," ","♦",LEN(LEFT(F589,N10))-LEN(SUBSTITUTE(LEFT(F589,N10)," ","")))),FIND(" ",F589&amp;" ",N10+1)-1)))</f>
        <v>1</v>
      </c>
      <c r="N589" s="119">
        <f t="shared" si="59"/>
        <v>572</v>
      </c>
      <c r="O589" s="99" t="str">
        <f t="shared" si="60"/>
        <v>0</v>
      </c>
      <c r="P589" s="119">
        <f t="shared" si="61"/>
        <v>1</v>
      </c>
      <c r="Q589" s="119">
        <f t="shared" si="62"/>
        <v>1</v>
      </c>
    </row>
    <row r="590" spans="2:17">
      <c r="B590" s="116"/>
      <c r="C590" s="116"/>
      <c r="D590" s="116"/>
      <c r="E590" s="116" cm="1">
        <f t="array" ref="E590">IF(H589&lt;&gt;"",E589,IF(E589="","",IFERROR(MATCH(TRUE(),INDEX(INDEX(K:K,E589+1):K203&lt;&gt;"",0),0)+E589,"")))</f>
        <v>732</v>
      </c>
      <c r="F590" s="117" cm="1">
        <f t="array" ref="F590">IF(E590="","",IF(H589&lt;&gt;"",H589,INDEX(D:D,E590)))</f>
        <v>0</v>
      </c>
      <c r="G590" s="117" t="str">
        <f t="shared" si="57"/>
        <v>0</v>
      </c>
      <c r="H590" s="118" t="str">
        <f t="shared" si="58"/>
        <v/>
      </c>
      <c r="I590" s="116" t="str">
        <f>IF(AND(F590&lt;&gt;"",N10&gt;0,M590&gt;N10),"Mot &gt; limite","")</f>
        <v/>
      </c>
      <c r="M590" s="70">
        <f>IF(OR(F590="",N10="",N10&lt;=0),"",IF(LEN(F590)&lt;=N10,LEN(F590),IFERROR(FIND("♦",SUBSTITUTE(LEFT(F590,N10)," ","♦",LEN(LEFT(F590,N10))-LEN(SUBSTITUTE(LEFT(F590,N10)," ","")))),FIND(" ",F590&amp;" ",N10+1)-1)))</f>
        <v>1</v>
      </c>
      <c r="N590" s="119">
        <f t="shared" si="59"/>
        <v>573</v>
      </c>
      <c r="O590" s="99" t="str">
        <f t="shared" si="60"/>
        <v>0</v>
      </c>
      <c r="P590" s="119">
        <f t="shared" si="61"/>
        <v>1</v>
      </c>
      <c r="Q590" s="119">
        <f t="shared" si="62"/>
        <v>1</v>
      </c>
    </row>
    <row r="591" spans="2:17">
      <c r="B591" s="116"/>
      <c r="C591" s="116"/>
      <c r="D591" s="116"/>
      <c r="E591" s="116" cm="1">
        <f t="array" ref="E591">IF(H590&lt;&gt;"",E590,IF(E590="","",IFERROR(MATCH(TRUE(),INDEX(INDEX(K:K,E590+1):K203&lt;&gt;"",0),0)+E590,"")))</f>
        <v>733</v>
      </c>
      <c r="F591" s="117" cm="1">
        <f t="array" ref="F591">IF(E591="","",IF(H590&lt;&gt;"",H590,INDEX(D:D,E591)))</f>
        <v>0</v>
      </c>
      <c r="G591" s="117" t="str">
        <f t="shared" si="57"/>
        <v>0</v>
      </c>
      <c r="H591" s="118" t="str">
        <f t="shared" si="58"/>
        <v/>
      </c>
      <c r="I591" s="116" t="str">
        <f>IF(AND(F591&lt;&gt;"",N10&gt;0,M591&gt;N10),"Mot &gt; limite","")</f>
        <v/>
      </c>
      <c r="M591" s="70">
        <f>IF(OR(F591="",N10="",N10&lt;=0),"",IF(LEN(F591)&lt;=N10,LEN(F591),IFERROR(FIND("♦",SUBSTITUTE(LEFT(F591,N10)," ","♦",LEN(LEFT(F591,N10))-LEN(SUBSTITUTE(LEFT(F591,N10)," ","")))),FIND(" ",F591&amp;" ",N10+1)-1)))</f>
        <v>1</v>
      </c>
      <c r="N591" s="119">
        <f t="shared" si="59"/>
        <v>574</v>
      </c>
      <c r="O591" s="99" t="str">
        <f t="shared" si="60"/>
        <v>0</v>
      </c>
      <c r="P591" s="119">
        <f t="shared" si="61"/>
        <v>1</v>
      </c>
      <c r="Q591" s="119">
        <f t="shared" si="62"/>
        <v>1</v>
      </c>
    </row>
    <row r="592" spans="2:17">
      <c r="B592" s="116"/>
      <c r="C592" s="116"/>
      <c r="D592" s="116"/>
      <c r="E592" s="116" cm="1">
        <f t="array" ref="E592">IF(H591&lt;&gt;"",E591,IF(E591="","",IFERROR(MATCH(TRUE(),INDEX(INDEX(K:K,E591+1):K203&lt;&gt;"",0),0)+E591,"")))</f>
        <v>734</v>
      </c>
      <c r="F592" s="117" cm="1">
        <f t="array" ref="F592">IF(E592="","",IF(H591&lt;&gt;"",H591,INDEX(D:D,E592)))</f>
        <v>0</v>
      </c>
      <c r="G592" s="117" t="str">
        <f t="shared" si="57"/>
        <v>0</v>
      </c>
      <c r="H592" s="118" t="str">
        <f t="shared" si="58"/>
        <v/>
      </c>
      <c r="I592" s="116" t="str">
        <f>IF(AND(F592&lt;&gt;"",N10&gt;0,M592&gt;N10),"Mot &gt; limite","")</f>
        <v/>
      </c>
      <c r="M592" s="70">
        <f>IF(OR(F592="",N10="",N10&lt;=0),"",IF(LEN(F592)&lt;=N10,LEN(F592),IFERROR(FIND("♦",SUBSTITUTE(LEFT(F592,N10)," ","♦",LEN(LEFT(F592,N10))-LEN(SUBSTITUTE(LEFT(F592,N10)," ","")))),FIND(" ",F592&amp;" ",N10+1)-1)))</f>
        <v>1</v>
      </c>
      <c r="N592" s="119">
        <f t="shared" si="59"/>
        <v>575</v>
      </c>
      <c r="O592" s="99" t="str">
        <f t="shared" si="60"/>
        <v>0</v>
      </c>
      <c r="P592" s="119">
        <f t="shared" si="61"/>
        <v>1</v>
      </c>
      <c r="Q592" s="119">
        <f t="shared" si="62"/>
        <v>1</v>
      </c>
    </row>
    <row r="593" spans="2:17">
      <c r="B593" s="116"/>
      <c r="C593" s="116"/>
      <c r="D593" s="116"/>
      <c r="E593" s="116" cm="1">
        <f t="array" ref="E593">IF(H592&lt;&gt;"",E592,IF(E592="","",IFERROR(MATCH(TRUE(),INDEX(INDEX(K:K,E592+1):K203&lt;&gt;"",0),0)+E592,"")))</f>
        <v>735</v>
      </c>
      <c r="F593" s="117" cm="1">
        <f t="array" ref="F593">IF(E593="","",IF(H592&lt;&gt;"",H592,INDEX(D:D,E593)))</f>
        <v>0</v>
      </c>
      <c r="G593" s="117" t="str">
        <f t="shared" si="57"/>
        <v>0</v>
      </c>
      <c r="H593" s="118" t="str">
        <f t="shared" si="58"/>
        <v/>
      </c>
      <c r="I593" s="116" t="str">
        <f>IF(AND(F593&lt;&gt;"",N10&gt;0,M593&gt;N10),"Mot &gt; limite","")</f>
        <v/>
      </c>
      <c r="M593" s="70">
        <f>IF(OR(F593="",N10="",N10&lt;=0),"",IF(LEN(F593)&lt;=N10,LEN(F593),IFERROR(FIND("♦",SUBSTITUTE(LEFT(F593,N10)," ","♦",LEN(LEFT(F593,N10))-LEN(SUBSTITUTE(LEFT(F593,N10)," ","")))),FIND(" ",F593&amp;" ",N10+1)-1)))</f>
        <v>1</v>
      </c>
      <c r="N593" s="119">
        <f t="shared" si="59"/>
        <v>576</v>
      </c>
      <c r="O593" s="99" t="str">
        <f t="shared" si="60"/>
        <v>0</v>
      </c>
      <c r="P593" s="119">
        <f t="shared" si="61"/>
        <v>1</v>
      </c>
      <c r="Q593" s="119">
        <f t="shared" si="62"/>
        <v>1</v>
      </c>
    </row>
    <row r="594" spans="2:17">
      <c r="B594" s="116"/>
      <c r="C594" s="116"/>
      <c r="D594" s="116"/>
      <c r="E594" s="116" cm="1">
        <f t="array" ref="E594">IF(H593&lt;&gt;"",E593,IF(E593="","",IFERROR(MATCH(TRUE(),INDEX(INDEX(K:K,E593+1):K203&lt;&gt;"",0),0)+E593,"")))</f>
        <v>736</v>
      </c>
      <c r="F594" s="117" cm="1">
        <f t="array" ref="F594">IF(E594="","",IF(H593&lt;&gt;"",H593,INDEX(D:D,E594)))</f>
        <v>0</v>
      </c>
      <c r="G594" s="117" t="str">
        <f t="shared" ref="G594:G657" si="63">IF(OR(F594="",M594=""),"",LEFT(F594,M594))</f>
        <v>0</v>
      </c>
      <c r="H594" s="118" t="str">
        <f t="shared" ref="H594:H657" si="64">IF(OR(F594="",M594=""),"",TRIM(MID(F594,M594+1,99999)))</f>
        <v/>
      </c>
      <c r="I594" s="116" t="str">
        <f>IF(AND(F594&lt;&gt;"",N10&gt;0,M594&gt;N10),"Mot &gt; limite","")</f>
        <v/>
      </c>
      <c r="M594" s="70">
        <f>IF(OR(F594="",N10="",N10&lt;=0),"",IF(LEN(F594)&lt;=N10,LEN(F594),IFERROR(FIND("♦",SUBSTITUTE(LEFT(F594,N10)," ","♦",LEN(LEFT(F594,N10))-LEN(SUBSTITUTE(LEFT(F594,N10)," ","")))),FIND(" ",F594&amp;" ",N10+1)-1)))</f>
        <v>1</v>
      </c>
      <c r="N594" s="119">
        <f t="shared" ref="N594:N657" si="65">IF(O594="","",ROW()-17)</f>
        <v>577</v>
      </c>
      <c r="O594" s="99" t="str">
        <f t="shared" ref="O594:O657" si="66">G594</f>
        <v>0</v>
      </c>
      <c r="P594" s="119">
        <f t="shared" ref="P594:P657" si="67">IF(O594="","",LEN(TRIM(O594))-LEN(SUBSTITUTE(TRIM(O594)," ",""))+1)</f>
        <v>1</v>
      </c>
      <c r="Q594" s="119">
        <f t="shared" ref="Q594:Q657" si="68">IF(O594="","",LEN(O594))</f>
        <v>1</v>
      </c>
    </row>
    <row r="595" spans="2:17">
      <c r="B595" s="116"/>
      <c r="C595" s="116"/>
      <c r="D595" s="116"/>
      <c r="E595" s="116" cm="1">
        <f t="array" ref="E595">IF(H594&lt;&gt;"",E594,IF(E594="","",IFERROR(MATCH(TRUE(),INDEX(INDEX(K:K,E594+1):K203&lt;&gt;"",0),0)+E594,"")))</f>
        <v>737</v>
      </c>
      <c r="F595" s="117" cm="1">
        <f t="array" ref="F595">IF(E595="","",IF(H594&lt;&gt;"",H594,INDEX(D:D,E595)))</f>
        <v>0</v>
      </c>
      <c r="G595" s="117" t="str">
        <f t="shared" si="63"/>
        <v>0</v>
      </c>
      <c r="H595" s="118" t="str">
        <f t="shared" si="64"/>
        <v/>
      </c>
      <c r="I595" s="116" t="str">
        <f>IF(AND(F595&lt;&gt;"",N10&gt;0,M595&gt;N10),"Mot &gt; limite","")</f>
        <v/>
      </c>
      <c r="M595" s="70">
        <f>IF(OR(F595="",N10="",N10&lt;=0),"",IF(LEN(F595)&lt;=N10,LEN(F595),IFERROR(FIND("♦",SUBSTITUTE(LEFT(F595,N10)," ","♦",LEN(LEFT(F595,N10))-LEN(SUBSTITUTE(LEFT(F595,N10)," ","")))),FIND(" ",F595&amp;" ",N10+1)-1)))</f>
        <v>1</v>
      </c>
      <c r="N595" s="119">
        <f t="shared" si="65"/>
        <v>578</v>
      </c>
      <c r="O595" s="99" t="str">
        <f t="shared" si="66"/>
        <v>0</v>
      </c>
      <c r="P595" s="119">
        <f t="shared" si="67"/>
        <v>1</v>
      </c>
      <c r="Q595" s="119">
        <f t="shared" si="68"/>
        <v>1</v>
      </c>
    </row>
    <row r="596" spans="2:17">
      <c r="B596" s="116"/>
      <c r="C596" s="116"/>
      <c r="D596" s="116"/>
      <c r="E596" s="116" cm="1">
        <f t="array" ref="E596">IF(H595&lt;&gt;"",E595,IF(E595="","",IFERROR(MATCH(TRUE(),INDEX(INDEX(K:K,E595+1):K203&lt;&gt;"",0),0)+E595,"")))</f>
        <v>738</v>
      </c>
      <c r="F596" s="117" cm="1">
        <f t="array" ref="F596">IF(E596="","",IF(H595&lt;&gt;"",H595,INDEX(D:D,E596)))</f>
        <v>0</v>
      </c>
      <c r="G596" s="117" t="str">
        <f t="shared" si="63"/>
        <v>0</v>
      </c>
      <c r="H596" s="118" t="str">
        <f t="shared" si="64"/>
        <v/>
      </c>
      <c r="I596" s="116" t="str">
        <f>IF(AND(F596&lt;&gt;"",N10&gt;0,M596&gt;N10),"Mot &gt; limite","")</f>
        <v/>
      </c>
      <c r="M596" s="70">
        <f>IF(OR(F596="",N10="",N10&lt;=0),"",IF(LEN(F596)&lt;=N10,LEN(F596),IFERROR(FIND("♦",SUBSTITUTE(LEFT(F596,N10)," ","♦",LEN(LEFT(F596,N10))-LEN(SUBSTITUTE(LEFT(F596,N10)," ","")))),FIND(" ",F596&amp;" ",N10+1)-1)))</f>
        <v>1</v>
      </c>
      <c r="N596" s="119">
        <f t="shared" si="65"/>
        <v>579</v>
      </c>
      <c r="O596" s="99" t="str">
        <f t="shared" si="66"/>
        <v>0</v>
      </c>
      <c r="P596" s="119">
        <f t="shared" si="67"/>
        <v>1</v>
      </c>
      <c r="Q596" s="119">
        <f t="shared" si="68"/>
        <v>1</v>
      </c>
    </row>
    <row r="597" spans="2:17">
      <c r="B597" s="116"/>
      <c r="C597" s="116"/>
      <c r="D597" s="116"/>
      <c r="E597" s="116" cm="1">
        <f t="array" ref="E597">IF(H596&lt;&gt;"",E596,IF(E596="","",IFERROR(MATCH(TRUE(),INDEX(INDEX(K:K,E596+1):K203&lt;&gt;"",0),0)+E596,"")))</f>
        <v>739</v>
      </c>
      <c r="F597" s="117" cm="1">
        <f t="array" ref="F597">IF(E597="","",IF(H596&lt;&gt;"",H596,INDEX(D:D,E597)))</f>
        <v>0</v>
      </c>
      <c r="G597" s="117" t="str">
        <f t="shared" si="63"/>
        <v>0</v>
      </c>
      <c r="H597" s="118" t="str">
        <f t="shared" si="64"/>
        <v/>
      </c>
      <c r="I597" s="116" t="str">
        <f>IF(AND(F597&lt;&gt;"",N10&gt;0,M597&gt;N10),"Mot &gt; limite","")</f>
        <v/>
      </c>
      <c r="M597" s="70">
        <f>IF(OR(F597="",N10="",N10&lt;=0),"",IF(LEN(F597)&lt;=N10,LEN(F597),IFERROR(FIND("♦",SUBSTITUTE(LEFT(F597,N10)," ","♦",LEN(LEFT(F597,N10))-LEN(SUBSTITUTE(LEFT(F597,N10)," ","")))),FIND(" ",F597&amp;" ",N10+1)-1)))</f>
        <v>1</v>
      </c>
      <c r="N597" s="119">
        <f t="shared" si="65"/>
        <v>580</v>
      </c>
      <c r="O597" s="99" t="str">
        <f t="shared" si="66"/>
        <v>0</v>
      </c>
      <c r="P597" s="119">
        <f t="shared" si="67"/>
        <v>1</v>
      </c>
      <c r="Q597" s="119">
        <f t="shared" si="68"/>
        <v>1</v>
      </c>
    </row>
    <row r="598" spans="2:17">
      <c r="B598" s="116"/>
      <c r="C598" s="116"/>
      <c r="D598" s="116"/>
      <c r="E598" s="116" cm="1">
        <f t="array" ref="E598">IF(H597&lt;&gt;"",E597,IF(E597="","",IFERROR(MATCH(TRUE(),INDEX(INDEX(K:K,E597+1):K203&lt;&gt;"",0),0)+E597,"")))</f>
        <v>740</v>
      </c>
      <c r="F598" s="117" cm="1">
        <f t="array" ref="F598">IF(E598="","",IF(H597&lt;&gt;"",H597,INDEX(D:D,E598)))</f>
        <v>0</v>
      </c>
      <c r="G598" s="117" t="str">
        <f t="shared" si="63"/>
        <v>0</v>
      </c>
      <c r="H598" s="118" t="str">
        <f t="shared" si="64"/>
        <v/>
      </c>
      <c r="I598" s="116" t="str">
        <f>IF(AND(F598&lt;&gt;"",N10&gt;0,M598&gt;N10),"Mot &gt; limite","")</f>
        <v/>
      </c>
      <c r="M598" s="70">
        <f>IF(OR(F598="",N10="",N10&lt;=0),"",IF(LEN(F598)&lt;=N10,LEN(F598),IFERROR(FIND("♦",SUBSTITUTE(LEFT(F598,N10)," ","♦",LEN(LEFT(F598,N10))-LEN(SUBSTITUTE(LEFT(F598,N10)," ","")))),FIND(" ",F598&amp;" ",N10+1)-1)))</f>
        <v>1</v>
      </c>
      <c r="N598" s="119">
        <f t="shared" si="65"/>
        <v>581</v>
      </c>
      <c r="O598" s="99" t="str">
        <f t="shared" si="66"/>
        <v>0</v>
      </c>
      <c r="P598" s="119">
        <f t="shared" si="67"/>
        <v>1</v>
      </c>
      <c r="Q598" s="119">
        <f t="shared" si="68"/>
        <v>1</v>
      </c>
    </row>
    <row r="599" spans="2:17">
      <c r="B599" s="116"/>
      <c r="C599" s="116"/>
      <c r="D599" s="116"/>
      <c r="E599" s="116" cm="1">
        <f t="array" ref="E599">IF(H598&lt;&gt;"",E598,IF(E598="","",IFERROR(MATCH(TRUE(),INDEX(INDEX(K:K,E598+1):K203&lt;&gt;"",0),0)+E598,"")))</f>
        <v>741</v>
      </c>
      <c r="F599" s="117" cm="1">
        <f t="array" ref="F599">IF(E599="","",IF(H598&lt;&gt;"",H598,INDEX(D:D,E599)))</f>
        <v>0</v>
      </c>
      <c r="G599" s="117" t="str">
        <f t="shared" si="63"/>
        <v>0</v>
      </c>
      <c r="H599" s="118" t="str">
        <f t="shared" si="64"/>
        <v/>
      </c>
      <c r="I599" s="116" t="str">
        <f>IF(AND(F599&lt;&gt;"",N10&gt;0,M599&gt;N10),"Mot &gt; limite","")</f>
        <v/>
      </c>
      <c r="M599" s="70">
        <f>IF(OR(F599="",N10="",N10&lt;=0),"",IF(LEN(F599)&lt;=N10,LEN(F599),IFERROR(FIND("♦",SUBSTITUTE(LEFT(F599,N10)," ","♦",LEN(LEFT(F599,N10))-LEN(SUBSTITUTE(LEFT(F599,N10)," ","")))),FIND(" ",F599&amp;" ",N10+1)-1)))</f>
        <v>1</v>
      </c>
      <c r="N599" s="119">
        <f t="shared" si="65"/>
        <v>582</v>
      </c>
      <c r="O599" s="99" t="str">
        <f t="shared" si="66"/>
        <v>0</v>
      </c>
      <c r="P599" s="119">
        <f t="shared" si="67"/>
        <v>1</v>
      </c>
      <c r="Q599" s="119">
        <f t="shared" si="68"/>
        <v>1</v>
      </c>
    </row>
    <row r="600" spans="2:17">
      <c r="B600" s="116"/>
      <c r="C600" s="116"/>
      <c r="D600" s="116"/>
      <c r="E600" s="116" cm="1">
        <f t="array" ref="E600">IF(H599&lt;&gt;"",E599,IF(E599="","",IFERROR(MATCH(TRUE(),INDEX(INDEX(K:K,E599+1):K203&lt;&gt;"",0),0)+E599,"")))</f>
        <v>742</v>
      </c>
      <c r="F600" s="117" cm="1">
        <f t="array" ref="F600">IF(E600="","",IF(H599&lt;&gt;"",H599,INDEX(D:D,E600)))</f>
        <v>0</v>
      </c>
      <c r="G600" s="117" t="str">
        <f t="shared" si="63"/>
        <v>0</v>
      </c>
      <c r="H600" s="118" t="str">
        <f t="shared" si="64"/>
        <v/>
      </c>
      <c r="I600" s="116" t="str">
        <f>IF(AND(F600&lt;&gt;"",N10&gt;0,M600&gt;N10),"Mot &gt; limite","")</f>
        <v/>
      </c>
      <c r="M600" s="70">
        <f>IF(OR(F600="",N10="",N10&lt;=0),"",IF(LEN(F600)&lt;=N10,LEN(F600),IFERROR(FIND("♦",SUBSTITUTE(LEFT(F600,N10)," ","♦",LEN(LEFT(F600,N10))-LEN(SUBSTITUTE(LEFT(F600,N10)," ","")))),FIND(" ",F600&amp;" ",N10+1)-1)))</f>
        <v>1</v>
      </c>
      <c r="N600" s="119">
        <f t="shared" si="65"/>
        <v>583</v>
      </c>
      <c r="O600" s="99" t="str">
        <f t="shared" si="66"/>
        <v>0</v>
      </c>
      <c r="P600" s="119">
        <f t="shared" si="67"/>
        <v>1</v>
      </c>
      <c r="Q600" s="119">
        <f t="shared" si="68"/>
        <v>1</v>
      </c>
    </row>
    <row r="601" spans="2:17">
      <c r="B601" s="116"/>
      <c r="C601" s="116"/>
      <c r="D601" s="116"/>
      <c r="E601" s="116" cm="1">
        <f t="array" ref="E601">IF(H600&lt;&gt;"",E600,IF(E600="","",IFERROR(MATCH(TRUE(),INDEX(INDEX(K:K,E600+1):K203&lt;&gt;"",0),0)+E600,"")))</f>
        <v>743</v>
      </c>
      <c r="F601" s="117" cm="1">
        <f t="array" ref="F601">IF(E601="","",IF(H600&lt;&gt;"",H600,INDEX(D:D,E601)))</f>
        <v>0</v>
      </c>
      <c r="G601" s="117" t="str">
        <f t="shared" si="63"/>
        <v>0</v>
      </c>
      <c r="H601" s="118" t="str">
        <f t="shared" si="64"/>
        <v/>
      </c>
      <c r="I601" s="116" t="str">
        <f>IF(AND(F601&lt;&gt;"",N10&gt;0,M601&gt;N10),"Mot &gt; limite","")</f>
        <v/>
      </c>
      <c r="M601" s="70">
        <f>IF(OR(F601="",N10="",N10&lt;=0),"",IF(LEN(F601)&lt;=N10,LEN(F601),IFERROR(FIND("♦",SUBSTITUTE(LEFT(F601,N10)," ","♦",LEN(LEFT(F601,N10))-LEN(SUBSTITUTE(LEFT(F601,N10)," ","")))),FIND(" ",F601&amp;" ",N10+1)-1)))</f>
        <v>1</v>
      </c>
      <c r="N601" s="119">
        <f t="shared" si="65"/>
        <v>584</v>
      </c>
      <c r="O601" s="99" t="str">
        <f t="shared" si="66"/>
        <v>0</v>
      </c>
      <c r="P601" s="119">
        <f t="shared" si="67"/>
        <v>1</v>
      </c>
      <c r="Q601" s="119">
        <f t="shared" si="68"/>
        <v>1</v>
      </c>
    </row>
    <row r="602" spans="2:17">
      <c r="B602" s="116"/>
      <c r="C602" s="116"/>
      <c r="D602" s="116"/>
      <c r="E602" s="116" cm="1">
        <f t="array" ref="E602">IF(H601&lt;&gt;"",E601,IF(E601="","",IFERROR(MATCH(TRUE(),INDEX(INDEX(K:K,E601+1):K203&lt;&gt;"",0),0)+E601,"")))</f>
        <v>744</v>
      </c>
      <c r="F602" s="117" cm="1">
        <f t="array" ref="F602">IF(E602="","",IF(H601&lt;&gt;"",H601,INDEX(D:D,E602)))</f>
        <v>0</v>
      </c>
      <c r="G602" s="117" t="str">
        <f t="shared" si="63"/>
        <v>0</v>
      </c>
      <c r="H602" s="118" t="str">
        <f t="shared" si="64"/>
        <v/>
      </c>
      <c r="I602" s="116" t="str">
        <f>IF(AND(F602&lt;&gt;"",N10&gt;0,M602&gt;N10),"Mot &gt; limite","")</f>
        <v/>
      </c>
      <c r="M602" s="70">
        <f>IF(OR(F602="",N10="",N10&lt;=0),"",IF(LEN(F602)&lt;=N10,LEN(F602),IFERROR(FIND("♦",SUBSTITUTE(LEFT(F602,N10)," ","♦",LEN(LEFT(F602,N10))-LEN(SUBSTITUTE(LEFT(F602,N10)," ","")))),FIND(" ",F602&amp;" ",N10+1)-1)))</f>
        <v>1</v>
      </c>
      <c r="N602" s="119">
        <f t="shared" si="65"/>
        <v>585</v>
      </c>
      <c r="O602" s="99" t="str">
        <f t="shared" si="66"/>
        <v>0</v>
      </c>
      <c r="P602" s="119">
        <f t="shared" si="67"/>
        <v>1</v>
      </c>
      <c r="Q602" s="119">
        <f t="shared" si="68"/>
        <v>1</v>
      </c>
    </row>
    <row r="603" spans="2:17">
      <c r="B603" s="116"/>
      <c r="C603" s="116"/>
      <c r="D603" s="116"/>
      <c r="E603" s="116" cm="1">
        <f t="array" ref="E603">IF(H602&lt;&gt;"",E602,IF(E602="","",IFERROR(MATCH(TRUE(),INDEX(INDEX(K:K,E602+1):K203&lt;&gt;"",0),0)+E602,"")))</f>
        <v>745</v>
      </c>
      <c r="F603" s="117" cm="1">
        <f t="array" ref="F603">IF(E603="","",IF(H602&lt;&gt;"",H602,INDEX(D:D,E603)))</f>
        <v>0</v>
      </c>
      <c r="G603" s="117" t="str">
        <f t="shared" si="63"/>
        <v>0</v>
      </c>
      <c r="H603" s="118" t="str">
        <f t="shared" si="64"/>
        <v/>
      </c>
      <c r="I603" s="116" t="str">
        <f>IF(AND(F603&lt;&gt;"",N10&gt;0,M603&gt;N10),"Mot &gt; limite","")</f>
        <v/>
      </c>
      <c r="M603" s="70">
        <f>IF(OR(F603="",N10="",N10&lt;=0),"",IF(LEN(F603)&lt;=N10,LEN(F603),IFERROR(FIND("♦",SUBSTITUTE(LEFT(F603,N10)," ","♦",LEN(LEFT(F603,N10))-LEN(SUBSTITUTE(LEFT(F603,N10)," ","")))),FIND(" ",F603&amp;" ",N10+1)-1)))</f>
        <v>1</v>
      </c>
      <c r="N603" s="119">
        <f t="shared" si="65"/>
        <v>586</v>
      </c>
      <c r="O603" s="99" t="str">
        <f t="shared" si="66"/>
        <v>0</v>
      </c>
      <c r="P603" s="119">
        <f t="shared" si="67"/>
        <v>1</v>
      </c>
      <c r="Q603" s="119">
        <f t="shared" si="68"/>
        <v>1</v>
      </c>
    </row>
    <row r="604" spans="2:17">
      <c r="B604" s="116"/>
      <c r="C604" s="116"/>
      <c r="D604" s="116"/>
      <c r="E604" s="116" cm="1">
        <f t="array" ref="E604">IF(H603&lt;&gt;"",E603,IF(E603="","",IFERROR(MATCH(TRUE(),INDEX(INDEX(K:K,E603+1):K203&lt;&gt;"",0),0)+E603,"")))</f>
        <v>746</v>
      </c>
      <c r="F604" s="117" cm="1">
        <f t="array" ref="F604">IF(E604="","",IF(H603&lt;&gt;"",H603,INDEX(D:D,E604)))</f>
        <v>0</v>
      </c>
      <c r="G604" s="117" t="str">
        <f t="shared" si="63"/>
        <v>0</v>
      </c>
      <c r="H604" s="118" t="str">
        <f t="shared" si="64"/>
        <v/>
      </c>
      <c r="I604" s="116" t="str">
        <f>IF(AND(F604&lt;&gt;"",N10&gt;0,M604&gt;N10),"Mot &gt; limite","")</f>
        <v/>
      </c>
      <c r="M604" s="70">
        <f>IF(OR(F604="",N10="",N10&lt;=0),"",IF(LEN(F604)&lt;=N10,LEN(F604),IFERROR(FIND("♦",SUBSTITUTE(LEFT(F604,N10)," ","♦",LEN(LEFT(F604,N10))-LEN(SUBSTITUTE(LEFT(F604,N10)," ","")))),FIND(" ",F604&amp;" ",N10+1)-1)))</f>
        <v>1</v>
      </c>
      <c r="N604" s="119">
        <f t="shared" si="65"/>
        <v>587</v>
      </c>
      <c r="O604" s="99" t="str">
        <f t="shared" si="66"/>
        <v>0</v>
      </c>
      <c r="P604" s="119">
        <f t="shared" si="67"/>
        <v>1</v>
      </c>
      <c r="Q604" s="119">
        <f t="shared" si="68"/>
        <v>1</v>
      </c>
    </row>
    <row r="605" spans="2:17">
      <c r="B605" s="116"/>
      <c r="C605" s="116"/>
      <c r="D605" s="116"/>
      <c r="E605" s="116" cm="1">
        <f t="array" ref="E605">IF(H604&lt;&gt;"",E604,IF(E604="","",IFERROR(MATCH(TRUE(),INDEX(INDEX(K:K,E604+1):K203&lt;&gt;"",0),0)+E604,"")))</f>
        <v>747</v>
      </c>
      <c r="F605" s="117" cm="1">
        <f t="array" ref="F605">IF(E605="","",IF(H604&lt;&gt;"",H604,INDEX(D:D,E605)))</f>
        <v>0</v>
      </c>
      <c r="G605" s="117" t="str">
        <f t="shared" si="63"/>
        <v>0</v>
      </c>
      <c r="H605" s="118" t="str">
        <f t="shared" si="64"/>
        <v/>
      </c>
      <c r="I605" s="116" t="str">
        <f>IF(AND(F605&lt;&gt;"",N10&gt;0,M605&gt;N10),"Mot &gt; limite","")</f>
        <v/>
      </c>
      <c r="M605" s="70">
        <f>IF(OR(F605="",N10="",N10&lt;=0),"",IF(LEN(F605)&lt;=N10,LEN(F605),IFERROR(FIND("♦",SUBSTITUTE(LEFT(F605,N10)," ","♦",LEN(LEFT(F605,N10))-LEN(SUBSTITUTE(LEFT(F605,N10)," ","")))),FIND(" ",F605&amp;" ",N10+1)-1)))</f>
        <v>1</v>
      </c>
      <c r="N605" s="119">
        <f t="shared" si="65"/>
        <v>588</v>
      </c>
      <c r="O605" s="99" t="str">
        <f t="shared" si="66"/>
        <v>0</v>
      </c>
      <c r="P605" s="119">
        <f t="shared" si="67"/>
        <v>1</v>
      </c>
      <c r="Q605" s="119">
        <f t="shared" si="68"/>
        <v>1</v>
      </c>
    </row>
    <row r="606" spans="2:17">
      <c r="B606" s="116"/>
      <c r="C606" s="116"/>
      <c r="D606" s="116"/>
      <c r="E606" s="116" cm="1">
        <f t="array" ref="E606">IF(H605&lt;&gt;"",E605,IF(E605="","",IFERROR(MATCH(TRUE(),INDEX(INDEX(K:K,E605+1):K203&lt;&gt;"",0),0)+E605,"")))</f>
        <v>748</v>
      </c>
      <c r="F606" s="117" cm="1">
        <f t="array" ref="F606">IF(E606="","",IF(H605&lt;&gt;"",H605,INDEX(D:D,E606)))</f>
        <v>0</v>
      </c>
      <c r="G606" s="117" t="str">
        <f t="shared" si="63"/>
        <v>0</v>
      </c>
      <c r="H606" s="118" t="str">
        <f t="shared" si="64"/>
        <v/>
      </c>
      <c r="I606" s="116" t="str">
        <f>IF(AND(F606&lt;&gt;"",N10&gt;0,M606&gt;N10),"Mot &gt; limite","")</f>
        <v/>
      </c>
      <c r="M606" s="70">
        <f>IF(OR(F606="",N10="",N10&lt;=0),"",IF(LEN(F606)&lt;=N10,LEN(F606),IFERROR(FIND("♦",SUBSTITUTE(LEFT(F606,N10)," ","♦",LEN(LEFT(F606,N10))-LEN(SUBSTITUTE(LEFT(F606,N10)," ","")))),FIND(" ",F606&amp;" ",N10+1)-1)))</f>
        <v>1</v>
      </c>
      <c r="N606" s="119">
        <f t="shared" si="65"/>
        <v>589</v>
      </c>
      <c r="O606" s="99" t="str">
        <f t="shared" si="66"/>
        <v>0</v>
      </c>
      <c r="P606" s="119">
        <f t="shared" si="67"/>
        <v>1</v>
      </c>
      <c r="Q606" s="119">
        <f t="shared" si="68"/>
        <v>1</v>
      </c>
    </row>
    <row r="607" spans="2:17">
      <c r="B607" s="116"/>
      <c r="C607" s="116"/>
      <c r="D607" s="116"/>
      <c r="E607" s="116" cm="1">
        <f t="array" ref="E607">IF(H606&lt;&gt;"",E606,IF(E606="","",IFERROR(MATCH(TRUE(),INDEX(INDEX(K:K,E606+1):K203&lt;&gt;"",0),0)+E606,"")))</f>
        <v>749</v>
      </c>
      <c r="F607" s="117" cm="1">
        <f t="array" ref="F607">IF(E607="","",IF(H606&lt;&gt;"",H606,INDEX(D:D,E607)))</f>
        <v>0</v>
      </c>
      <c r="G607" s="117" t="str">
        <f t="shared" si="63"/>
        <v>0</v>
      </c>
      <c r="H607" s="118" t="str">
        <f t="shared" si="64"/>
        <v/>
      </c>
      <c r="I607" s="116" t="str">
        <f>IF(AND(F607&lt;&gt;"",N10&gt;0,M607&gt;N10),"Mot &gt; limite","")</f>
        <v/>
      </c>
      <c r="M607" s="70">
        <f>IF(OR(F607="",N10="",N10&lt;=0),"",IF(LEN(F607)&lt;=N10,LEN(F607),IFERROR(FIND("♦",SUBSTITUTE(LEFT(F607,N10)," ","♦",LEN(LEFT(F607,N10))-LEN(SUBSTITUTE(LEFT(F607,N10)," ","")))),FIND(" ",F607&amp;" ",N10+1)-1)))</f>
        <v>1</v>
      </c>
      <c r="N607" s="119">
        <f t="shared" si="65"/>
        <v>590</v>
      </c>
      <c r="O607" s="99" t="str">
        <f t="shared" si="66"/>
        <v>0</v>
      </c>
      <c r="P607" s="119">
        <f t="shared" si="67"/>
        <v>1</v>
      </c>
      <c r="Q607" s="119">
        <f t="shared" si="68"/>
        <v>1</v>
      </c>
    </row>
    <row r="608" spans="2:17">
      <c r="B608" s="116"/>
      <c r="C608" s="116"/>
      <c r="D608" s="116"/>
      <c r="E608" s="116" cm="1">
        <f t="array" ref="E608">IF(H607&lt;&gt;"",E607,IF(E607="","",IFERROR(MATCH(TRUE(),INDEX(INDEX(K:K,E607+1):K203&lt;&gt;"",0),0)+E607,"")))</f>
        <v>750</v>
      </c>
      <c r="F608" s="117" cm="1">
        <f t="array" ref="F608">IF(E608="","",IF(H607&lt;&gt;"",H607,INDEX(D:D,E608)))</f>
        <v>0</v>
      </c>
      <c r="G608" s="117" t="str">
        <f t="shared" si="63"/>
        <v>0</v>
      </c>
      <c r="H608" s="118" t="str">
        <f t="shared" si="64"/>
        <v/>
      </c>
      <c r="I608" s="116" t="str">
        <f>IF(AND(F608&lt;&gt;"",N10&gt;0,M608&gt;N10),"Mot &gt; limite","")</f>
        <v/>
      </c>
      <c r="M608" s="70">
        <f>IF(OR(F608="",N10="",N10&lt;=0),"",IF(LEN(F608)&lt;=N10,LEN(F608),IFERROR(FIND("♦",SUBSTITUTE(LEFT(F608,N10)," ","♦",LEN(LEFT(F608,N10))-LEN(SUBSTITUTE(LEFT(F608,N10)," ","")))),FIND(" ",F608&amp;" ",N10+1)-1)))</f>
        <v>1</v>
      </c>
      <c r="N608" s="119">
        <f t="shared" si="65"/>
        <v>591</v>
      </c>
      <c r="O608" s="99" t="str">
        <f t="shared" si="66"/>
        <v>0</v>
      </c>
      <c r="P608" s="119">
        <f t="shared" si="67"/>
        <v>1</v>
      </c>
      <c r="Q608" s="119">
        <f t="shared" si="68"/>
        <v>1</v>
      </c>
    </row>
    <row r="609" spans="2:17">
      <c r="B609" s="116"/>
      <c r="C609" s="116"/>
      <c r="D609" s="116"/>
      <c r="E609" s="116" cm="1">
        <f t="array" ref="E609">IF(H608&lt;&gt;"",E608,IF(E608="","",IFERROR(MATCH(TRUE(),INDEX(INDEX(K:K,E608+1):K203&lt;&gt;"",0),0)+E608,"")))</f>
        <v>751</v>
      </c>
      <c r="F609" s="117" cm="1">
        <f t="array" ref="F609">IF(E609="","",IF(H608&lt;&gt;"",H608,INDEX(D:D,E609)))</f>
        <v>0</v>
      </c>
      <c r="G609" s="117" t="str">
        <f t="shared" si="63"/>
        <v>0</v>
      </c>
      <c r="H609" s="118" t="str">
        <f t="shared" si="64"/>
        <v/>
      </c>
      <c r="I609" s="116" t="str">
        <f>IF(AND(F609&lt;&gt;"",N10&gt;0,M609&gt;N10),"Mot &gt; limite","")</f>
        <v/>
      </c>
      <c r="M609" s="70">
        <f>IF(OR(F609="",N10="",N10&lt;=0),"",IF(LEN(F609)&lt;=N10,LEN(F609),IFERROR(FIND("♦",SUBSTITUTE(LEFT(F609,N10)," ","♦",LEN(LEFT(F609,N10))-LEN(SUBSTITUTE(LEFT(F609,N10)," ","")))),FIND(" ",F609&amp;" ",N10+1)-1)))</f>
        <v>1</v>
      </c>
      <c r="N609" s="119">
        <f t="shared" si="65"/>
        <v>592</v>
      </c>
      <c r="O609" s="99" t="str">
        <f t="shared" si="66"/>
        <v>0</v>
      </c>
      <c r="P609" s="119">
        <f t="shared" si="67"/>
        <v>1</v>
      </c>
      <c r="Q609" s="119">
        <f t="shared" si="68"/>
        <v>1</v>
      </c>
    </row>
    <row r="610" spans="2:17">
      <c r="B610" s="116"/>
      <c r="C610" s="116"/>
      <c r="D610" s="116"/>
      <c r="E610" s="116" cm="1">
        <f t="array" ref="E610">IF(H609&lt;&gt;"",E609,IF(E609="","",IFERROR(MATCH(TRUE(),INDEX(INDEX(K:K,E609+1):K203&lt;&gt;"",0),0)+E609,"")))</f>
        <v>752</v>
      </c>
      <c r="F610" s="117" cm="1">
        <f t="array" ref="F610">IF(E610="","",IF(H609&lt;&gt;"",H609,INDEX(D:D,E610)))</f>
        <v>0</v>
      </c>
      <c r="G610" s="117" t="str">
        <f t="shared" si="63"/>
        <v>0</v>
      </c>
      <c r="H610" s="118" t="str">
        <f t="shared" si="64"/>
        <v/>
      </c>
      <c r="I610" s="116" t="str">
        <f>IF(AND(F610&lt;&gt;"",N10&gt;0,M610&gt;N10),"Mot &gt; limite","")</f>
        <v/>
      </c>
      <c r="M610" s="70">
        <f>IF(OR(F610="",N10="",N10&lt;=0),"",IF(LEN(F610)&lt;=N10,LEN(F610),IFERROR(FIND("♦",SUBSTITUTE(LEFT(F610,N10)," ","♦",LEN(LEFT(F610,N10))-LEN(SUBSTITUTE(LEFT(F610,N10)," ","")))),FIND(" ",F610&amp;" ",N10+1)-1)))</f>
        <v>1</v>
      </c>
      <c r="N610" s="119">
        <f t="shared" si="65"/>
        <v>593</v>
      </c>
      <c r="O610" s="99" t="str">
        <f t="shared" si="66"/>
        <v>0</v>
      </c>
      <c r="P610" s="119">
        <f t="shared" si="67"/>
        <v>1</v>
      </c>
      <c r="Q610" s="119">
        <f t="shared" si="68"/>
        <v>1</v>
      </c>
    </row>
    <row r="611" spans="2:17">
      <c r="B611" s="116"/>
      <c r="C611" s="116"/>
      <c r="D611" s="116"/>
      <c r="E611" s="116" cm="1">
        <f t="array" ref="E611">IF(H610&lt;&gt;"",E610,IF(E610="","",IFERROR(MATCH(TRUE(),INDEX(INDEX(K:K,E610+1):K203&lt;&gt;"",0),0)+E610,"")))</f>
        <v>753</v>
      </c>
      <c r="F611" s="117" cm="1">
        <f t="array" ref="F611">IF(E611="","",IF(H610&lt;&gt;"",H610,INDEX(D:D,E611)))</f>
        <v>0</v>
      </c>
      <c r="G611" s="117" t="str">
        <f t="shared" si="63"/>
        <v>0</v>
      </c>
      <c r="H611" s="118" t="str">
        <f t="shared" si="64"/>
        <v/>
      </c>
      <c r="I611" s="116" t="str">
        <f>IF(AND(F611&lt;&gt;"",N10&gt;0,M611&gt;N10),"Mot &gt; limite","")</f>
        <v/>
      </c>
      <c r="M611" s="70">
        <f>IF(OR(F611="",N10="",N10&lt;=0),"",IF(LEN(F611)&lt;=N10,LEN(F611),IFERROR(FIND("♦",SUBSTITUTE(LEFT(F611,N10)," ","♦",LEN(LEFT(F611,N10))-LEN(SUBSTITUTE(LEFT(F611,N10)," ","")))),FIND(" ",F611&amp;" ",N10+1)-1)))</f>
        <v>1</v>
      </c>
      <c r="N611" s="119">
        <f t="shared" si="65"/>
        <v>594</v>
      </c>
      <c r="O611" s="99" t="str">
        <f t="shared" si="66"/>
        <v>0</v>
      </c>
      <c r="P611" s="119">
        <f t="shared" si="67"/>
        <v>1</v>
      </c>
      <c r="Q611" s="119">
        <f t="shared" si="68"/>
        <v>1</v>
      </c>
    </row>
    <row r="612" spans="2:17">
      <c r="B612" s="116"/>
      <c r="C612" s="116"/>
      <c r="D612" s="116"/>
      <c r="E612" s="116" cm="1">
        <f t="array" ref="E612">IF(H611&lt;&gt;"",E611,IF(E611="","",IFERROR(MATCH(TRUE(),INDEX(INDEX(K:K,E611+1):K203&lt;&gt;"",0),0)+E611,"")))</f>
        <v>754</v>
      </c>
      <c r="F612" s="117" cm="1">
        <f t="array" ref="F612">IF(E612="","",IF(H611&lt;&gt;"",H611,INDEX(D:D,E612)))</f>
        <v>0</v>
      </c>
      <c r="G612" s="117" t="str">
        <f t="shared" si="63"/>
        <v>0</v>
      </c>
      <c r="H612" s="118" t="str">
        <f t="shared" si="64"/>
        <v/>
      </c>
      <c r="I612" s="116" t="str">
        <f>IF(AND(F612&lt;&gt;"",N10&gt;0,M612&gt;N10),"Mot &gt; limite","")</f>
        <v/>
      </c>
      <c r="M612" s="70">
        <f>IF(OR(F612="",N10="",N10&lt;=0),"",IF(LEN(F612)&lt;=N10,LEN(F612),IFERROR(FIND("♦",SUBSTITUTE(LEFT(F612,N10)," ","♦",LEN(LEFT(F612,N10))-LEN(SUBSTITUTE(LEFT(F612,N10)," ","")))),FIND(" ",F612&amp;" ",N10+1)-1)))</f>
        <v>1</v>
      </c>
      <c r="N612" s="119">
        <f t="shared" si="65"/>
        <v>595</v>
      </c>
      <c r="O612" s="99" t="str">
        <f t="shared" si="66"/>
        <v>0</v>
      </c>
      <c r="P612" s="119">
        <f t="shared" si="67"/>
        <v>1</v>
      </c>
      <c r="Q612" s="119">
        <f t="shared" si="68"/>
        <v>1</v>
      </c>
    </row>
    <row r="613" spans="2:17">
      <c r="B613" s="116"/>
      <c r="C613" s="116"/>
      <c r="D613" s="116"/>
      <c r="E613" s="116" cm="1">
        <f t="array" ref="E613">IF(H612&lt;&gt;"",E612,IF(E612="","",IFERROR(MATCH(TRUE(),INDEX(INDEX(K:K,E612+1):K203&lt;&gt;"",0),0)+E612,"")))</f>
        <v>755</v>
      </c>
      <c r="F613" s="117" cm="1">
        <f t="array" ref="F613">IF(E613="","",IF(H612&lt;&gt;"",H612,INDEX(D:D,E613)))</f>
        <v>0</v>
      </c>
      <c r="G613" s="117" t="str">
        <f t="shared" si="63"/>
        <v>0</v>
      </c>
      <c r="H613" s="118" t="str">
        <f t="shared" si="64"/>
        <v/>
      </c>
      <c r="I613" s="116" t="str">
        <f>IF(AND(F613&lt;&gt;"",N10&gt;0,M613&gt;N10),"Mot &gt; limite","")</f>
        <v/>
      </c>
      <c r="M613" s="70">
        <f>IF(OR(F613="",N10="",N10&lt;=0),"",IF(LEN(F613)&lt;=N10,LEN(F613),IFERROR(FIND("♦",SUBSTITUTE(LEFT(F613,N10)," ","♦",LEN(LEFT(F613,N10))-LEN(SUBSTITUTE(LEFT(F613,N10)," ","")))),FIND(" ",F613&amp;" ",N10+1)-1)))</f>
        <v>1</v>
      </c>
      <c r="N613" s="119">
        <f t="shared" si="65"/>
        <v>596</v>
      </c>
      <c r="O613" s="99" t="str">
        <f t="shared" si="66"/>
        <v>0</v>
      </c>
      <c r="P613" s="119">
        <f t="shared" si="67"/>
        <v>1</v>
      </c>
      <c r="Q613" s="119">
        <f t="shared" si="68"/>
        <v>1</v>
      </c>
    </row>
    <row r="614" spans="2:17">
      <c r="B614" s="116"/>
      <c r="C614" s="116"/>
      <c r="D614" s="116"/>
      <c r="E614" s="116" cm="1">
        <f t="array" ref="E614">IF(H613&lt;&gt;"",E613,IF(E613="","",IFERROR(MATCH(TRUE(),INDEX(INDEX(K:K,E613+1):K203&lt;&gt;"",0),0)+E613,"")))</f>
        <v>756</v>
      </c>
      <c r="F614" s="117" cm="1">
        <f t="array" ref="F614">IF(E614="","",IF(H613&lt;&gt;"",H613,INDEX(D:D,E614)))</f>
        <v>0</v>
      </c>
      <c r="G614" s="117" t="str">
        <f t="shared" si="63"/>
        <v>0</v>
      </c>
      <c r="H614" s="118" t="str">
        <f t="shared" si="64"/>
        <v/>
      </c>
      <c r="I614" s="116" t="str">
        <f>IF(AND(F614&lt;&gt;"",N10&gt;0,M614&gt;N10),"Mot &gt; limite","")</f>
        <v/>
      </c>
      <c r="M614" s="70">
        <f>IF(OR(F614="",N10="",N10&lt;=0),"",IF(LEN(F614)&lt;=N10,LEN(F614),IFERROR(FIND("♦",SUBSTITUTE(LEFT(F614,N10)," ","♦",LEN(LEFT(F614,N10))-LEN(SUBSTITUTE(LEFT(F614,N10)," ","")))),FIND(" ",F614&amp;" ",N10+1)-1)))</f>
        <v>1</v>
      </c>
      <c r="N614" s="119">
        <f t="shared" si="65"/>
        <v>597</v>
      </c>
      <c r="O614" s="99" t="str">
        <f t="shared" si="66"/>
        <v>0</v>
      </c>
      <c r="P614" s="119">
        <f t="shared" si="67"/>
        <v>1</v>
      </c>
      <c r="Q614" s="119">
        <f t="shared" si="68"/>
        <v>1</v>
      </c>
    </row>
    <row r="615" spans="2:17">
      <c r="B615" s="116"/>
      <c r="C615" s="116"/>
      <c r="D615" s="116"/>
      <c r="E615" s="116" cm="1">
        <f t="array" ref="E615">IF(H614&lt;&gt;"",E614,IF(E614="","",IFERROR(MATCH(TRUE(),INDEX(INDEX(K:K,E614+1):K203&lt;&gt;"",0),0)+E614,"")))</f>
        <v>757</v>
      </c>
      <c r="F615" s="117" cm="1">
        <f t="array" ref="F615">IF(E615="","",IF(H614&lt;&gt;"",H614,INDEX(D:D,E615)))</f>
        <v>0</v>
      </c>
      <c r="G615" s="117" t="str">
        <f t="shared" si="63"/>
        <v>0</v>
      </c>
      <c r="H615" s="118" t="str">
        <f t="shared" si="64"/>
        <v/>
      </c>
      <c r="I615" s="116" t="str">
        <f>IF(AND(F615&lt;&gt;"",N10&gt;0,M615&gt;N10),"Mot &gt; limite","")</f>
        <v/>
      </c>
      <c r="M615" s="70">
        <f>IF(OR(F615="",N10="",N10&lt;=0),"",IF(LEN(F615)&lt;=N10,LEN(F615),IFERROR(FIND("♦",SUBSTITUTE(LEFT(F615,N10)," ","♦",LEN(LEFT(F615,N10))-LEN(SUBSTITUTE(LEFT(F615,N10)," ","")))),FIND(" ",F615&amp;" ",N10+1)-1)))</f>
        <v>1</v>
      </c>
      <c r="N615" s="119">
        <f t="shared" si="65"/>
        <v>598</v>
      </c>
      <c r="O615" s="99" t="str">
        <f t="shared" si="66"/>
        <v>0</v>
      </c>
      <c r="P615" s="119">
        <f t="shared" si="67"/>
        <v>1</v>
      </c>
      <c r="Q615" s="119">
        <f t="shared" si="68"/>
        <v>1</v>
      </c>
    </row>
    <row r="616" spans="2:17">
      <c r="B616" s="116"/>
      <c r="C616" s="116"/>
      <c r="D616" s="116"/>
      <c r="E616" s="116" cm="1">
        <f t="array" ref="E616">IF(H615&lt;&gt;"",E615,IF(E615="","",IFERROR(MATCH(TRUE(),INDEX(INDEX(K:K,E615+1):K203&lt;&gt;"",0),0)+E615,"")))</f>
        <v>758</v>
      </c>
      <c r="F616" s="117" cm="1">
        <f t="array" ref="F616">IF(E616="","",IF(H615&lt;&gt;"",H615,INDEX(D:D,E616)))</f>
        <v>0</v>
      </c>
      <c r="G616" s="117" t="str">
        <f t="shared" si="63"/>
        <v>0</v>
      </c>
      <c r="H616" s="118" t="str">
        <f t="shared" si="64"/>
        <v/>
      </c>
      <c r="I616" s="116" t="str">
        <f>IF(AND(F616&lt;&gt;"",N10&gt;0,M616&gt;N10),"Mot &gt; limite","")</f>
        <v/>
      </c>
      <c r="M616" s="70">
        <f>IF(OR(F616="",N10="",N10&lt;=0),"",IF(LEN(F616)&lt;=N10,LEN(F616),IFERROR(FIND("♦",SUBSTITUTE(LEFT(F616,N10)," ","♦",LEN(LEFT(F616,N10))-LEN(SUBSTITUTE(LEFT(F616,N10)," ","")))),FIND(" ",F616&amp;" ",N10+1)-1)))</f>
        <v>1</v>
      </c>
      <c r="N616" s="119">
        <f t="shared" si="65"/>
        <v>599</v>
      </c>
      <c r="O616" s="99" t="str">
        <f t="shared" si="66"/>
        <v>0</v>
      </c>
      <c r="P616" s="119">
        <f t="shared" si="67"/>
        <v>1</v>
      </c>
      <c r="Q616" s="119">
        <f t="shared" si="68"/>
        <v>1</v>
      </c>
    </row>
    <row r="617" spans="2:17">
      <c r="B617" s="116"/>
      <c r="C617" s="116"/>
      <c r="D617" s="116"/>
      <c r="E617" s="116" cm="1">
        <f t="array" ref="E617">IF(H616&lt;&gt;"",E616,IF(E616="","",IFERROR(MATCH(TRUE(),INDEX(INDEX(K:K,E616+1):K203&lt;&gt;"",0),0)+E616,"")))</f>
        <v>759</v>
      </c>
      <c r="F617" s="117" cm="1">
        <f t="array" ref="F617">IF(E617="","",IF(H616&lt;&gt;"",H616,INDEX(D:D,E617)))</f>
        <v>0</v>
      </c>
      <c r="G617" s="117" t="str">
        <f t="shared" si="63"/>
        <v>0</v>
      </c>
      <c r="H617" s="118" t="str">
        <f t="shared" si="64"/>
        <v/>
      </c>
      <c r="I617" s="116" t="str">
        <f>IF(AND(F617&lt;&gt;"",N10&gt;0,M617&gt;N10),"Mot &gt; limite","")</f>
        <v/>
      </c>
      <c r="M617" s="70">
        <f>IF(OR(F617="",N10="",N10&lt;=0),"",IF(LEN(F617)&lt;=N10,LEN(F617),IFERROR(FIND("♦",SUBSTITUTE(LEFT(F617,N10)," ","♦",LEN(LEFT(F617,N10))-LEN(SUBSTITUTE(LEFT(F617,N10)," ","")))),FIND(" ",F617&amp;" ",N10+1)-1)))</f>
        <v>1</v>
      </c>
      <c r="N617" s="119">
        <f t="shared" si="65"/>
        <v>600</v>
      </c>
      <c r="O617" s="99" t="str">
        <f t="shared" si="66"/>
        <v>0</v>
      </c>
      <c r="P617" s="119">
        <f t="shared" si="67"/>
        <v>1</v>
      </c>
      <c r="Q617" s="119">
        <f t="shared" si="68"/>
        <v>1</v>
      </c>
    </row>
    <row r="618" spans="2:17">
      <c r="B618" s="116"/>
      <c r="C618" s="116"/>
      <c r="D618" s="116"/>
      <c r="E618" s="116" cm="1">
        <f t="array" ref="E618">IF(H617&lt;&gt;"",E617,IF(E617="","",IFERROR(MATCH(TRUE(),INDEX(INDEX(K:K,E617+1):K203&lt;&gt;"",0),0)+E617,"")))</f>
        <v>760</v>
      </c>
      <c r="F618" s="117" cm="1">
        <f t="array" ref="F618">IF(E618="","",IF(H617&lt;&gt;"",H617,INDEX(D:D,E618)))</f>
        <v>0</v>
      </c>
      <c r="G618" s="117" t="str">
        <f t="shared" si="63"/>
        <v>0</v>
      </c>
      <c r="H618" s="118" t="str">
        <f t="shared" si="64"/>
        <v/>
      </c>
      <c r="I618" s="116" t="str">
        <f>IF(AND(F618&lt;&gt;"",N10&gt;0,M618&gt;N10),"Mot &gt; limite","")</f>
        <v/>
      </c>
      <c r="M618" s="70">
        <f>IF(OR(F618="",N10="",N10&lt;=0),"",IF(LEN(F618)&lt;=N10,LEN(F618),IFERROR(FIND("♦",SUBSTITUTE(LEFT(F618,N10)," ","♦",LEN(LEFT(F618,N10))-LEN(SUBSTITUTE(LEFT(F618,N10)," ","")))),FIND(" ",F618&amp;" ",N10+1)-1)))</f>
        <v>1</v>
      </c>
      <c r="N618" s="119">
        <f t="shared" si="65"/>
        <v>601</v>
      </c>
      <c r="O618" s="99" t="str">
        <f t="shared" si="66"/>
        <v>0</v>
      </c>
      <c r="P618" s="119">
        <f t="shared" si="67"/>
        <v>1</v>
      </c>
      <c r="Q618" s="119">
        <f t="shared" si="68"/>
        <v>1</v>
      </c>
    </row>
    <row r="619" spans="2:17">
      <c r="B619" s="116"/>
      <c r="C619" s="116"/>
      <c r="D619" s="116"/>
      <c r="E619" s="116" cm="1">
        <f t="array" ref="E619">IF(H618&lt;&gt;"",E618,IF(E618="","",IFERROR(MATCH(TRUE(),INDEX(INDEX(K:K,E618+1):K203&lt;&gt;"",0),0)+E618,"")))</f>
        <v>761</v>
      </c>
      <c r="F619" s="117" cm="1">
        <f t="array" ref="F619">IF(E619="","",IF(H618&lt;&gt;"",H618,INDEX(D:D,E619)))</f>
        <v>0</v>
      </c>
      <c r="G619" s="117" t="str">
        <f t="shared" si="63"/>
        <v>0</v>
      </c>
      <c r="H619" s="118" t="str">
        <f t="shared" si="64"/>
        <v/>
      </c>
      <c r="I619" s="116" t="str">
        <f>IF(AND(F619&lt;&gt;"",N10&gt;0,M619&gt;N10),"Mot &gt; limite","")</f>
        <v/>
      </c>
      <c r="M619" s="70">
        <f>IF(OR(F619="",N10="",N10&lt;=0),"",IF(LEN(F619)&lt;=N10,LEN(F619),IFERROR(FIND("♦",SUBSTITUTE(LEFT(F619,N10)," ","♦",LEN(LEFT(F619,N10))-LEN(SUBSTITUTE(LEFT(F619,N10)," ","")))),FIND(" ",F619&amp;" ",N10+1)-1)))</f>
        <v>1</v>
      </c>
      <c r="N619" s="119">
        <f t="shared" si="65"/>
        <v>602</v>
      </c>
      <c r="O619" s="99" t="str">
        <f t="shared" si="66"/>
        <v>0</v>
      </c>
      <c r="P619" s="119">
        <f t="shared" si="67"/>
        <v>1</v>
      </c>
      <c r="Q619" s="119">
        <f t="shared" si="68"/>
        <v>1</v>
      </c>
    </row>
    <row r="620" spans="2:17">
      <c r="B620" s="116"/>
      <c r="C620" s="116"/>
      <c r="D620" s="116"/>
      <c r="E620" s="116" cm="1">
        <f t="array" ref="E620">IF(H619&lt;&gt;"",E619,IF(E619="","",IFERROR(MATCH(TRUE(),INDEX(INDEX(K:K,E619+1):K203&lt;&gt;"",0),0)+E619,"")))</f>
        <v>762</v>
      </c>
      <c r="F620" s="117" cm="1">
        <f t="array" ref="F620">IF(E620="","",IF(H619&lt;&gt;"",H619,INDEX(D:D,E620)))</f>
        <v>0</v>
      </c>
      <c r="G620" s="117" t="str">
        <f t="shared" si="63"/>
        <v>0</v>
      </c>
      <c r="H620" s="118" t="str">
        <f t="shared" si="64"/>
        <v/>
      </c>
      <c r="I620" s="116" t="str">
        <f>IF(AND(F620&lt;&gt;"",N10&gt;0,M620&gt;N10),"Mot &gt; limite","")</f>
        <v/>
      </c>
      <c r="M620" s="70">
        <f>IF(OR(F620="",N10="",N10&lt;=0),"",IF(LEN(F620)&lt;=N10,LEN(F620),IFERROR(FIND("♦",SUBSTITUTE(LEFT(F620,N10)," ","♦",LEN(LEFT(F620,N10))-LEN(SUBSTITUTE(LEFT(F620,N10)," ","")))),FIND(" ",F620&amp;" ",N10+1)-1)))</f>
        <v>1</v>
      </c>
      <c r="N620" s="119">
        <f t="shared" si="65"/>
        <v>603</v>
      </c>
      <c r="O620" s="99" t="str">
        <f t="shared" si="66"/>
        <v>0</v>
      </c>
      <c r="P620" s="119">
        <f t="shared" si="67"/>
        <v>1</v>
      </c>
      <c r="Q620" s="119">
        <f t="shared" si="68"/>
        <v>1</v>
      </c>
    </row>
    <row r="621" spans="2:17">
      <c r="B621" s="116"/>
      <c r="C621" s="116"/>
      <c r="D621" s="116"/>
      <c r="E621" s="116" cm="1">
        <f t="array" ref="E621">IF(H620&lt;&gt;"",E620,IF(E620="","",IFERROR(MATCH(TRUE(),INDEX(INDEX(K:K,E620+1):K203&lt;&gt;"",0),0)+E620,"")))</f>
        <v>763</v>
      </c>
      <c r="F621" s="117" cm="1">
        <f t="array" ref="F621">IF(E621="","",IF(H620&lt;&gt;"",H620,INDEX(D:D,E621)))</f>
        <v>0</v>
      </c>
      <c r="G621" s="117" t="str">
        <f t="shared" si="63"/>
        <v>0</v>
      </c>
      <c r="H621" s="118" t="str">
        <f t="shared" si="64"/>
        <v/>
      </c>
      <c r="I621" s="116" t="str">
        <f>IF(AND(F621&lt;&gt;"",N10&gt;0,M621&gt;N10),"Mot &gt; limite","")</f>
        <v/>
      </c>
      <c r="M621" s="70">
        <f>IF(OR(F621="",N10="",N10&lt;=0),"",IF(LEN(F621)&lt;=N10,LEN(F621),IFERROR(FIND("♦",SUBSTITUTE(LEFT(F621,N10)," ","♦",LEN(LEFT(F621,N10))-LEN(SUBSTITUTE(LEFT(F621,N10)," ","")))),FIND(" ",F621&amp;" ",N10+1)-1)))</f>
        <v>1</v>
      </c>
      <c r="N621" s="119">
        <f t="shared" si="65"/>
        <v>604</v>
      </c>
      <c r="O621" s="99" t="str">
        <f t="shared" si="66"/>
        <v>0</v>
      </c>
      <c r="P621" s="119">
        <f t="shared" si="67"/>
        <v>1</v>
      </c>
      <c r="Q621" s="119">
        <f t="shared" si="68"/>
        <v>1</v>
      </c>
    </row>
    <row r="622" spans="2:17">
      <c r="B622" s="116"/>
      <c r="C622" s="116"/>
      <c r="D622" s="116"/>
      <c r="E622" s="116" cm="1">
        <f t="array" ref="E622">IF(H621&lt;&gt;"",E621,IF(E621="","",IFERROR(MATCH(TRUE(),INDEX(INDEX(K:K,E621+1):K203&lt;&gt;"",0),0)+E621,"")))</f>
        <v>764</v>
      </c>
      <c r="F622" s="117" cm="1">
        <f t="array" ref="F622">IF(E622="","",IF(H621&lt;&gt;"",H621,INDEX(D:D,E622)))</f>
        <v>0</v>
      </c>
      <c r="G622" s="117" t="str">
        <f t="shared" si="63"/>
        <v>0</v>
      </c>
      <c r="H622" s="118" t="str">
        <f t="shared" si="64"/>
        <v/>
      </c>
      <c r="I622" s="116" t="str">
        <f>IF(AND(F622&lt;&gt;"",N10&gt;0,M622&gt;N10),"Mot &gt; limite","")</f>
        <v/>
      </c>
      <c r="M622" s="70">
        <f>IF(OR(F622="",N10="",N10&lt;=0),"",IF(LEN(F622)&lt;=N10,LEN(F622),IFERROR(FIND("♦",SUBSTITUTE(LEFT(F622,N10)," ","♦",LEN(LEFT(F622,N10))-LEN(SUBSTITUTE(LEFT(F622,N10)," ","")))),FIND(" ",F622&amp;" ",N10+1)-1)))</f>
        <v>1</v>
      </c>
      <c r="N622" s="119">
        <f t="shared" si="65"/>
        <v>605</v>
      </c>
      <c r="O622" s="99" t="str">
        <f t="shared" si="66"/>
        <v>0</v>
      </c>
      <c r="P622" s="119">
        <f t="shared" si="67"/>
        <v>1</v>
      </c>
      <c r="Q622" s="119">
        <f t="shared" si="68"/>
        <v>1</v>
      </c>
    </row>
    <row r="623" spans="2:17">
      <c r="B623" s="116"/>
      <c r="C623" s="116"/>
      <c r="D623" s="116"/>
      <c r="E623" s="116" cm="1">
        <f t="array" ref="E623">IF(H622&lt;&gt;"",E622,IF(E622="","",IFERROR(MATCH(TRUE(),INDEX(INDEX(K:K,E622+1):K203&lt;&gt;"",0),0)+E622,"")))</f>
        <v>765</v>
      </c>
      <c r="F623" s="117" cm="1">
        <f t="array" ref="F623">IF(E623="","",IF(H622&lt;&gt;"",H622,INDEX(D:D,E623)))</f>
        <v>0</v>
      </c>
      <c r="G623" s="117" t="str">
        <f t="shared" si="63"/>
        <v>0</v>
      </c>
      <c r="H623" s="118" t="str">
        <f t="shared" si="64"/>
        <v/>
      </c>
      <c r="I623" s="116" t="str">
        <f>IF(AND(F623&lt;&gt;"",N10&gt;0,M623&gt;N10),"Mot &gt; limite","")</f>
        <v/>
      </c>
      <c r="M623" s="70">
        <f>IF(OR(F623="",N10="",N10&lt;=0),"",IF(LEN(F623)&lt;=N10,LEN(F623),IFERROR(FIND("♦",SUBSTITUTE(LEFT(F623,N10)," ","♦",LEN(LEFT(F623,N10))-LEN(SUBSTITUTE(LEFT(F623,N10)," ","")))),FIND(" ",F623&amp;" ",N10+1)-1)))</f>
        <v>1</v>
      </c>
      <c r="N623" s="119">
        <f t="shared" si="65"/>
        <v>606</v>
      </c>
      <c r="O623" s="99" t="str">
        <f t="shared" si="66"/>
        <v>0</v>
      </c>
      <c r="P623" s="119">
        <f t="shared" si="67"/>
        <v>1</v>
      </c>
      <c r="Q623" s="119">
        <f t="shared" si="68"/>
        <v>1</v>
      </c>
    </row>
    <row r="624" spans="2:17">
      <c r="B624" s="116"/>
      <c r="C624" s="116"/>
      <c r="D624" s="116"/>
      <c r="E624" s="116" cm="1">
        <f t="array" ref="E624">IF(H623&lt;&gt;"",E623,IF(E623="","",IFERROR(MATCH(TRUE(),INDEX(INDEX(K:K,E623+1):K203&lt;&gt;"",0),0)+E623,"")))</f>
        <v>766</v>
      </c>
      <c r="F624" s="117" cm="1">
        <f t="array" ref="F624">IF(E624="","",IF(H623&lt;&gt;"",H623,INDEX(D:D,E624)))</f>
        <v>0</v>
      </c>
      <c r="G624" s="117" t="str">
        <f t="shared" si="63"/>
        <v>0</v>
      </c>
      <c r="H624" s="118" t="str">
        <f t="shared" si="64"/>
        <v/>
      </c>
      <c r="I624" s="116" t="str">
        <f>IF(AND(F624&lt;&gt;"",N10&gt;0,M624&gt;N10),"Mot &gt; limite","")</f>
        <v/>
      </c>
      <c r="M624" s="70">
        <f>IF(OR(F624="",N10="",N10&lt;=0),"",IF(LEN(F624)&lt;=N10,LEN(F624),IFERROR(FIND("♦",SUBSTITUTE(LEFT(F624,N10)," ","♦",LEN(LEFT(F624,N10))-LEN(SUBSTITUTE(LEFT(F624,N10)," ","")))),FIND(" ",F624&amp;" ",N10+1)-1)))</f>
        <v>1</v>
      </c>
      <c r="N624" s="119">
        <f t="shared" si="65"/>
        <v>607</v>
      </c>
      <c r="O624" s="99" t="str">
        <f t="shared" si="66"/>
        <v>0</v>
      </c>
      <c r="P624" s="119">
        <f t="shared" si="67"/>
        <v>1</v>
      </c>
      <c r="Q624" s="119">
        <f t="shared" si="68"/>
        <v>1</v>
      </c>
    </row>
    <row r="625" spans="2:17">
      <c r="B625" s="116"/>
      <c r="C625" s="116"/>
      <c r="D625" s="116"/>
      <c r="E625" s="116" cm="1">
        <f t="array" ref="E625">IF(H624&lt;&gt;"",E624,IF(E624="","",IFERROR(MATCH(TRUE(),INDEX(INDEX(K:K,E624+1):K203&lt;&gt;"",0),0)+E624,"")))</f>
        <v>767</v>
      </c>
      <c r="F625" s="117" cm="1">
        <f t="array" ref="F625">IF(E625="","",IF(H624&lt;&gt;"",H624,INDEX(D:D,E625)))</f>
        <v>0</v>
      </c>
      <c r="G625" s="117" t="str">
        <f t="shared" si="63"/>
        <v>0</v>
      </c>
      <c r="H625" s="118" t="str">
        <f t="shared" si="64"/>
        <v/>
      </c>
      <c r="I625" s="116" t="str">
        <f>IF(AND(F625&lt;&gt;"",N10&gt;0,M625&gt;N10),"Mot &gt; limite","")</f>
        <v/>
      </c>
      <c r="M625" s="70">
        <f>IF(OR(F625="",N10="",N10&lt;=0),"",IF(LEN(F625)&lt;=N10,LEN(F625),IFERROR(FIND("♦",SUBSTITUTE(LEFT(F625,N10)," ","♦",LEN(LEFT(F625,N10))-LEN(SUBSTITUTE(LEFT(F625,N10)," ","")))),FIND(" ",F625&amp;" ",N10+1)-1)))</f>
        <v>1</v>
      </c>
      <c r="N625" s="119">
        <f t="shared" si="65"/>
        <v>608</v>
      </c>
      <c r="O625" s="99" t="str">
        <f t="shared" si="66"/>
        <v>0</v>
      </c>
      <c r="P625" s="119">
        <f t="shared" si="67"/>
        <v>1</v>
      </c>
      <c r="Q625" s="119">
        <f t="shared" si="68"/>
        <v>1</v>
      </c>
    </row>
    <row r="626" spans="2:17">
      <c r="B626" s="116"/>
      <c r="C626" s="116"/>
      <c r="D626" s="116"/>
      <c r="E626" s="116" cm="1">
        <f t="array" ref="E626">IF(H625&lt;&gt;"",E625,IF(E625="","",IFERROR(MATCH(TRUE(),INDEX(INDEX(K:K,E625+1):K203&lt;&gt;"",0),0)+E625,"")))</f>
        <v>768</v>
      </c>
      <c r="F626" s="117" cm="1">
        <f t="array" ref="F626">IF(E626="","",IF(H625&lt;&gt;"",H625,INDEX(D:D,E626)))</f>
        <v>0</v>
      </c>
      <c r="G626" s="117" t="str">
        <f t="shared" si="63"/>
        <v>0</v>
      </c>
      <c r="H626" s="118" t="str">
        <f t="shared" si="64"/>
        <v/>
      </c>
      <c r="I626" s="116" t="str">
        <f>IF(AND(F626&lt;&gt;"",N10&gt;0,M626&gt;N10),"Mot &gt; limite","")</f>
        <v/>
      </c>
      <c r="M626" s="70">
        <f>IF(OR(F626="",N10="",N10&lt;=0),"",IF(LEN(F626)&lt;=N10,LEN(F626),IFERROR(FIND("♦",SUBSTITUTE(LEFT(F626,N10)," ","♦",LEN(LEFT(F626,N10))-LEN(SUBSTITUTE(LEFT(F626,N10)," ","")))),FIND(" ",F626&amp;" ",N10+1)-1)))</f>
        <v>1</v>
      </c>
      <c r="N626" s="119">
        <f t="shared" si="65"/>
        <v>609</v>
      </c>
      <c r="O626" s="99" t="str">
        <f t="shared" si="66"/>
        <v>0</v>
      </c>
      <c r="P626" s="119">
        <f t="shared" si="67"/>
        <v>1</v>
      </c>
      <c r="Q626" s="119">
        <f t="shared" si="68"/>
        <v>1</v>
      </c>
    </row>
    <row r="627" spans="2:17">
      <c r="B627" s="116"/>
      <c r="C627" s="116"/>
      <c r="D627" s="116"/>
      <c r="E627" s="116" cm="1">
        <f t="array" ref="E627">IF(H626&lt;&gt;"",E626,IF(E626="","",IFERROR(MATCH(TRUE(),INDEX(INDEX(K:K,E626+1):K203&lt;&gt;"",0),0)+E626,"")))</f>
        <v>769</v>
      </c>
      <c r="F627" s="117" cm="1">
        <f t="array" ref="F627">IF(E627="","",IF(H626&lt;&gt;"",H626,INDEX(D:D,E627)))</f>
        <v>0</v>
      </c>
      <c r="G627" s="117" t="str">
        <f t="shared" si="63"/>
        <v>0</v>
      </c>
      <c r="H627" s="118" t="str">
        <f t="shared" si="64"/>
        <v/>
      </c>
      <c r="I627" s="116" t="str">
        <f>IF(AND(F627&lt;&gt;"",N10&gt;0,M627&gt;N10),"Mot &gt; limite","")</f>
        <v/>
      </c>
      <c r="M627" s="70">
        <f>IF(OR(F627="",N10="",N10&lt;=0),"",IF(LEN(F627)&lt;=N10,LEN(F627),IFERROR(FIND("♦",SUBSTITUTE(LEFT(F627,N10)," ","♦",LEN(LEFT(F627,N10))-LEN(SUBSTITUTE(LEFT(F627,N10)," ","")))),FIND(" ",F627&amp;" ",N10+1)-1)))</f>
        <v>1</v>
      </c>
      <c r="N627" s="119">
        <f t="shared" si="65"/>
        <v>610</v>
      </c>
      <c r="O627" s="99" t="str">
        <f t="shared" si="66"/>
        <v>0</v>
      </c>
      <c r="P627" s="119">
        <f t="shared" si="67"/>
        <v>1</v>
      </c>
      <c r="Q627" s="119">
        <f t="shared" si="68"/>
        <v>1</v>
      </c>
    </row>
    <row r="628" spans="2:17">
      <c r="B628" s="116"/>
      <c r="C628" s="116"/>
      <c r="D628" s="116"/>
      <c r="E628" s="116" cm="1">
        <f t="array" ref="E628">IF(H627&lt;&gt;"",E627,IF(E627="","",IFERROR(MATCH(TRUE(),INDEX(INDEX(K:K,E627+1):K203&lt;&gt;"",0),0)+E627,"")))</f>
        <v>770</v>
      </c>
      <c r="F628" s="117" cm="1">
        <f t="array" ref="F628">IF(E628="","",IF(H627&lt;&gt;"",H627,INDEX(D:D,E628)))</f>
        <v>0</v>
      </c>
      <c r="G628" s="117" t="str">
        <f t="shared" si="63"/>
        <v>0</v>
      </c>
      <c r="H628" s="118" t="str">
        <f t="shared" si="64"/>
        <v/>
      </c>
      <c r="I628" s="116" t="str">
        <f>IF(AND(F628&lt;&gt;"",N10&gt;0,M628&gt;N10),"Mot &gt; limite","")</f>
        <v/>
      </c>
      <c r="M628" s="70">
        <f>IF(OR(F628="",N10="",N10&lt;=0),"",IF(LEN(F628)&lt;=N10,LEN(F628),IFERROR(FIND("♦",SUBSTITUTE(LEFT(F628,N10)," ","♦",LEN(LEFT(F628,N10))-LEN(SUBSTITUTE(LEFT(F628,N10)," ","")))),FIND(" ",F628&amp;" ",N10+1)-1)))</f>
        <v>1</v>
      </c>
      <c r="N628" s="119">
        <f t="shared" si="65"/>
        <v>611</v>
      </c>
      <c r="O628" s="99" t="str">
        <f t="shared" si="66"/>
        <v>0</v>
      </c>
      <c r="P628" s="119">
        <f t="shared" si="67"/>
        <v>1</v>
      </c>
      <c r="Q628" s="119">
        <f t="shared" si="68"/>
        <v>1</v>
      </c>
    </row>
    <row r="629" spans="2:17">
      <c r="B629" s="116"/>
      <c r="C629" s="116"/>
      <c r="D629" s="116"/>
      <c r="E629" s="116" cm="1">
        <f t="array" ref="E629">IF(H628&lt;&gt;"",E628,IF(E628="","",IFERROR(MATCH(TRUE(),INDEX(INDEX(K:K,E628+1):K203&lt;&gt;"",0),0)+E628,"")))</f>
        <v>771</v>
      </c>
      <c r="F629" s="117" cm="1">
        <f t="array" ref="F629">IF(E629="","",IF(H628&lt;&gt;"",H628,INDEX(D:D,E629)))</f>
        <v>0</v>
      </c>
      <c r="G629" s="117" t="str">
        <f t="shared" si="63"/>
        <v>0</v>
      </c>
      <c r="H629" s="118" t="str">
        <f t="shared" si="64"/>
        <v/>
      </c>
      <c r="I629" s="116" t="str">
        <f>IF(AND(F629&lt;&gt;"",N10&gt;0,M629&gt;N10),"Mot &gt; limite","")</f>
        <v/>
      </c>
      <c r="M629" s="70">
        <f>IF(OR(F629="",N10="",N10&lt;=0),"",IF(LEN(F629)&lt;=N10,LEN(F629),IFERROR(FIND("♦",SUBSTITUTE(LEFT(F629,N10)," ","♦",LEN(LEFT(F629,N10))-LEN(SUBSTITUTE(LEFT(F629,N10)," ","")))),FIND(" ",F629&amp;" ",N10+1)-1)))</f>
        <v>1</v>
      </c>
      <c r="N629" s="119">
        <f t="shared" si="65"/>
        <v>612</v>
      </c>
      <c r="O629" s="99" t="str">
        <f t="shared" si="66"/>
        <v>0</v>
      </c>
      <c r="P629" s="119">
        <f t="shared" si="67"/>
        <v>1</v>
      </c>
      <c r="Q629" s="119">
        <f t="shared" si="68"/>
        <v>1</v>
      </c>
    </row>
    <row r="630" spans="2:17">
      <c r="B630" s="116"/>
      <c r="C630" s="116"/>
      <c r="D630" s="116"/>
      <c r="E630" s="116" cm="1">
        <f t="array" ref="E630">IF(H629&lt;&gt;"",E629,IF(E629="","",IFERROR(MATCH(TRUE(),INDEX(INDEX(K:K,E629+1):K203&lt;&gt;"",0),0)+E629,"")))</f>
        <v>772</v>
      </c>
      <c r="F630" s="117" cm="1">
        <f t="array" ref="F630">IF(E630="","",IF(H629&lt;&gt;"",H629,INDEX(D:D,E630)))</f>
        <v>0</v>
      </c>
      <c r="G630" s="117" t="str">
        <f t="shared" si="63"/>
        <v>0</v>
      </c>
      <c r="H630" s="118" t="str">
        <f t="shared" si="64"/>
        <v/>
      </c>
      <c r="I630" s="116" t="str">
        <f>IF(AND(F630&lt;&gt;"",N10&gt;0,M630&gt;N10),"Mot &gt; limite","")</f>
        <v/>
      </c>
      <c r="M630" s="70">
        <f>IF(OR(F630="",N10="",N10&lt;=0),"",IF(LEN(F630)&lt;=N10,LEN(F630),IFERROR(FIND("♦",SUBSTITUTE(LEFT(F630,N10)," ","♦",LEN(LEFT(F630,N10))-LEN(SUBSTITUTE(LEFT(F630,N10)," ","")))),FIND(" ",F630&amp;" ",N10+1)-1)))</f>
        <v>1</v>
      </c>
      <c r="N630" s="119">
        <f t="shared" si="65"/>
        <v>613</v>
      </c>
      <c r="O630" s="99" t="str">
        <f t="shared" si="66"/>
        <v>0</v>
      </c>
      <c r="P630" s="119">
        <f t="shared" si="67"/>
        <v>1</v>
      </c>
      <c r="Q630" s="119">
        <f t="shared" si="68"/>
        <v>1</v>
      </c>
    </row>
    <row r="631" spans="2:17">
      <c r="B631" s="116"/>
      <c r="C631" s="116"/>
      <c r="D631" s="116"/>
      <c r="E631" s="116" cm="1">
        <f t="array" ref="E631">IF(H630&lt;&gt;"",E630,IF(E630="","",IFERROR(MATCH(TRUE(),INDEX(INDEX(K:K,E630+1):K203&lt;&gt;"",0),0)+E630,"")))</f>
        <v>773</v>
      </c>
      <c r="F631" s="117" cm="1">
        <f t="array" ref="F631">IF(E631="","",IF(H630&lt;&gt;"",H630,INDEX(D:D,E631)))</f>
        <v>0</v>
      </c>
      <c r="G631" s="117" t="str">
        <f t="shared" si="63"/>
        <v>0</v>
      </c>
      <c r="H631" s="118" t="str">
        <f t="shared" si="64"/>
        <v/>
      </c>
      <c r="I631" s="116" t="str">
        <f>IF(AND(F631&lt;&gt;"",N10&gt;0,M631&gt;N10),"Mot &gt; limite","")</f>
        <v/>
      </c>
      <c r="M631" s="70">
        <f>IF(OR(F631="",N10="",N10&lt;=0),"",IF(LEN(F631)&lt;=N10,LEN(F631),IFERROR(FIND("♦",SUBSTITUTE(LEFT(F631,N10)," ","♦",LEN(LEFT(F631,N10))-LEN(SUBSTITUTE(LEFT(F631,N10)," ","")))),FIND(" ",F631&amp;" ",N10+1)-1)))</f>
        <v>1</v>
      </c>
      <c r="N631" s="119">
        <f t="shared" si="65"/>
        <v>614</v>
      </c>
      <c r="O631" s="99" t="str">
        <f t="shared" si="66"/>
        <v>0</v>
      </c>
      <c r="P631" s="119">
        <f t="shared" si="67"/>
        <v>1</v>
      </c>
      <c r="Q631" s="119">
        <f t="shared" si="68"/>
        <v>1</v>
      </c>
    </row>
    <row r="632" spans="2:17">
      <c r="B632" s="116"/>
      <c r="C632" s="116"/>
      <c r="D632" s="116"/>
      <c r="E632" s="116" cm="1">
        <f t="array" ref="E632">IF(H631&lt;&gt;"",E631,IF(E631="","",IFERROR(MATCH(TRUE(),INDEX(INDEX(K:K,E631+1):K203&lt;&gt;"",0),0)+E631,"")))</f>
        <v>774</v>
      </c>
      <c r="F632" s="117" cm="1">
        <f t="array" ref="F632">IF(E632="","",IF(H631&lt;&gt;"",H631,INDEX(D:D,E632)))</f>
        <v>0</v>
      </c>
      <c r="G632" s="117" t="str">
        <f t="shared" si="63"/>
        <v>0</v>
      </c>
      <c r="H632" s="118" t="str">
        <f t="shared" si="64"/>
        <v/>
      </c>
      <c r="I632" s="116" t="str">
        <f>IF(AND(F632&lt;&gt;"",N10&gt;0,M632&gt;N10),"Mot &gt; limite","")</f>
        <v/>
      </c>
      <c r="M632" s="70">
        <f>IF(OR(F632="",N10="",N10&lt;=0),"",IF(LEN(F632)&lt;=N10,LEN(F632),IFERROR(FIND("♦",SUBSTITUTE(LEFT(F632,N10)," ","♦",LEN(LEFT(F632,N10))-LEN(SUBSTITUTE(LEFT(F632,N10)," ","")))),FIND(" ",F632&amp;" ",N10+1)-1)))</f>
        <v>1</v>
      </c>
      <c r="N632" s="119">
        <f t="shared" si="65"/>
        <v>615</v>
      </c>
      <c r="O632" s="99" t="str">
        <f t="shared" si="66"/>
        <v>0</v>
      </c>
      <c r="P632" s="119">
        <f t="shared" si="67"/>
        <v>1</v>
      </c>
      <c r="Q632" s="119">
        <f t="shared" si="68"/>
        <v>1</v>
      </c>
    </row>
    <row r="633" spans="2:17">
      <c r="B633" s="116"/>
      <c r="C633" s="116"/>
      <c r="D633" s="116"/>
      <c r="E633" s="116" cm="1">
        <f t="array" ref="E633">IF(H632&lt;&gt;"",E632,IF(E632="","",IFERROR(MATCH(TRUE(),INDEX(INDEX(K:K,E632+1):K203&lt;&gt;"",0),0)+E632,"")))</f>
        <v>775</v>
      </c>
      <c r="F633" s="117" cm="1">
        <f t="array" ref="F633">IF(E633="","",IF(H632&lt;&gt;"",H632,INDEX(D:D,E633)))</f>
        <v>0</v>
      </c>
      <c r="G633" s="117" t="str">
        <f t="shared" si="63"/>
        <v>0</v>
      </c>
      <c r="H633" s="118" t="str">
        <f t="shared" si="64"/>
        <v/>
      </c>
      <c r="I633" s="116" t="str">
        <f>IF(AND(F633&lt;&gt;"",N10&gt;0,M633&gt;N10),"Mot &gt; limite","")</f>
        <v/>
      </c>
      <c r="M633" s="70">
        <f>IF(OR(F633="",N10="",N10&lt;=0),"",IF(LEN(F633)&lt;=N10,LEN(F633),IFERROR(FIND("♦",SUBSTITUTE(LEFT(F633,N10)," ","♦",LEN(LEFT(F633,N10))-LEN(SUBSTITUTE(LEFT(F633,N10)," ","")))),FIND(" ",F633&amp;" ",N10+1)-1)))</f>
        <v>1</v>
      </c>
      <c r="N633" s="119">
        <f t="shared" si="65"/>
        <v>616</v>
      </c>
      <c r="O633" s="99" t="str">
        <f t="shared" si="66"/>
        <v>0</v>
      </c>
      <c r="P633" s="119">
        <f t="shared" si="67"/>
        <v>1</v>
      </c>
      <c r="Q633" s="119">
        <f t="shared" si="68"/>
        <v>1</v>
      </c>
    </row>
    <row r="634" spans="2:17">
      <c r="B634" s="116"/>
      <c r="C634" s="116"/>
      <c r="D634" s="116"/>
      <c r="E634" s="116" cm="1">
        <f t="array" ref="E634">IF(H633&lt;&gt;"",E633,IF(E633="","",IFERROR(MATCH(TRUE(),INDEX(INDEX(K:K,E633+1):K203&lt;&gt;"",0),0)+E633,"")))</f>
        <v>776</v>
      </c>
      <c r="F634" s="117" cm="1">
        <f t="array" ref="F634">IF(E634="","",IF(H633&lt;&gt;"",H633,INDEX(D:D,E634)))</f>
        <v>0</v>
      </c>
      <c r="G634" s="117" t="str">
        <f t="shared" si="63"/>
        <v>0</v>
      </c>
      <c r="H634" s="118" t="str">
        <f t="shared" si="64"/>
        <v/>
      </c>
      <c r="I634" s="116" t="str">
        <f>IF(AND(F634&lt;&gt;"",N10&gt;0,M634&gt;N10),"Mot &gt; limite","")</f>
        <v/>
      </c>
      <c r="M634" s="70">
        <f>IF(OR(F634="",N10="",N10&lt;=0),"",IF(LEN(F634)&lt;=N10,LEN(F634),IFERROR(FIND("♦",SUBSTITUTE(LEFT(F634,N10)," ","♦",LEN(LEFT(F634,N10))-LEN(SUBSTITUTE(LEFT(F634,N10)," ","")))),FIND(" ",F634&amp;" ",N10+1)-1)))</f>
        <v>1</v>
      </c>
      <c r="N634" s="119">
        <f t="shared" si="65"/>
        <v>617</v>
      </c>
      <c r="O634" s="99" t="str">
        <f t="shared" si="66"/>
        <v>0</v>
      </c>
      <c r="P634" s="119">
        <f t="shared" si="67"/>
        <v>1</v>
      </c>
      <c r="Q634" s="119">
        <f t="shared" si="68"/>
        <v>1</v>
      </c>
    </row>
    <row r="635" spans="2:17">
      <c r="B635" s="116"/>
      <c r="C635" s="116"/>
      <c r="D635" s="116"/>
      <c r="E635" s="116" cm="1">
        <f t="array" ref="E635">IF(H634&lt;&gt;"",E634,IF(E634="","",IFERROR(MATCH(TRUE(),INDEX(INDEX(K:K,E634+1):K203&lt;&gt;"",0),0)+E634,"")))</f>
        <v>777</v>
      </c>
      <c r="F635" s="117" cm="1">
        <f t="array" ref="F635">IF(E635="","",IF(H634&lt;&gt;"",H634,INDEX(D:D,E635)))</f>
        <v>0</v>
      </c>
      <c r="G635" s="117" t="str">
        <f t="shared" si="63"/>
        <v>0</v>
      </c>
      <c r="H635" s="118" t="str">
        <f t="shared" si="64"/>
        <v/>
      </c>
      <c r="I635" s="116" t="str">
        <f>IF(AND(F635&lt;&gt;"",N10&gt;0,M635&gt;N10),"Mot &gt; limite","")</f>
        <v/>
      </c>
      <c r="M635" s="70">
        <f>IF(OR(F635="",N10="",N10&lt;=0),"",IF(LEN(F635)&lt;=N10,LEN(F635),IFERROR(FIND("♦",SUBSTITUTE(LEFT(F635,N10)," ","♦",LEN(LEFT(F635,N10))-LEN(SUBSTITUTE(LEFT(F635,N10)," ","")))),FIND(" ",F635&amp;" ",N10+1)-1)))</f>
        <v>1</v>
      </c>
      <c r="N635" s="119">
        <f t="shared" si="65"/>
        <v>618</v>
      </c>
      <c r="O635" s="99" t="str">
        <f t="shared" si="66"/>
        <v>0</v>
      </c>
      <c r="P635" s="119">
        <f t="shared" si="67"/>
        <v>1</v>
      </c>
      <c r="Q635" s="119">
        <f t="shared" si="68"/>
        <v>1</v>
      </c>
    </row>
    <row r="636" spans="2:17">
      <c r="B636" s="116"/>
      <c r="C636" s="116"/>
      <c r="D636" s="116"/>
      <c r="E636" s="116" cm="1">
        <f t="array" ref="E636">IF(H635&lt;&gt;"",E635,IF(E635="","",IFERROR(MATCH(TRUE(),INDEX(INDEX(K:K,E635+1):K203&lt;&gt;"",0),0)+E635,"")))</f>
        <v>778</v>
      </c>
      <c r="F636" s="117" cm="1">
        <f t="array" ref="F636">IF(E636="","",IF(H635&lt;&gt;"",H635,INDEX(D:D,E636)))</f>
        <v>0</v>
      </c>
      <c r="G636" s="117" t="str">
        <f t="shared" si="63"/>
        <v>0</v>
      </c>
      <c r="H636" s="118" t="str">
        <f t="shared" si="64"/>
        <v/>
      </c>
      <c r="I636" s="116" t="str">
        <f>IF(AND(F636&lt;&gt;"",N10&gt;0,M636&gt;N10),"Mot &gt; limite","")</f>
        <v/>
      </c>
      <c r="M636" s="70">
        <f>IF(OR(F636="",N10="",N10&lt;=0),"",IF(LEN(F636)&lt;=N10,LEN(F636),IFERROR(FIND("♦",SUBSTITUTE(LEFT(F636,N10)," ","♦",LEN(LEFT(F636,N10))-LEN(SUBSTITUTE(LEFT(F636,N10)," ","")))),FIND(" ",F636&amp;" ",N10+1)-1)))</f>
        <v>1</v>
      </c>
      <c r="N636" s="119">
        <f t="shared" si="65"/>
        <v>619</v>
      </c>
      <c r="O636" s="99" t="str">
        <f t="shared" si="66"/>
        <v>0</v>
      </c>
      <c r="P636" s="119">
        <f t="shared" si="67"/>
        <v>1</v>
      </c>
      <c r="Q636" s="119">
        <f t="shared" si="68"/>
        <v>1</v>
      </c>
    </row>
    <row r="637" spans="2:17">
      <c r="B637" s="116"/>
      <c r="C637" s="116"/>
      <c r="D637" s="116"/>
      <c r="E637" s="116" cm="1">
        <f t="array" ref="E637">IF(H636&lt;&gt;"",E636,IF(E636="","",IFERROR(MATCH(TRUE(),INDEX(INDEX(K:K,E636+1):K203&lt;&gt;"",0),0)+E636,"")))</f>
        <v>779</v>
      </c>
      <c r="F637" s="117" cm="1">
        <f t="array" ref="F637">IF(E637="","",IF(H636&lt;&gt;"",H636,INDEX(D:D,E637)))</f>
        <v>0</v>
      </c>
      <c r="G637" s="117" t="str">
        <f t="shared" si="63"/>
        <v>0</v>
      </c>
      <c r="H637" s="118" t="str">
        <f t="shared" si="64"/>
        <v/>
      </c>
      <c r="I637" s="116" t="str">
        <f>IF(AND(F637&lt;&gt;"",N10&gt;0,M637&gt;N10),"Mot &gt; limite","")</f>
        <v/>
      </c>
      <c r="M637" s="70">
        <f>IF(OR(F637="",N10="",N10&lt;=0),"",IF(LEN(F637)&lt;=N10,LEN(F637),IFERROR(FIND("♦",SUBSTITUTE(LEFT(F637,N10)," ","♦",LEN(LEFT(F637,N10))-LEN(SUBSTITUTE(LEFT(F637,N10)," ","")))),FIND(" ",F637&amp;" ",N10+1)-1)))</f>
        <v>1</v>
      </c>
      <c r="N637" s="119">
        <f t="shared" si="65"/>
        <v>620</v>
      </c>
      <c r="O637" s="99" t="str">
        <f t="shared" si="66"/>
        <v>0</v>
      </c>
      <c r="P637" s="119">
        <f t="shared" si="67"/>
        <v>1</v>
      </c>
      <c r="Q637" s="119">
        <f t="shared" si="68"/>
        <v>1</v>
      </c>
    </row>
    <row r="638" spans="2:17">
      <c r="B638" s="116"/>
      <c r="C638" s="116"/>
      <c r="D638" s="116"/>
      <c r="E638" s="116" cm="1">
        <f t="array" ref="E638">IF(H637&lt;&gt;"",E637,IF(E637="","",IFERROR(MATCH(TRUE(),INDEX(INDEX(K:K,E637+1):K203&lt;&gt;"",0),0)+E637,"")))</f>
        <v>780</v>
      </c>
      <c r="F638" s="117" cm="1">
        <f t="array" ref="F638">IF(E638="","",IF(H637&lt;&gt;"",H637,INDEX(D:D,E638)))</f>
        <v>0</v>
      </c>
      <c r="G638" s="117" t="str">
        <f t="shared" si="63"/>
        <v>0</v>
      </c>
      <c r="H638" s="118" t="str">
        <f t="shared" si="64"/>
        <v/>
      </c>
      <c r="I638" s="116" t="str">
        <f>IF(AND(F638&lt;&gt;"",N10&gt;0,M638&gt;N10),"Mot &gt; limite","")</f>
        <v/>
      </c>
      <c r="M638" s="70">
        <f>IF(OR(F638="",N10="",N10&lt;=0),"",IF(LEN(F638)&lt;=N10,LEN(F638),IFERROR(FIND("♦",SUBSTITUTE(LEFT(F638,N10)," ","♦",LEN(LEFT(F638,N10))-LEN(SUBSTITUTE(LEFT(F638,N10)," ","")))),FIND(" ",F638&amp;" ",N10+1)-1)))</f>
        <v>1</v>
      </c>
      <c r="N638" s="119">
        <f t="shared" si="65"/>
        <v>621</v>
      </c>
      <c r="O638" s="99" t="str">
        <f t="shared" si="66"/>
        <v>0</v>
      </c>
      <c r="P638" s="119">
        <f t="shared" si="67"/>
        <v>1</v>
      </c>
      <c r="Q638" s="119">
        <f t="shared" si="68"/>
        <v>1</v>
      </c>
    </row>
    <row r="639" spans="2:17">
      <c r="B639" s="116"/>
      <c r="C639" s="116"/>
      <c r="D639" s="116"/>
      <c r="E639" s="116" cm="1">
        <f t="array" ref="E639">IF(H638&lt;&gt;"",E638,IF(E638="","",IFERROR(MATCH(TRUE(),INDEX(INDEX(K:K,E638+1):K203&lt;&gt;"",0),0)+E638,"")))</f>
        <v>781</v>
      </c>
      <c r="F639" s="117" cm="1">
        <f t="array" ref="F639">IF(E639="","",IF(H638&lt;&gt;"",H638,INDEX(D:D,E639)))</f>
        <v>0</v>
      </c>
      <c r="G639" s="117" t="str">
        <f t="shared" si="63"/>
        <v>0</v>
      </c>
      <c r="H639" s="118" t="str">
        <f t="shared" si="64"/>
        <v/>
      </c>
      <c r="I639" s="116" t="str">
        <f>IF(AND(F639&lt;&gt;"",N10&gt;0,M639&gt;N10),"Mot &gt; limite","")</f>
        <v/>
      </c>
      <c r="M639" s="70">
        <f>IF(OR(F639="",N10="",N10&lt;=0),"",IF(LEN(F639)&lt;=N10,LEN(F639),IFERROR(FIND("♦",SUBSTITUTE(LEFT(F639,N10)," ","♦",LEN(LEFT(F639,N10))-LEN(SUBSTITUTE(LEFT(F639,N10)," ","")))),FIND(" ",F639&amp;" ",N10+1)-1)))</f>
        <v>1</v>
      </c>
      <c r="N639" s="119">
        <f t="shared" si="65"/>
        <v>622</v>
      </c>
      <c r="O639" s="99" t="str">
        <f t="shared" si="66"/>
        <v>0</v>
      </c>
      <c r="P639" s="119">
        <f t="shared" si="67"/>
        <v>1</v>
      </c>
      <c r="Q639" s="119">
        <f t="shared" si="68"/>
        <v>1</v>
      </c>
    </row>
    <row r="640" spans="2:17">
      <c r="B640" s="116"/>
      <c r="C640" s="116"/>
      <c r="D640" s="116"/>
      <c r="E640" s="116" cm="1">
        <f t="array" ref="E640">IF(H639&lt;&gt;"",E639,IF(E639="","",IFERROR(MATCH(TRUE(),INDEX(INDEX(K:K,E639+1):K203&lt;&gt;"",0),0)+E639,"")))</f>
        <v>782</v>
      </c>
      <c r="F640" s="117" cm="1">
        <f t="array" ref="F640">IF(E640="","",IF(H639&lt;&gt;"",H639,INDEX(D:D,E640)))</f>
        <v>0</v>
      </c>
      <c r="G640" s="117" t="str">
        <f t="shared" si="63"/>
        <v>0</v>
      </c>
      <c r="H640" s="118" t="str">
        <f t="shared" si="64"/>
        <v/>
      </c>
      <c r="I640" s="116" t="str">
        <f>IF(AND(F640&lt;&gt;"",N10&gt;0,M640&gt;N10),"Mot &gt; limite","")</f>
        <v/>
      </c>
      <c r="M640" s="70">
        <f>IF(OR(F640="",N10="",N10&lt;=0),"",IF(LEN(F640)&lt;=N10,LEN(F640),IFERROR(FIND("♦",SUBSTITUTE(LEFT(F640,N10)," ","♦",LEN(LEFT(F640,N10))-LEN(SUBSTITUTE(LEFT(F640,N10)," ","")))),FIND(" ",F640&amp;" ",N10+1)-1)))</f>
        <v>1</v>
      </c>
      <c r="N640" s="119">
        <f t="shared" si="65"/>
        <v>623</v>
      </c>
      <c r="O640" s="99" t="str">
        <f t="shared" si="66"/>
        <v>0</v>
      </c>
      <c r="P640" s="119">
        <f t="shared" si="67"/>
        <v>1</v>
      </c>
      <c r="Q640" s="119">
        <f t="shared" si="68"/>
        <v>1</v>
      </c>
    </row>
    <row r="641" spans="2:17">
      <c r="B641" s="116"/>
      <c r="C641" s="116"/>
      <c r="D641" s="116"/>
      <c r="E641" s="116" cm="1">
        <f t="array" ref="E641">IF(H640&lt;&gt;"",E640,IF(E640="","",IFERROR(MATCH(TRUE(),INDEX(INDEX(K:K,E640+1):K203&lt;&gt;"",0),0)+E640,"")))</f>
        <v>783</v>
      </c>
      <c r="F641" s="117" cm="1">
        <f t="array" ref="F641">IF(E641="","",IF(H640&lt;&gt;"",H640,INDEX(D:D,E641)))</f>
        <v>0</v>
      </c>
      <c r="G641" s="117" t="str">
        <f t="shared" si="63"/>
        <v>0</v>
      </c>
      <c r="H641" s="118" t="str">
        <f t="shared" si="64"/>
        <v/>
      </c>
      <c r="I641" s="116" t="str">
        <f>IF(AND(F641&lt;&gt;"",N10&gt;0,M641&gt;N10),"Mot &gt; limite","")</f>
        <v/>
      </c>
      <c r="M641" s="70">
        <f>IF(OR(F641="",N10="",N10&lt;=0),"",IF(LEN(F641)&lt;=N10,LEN(F641),IFERROR(FIND("♦",SUBSTITUTE(LEFT(F641,N10)," ","♦",LEN(LEFT(F641,N10))-LEN(SUBSTITUTE(LEFT(F641,N10)," ","")))),FIND(" ",F641&amp;" ",N10+1)-1)))</f>
        <v>1</v>
      </c>
      <c r="N641" s="119">
        <f t="shared" si="65"/>
        <v>624</v>
      </c>
      <c r="O641" s="99" t="str">
        <f t="shared" si="66"/>
        <v>0</v>
      </c>
      <c r="P641" s="119">
        <f t="shared" si="67"/>
        <v>1</v>
      </c>
      <c r="Q641" s="119">
        <f t="shared" si="68"/>
        <v>1</v>
      </c>
    </row>
    <row r="642" spans="2:17">
      <c r="B642" s="116"/>
      <c r="C642" s="116"/>
      <c r="D642" s="116"/>
      <c r="E642" s="116" cm="1">
        <f t="array" ref="E642">IF(H641&lt;&gt;"",E641,IF(E641="","",IFERROR(MATCH(TRUE(),INDEX(INDEX(K:K,E641+1):K203&lt;&gt;"",0),0)+E641,"")))</f>
        <v>784</v>
      </c>
      <c r="F642" s="117" cm="1">
        <f t="array" ref="F642">IF(E642="","",IF(H641&lt;&gt;"",H641,INDEX(D:D,E642)))</f>
        <v>0</v>
      </c>
      <c r="G642" s="117" t="str">
        <f t="shared" si="63"/>
        <v>0</v>
      </c>
      <c r="H642" s="118" t="str">
        <f t="shared" si="64"/>
        <v/>
      </c>
      <c r="I642" s="116" t="str">
        <f>IF(AND(F642&lt;&gt;"",N10&gt;0,M642&gt;N10),"Mot &gt; limite","")</f>
        <v/>
      </c>
      <c r="M642" s="70">
        <f>IF(OR(F642="",N10="",N10&lt;=0),"",IF(LEN(F642)&lt;=N10,LEN(F642),IFERROR(FIND("♦",SUBSTITUTE(LEFT(F642,N10)," ","♦",LEN(LEFT(F642,N10))-LEN(SUBSTITUTE(LEFT(F642,N10)," ","")))),FIND(" ",F642&amp;" ",N10+1)-1)))</f>
        <v>1</v>
      </c>
      <c r="N642" s="119">
        <f t="shared" si="65"/>
        <v>625</v>
      </c>
      <c r="O642" s="99" t="str">
        <f t="shared" si="66"/>
        <v>0</v>
      </c>
      <c r="P642" s="119">
        <f t="shared" si="67"/>
        <v>1</v>
      </c>
      <c r="Q642" s="119">
        <f t="shared" si="68"/>
        <v>1</v>
      </c>
    </row>
    <row r="643" spans="2:17">
      <c r="B643" s="116"/>
      <c r="C643" s="116"/>
      <c r="D643" s="116"/>
      <c r="E643" s="116" cm="1">
        <f t="array" ref="E643">IF(H642&lt;&gt;"",E642,IF(E642="","",IFERROR(MATCH(TRUE(),INDEX(INDEX(K:K,E642+1):K203&lt;&gt;"",0),0)+E642,"")))</f>
        <v>785</v>
      </c>
      <c r="F643" s="117" cm="1">
        <f t="array" ref="F643">IF(E643="","",IF(H642&lt;&gt;"",H642,INDEX(D:D,E643)))</f>
        <v>0</v>
      </c>
      <c r="G643" s="117" t="str">
        <f t="shared" si="63"/>
        <v>0</v>
      </c>
      <c r="H643" s="118" t="str">
        <f t="shared" si="64"/>
        <v/>
      </c>
      <c r="I643" s="116" t="str">
        <f>IF(AND(F643&lt;&gt;"",N10&gt;0,M643&gt;N10),"Mot &gt; limite","")</f>
        <v/>
      </c>
      <c r="M643" s="70">
        <f>IF(OR(F643="",N10="",N10&lt;=0),"",IF(LEN(F643)&lt;=N10,LEN(F643),IFERROR(FIND("♦",SUBSTITUTE(LEFT(F643,N10)," ","♦",LEN(LEFT(F643,N10))-LEN(SUBSTITUTE(LEFT(F643,N10)," ","")))),FIND(" ",F643&amp;" ",N10+1)-1)))</f>
        <v>1</v>
      </c>
      <c r="N643" s="119">
        <f t="shared" si="65"/>
        <v>626</v>
      </c>
      <c r="O643" s="99" t="str">
        <f t="shared" si="66"/>
        <v>0</v>
      </c>
      <c r="P643" s="119">
        <f t="shared" si="67"/>
        <v>1</v>
      </c>
      <c r="Q643" s="119">
        <f t="shared" si="68"/>
        <v>1</v>
      </c>
    </row>
    <row r="644" spans="2:17">
      <c r="B644" s="116"/>
      <c r="C644" s="116"/>
      <c r="D644" s="116"/>
      <c r="E644" s="116" cm="1">
        <f t="array" ref="E644">IF(H643&lt;&gt;"",E643,IF(E643="","",IFERROR(MATCH(TRUE(),INDEX(INDEX(K:K,E643+1):K203&lt;&gt;"",0),0)+E643,"")))</f>
        <v>786</v>
      </c>
      <c r="F644" s="117" cm="1">
        <f t="array" ref="F644">IF(E644="","",IF(H643&lt;&gt;"",H643,INDEX(D:D,E644)))</f>
        <v>0</v>
      </c>
      <c r="G644" s="117" t="str">
        <f t="shared" si="63"/>
        <v>0</v>
      </c>
      <c r="H644" s="118" t="str">
        <f t="shared" si="64"/>
        <v/>
      </c>
      <c r="I644" s="116" t="str">
        <f>IF(AND(F644&lt;&gt;"",N10&gt;0,M644&gt;N10),"Mot &gt; limite","")</f>
        <v/>
      </c>
      <c r="M644" s="70">
        <f>IF(OR(F644="",N10="",N10&lt;=0),"",IF(LEN(F644)&lt;=N10,LEN(F644),IFERROR(FIND("♦",SUBSTITUTE(LEFT(F644,N10)," ","♦",LEN(LEFT(F644,N10))-LEN(SUBSTITUTE(LEFT(F644,N10)," ","")))),FIND(" ",F644&amp;" ",N10+1)-1)))</f>
        <v>1</v>
      </c>
      <c r="N644" s="119">
        <f t="shared" si="65"/>
        <v>627</v>
      </c>
      <c r="O644" s="99" t="str">
        <f t="shared" si="66"/>
        <v>0</v>
      </c>
      <c r="P644" s="119">
        <f t="shared" si="67"/>
        <v>1</v>
      </c>
      <c r="Q644" s="119">
        <f t="shared" si="68"/>
        <v>1</v>
      </c>
    </row>
    <row r="645" spans="2:17">
      <c r="B645" s="116"/>
      <c r="C645" s="116"/>
      <c r="D645" s="116"/>
      <c r="E645" s="116" cm="1">
        <f t="array" ref="E645">IF(H644&lt;&gt;"",E644,IF(E644="","",IFERROR(MATCH(TRUE(),INDEX(INDEX(K:K,E644+1):K203&lt;&gt;"",0),0)+E644,"")))</f>
        <v>787</v>
      </c>
      <c r="F645" s="117" cm="1">
        <f t="array" ref="F645">IF(E645="","",IF(H644&lt;&gt;"",H644,INDEX(D:D,E645)))</f>
        <v>0</v>
      </c>
      <c r="G645" s="117" t="str">
        <f t="shared" si="63"/>
        <v>0</v>
      </c>
      <c r="H645" s="118" t="str">
        <f t="shared" si="64"/>
        <v/>
      </c>
      <c r="I645" s="116" t="str">
        <f>IF(AND(F645&lt;&gt;"",N10&gt;0,M645&gt;N10),"Mot &gt; limite","")</f>
        <v/>
      </c>
      <c r="M645" s="70">
        <f>IF(OR(F645="",N10="",N10&lt;=0),"",IF(LEN(F645)&lt;=N10,LEN(F645),IFERROR(FIND("♦",SUBSTITUTE(LEFT(F645,N10)," ","♦",LEN(LEFT(F645,N10))-LEN(SUBSTITUTE(LEFT(F645,N10)," ","")))),FIND(" ",F645&amp;" ",N10+1)-1)))</f>
        <v>1</v>
      </c>
      <c r="N645" s="119">
        <f t="shared" si="65"/>
        <v>628</v>
      </c>
      <c r="O645" s="99" t="str">
        <f t="shared" si="66"/>
        <v>0</v>
      </c>
      <c r="P645" s="119">
        <f t="shared" si="67"/>
        <v>1</v>
      </c>
      <c r="Q645" s="119">
        <f t="shared" si="68"/>
        <v>1</v>
      </c>
    </row>
    <row r="646" spans="2:17">
      <c r="B646" s="116"/>
      <c r="C646" s="116"/>
      <c r="D646" s="116"/>
      <c r="E646" s="116" cm="1">
        <f t="array" ref="E646">IF(H645&lt;&gt;"",E645,IF(E645="","",IFERROR(MATCH(TRUE(),INDEX(INDEX(K:K,E645+1):K203&lt;&gt;"",0),0)+E645,"")))</f>
        <v>788</v>
      </c>
      <c r="F646" s="117" cm="1">
        <f t="array" ref="F646">IF(E646="","",IF(H645&lt;&gt;"",H645,INDEX(D:D,E646)))</f>
        <v>0</v>
      </c>
      <c r="G646" s="117" t="str">
        <f t="shared" si="63"/>
        <v>0</v>
      </c>
      <c r="H646" s="118" t="str">
        <f t="shared" si="64"/>
        <v/>
      </c>
      <c r="I646" s="116" t="str">
        <f>IF(AND(F646&lt;&gt;"",N10&gt;0,M646&gt;N10),"Mot &gt; limite","")</f>
        <v/>
      </c>
      <c r="M646" s="70">
        <f>IF(OR(F646="",N10="",N10&lt;=0),"",IF(LEN(F646)&lt;=N10,LEN(F646),IFERROR(FIND("♦",SUBSTITUTE(LEFT(F646,N10)," ","♦",LEN(LEFT(F646,N10))-LEN(SUBSTITUTE(LEFT(F646,N10)," ","")))),FIND(" ",F646&amp;" ",N10+1)-1)))</f>
        <v>1</v>
      </c>
      <c r="N646" s="119">
        <f t="shared" si="65"/>
        <v>629</v>
      </c>
      <c r="O646" s="99" t="str">
        <f t="shared" si="66"/>
        <v>0</v>
      </c>
      <c r="P646" s="119">
        <f t="shared" si="67"/>
        <v>1</v>
      </c>
      <c r="Q646" s="119">
        <f t="shared" si="68"/>
        <v>1</v>
      </c>
    </row>
    <row r="647" spans="2:17">
      <c r="B647" s="116"/>
      <c r="C647" s="116"/>
      <c r="D647" s="116"/>
      <c r="E647" s="116" cm="1">
        <f t="array" ref="E647">IF(H646&lt;&gt;"",E646,IF(E646="","",IFERROR(MATCH(TRUE(),INDEX(INDEX(K:K,E646+1):K203&lt;&gt;"",0),0)+E646,"")))</f>
        <v>789</v>
      </c>
      <c r="F647" s="117" cm="1">
        <f t="array" ref="F647">IF(E647="","",IF(H646&lt;&gt;"",H646,INDEX(D:D,E647)))</f>
        <v>0</v>
      </c>
      <c r="G647" s="117" t="str">
        <f t="shared" si="63"/>
        <v>0</v>
      </c>
      <c r="H647" s="118" t="str">
        <f t="shared" si="64"/>
        <v/>
      </c>
      <c r="I647" s="116" t="str">
        <f>IF(AND(F647&lt;&gt;"",N10&gt;0,M647&gt;N10),"Mot &gt; limite","")</f>
        <v/>
      </c>
      <c r="M647" s="70">
        <f>IF(OR(F647="",N10="",N10&lt;=0),"",IF(LEN(F647)&lt;=N10,LEN(F647),IFERROR(FIND("♦",SUBSTITUTE(LEFT(F647,N10)," ","♦",LEN(LEFT(F647,N10))-LEN(SUBSTITUTE(LEFT(F647,N10)," ","")))),FIND(" ",F647&amp;" ",N10+1)-1)))</f>
        <v>1</v>
      </c>
      <c r="N647" s="119">
        <f t="shared" si="65"/>
        <v>630</v>
      </c>
      <c r="O647" s="99" t="str">
        <f t="shared" si="66"/>
        <v>0</v>
      </c>
      <c r="P647" s="119">
        <f t="shared" si="67"/>
        <v>1</v>
      </c>
      <c r="Q647" s="119">
        <f t="shared" si="68"/>
        <v>1</v>
      </c>
    </row>
    <row r="648" spans="2:17">
      <c r="B648" s="116"/>
      <c r="C648" s="116"/>
      <c r="D648" s="116"/>
      <c r="E648" s="116" cm="1">
        <f t="array" ref="E648">IF(H647&lt;&gt;"",E647,IF(E647="","",IFERROR(MATCH(TRUE(),INDEX(INDEX(K:K,E647+1):K203&lt;&gt;"",0),0)+E647,"")))</f>
        <v>790</v>
      </c>
      <c r="F648" s="117" cm="1">
        <f t="array" ref="F648">IF(E648="","",IF(H647&lt;&gt;"",H647,INDEX(D:D,E648)))</f>
        <v>0</v>
      </c>
      <c r="G648" s="117" t="str">
        <f t="shared" si="63"/>
        <v>0</v>
      </c>
      <c r="H648" s="118" t="str">
        <f t="shared" si="64"/>
        <v/>
      </c>
      <c r="I648" s="116" t="str">
        <f>IF(AND(F648&lt;&gt;"",N10&gt;0,M648&gt;N10),"Mot &gt; limite","")</f>
        <v/>
      </c>
      <c r="M648" s="70">
        <f>IF(OR(F648="",N10="",N10&lt;=0),"",IF(LEN(F648)&lt;=N10,LEN(F648),IFERROR(FIND("♦",SUBSTITUTE(LEFT(F648,N10)," ","♦",LEN(LEFT(F648,N10))-LEN(SUBSTITUTE(LEFT(F648,N10)," ","")))),FIND(" ",F648&amp;" ",N10+1)-1)))</f>
        <v>1</v>
      </c>
      <c r="N648" s="119">
        <f t="shared" si="65"/>
        <v>631</v>
      </c>
      <c r="O648" s="99" t="str">
        <f t="shared" si="66"/>
        <v>0</v>
      </c>
      <c r="P648" s="119">
        <f t="shared" si="67"/>
        <v>1</v>
      </c>
      <c r="Q648" s="119">
        <f t="shared" si="68"/>
        <v>1</v>
      </c>
    </row>
    <row r="649" spans="2:17">
      <c r="B649" s="116"/>
      <c r="C649" s="116"/>
      <c r="D649" s="116"/>
      <c r="E649" s="116" cm="1">
        <f t="array" ref="E649">IF(H648&lt;&gt;"",E648,IF(E648="","",IFERROR(MATCH(TRUE(),INDEX(INDEX(K:K,E648+1):K203&lt;&gt;"",0),0)+E648,"")))</f>
        <v>791</v>
      </c>
      <c r="F649" s="117" cm="1">
        <f t="array" ref="F649">IF(E649="","",IF(H648&lt;&gt;"",H648,INDEX(D:D,E649)))</f>
        <v>0</v>
      </c>
      <c r="G649" s="117" t="str">
        <f t="shared" si="63"/>
        <v>0</v>
      </c>
      <c r="H649" s="118" t="str">
        <f t="shared" si="64"/>
        <v/>
      </c>
      <c r="I649" s="116" t="str">
        <f>IF(AND(F649&lt;&gt;"",N10&gt;0,M649&gt;N10),"Mot &gt; limite","")</f>
        <v/>
      </c>
      <c r="M649" s="70">
        <f>IF(OR(F649="",N10="",N10&lt;=0),"",IF(LEN(F649)&lt;=N10,LEN(F649),IFERROR(FIND("♦",SUBSTITUTE(LEFT(F649,N10)," ","♦",LEN(LEFT(F649,N10))-LEN(SUBSTITUTE(LEFT(F649,N10)," ","")))),FIND(" ",F649&amp;" ",N10+1)-1)))</f>
        <v>1</v>
      </c>
      <c r="N649" s="119">
        <f t="shared" si="65"/>
        <v>632</v>
      </c>
      <c r="O649" s="99" t="str">
        <f t="shared" si="66"/>
        <v>0</v>
      </c>
      <c r="P649" s="119">
        <f t="shared" si="67"/>
        <v>1</v>
      </c>
      <c r="Q649" s="119">
        <f t="shared" si="68"/>
        <v>1</v>
      </c>
    </row>
    <row r="650" spans="2:17">
      <c r="B650" s="116"/>
      <c r="C650" s="116"/>
      <c r="D650" s="116"/>
      <c r="E650" s="116" cm="1">
        <f t="array" ref="E650">IF(H649&lt;&gt;"",E649,IF(E649="","",IFERROR(MATCH(TRUE(),INDEX(INDEX(K:K,E649+1):K203&lt;&gt;"",0),0)+E649,"")))</f>
        <v>792</v>
      </c>
      <c r="F650" s="117" cm="1">
        <f t="array" ref="F650">IF(E650="","",IF(H649&lt;&gt;"",H649,INDEX(D:D,E650)))</f>
        <v>0</v>
      </c>
      <c r="G650" s="117" t="str">
        <f t="shared" si="63"/>
        <v>0</v>
      </c>
      <c r="H650" s="118" t="str">
        <f t="shared" si="64"/>
        <v/>
      </c>
      <c r="I650" s="116" t="str">
        <f>IF(AND(F650&lt;&gt;"",N10&gt;0,M650&gt;N10),"Mot &gt; limite","")</f>
        <v/>
      </c>
      <c r="M650" s="70">
        <f>IF(OR(F650="",N10="",N10&lt;=0),"",IF(LEN(F650)&lt;=N10,LEN(F650),IFERROR(FIND("♦",SUBSTITUTE(LEFT(F650,N10)," ","♦",LEN(LEFT(F650,N10))-LEN(SUBSTITUTE(LEFT(F650,N10)," ","")))),FIND(" ",F650&amp;" ",N10+1)-1)))</f>
        <v>1</v>
      </c>
      <c r="N650" s="119">
        <f t="shared" si="65"/>
        <v>633</v>
      </c>
      <c r="O650" s="99" t="str">
        <f t="shared" si="66"/>
        <v>0</v>
      </c>
      <c r="P650" s="119">
        <f t="shared" si="67"/>
        <v>1</v>
      </c>
      <c r="Q650" s="119">
        <f t="shared" si="68"/>
        <v>1</v>
      </c>
    </row>
    <row r="651" spans="2:17">
      <c r="B651" s="116"/>
      <c r="C651" s="116"/>
      <c r="D651" s="116"/>
      <c r="E651" s="116" cm="1">
        <f t="array" ref="E651">IF(H650&lt;&gt;"",E650,IF(E650="","",IFERROR(MATCH(TRUE(),INDEX(INDEX(K:K,E650+1):K203&lt;&gt;"",0),0)+E650,"")))</f>
        <v>793</v>
      </c>
      <c r="F651" s="117" cm="1">
        <f t="array" ref="F651">IF(E651="","",IF(H650&lt;&gt;"",H650,INDEX(D:D,E651)))</f>
        <v>0</v>
      </c>
      <c r="G651" s="117" t="str">
        <f t="shared" si="63"/>
        <v>0</v>
      </c>
      <c r="H651" s="118" t="str">
        <f t="shared" si="64"/>
        <v/>
      </c>
      <c r="I651" s="116" t="str">
        <f>IF(AND(F651&lt;&gt;"",N10&gt;0,M651&gt;N10),"Mot &gt; limite","")</f>
        <v/>
      </c>
      <c r="M651" s="70">
        <f>IF(OR(F651="",N10="",N10&lt;=0),"",IF(LEN(F651)&lt;=N10,LEN(F651),IFERROR(FIND("♦",SUBSTITUTE(LEFT(F651,N10)," ","♦",LEN(LEFT(F651,N10))-LEN(SUBSTITUTE(LEFT(F651,N10)," ","")))),FIND(" ",F651&amp;" ",N10+1)-1)))</f>
        <v>1</v>
      </c>
      <c r="N651" s="119">
        <f t="shared" si="65"/>
        <v>634</v>
      </c>
      <c r="O651" s="99" t="str">
        <f t="shared" si="66"/>
        <v>0</v>
      </c>
      <c r="P651" s="119">
        <f t="shared" si="67"/>
        <v>1</v>
      </c>
      <c r="Q651" s="119">
        <f t="shared" si="68"/>
        <v>1</v>
      </c>
    </row>
    <row r="652" spans="2:17">
      <c r="B652" s="116"/>
      <c r="C652" s="116"/>
      <c r="D652" s="116"/>
      <c r="E652" s="116" cm="1">
        <f t="array" ref="E652">IF(H651&lt;&gt;"",E651,IF(E651="","",IFERROR(MATCH(TRUE(),INDEX(INDEX(K:K,E651+1):K203&lt;&gt;"",0),0)+E651,"")))</f>
        <v>794</v>
      </c>
      <c r="F652" s="117" cm="1">
        <f t="array" ref="F652">IF(E652="","",IF(H651&lt;&gt;"",H651,INDEX(D:D,E652)))</f>
        <v>0</v>
      </c>
      <c r="G652" s="117" t="str">
        <f t="shared" si="63"/>
        <v>0</v>
      </c>
      <c r="H652" s="118" t="str">
        <f t="shared" si="64"/>
        <v/>
      </c>
      <c r="I652" s="116" t="str">
        <f>IF(AND(F652&lt;&gt;"",N10&gt;0,M652&gt;N10),"Mot &gt; limite","")</f>
        <v/>
      </c>
      <c r="M652" s="70">
        <f>IF(OR(F652="",N10="",N10&lt;=0),"",IF(LEN(F652)&lt;=N10,LEN(F652),IFERROR(FIND("♦",SUBSTITUTE(LEFT(F652,N10)," ","♦",LEN(LEFT(F652,N10))-LEN(SUBSTITUTE(LEFT(F652,N10)," ","")))),FIND(" ",F652&amp;" ",N10+1)-1)))</f>
        <v>1</v>
      </c>
      <c r="N652" s="119">
        <f t="shared" si="65"/>
        <v>635</v>
      </c>
      <c r="O652" s="99" t="str">
        <f t="shared" si="66"/>
        <v>0</v>
      </c>
      <c r="P652" s="119">
        <f t="shared" si="67"/>
        <v>1</v>
      </c>
      <c r="Q652" s="119">
        <f t="shared" si="68"/>
        <v>1</v>
      </c>
    </row>
    <row r="653" spans="2:17">
      <c r="B653" s="116"/>
      <c r="C653" s="116"/>
      <c r="D653" s="116"/>
      <c r="E653" s="116" cm="1">
        <f t="array" ref="E653">IF(H652&lt;&gt;"",E652,IF(E652="","",IFERROR(MATCH(TRUE(),INDEX(INDEX(K:K,E652+1):K203&lt;&gt;"",0),0)+E652,"")))</f>
        <v>795</v>
      </c>
      <c r="F653" s="117" cm="1">
        <f t="array" ref="F653">IF(E653="","",IF(H652&lt;&gt;"",H652,INDEX(D:D,E653)))</f>
        <v>0</v>
      </c>
      <c r="G653" s="117" t="str">
        <f t="shared" si="63"/>
        <v>0</v>
      </c>
      <c r="H653" s="118" t="str">
        <f t="shared" si="64"/>
        <v/>
      </c>
      <c r="I653" s="116" t="str">
        <f>IF(AND(F653&lt;&gt;"",N10&gt;0,M653&gt;N10),"Mot &gt; limite","")</f>
        <v/>
      </c>
      <c r="M653" s="70">
        <f>IF(OR(F653="",N10="",N10&lt;=0),"",IF(LEN(F653)&lt;=N10,LEN(F653),IFERROR(FIND("♦",SUBSTITUTE(LEFT(F653,N10)," ","♦",LEN(LEFT(F653,N10))-LEN(SUBSTITUTE(LEFT(F653,N10)," ","")))),FIND(" ",F653&amp;" ",N10+1)-1)))</f>
        <v>1</v>
      </c>
      <c r="N653" s="119">
        <f t="shared" si="65"/>
        <v>636</v>
      </c>
      <c r="O653" s="99" t="str">
        <f t="shared" si="66"/>
        <v>0</v>
      </c>
      <c r="P653" s="119">
        <f t="shared" si="67"/>
        <v>1</v>
      </c>
      <c r="Q653" s="119">
        <f t="shared" si="68"/>
        <v>1</v>
      </c>
    </row>
    <row r="654" spans="2:17">
      <c r="B654" s="116"/>
      <c r="C654" s="116"/>
      <c r="D654" s="116"/>
      <c r="E654" s="116" cm="1">
        <f t="array" ref="E654">IF(H653&lt;&gt;"",E653,IF(E653="","",IFERROR(MATCH(TRUE(),INDEX(INDEX(K:K,E653+1):K203&lt;&gt;"",0),0)+E653,"")))</f>
        <v>796</v>
      </c>
      <c r="F654" s="117" cm="1">
        <f t="array" ref="F654">IF(E654="","",IF(H653&lt;&gt;"",H653,INDEX(D:D,E654)))</f>
        <v>0</v>
      </c>
      <c r="G654" s="117" t="str">
        <f t="shared" si="63"/>
        <v>0</v>
      </c>
      <c r="H654" s="118" t="str">
        <f t="shared" si="64"/>
        <v/>
      </c>
      <c r="I654" s="116" t="str">
        <f>IF(AND(F654&lt;&gt;"",N10&gt;0,M654&gt;N10),"Mot &gt; limite","")</f>
        <v/>
      </c>
      <c r="M654" s="70">
        <f>IF(OR(F654="",N10="",N10&lt;=0),"",IF(LEN(F654)&lt;=N10,LEN(F654),IFERROR(FIND("♦",SUBSTITUTE(LEFT(F654,N10)," ","♦",LEN(LEFT(F654,N10))-LEN(SUBSTITUTE(LEFT(F654,N10)," ","")))),FIND(" ",F654&amp;" ",N10+1)-1)))</f>
        <v>1</v>
      </c>
      <c r="N654" s="119">
        <f t="shared" si="65"/>
        <v>637</v>
      </c>
      <c r="O654" s="99" t="str">
        <f t="shared" si="66"/>
        <v>0</v>
      </c>
      <c r="P654" s="119">
        <f t="shared" si="67"/>
        <v>1</v>
      </c>
      <c r="Q654" s="119">
        <f t="shared" si="68"/>
        <v>1</v>
      </c>
    </row>
    <row r="655" spans="2:17">
      <c r="B655" s="116"/>
      <c r="C655" s="116"/>
      <c r="D655" s="116"/>
      <c r="E655" s="116" cm="1">
        <f t="array" ref="E655">IF(H654&lt;&gt;"",E654,IF(E654="","",IFERROR(MATCH(TRUE(),INDEX(INDEX(K:K,E654+1):K203&lt;&gt;"",0),0)+E654,"")))</f>
        <v>797</v>
      </c>
      <c r="F655" s="117" cm="1">
        <f t="array" ref="F655">IF(E655="","",IF(H654&lt;&gt;"",H654,INDEX(D:D,E655)))</f>
        <v>0</v>
      </c>
      <c r="G655" s="117" t="str">
        <f t="shared" si="63"/>
        <v>0</v>
      </c>
      <c r="H655" s="118" t="str">
        <f t="shared" si="64"/>
        <v/>
      </c>
      <c r="I655" s="116" t="str">
        <f>IF(AND(F655&lt;&gt;"",N10&gt;0,M655&gt;N10),"Mot &gt; limite","")</f>
        <v/>
      </c>
      <c r="M655" s="70">
        <f>IF(OR(F655="",N10="",N10&lt;=0),"",IF(LEN(F655)&lt;=N10,LEN(F655),IFERROR(FIND("♦",SUBSTITUTE(LEFT(F655,N10)," ","♦",LEN(LEFT(F655,N10))-LEN(SUBSTITUTE(LEFT(F655,N10)," ","")))),FIND(" ",F655&amp;" ",N10+1)-1)))</f>
        <v>1</v>
      </c>
      <c r="N655" s="119">
        <f t="shared" si="65"/>
        <v>638</v>
      </c>
      <c r="O655" s="99" t="str">
        <f t="shared" si="66"/>
        <v>0</v>
      </c>
      <c r="P655" s="119">
        <f t="shared" si="67"/>
        <v>1</v>
      </c>
      <c r="Q655" s="119">
        <f t="shared" si="68"/>
        <v>1</v>
      </c>
    </row>
    <row r="656" spans="2:17">
      <c r="B656" s="116"/>
      <c r="C656" s="116"/>
      <c r="D656" s="116"/>
      <c r="E656" s="116" cm="1">
        <f t="array" ref="E656">IF(H655&lt;&gt;"",E655,IF(E655="","",IFERROR(MATCH(TRUE(),INDEX(INDEX(K:K,E655+1):K203&lt;&gt;"",0),0)+E655,"")))</f>
        <v>798</v>
      </c>
      <c r="F656" s="117" cm="1">
        <f t="array" ref="F656">IF(E656="","",IF(H655&lt;&gt;"",H655,INDEX(D:D,E656)))</f>
        <v>0</v>
      </c>
      <c r="G656" s="117" t="str">
        <f t="shared" si="63"/>
        <v>0</v>
      </c>
      <c r="H656" s="118" t="str">
        <f t="shared" si="64"/>
        <v/>
      </c>
      <c r="I656" s="116" t="str">
        <f>IF(AND(F656&lt;&gt;"",N10&gt;0,M656&gt;N10),"Mot &gt; limite","")</f>
        <v/>
      </c>
      <c r="M656" s="70">
        <f>IF(OR(F656="",N10="",N10&lt;=0),"",IF(LEN(F656)&lt;=N10,LEN(F656),IFERROR(FIND("♦",SUBSTITUTE(LEFT(F656,N10)," ","♦",LEN(LEFT(F656,N10))-LEN(SUBSTITUTE(LEFT(F656,N10)," ","")))),FIND(" ",F656&amp;" ",N10+1)-1)))</f>
        <v>1</v>
      </c>
      <c r="N656" s="119">
        <f t="shared" si="65"/>
        <v>639</v>
      </c>
      <c r="O656" s="99" t="str">
        <f t="shared" si="66"/>
        <v>0</v>
      </c>
      <c r="P656" s="119">
        <f t="shared" si="67"/>
        <v>1</v>
      </c>
      <c r="Q656" s="119">
        <f t="shared" si="68"/>
        <v>1</v>
      </c>
    </row>
    <row r="657" spans="2:17">
      <c r="B657" s="116"/>
      <c r="C657" s="116"/>
      <c r="D657" s="116"/>
      <c r="E657" s="116" cm="1">
        <f t="array" ref="E657">IF(H656&lt;&gt;"",E656,IF(E656="","",IFERROR(MATCH(TRUE(),INDEX(INDEX(K:K,E656+1):K203&lt;&gt;"",0),0)+E656,"")))</f>
        <v>799</v>
      </c>
      <c r="F657" s="117" cm="1">
        <f t="array" ref="F657">IF(E657="","",IF(H656&lt;&gt;"",H656,INDEX(D:D,E657)))</f>
        <v>0</v>
      </c>
      <c r="G657" s="117" t="str">
        <f t="shared" si="63"/>
        <v>0</v>
      </c>
      <c r="H657" s="118" t="str">
        <f t="shared" si="64"/>
        <v/>
      </c>
      <c r="I657" s="116" t="str">
        <f>IF(AND(F657&lt;&gt;"",N10&gt;0,M657&gt;N10),"Mot &gt; limite","")</f>
        <v/>
      </c>
      <c r="M657" s="70">
        <f>IF(OR(F657="",N10="",N10&lt;=0),"",IF(LEN(F657)&lt;=N10,LEN(F657),IFERROR(FIND("♦",SUBSTITUTE(LEFT(F657,N10)," ","♦",LEN(LEFT(F657,N10))-LEN(SUBSTITUTE(LEFT(F657,N10)," ","")))),FIND(" ",F657&amp;" ",N10+1)-1)))</f>
        <v>1</v>
      </c>
      <c r="N657" s="119">
        <f t="shared" si="65"/>
        <v>640</v>
      </c>
      <c r="O657" s="99" t="str">
        <f t="shared" si="66"/>
        <v>0</v>
      </c>
      <c r="P657" s="119">
        <f t="shared" si="67"/>
        <v>1</v>
      </c>
      <c r="Q657" s="119">
        <f t="shared" si="68"/>
        <v>1</v>
      </c>
    </row>
    <row r="658" spans="2:17">
      <c r="B658" s="116"/>
      <c r="C658" s="116"/>
      <c r="D658" s="116"/>
      <c r="E658" s="116" cm="1">
        <f t="array" ref="E658">IF(H657&lt;&gt;"",E657,IF(E657="","",IFERROR(MATCH(TRUE(),INDEX(INDEX(K:K,E657+1):K203&lt;&gt;"",0),0)+E657,"")))</f>
        <v>800</v>
      </c>
      <c r="F658" s="117" cm="1">
        <f t="array" ref="F658">IF(E658="","",IF(H657&lt;&gt;"",H657,INDEX(D:D,E658)))</f>
        <v>0</v>
      </c>
      <c r="G658" s="117" t="str">
        <f t="shared" ref="G658:G721" si="69">IF(OR(F658="",M658=""),"",LEFT(F658,M658))</f>
        <v>0</v>
      </c>
      <c r="H658" s="118" t="str">
        <f t="shared" ref="H658:H721" si="70">IF(OR(F658="",M658=""),"",TRIM(MID(F658,M658+1,99999)))</f>
        <v/>
      </c>
      <c r="I658" s="116" t="str">
        <f>IF(AND(F658&lt;&gt;"",N10&gt;0,M658&gt;N10),"Mot &gt; limite","")</f>
        <v/>
      </c>
      <c r="M658" s="70">
        <f>IF(OR(F658="",N10="",N10&lt;=0),"",IF(LEN(F658)&lt;=N10,LEN(F658),IFERROR(FIND("♦",SUBSTITUTE(LEFT(F658,N10)," ","♦",LEN(LEFT(F658,N10))-LEN(SUBSTITUTE(LEFT(F658,N10)," ","")))),FIND(" ",F658&amp;" ",N10+1)-1)))</f>
        <v>1</v>
      </c>
      <c r="N658" s="119">
        <f t="shared" ref="N658:N721" si="71">IF(O658="","",ROW()-17)</f>
        <v>641</v>
      </c>
      <c r="O658" s="99" t="str">
        <f t="shared" ref="O658:O721" si="72">G658</f>
        <v>0</v>
      </c>
      <c r="P658" s="119">
        <f t="shared" ref="P658:P721" si="73">IF(O658="","",LEN(TRIM(O658))-LEN(SUBSTITUTE(TRIM(O658)," ",""))+1)</f>
        <v>1</v>
      </c>
      <c r="Q658" s="119">
        <f t="shared" ref="Q658:Q721" si="74">IF(O658="","",LEN(O658))</f>
        <v>1</v>
      </c>
    </row>
    <row r="659" spans="2:17">
      <c r="B659" s="116"/>
      <c r="C659" s="116"/>
      <c r="D659" s="116"/>
      <c r="E659" s="116" cm="1">
        <f t="array" ref="E659">IF(H658&lt;&gt;"",E658,IF(E658="","",IFERROR(MATCH(TRUE(),INDEX(INDEX(K:K,E658+1):K203&lt;&gt;"",0),0)+E658,"")))</f>
        <v>801</v>
      </c>
      <c r="F659" s="117" cm="1">
        <f t="array" ref="F659">IF(E659="","",IF(H658&lt;&gt;"",H658,INDEX(D:D,E659)))</f>
        <v>0</v>
      </c>
      <c r="G659" s="117" t="str">
        <f t="shared" si="69"/>
        <v>0</v>
      </c>
      <c r="H659" s="118" t="str">
        <f t="shared" si="70"/>
        <v/>
      </c>
      <c r="I659" s="116" t="str">
        <f>IF(AND(F659&lt;&gt;"",N10&gt;0,M659&gt;N10),"Mot &gt; limite","")</f>
        <v/>
      </c>
      <c r="M659" s="70">
        <f>IF(OR(F659="",N10="",N10&lt;=0),"",IF(LEN(F659)&lt;=N10,LEN(F659),IFERROR(FIND("♦",SUBSTITUTE(LEFT(F659,N10)," ","♦",LEN(LEFT(F659,N10))-LEN(SUBSTITUTE(LEFT(F659,N10)," ","")))),FIND(" ",F659&amp;" ",N10+1)-1)))</f>
        <v>1</v>
      </c>
      <c r="N659" s="119">
        <f t="shared" si="71"/>
        <v>642</v>
      </c>
      <c r="O659" s="99" t="str">
        <f t="shared" si="72"/>
        <v>0</v>
      </c>
      <c r="P659" s="119">
        <f t="shared" si="73"/>
        <v>1</v>
      </c>
      <c r="Q659" s="119">
        <f t="shared" si="74"/>
        <v>1</v>
      </c>
    </row>
    <row r="660" spans="2:17">
      <c r="B660" s="116"/>
      <c r="C660" s="116"/>
      <c r="D660" s="116"/>
      <c r="E660" s="116" cm="1">
        <f t="array" ref="E660">IF(H659&lt;&gt;"",E659,IF(E659="","",IFERROR(MATCH(TRUE(),INDEX(INDEX(K:K,E659+1):K203&lt;&gt;"",0),0)+E659,"")))</f>
        <v>802</v>
      </c>
      <c r="F660" s="117" cm="1">
        <f t="array" ref="F660">IF(E660="","",IF(H659&lt;&gt;"",H659,INDEX(D:D,E660)))</f>
        <v>0</v>
      </c>
      <c r="G660" s="117" t="str">
        <f t="shared" si="69"/>
        <v>0</v>
      </c>
      <c r="H660" s="118" t="str">
        <f t="shared" si="70"/>
        <v/>
      </c>
      <c r="I660" s="116" t="str">
        <f>IF(AND(F660&lt;&gt;"",N10&gt;0,M660&gt;N10),"Mot &gt; limite","")</f>
        <v/>
      </c>
      <c r="M660" s="70">
        <f>IF(OR(F660="",N10="",N10&lt;=0),"",IF(LEN(F660)&lt;=N10,LEN(F660),IFERROR(FIND("♦",SUBSTITUTE(LEFT(F660,N10)," ","♦",LEN(LEFT(F660,N10))-LEN(SUBSTITUTE(LEFT(F660,N10)," ","")))),FIND(" ",F660&amp;" ",N10+1)-1)))</f>
        <v>1</v>
      </c>
      <c r="N660" s="119">
        <f t="shared" si="71"/>
        <v>643</v>
      </c>
      <c r="O660" s="99" t="str">
        <f t="shared" si="72"/>
        <v>0</v>
      </c>
      <c r="P660" s="119">
        <f t="shared" si="73"/>
        <v>1</v>
      </c>
      <c r="Q660" s="119">
        <f t="shared" si="74"/>
        <v>1</v>
      </c>
    </row>
    <row r="661" spans="2:17">
      <c r="B661" s="116"/>
      <c r="C661" s="116"/>
      <c r="D661" s="116"/>
      <c r="E661" s="116" cm="1">
        <f t="array" ref="E661">IF(H660&lt;&gt;"",E660,IF(E660="","",IFERROR(MATCH(TRUE(),INDEX(INDEX(K:K,E660+1):K203&lt;&gt;"",0),0)+E660,"")))</f>
        <v>803</v>
      </c>
      <c r="F661" s="117" cm="1">
        <f t="array" ref="F661">IF(E661="","",IF(H660&lt;&gt;"",H660,INDEX(D:D,E661)))</f>
        <v>0</v>
      </c>
      <c r="G661" s="117" t="str">
        <f t="shared" si="69"/>
        <v>0</v>
      </c>
      <c r="H661" s="118" t="str">
        <f t="shared" si="70"/>
        <v/>
      </c>
      <c r="I661" s="116" t="str">
        <f>IF(AND(F661&lt;&gt;"",N10&gt;0,M661&gt;N10),"Mot &gt; limite","")</f>
        <v/>
      </c>
      <c r="M661" s="70">
        <f>IF(OR(F661="",N10="",N10&lt;=0),"",IF(LEN(F661)&lt;=N10,LEN(F661),IFERROR(FIND("♦",SUBSTITUTE(LEFT(F661,N10)," ","♦",LEN(LEFT(F661,N10))-LEN(SUBSTITUTE(LEFT(F661,N10)," ","")))),FIND(" ",F661&amp;" ",N10+1)-1)))</f>
        <v>1</v>
      </c>
      <c r="N661" s="119">
        <f t="shared" si="71"/>
        <v>644</v>
      </c>
      <c r="O661" s="99" t="str">
        <f t="shared" si="72"/>
        <v>0</v>
      </c>
      <c r="P661" s="119">
        <f t="shared" si="73"/>
        <v>1</v>
      </c>
      <c r="Q661" s="119">
        <f t="shared" si="74"/>
        <v>1</v>
      </c>
    </row>
    <row r="662" spans="2:17">
      <c r="B662" s="116"/>
      <c r="C662" s="116"/>
      <c r="D662" s="116"/>
      <c r="E662" s="116" cm="1">
        <f t="array" ref="E662">IF(H661&lt;&gt;"",E661,IF(E661="","",IFERROR(MATCH(TRUE(),INDEX(INDEX(K:K,E661+1):K203&lt;&gt;"",0),0)+E661,"")))</f>
        <v>804</v>
      </c>
      <c r="F662" s="117" cm="1">
        <f t="array" ref="F662">IF(E662="","",IF(H661&lt;&gt;"",H661,INDEX(D:D,E662)))</f>
        <v>0</v>
      </c>
      <c r="G662" s="117" t="str">
        <f t="shared" si="69"/>
        <v>0</v>
      </c>
      <c r="H662" s="118" t="str">
        <f t="shared" si="70"/>
        <v/>
      </c>
      <c r="I662" s="116" t="str">
        <f>IF(AND(F662&lt;&gt;"",N10&gt;0,M662&gt;N10),"Mot &gt; limite","")</f>
        <v/>
      </c>
      <c r="M662" s="70">
        <f>IF(OR(F662="",N10="",N10&lt;=0),"",IF(LEN(F662)&lt;=N10,LEN(F662),IFERROR(FIND("♦",SUBSTITUTE(LEFT(F662,N10)," ","♦",LEN(LEFT(F662,N10))-LEN(SUBSTITUTE(LEFT(F662,N10)," ","")))),FIND(" ",F662&amp;" ",N10+1)-1)))</f>
        <v>1</v>
      </c>
      <c r="N662" s="119">
        <f t="shared" si="71"/>
        <v>645</v>
      </c>
      <c r="O662" s="99" t="str">
        <f t="shared" si="72"/>
        <v>0</v>
      </c>
      <c r="P662" s="119">
        <f t="shared" si="73"/>
        <v>1</v>
      </c>
      <c r="Q662" s="119">
        <f t="shared" si="74"/>
        <v>1</v>
      </c>
    </row>
    <row r="663" spans="2:17">
      <c r="B663" s="116"/>
      <c r="C663" s="116"/>
      <c r="D663" s="116"/>
      <c r="E663" s="116" cm="1">
        <f t="array" ref="E663">IF(H662&lt;&gt;"",E662,IF(E662="","",IFERROR(MATCH(TRUE(),INDEX(INDEX(K:K,E662+1):K203&lt;&gt;"",0),0)+E662,"")))</f>
        <v>805</v>
      </c>
      <c r="F663" s="117" cm="1">
        <f t="array" ref="F663">IF(E663="","",IF(H662&lt;&gt;"",H662,INDEX(D:D,E663)))</f>
        <v>0</v>
      </c>
      <c r="G663" s="117" t="str">
        <f t="shared" si="69"/>
        <v>0</v>
      </c>
      <c r="H663" s="118" t="str">
        <f t="shared" si="70"/>
        <v/>
      </c>
      <c r="I663" s="116" t="str">
        <f>IF(AND(F663&lt;&gt;"",N10&gt;0,M663&gt;N10),"Mot &gt; limite","")</f>
        <v/>
      </c>
      <c r="M663" s="70">
        <f>IF(OR(F663="",N10="",N10&lt;=0),"",IF(LEN(F663)&lt;=N10,LEN(F663),IFERROR(FIND("♦",SUBSTITUTE(LEFT(F663,N10)," ","♦",LEN(LEFT(F663,N10))-LEN(SUBSTITUTE(LEFT(F663,N10)," ","")))),FIND(" ",F663&amp;" ",N10+1)-1)))</f>
        <v>1</v>
      </c>
      <c r="N663" s="119">
        <f t="shared" si="71"/>
        <v>646</v>
      </c>
      <c r="O663" s="99" t="str">
        <f t="shared" si="72"/>
        <v>0</v>
      </c>
      <c r="P663" s="119">
        <f t="shared" si="73"/>
        <v>1</v>
      </c>
      <c r="Q663" s="119">
        <f t="shared" si="74"/>
        <v>1</v>
      </c>
    </row>
    <row r="664" spans="2:17">
      <c r="B664" s="116"/>
      <c r="C664" s="116"/>
      <c r="D664" s="116"/>
      <c r="E664" s="116" cm="1">
        <f t="array" ref="E664">IF(H663&lt;&gt;"",E663,IF(E663="","",IFERROR(MATCH(TRUE(),INDEX(INDEX(K:K,E663+1):K203&lt;&gt;"",0),0)+E663,"")))</f>
        <v>806</v>
      </c>
      <c r="F664" s="117" cm="1">
        <f t="array" ref="F664">IF(E664="","",IF(H663&lt;&gt;"",H663,INDEX(D:D,E664)))</f>
        <v>0</v>
      </c>
      <c r="G664" s="117" t="str">
        <f t="shared" si="69"/>
        <v>0</v>
      </c>
      <c r="H664" s="118" t="str">
        <f t="shared" si="70"/>
        <v/>
      </c>
      <c r="I664" s="116" t="str">
        <f>IF(AND(F664&lt;&gt;"",N10&gt;0,M664&gt;N10),"Mot &gt; limite","")</f>
        <v/>
      </c>
      <c r="M664" s="70">
        <f>IF(OR(F664="",N10="",N10&lt;=0),"",IF(LEN(F664)&lt;=N10,LEN(F664),IFERROR(FIND("♦",SUBSTITUTE(LEFT(F664,N10)," ","♦",LEN(LEFT(F664,N10))-LEN(SUBSTITUTE(LEFT(F664,N10)," ","")))),FIND(" ",F664&amp;" ",N10+1)-1)))</f>
        <v>1</v>
      </c>
      <c r="N664" s="119">
        <f t="shared" si="71"/>
        <v>647</v>
      </c>
      <c r="O664" s="99" t="str">
        <f t="shared" si="72"/>
        <v>0</v>
      </c>
      <c r="P664" s="119">
        <f t="shared" si="73"/>
        <v>1</v>
      </c>
      <c r="Q664" s="119">
        <f t="shared" si="74"/>
        <v>1</v>
      </c>
    </row>
    <row r="665" spans="2:17">
      <c r="B665" s="116"/>
      <c r="C665" s="116"/>
      <c r="D665" s="116"/>
      <c r="E665" s="116" cm="1">
        <f t="array" ref="E665">IF(H664&lt;&gt;"",E664,IF(E664="","",IFERROR(MATCH(TRUE(),INDEX(INDEX(K:K,E664+1):K203&lt;&gt;"",0),0)+E664,"")))</f>
        <v>807</v>
      </c>
      <c r="F665" s="117" cm="1">
        <f t="array" ref="F665">IF(E665="","",IF(H664&lt;&gt;"",H664,INDEX(D:D,E665)))</f>
        <v>0</v>
      </c>
      <c r="G665" s="117" t="str">
        <f t="shared" si="69"/>
        <v>0</v>
      </c>
      <c r="H665" s="118" t="str">
        <f t="shared" si="70"/>
        <v/>
      </c>
      <c r="I665" s="116" t="str">
        <f>IF(AND(F665&lt;&gt;"",N10&gt;0,M665&gt;N10),"Mot &gt; limite","")</f>
        <v/>
      </c>
      <c r="M665" s="70">
        <f>IF(OR(F665="",N10="",N10&lt;=0),"",IF(LEN(F665)&lt;=N10,LEN(F665),IFERROR(FIND("♦",SUBSTITUTE(LEFT(F665,N10)," ","♦",LEN(LEFT(F665,N10))-LEN(SUBSTITUTE(LEFT(F665,N10)," ","")))),FIND(" ",F665&amp;" ",N10+1)-1)))</f>
        <v>1</v>
      </c>
      <c r="N665" s="119">
        <f t="shared" si="71"/>
        <v>648</v>
      </c>
      <c r="O665" s="99" t="str">
        <f t="shared" si="72"/>
        <v>0</v>
      </c>
      <c r="P665" s="119">
        <f t="shared" si="73"/>
        <v>1</v>
      </c>
      <c r="Q665" s="119">
        <f t="shared" si="74"/>
        <v>1</v>
      </c>
    </row>
    <row r="666" spans="2:17">
      <c r="B666" s="116"/>
      <c r="C666" s="116"/>
      <c r="D666" s="116"/>
      <c r="E666" s="116" cm="1">
        <f t="array" ref="E666">IF(H665&lt;&gt;"",E665,IF(E665="","",IFERROR(MATCH(TRUE(),INDEX(INDEX(K:K,E665+1):K203&lt;&gt;"",0),0)+E665,"")))</f>
        <v>808</v>
      </c>
      <c r="F666" s="117" cm="1">
        <f t="array" ref="F666">IF(E666="","",IF(H665&lt;&gt;"",H665,INDEX(D:D,E666)))</f>
        <v>0</v>
      </c>
      <c r="G666" s="117" t="str">
        <f t="shared" si="69"/>
        <v>0</v>
      </c>
      <c r="H666" s="118" t="str">
        <f t="shared" si="70"/>
        <v/>
      </c>
      <c r="I666" s="116" t="str">
        <f>IF(AND(F666&lt;&gt;"",N10&gt;0,M666&gt;N10),"Mot &gt; limite","")</f>
        <v/>
      </c>
      <c r="M666" s="70">
        <f>IF(OR(F666="",N10="",N10&lt;=0),"",IF(LEN(F666)&lt;=N10,LEN(F666),IFERROR(FIND("♦",SUBSTITUTE(LEFT(F666,N10)," ","♦",LEN(LEFT(F666,N10))-LEN(SUBSTITUTE(LEFT(F666,N10)," ","")))),FIND(" ",F666&amp;" ",N10+1)-1)))</f>
        <v>1</v>
      </c>
      <c r="N666" s="119">
        <f t="shared" si="71"/>
        <v>649</v>
      </c>
      <c r="O666" s="99" t="str">
        <f t="shared" si="72"/>
        <v>0</v>
      </c>
      <c r="P666" s="119">
        <f t="shared" si="73"/>
        <v>1</v>
      </c>
      <c r="Q666" s="119">
        <f t="shared" si="74"/>
        <v>1</v>
      </c>
    </row>
    <row r="667" spans="2:17">
      <c r="B667" s="116"/>
      <c r="C667" s="116"/>
      <c r="D667" s="116"/>
      <c r="E667" s="116" cm="1">
        <f t="array" ref="E667">IF(H666&lt;&gt;"",E666,IF(E666="","",IFERROR(MATCH(TRUE(),INDEX(INDEX(K:K,E666+1):K203&lt;&gt;"",0),0)+E666,"")))</f>
        <v>809</v>
      </c>
      <c r="F667" s="117" cm="1">
        <f t="array" ref="F667">IF(E667="","",IF(H666&lt;&gt;"",H666,INDEX(D:D,E667)))</f>
        <v>0</v>
      </c>
      <c r="G667" s="117" t="str">
        <f t="shared" si="69"/>
        <v>0</v>
      </c>
      <c r="H667" s="118" t="str">
        <f t="shared" si="70"/>
        <v/>
      </c>
      <c r="I667" s="116" t="str">
        <f>IF(AND(F667&lt;&gt;"",N10&gt;0,M667&gt;N10),"Mot &gt; limite","")</f>
        <v/>
      </c>
      <c r="M667" s="70">
        <f>IF(OR(F667="",N10="",N10&lt;=0),"",IF(LEN(F667)&lt;=N10,LEN(F667),IFERROR(FIND("♦",SUBSTITUTE(LEFT(F667,N10)," ","♦",LEN(LEFT(F667,N10))-LEN(SUBSTITUTE(LEFT(F667,N10)," ","")))),FIND(" ",F667&amp;" ",N10+1)-1)))</f>
        <v>1</v>
      </c>
      <c r="N667" s="119">
        <f t="shared" si="71"/>
        <v>650</v>
      </c>
      <c r="O667" s="99" t="str">
        <f t="shared" si="72"/>
        <v>0</v>
      </c>
      <c r="P667" s="119">
        <f t="shared" si="73"/>
        <v>1</v>
      </c>
      <c r="Q667" s="119">
        <f t="shared" si="74"/>
        <v>1</v>
      </c>
    </row>
    <row r="668" spans="2:17">
      <c r="B668" s="116"/>
      <c r="C668" s="116"/>
      <c r="D668" s="116"/>
      <c r="E668" s="116" cm="1">
        <f t="array" ref="E668">IF(H667&lt;&gt;"",E667,IF(E667="","",IFERROR(MATCH(TRUE(),INDEX(INDEX(K:K,E667+1):K203&lt;&gt;"",0),0)+E667,"")))</f>
        <v>810</v>
      </c>
      <c r="F668" s="117" cm="1">
        <f t="array" ref="F668">IF(E668="","",IF(H667&lt;&gt;"",H667,INDEX(D:D,E668)))</f>
        <v>0</v>
      </c>
      <c r="G668" s="117" t="str">
        <f t="shared" si="69"/>
        <v>0</v>
      </c>
      <c r="H668" s="118" t="str">
        <f t="shared" si="70"/>
        <v/>
      </c>
      <c r="I668" s="116" t="str">
        <f>IF(AND(F668&lt;&gt;"",N10&gt;0,M668&gt;N10),"Mot &gt; limite","")</f>
        <v/>
      </c>
      <c r="M668" s="70">
        <f>IF(OR(F668="",N10="",N10&lt;=0),"",IF(LEN(F668)&lt;=N10,LEN(F668),IFERROR(FIND("♦",SUBSTITUTE(LEFT(F668,N10)," ","♦",LEN(LEFT(F668,N10))-LEN(SUBSTITUTE(LEFT(F668,N10)," ","")))),FIND(" ",F668&amp;" ",N10+1)-1)))</f>
        <v>1</v>
      </c>
      <c r="N668" s="119">
        <f t="shared" si="71"/>
        <v>651</v>
      </c>
      <c r="O668" s="99" t="str">
        <f t="shared" si="72"/>
        <v>0</v>
      </c>
      <c r="P668" s="119">
        <f t="shared" si="73"/>
        <v>1</v>
      </c>
      <c r="Q668" s="119">
        <f t="shared" si="74"/>
        <v>1</v>
      </c>
    </row>
    <row r="669" spans="2:17">
      <c r="B669" s="116"/>
      <c r="C669" s="116"/>
      <c r="D669" s="116"/>
      <c r="E669" s="116" cm="1">
        <f t="array" ref="E669">IF(H668&lt;&gt;"",E668,IF(E668="","",IFERROR(MATCH(TRUE(),INDEX(INDEX(K:K,E668+1):K203&lt;&gt;"",0),0)+E668,"")))</f>
        <v>811</v>
      </c>
      <c r="F669" s="117" cm="1">
        <f t="array" ref="F669">IF(E669="","",IF(H668&lt;&gt;"",H668,INDEX(D:D,E669)))</f>
        <v>0</v>
      </c>
      <c r="G669" s="117" t="str">
        <f t="shared" si="69"/>
        <v>0</v>
      </c>
      <c r="H669" s="118" t="str">
        <f t="shared" si="70"/>
        <v/>
      </c>
      <c r="I669" s="116" t="str">
        <f>IF(AND(F669&lt;&gt;"",N10&gt;0,M669&gt;N10),"Mot &gt; limite","")</f>
        <v/>
      </c>
      <c r="M669" s="70">
        <f>IF(OR(F669="",N10="",N10&lt;=0),"",IF(LEN(F669)&lt;=N10,LEN(F669),IFERROR(FIND("♦",SUBSTITUTE(LEFT(F669,N10)," ","♦",LEN(LEFT(F669,N10))-LEN(SUBSTITUTE(LEFT(F669,N10)," ","")))),FIND(" ",F669&amp;" ",N10+1)-1)))</f>
        <v>1</v>
      </c>
      <c r="N669" s="119">
        <f t="shared" si="71"/>
        <v>652</v>
      </c>
      <c r="O669" s="99" t="str">
        <f t="shared" si="72"/>
        <v>0</v>
      </c>
      <c r="P669" s="119">
        <f t="shared" si="73"/>
        <v>1</v>
      </c>
      <c r="Q669" s="119">
        <f t="shared" si="74"/>
        <v>1</v>
      </c>
    </row>
    <row r="670" spans="2:17">
      <c r="B670" s="116"/>
      <c r="C670" s="116"/>
      <c r="D670" s="116"/>
      <c r="E670" s="116" cm="1">
        <f t="array" ref="E670">IF(H669&lt;&gt;"",E669,IF(E669="","",IFERROR(MATCH(TRUE(),INDEX(INDEX(K:K,E669+1):K203&lt;&gt;"",0),0)+E669,"")))</f>
        <v>812</v>
      </c>
      <c r="F670" s="117" cm="1">
        <f t="array" ref="F670">IF(E670="","",IF(H669&lt;&gt;"",H669,INDEX(D:D,E670)))</f>
        <v>0</v>
      </c>
      <c r="G670" s="117" t="str">
        <f t="shared" si="69"/>
        <v>0</v>
      </c>
      <c r="H670" s="118" t="str">
        <f t="shared" si="70"/>
        <v/>
      </c>
      <c r="I670" s="116" t="str">
        <f>IF(AND(F670&lt;&gt;"",N10&gt;0,M670&gt;N10),"Mot &gt; limite","")</f>
        <v/>
      </c>
      <c r="M670" s="70">
        <f>IF(OR(F670="",N10="",N10&lt;=0),"",IF(LEN(F670)&lt;=N10,LEN(F670),IFERROR(FIND("♦",SUBSTITUTE(LEFT(F670,N10)," ","♦",LEN(LEFT(F670,N10))-LEN(SUBSTITUTE(LEFT(F670,N10)," ","")))),FIND(" ",F670&amp;" ",N10+1)-1)))</f>
        <v>1</v>
      </c>
      <c r="N670" s="119">
        <f t="shared" si="71"/>
        <v>653</v>
      </c>
      <c r="O670" s="99" t="str">
        <f t="shared" si="72"/>
        <v>0</v>
      </c>
      <c r="P670" s="119">
        <f t="shared" si="73"/>
        <v>1</v>
      </c>
      <c r="Q670" s="119">
        <f t="shared" si="74"/>
        <v>1</v>
      </c>
    </row>
    <row r="671" spans="2:17">
      <c r="B671" s="116"/>
      <c r="C671" s="116"/>
      <c r="D671" s="116"/>
      <c r="E671" s="116" cm="1">
        <f t="array" ref="E671">IF(H670&lt;&gt;"",E670,IF(E670="","",IFERROR(MATCH(TRUE(),INDEX(INDEX(K:K,E670+1):K203&lt;&gt;"",0),0)+E670,"")))</f>
        <v>813</v>
      </c>
      <c r="F671" s="117" cm="1">
        <f t="array" ref="F671">IF(E671="","",IF(H670&lt;&gt;"",H670,INDEX(D:D,E671)))</f>
        <v>0</v>
      </c>
      <c r="G671" s="117" t="str">
        <f t="shared" si="69"/>
        <v>0</v>
      </c>
      <c r="H671" s="118" t="str">
        <f t="shared" si="70"/>
        <v/>
      </c>
      <c r="I671" s="116" t="str">
        <f>IF(AND(F671&lt;&gt;"",N10&gt;0,M671&gt;N10),"Mot &gt; limite","")</f>
        <v/>
      </c>
      <c r="M671" s="70">
        <f>IF(OR(F671="",N10="",N10&lt;=0),"",IF(LEN(F671)&lt;=N10,LEN(F671),IFERROR(FIND("♦",SUBSTITUTE(LEFT(F671,N10)," ","♦",LEN(LEFT(F671,N10))-LEN(SUBSTITUTE(LEFT(F671,N10)," ","")))),FIND(" ",F671&amp;" ",N10+1)-1)))</f>
        <v>1</v>
      </c>
      <c r="N671" s="119">
        <f t="shared" si="71"/>
        <v>654</v>
      </c>
      <c r="O671" s="99" t="str">
        <f t="shared" si="72"/>
        <v>0</v>
      </c>
      <c r="P671" s="119">
        <f t="shared" si="73"/>
        <v>1</v>
      </c>
      <c r="Q671" s="119">
        <f t="shared" si="74"/>
        <v>1</v>
      </c>
    </row>
    <row r="672" spans="2:17">
      <c r="B672" s="116"/>
      <c r="C672" s="116"/>
      <c r="D672" s="116"/>
      <c r="E672" s="116" cm="1">
        <f t="array" ref="E672">IF(H671&lt;&gt;"",E671,IF(E671="","",IFERROR(MATCH(TRUE(),INDEX(INDEX(K:K,E671+1):K203&lt;&gt;"",0),0)+E671,"")))</f>
        <v>814</v>
      </c>
      <c r="F672" s="117" cm="1">
        <f t="array" ref="F672">IF(E672="","",IF(H671&lt;&gt;"",H671,INDEX(D:D,E672)))</f>
        <v>0</v>
      </c>
      <c r="G672" s="117" t="str">
        <f t="shared" si="69"/>
        <v>0</v>
      </c>
      <c r="H672" s="118" t="str">
        <f t="shared" si="70"/>
        <v/>
      </c>
      <c r="I672" s="116" t="str">
        <f>IF(AND(F672&lt;&gt;"",N10&gt;0,M672&gt;N10),"Mot &gt; limite","")</f>
        <v/>
      </c>
      <c r="M672" s="70">
        <f>IF(OR(F672="",N10="",N10&lt;=0),"",IF(LEN(F672)&lt;=N10,LEN(F672),IFERROR(FIND("♦",SUBSTITUTE(LEFT(F672,N10)," ","♦",LEN(LEFT(F672,N10))-LEN(SUBSTITUTE(LEFT(F672,N10)," ","")))),FIND(" ",F672&amp;" ",N10+1)-1)))</f>
        <v>1</v>
      </c>
      <c r="N672" s="119">
        <f t="shared" si="71"/>
        <v>655</v>
      </c>
      <c r="O672" s="99" t="str">
        <f t="shared" si="72"/>
        <v>0</v>
      </c>
      <c r="P672" s="119">
        <f t="shared" si="73"/>
        <v>1</v>
      </c>
      <c r="Q672" s="119">
        <f t="shared" si="74"/>
        <v>1</v>
      </c>
    </row>
    <row r="673" spans="2:17">
      <c r="B673" s="116"/>
      <c r="C673" s="116"/>
      <c r="D673" s="116"/>
      <c r="E673" s="116" cm="1">
        <f t="array" ref="E673">IF(H672&lt;&gt;"",E672,IF(E672="","",IFERROR(MATCH(TRUE(),INDEX(INDEX(K:K,E672+1):K203&lt;&gt;"",0),0)+E672,"")))</f>
        <v>815</v>
      </c>
      <c r="F673" s="117" cm="1">
        <f t="array" ref="F673">IF(E673="","",IF(H672&lt;&gt;"",H672,INDEX(D:D,E673)))</f>
        <v>0</v>
      </c>
      <c r="G673" s="117" t="str">
        <f t="shared" si="69"/>
        <v>0</v>
      </c>
      <c r="H673" s="118" t="str">
        <f t="shared" si="70"/>
        <v/>
      </c>
      <c r="I673" s="116" t="str">
        <f>IF(AND(F673&lt;&gt;"",N10&gt;0,M673&gt;N10),"Mot &gt; limite","")</f>
        <v/>
      </c>
      <c r="M673" s="70">
        <f>IF(OR(F673="",N10="",N10&lt;=0),"",IF(LEN(F673)&lt;=N10,LEN(F673),IFERROR(FIND("♦",SUBSTITUTE(LEFT(F673,N10)," ","♦",LEN(LEFT(F673,N10))-LEN(SUBSTITUTE(LEFT(F673,N10)," ","")))),FIND(" ",F673&amp;" ",N10+1)-1)))</f>
        <v>1</v>
      </c>
      <c r="N673" s="119">
        <f t="shared" si="71"/>
        <v>656</v>
      </c>
      <c r="O673" s="99" t="str">
        <f t="shared" si="72"/>
        <v>0</v>
      </c>
      <c r="P673" s="119">
        <f t="shared" si="73"/>
        <v>1</v>
      </c>
      <c r="Q673" s="119">
        <f t="shared" si="74"/>
        <v>1</v>
      </c>
    </row>
    <row r="674" spans="2:17">
      <c r="B674" s="116"/>
      <c r="C674" s="116"/>
      <c r="D674" s="116"/>
      <c r="E674" s="116" cm="1">
        <f t="array" ref="E674">IF(H673&lt;&gt;"",E673,IF(E673="","",IFERROR(MATCH(TRUE(),INDEX(INDEX(K:K,E673+1):K203&lt;&gt;"",0),0)+E673,"")))</f>
        <v>816</v>
      </c>
      <c r="F674" s="117" cm="1">
        <f t="array" ref="F674">IF(E674="","",IF(H673&lt;&gt;"",H673,INDEX(D:D,E674)))</f>
        <v>0</v>
      </c>
      <c r="G674" s="117" t="str">
        <f t="shared" si="69"/>
        <v>0</v>
      </c>
      <c r="H674" s="118" t="str">
        <f t="shared" si="70"/>
        <v/>
      </c>
      <c r="I674" s="116" t="str">
        <f>IF(AND(F674&lt;&gt;"",N10&gt;0,M674&gt;N10),"Mot &gt; limite","")</f>
        <v/>
      </c>
      <c r="M674" s="70">
        <f>IF(OR(F674="",N10="",N10&lt;=0),"",IF(LEN(F674)&lt;=N10,LEN(F674),IFERROR(FIND("♦",SUBSTITUTE(LEFT(F674,N10)," ","♦",LEN(LEFT(F674,N10))-LEN(SUBSTITUTE(LEFT(F674,N10)," ","")))),FIND(" ",F674&amp;" ",N10+1)-1)))</f>
        <v>1</v>
      </c>
      <c r="N674" s="119">
        <f t="shared" si="71"/>
        <v>657</v>
      </c>
      <c r="O674" s="99" t="str">
        <f t="shared" si="72"/>
        <v>0</v>
      </c>
      <c r="P674" s="119">
        <f t="shared" si="73"/>
        <v>1</v>
      </c>
      <c r="Q674" s="119">
        <f t="shared" si="74"/>
        <v>1</v>
      </c>
    </row>
    <row r="675" spans="2:17">
      <c r="B675" s="116"/>
      <c r="C675" s="116"/>
      <c r="D675" s="116"/>
      <c r="E675" s="116" cm="1">
        <f t="array" ref="E675">IF(H674&lt;&gt;"",E674,IF(E674="","",IFERROR(MATCH(TRUE(),INDEX(INDEX(K:K,E674+1):K203&lt;&gt;"",0),0)+E674,"")))</f>
        <v>817</v>
      </c>
      <c r="F675" s="117" cm="1">
        <f t="array" ref="F675">IF(E675="","",IF(H674&lt;&gt;"",H674,INDEX(D:D,E675)))</f>
        <v>0</v>
      </c>
      <c r="G675" s="117" t="str">
        <f t="shared" si="69"/>
        <v>0</v>
      </c>
      <c r="H675" s="118" t="str">
        <f t="shared" si="70"/>
        <v/>
      </c>
      <c r="I675" s="116" t="str">
        <f>IF(AND(F675&lt;&gt;"",N10&gt;0,M675&gt;N10),"Mot &gt; limite","")</f>
        <v/>
      </c>
      <c r="M675" s="70">
        <f>IF(OR(F675="",N10="",N10&lt;=0),"",IF(LEN(F675)&lt;=N10,LEN(F675),IFERROR(FIND("♦",SUBSTITUTE(LEFT(F675,N10)," ","♦",LEN(LEFT(F675,N10))-LEN(SUBSTITUTE(LEFT(F675,N10)," ","")))),FIND(" ",F675&amp;" ",N10+1)-1)))</f>
        <v>1</v>
      </c>
      <c r="N675" s="119">
        <f t="shared" si="71"/>
        <v>658</v>
      </c>
      <c r="O675" s="99" t="str">
        <f t="shared" si="72"/>
        <v>0</v>
      </c>
      <c r="P675" s="119">
        <f t="shared" si="73"/>
        <v>1</v>
      </c>
      <c r="Q675" s="119">
        <f t="shared" si="74"/>
        <v>1</v>
      </c>
    </row>
    <row r="676" spans="2:17">
      <c r="B676" s="116"/>
      <c r="C676" s="116"/>
      <c r="D676" s="116"/>
      <c r="E676" s="116" cm="1">
        <f t="array" ref="E676">IF(H675&lt;&gt;"",E675,IF(E675="","",IFERROR(MATCH(TRUE(),INDEX(INDEX(K:K,E675+1):K203&lt;&gt;"",0),0)+E675,"")))</f>
        <v>818</v>
      </c>
      <c r="F676" s="117" cm="1">
        <f t="array" ref="F676">IF(E676="","",IF(H675&lt;&gt;"",H675,INDEX(D:D,E676)))</f>
        <v>0</v>
      </c>
      <c r="G676" s="117" t="str">
        <f t="shared" si="69"/>
        <v>0</v>
      </c>
      <c r="H676" s="118" t="str">
        <f t="shared" si="70"/>
        <v/>
      </c>
      <c r="I676" s="116" t="str">
        <f>IF(AND(F676&lt;&gt;"",N10&gt;0,M676&gt;N10),"Mot &gt; limite","")</f>
        <v/>
      </c>
      <c r="M676" s="70">
        <f>IF(OR(F676="",N10="",N10&lt;=0),"",IF(LEN(F676)&lt;=N10,LEN(F676),IFERROR(FIND("♦",SUBSTITUTE(LEFT(F676,N10)," ","♦",LEN(LEFT(F676,N10))-LEN(SUBSTITUTE(LEFT(F676,N10)," ","")))),FIND(" ",F676&amp;" ",N10+1)-1)))</f>
        <v>1</v>
      </c>
      <c r="N676" s="119">
        <f t="shared" si="71"/>
        <v>659</v>
      </c>
      <c r="O676" s="99" t="str">
        <f t="shared" si="72"/>
        <v>0</v>
      </c>
      <c r="P676" s="119">
        <f t="shared" si="73"/>
        <v>1</v>
      </c>
      <c r="Q676" s="119">
        <f t="shared" si="74"/>
        <v>1</v>
      </c>
    </row>
    <row r="677" spans="2:17">
      <c r="B677" s="116"/>
      <c r="C677" s="116"/>
      <c r="D677" s="116"/>
      <c r="E677" s="116" cm="1">
        <f t="array" ref="E677">IF(H676&lt;&gt;"",E676,IF(E676="","",IFERROR(MATCH(TRUE(),INDEX(INDEX(K:K,E676+1):K203&lt;&gt;"",0),0)+E676,"")))</f>
        <v>819</v>
      </c>
      <c r="F677" s="117" cm="1">
        <f t="array" ref="F677">IF(E677="","",IF(H676&lt;&gt;"",H676,INDEX(D:D,E677)))</f>
        <v>0</v>
      </c>
      <c r="G677" s="117" t="str">
        <f t="shared" si="69"/>
        <v>0</v>
      </c>
      <c r="H677" s="118" t="str">
        <f t="shared" si="70"/>
        <v/>
      </c>
      <c r="I677" s="116" t="str">
        <f>IF(AND(F677&lt;&gt;"",N10&gt;0,M677&gt;N10),"Mot &gt; limite","")</f>
        <v/>
      </c>
      <c r="M677" s="70">
        <f>IF(OR(F677="",N10="",N10&lt;=0),"",IF(LEN(F677)&lt;=N10,LEN(F677),IFERROR(FIND("♦",SUBSTITUTE(LEFT(F677,N10)," ","♦",LEN(LEFT(F677,N10))-LEN(SUBSTITUTE(LEFT(F677,N10)," ","")))),FIND(" ",F677&amp;" ",N10+1)-1)))</f>
        <v>1</v>
      </c>
      <c r="N677" s="119">
        <f t="shared" si="71"/>
        <v>660</v>
      </c>
      <c r="O677" s="99" t="str">
        <f t="shared" si="72"/>
        <v>0</v>
      </c>
      <c r="P677" s="119">
        <f t="shared" si="73"/>
        <v>1</v>
      </c>
      <c r="Q677" s="119">
        <f t="shared" si="74"/>
        <v>1</v>
      </c>
    </row>
    <row r="678" spans="2:17">
      <c r="B678" s="116"/>
      <c r="C678" s="116"/>
      <c r="D678" s="116"/>
      <c r="E678" s="116" cm="1">
        <f t="array" ref="E678">IF(H677&lt;&gt;"",E677,IF(E677="","",IFERROR(MATCH(TRUE(),INDEX(INDEX(K:K,E677+1):K203&lt;&gt;"",0),0)+E677,"")))</f>
        <v>820</v>
      </c>
      <c r="F678" s="117" cm="1">
        <f t="array" ref="F678">IF(E678="","",IF(H677&lt;&gt;"",H677,INDEX(D:D,E678)))</f>
        <v>0</v>
      </c>
      <c r="G678" s="117" t="str">
        <f t="shared" si="69"/>
        <v>0</v>
      </c>
      <c r="H678" s="118" t="str">
        <f t="shared" si="70"/>
        <v/>
      </c>
      <c r="I678" s="116" t="str">
        <f>IF(AND(F678&lt;&gt;"",N10&gt;0,M678&gt;N10),"Mot &gt; limite","")</f>
        <v/>
      </c>
      <c r="M678" s="70">
        <f>IF(OR(F678="",N10="",N10&lt;=0),"",IF(LEN(F678)&lt;=N10,LEN(F678),IFERROR(FIND("♦",SUBSTITUTE(LEFT(F678,N10)," ","♦",LEN(LEFT(F678,N10))-LEN(SUBSTITUTE(LEFT(F678,N10)," ","")))),FIND(" ",F678&amp;" ",N10+1)-1)))</f>
        <v>1</v>
      </c>
      <c r="N678" s="119">
        <f t="shared" si="71"/>
        <v>661</v>
      </c>
      <c r="O678" s="99" t="str">
        <f t="shared" si="72"/>
        <v>0</v>
      </c>
      <c r="P678" s="119">
        <f t="shared" si="73"/>
        <v>1</v>
      </c>
      <c r="Q678" s="119">
        <f t="shared" si="74"/>
        <v>1</v>
      </c>
    </row>
    <row r="679" spans="2:17">
      <c r="B679" s="116"/>
      <c r="C679" s="116"/>
      <c r="D679" s="116"/>
      <c r="E679" s="116" cm="1">
        <f t="array" ref="E679">IF(H678&lt;&gt;"",E678,IF(E678="","",IFERROR(MATCH(TRUE(),INDEX(INDEX(K:K,E678+1):K203&lt;&gt;"",0),0)+E678,"")))</f>
        <v>821</v>
      </c>
      <c r="F679" s="117" cm="1">
        <f t="array" ref="F679">IF(E679="","",IF(H678&lt;&gt;"",H678,INDEX(D:D,E679)))</f>
        <v>0</v>
      </c>
      <c r="G679" s="117" t="str">
        <f t="shared" si="69"/>
        <v>0</v>
      </c>
      <c r="H679" s="118" t="str">
        <f t="shared" si="70"/>
        <v/>
      </c>
      <c r="I679" s="116" t="str">
        <f>IF(AND(F679&lt;&gt;"",N10&gt;0,M679&gt;N10),"Mot &gt; limite","")</f>
        <v/>
      </c>
      <c r="M679" s="70">
        <f>IF(OR(F679="",N10="",N10&lt;=0),"",IF(LEN(F679)&lt;=N10,LEN(F679),IFERROR(FIND("♦",SUBSTITUTE(LEFT(F679,N10)," ","♦",LEN(LEFT(F679,N10))-LEN(SUBSTITUTE(LEFT(F679,N10)," ","")))),FIND(" ",F679&amp;" ",N10+1)-1)))</f>
        <v>1</v>
      </c>
      <c r="N679" s="119">
        <f t="shared" si="71"/>
        <v>662</v>
      </c>
      <c r="O679" s="99" t="str">
        <f t="shared" si="72"/>
        <v>0</v>
      </c>
      <c r="P679" s="119">
        <f t="shared" si="73"/>
        <v>1</v>
      </c>
      <c r="Q679" s="119">
        <f t="shared" si="74"/>
        <v>1</v>
      </c>
    </row>
    <row r="680" spans="2:17">
      <c r="B680" s="116"/>
      <c r="C680" s="116"/>
      <c r="D680" s="116"/>
      <c r="E680" s="116" cm="1">
        <f t="array" ref="E680">IF(H679&lt;&gt;"",E679,IF(E679="","",IFERROR(MATCH(TRUE(),INDEX(INDEX(K:K,E679+1):K203&lt;&gt;"",0),0)+E679,"")))</f>
        <v>822</v>
      </c>
      <c r="F680" s="117" cm="1">
        <f t="array" ref="F680">IF(E680="","",IF(H679&lt;&gt;"",H679,INDEX(D:D,E680)))</f>
        <v>0</v>
      </c>
      <c r="G680" s="117" t="str">
        <f t="shared" si="69"/>
        <v>0</v>
      </c>
      <c r="H680" s="118" t="str">
        <f t="shared" si="70"/>
        <v/>
      </c>
      <c r="I680" s="116" t="str">
        <f>IF(AND(F680&lt;&gt;"",N10&gt;0,M680&gt;N10),"Mot &gt; limite","")</f>
        <v/>
      </c>
      <c r="M680" s="70">
        <f>IF(OR(F680="",N10="",N10&lt;=0),"",IF(LEN(F680)&lt;=N10,LEN(F680),IFERROR(FIND("♦",SUBSTITUTE(LEFT(F680,N10)," ","♦",LEN(LEFT(F680,N10))-LEN(SUBSTITUTE(LEFT(F680,N10)," ","")))),FIND(" ",F680&amp;" ",N10+1)-1)))</f>
        <v>1</v>
      </c>
      <c r="N680" s="119">
        <f t="shared" si="71"/>
        <v>663</v>
      </c>
      <c r="O680" s="99" t="str">
        <f t="shared" si="72"/>
        <v>0</v>
      </c>
      <c r="P680" s="119">
        <f t="shared" si="73"/>
        <v>1</v>
      </c>
      <c r="Q680" s="119">
        <f t="shared" si="74"/>
        <v>1</v>
      </c>
    </row>
    <row r="681" spans="2:17">
      <c r="B681" s="116"/>
      <c r="C681" s="116"/>
      <c r="D681" s="116"/>
      <c r="E681" s="116" cm="1">
        <f t="array" ref="E681">IF(H680&lt;&gt;"",E680,IF(E680="","",IFERROR(MATCH(TRUE(),INDEX(INDEX(K:K,E680+1):K203&lt;&gt;"",0),0)+E680,"")))</f>
        <v>823</v>
      </c>
      <c r="F681" s="117" cm="1">
        <f t="array" ref="F681">IF(E681="","",IF(H680&lt;&gt;"",H680,INDEX(D:D,E681)))</f>
        <v>0</v>
      </c>
      <c r="G681" s="117" t="str">
        <f t="shared" si="69"/>
        <v>0</v>
      </c>
      <c r="H681" s="118" t="str">
        <f t="shared" si="70"/>
        <v/>
      </c>
      <c r="I681" s="116" t="str">
        <f>IF(AND(F681&lt;&gt;"",N10&gt;0,M681&gt;N10),"Mot &gt; limite","")</f>
        <v/>
      </c>
      <c r="M681" s="70">
        <f>IF(OR(F681="",N10="",N10&lt;=0),"",IF(LEN(F681)&lt;=N10,LEN(F681),IFERROR(FIND("♦",SUBSTITUTE(LEFT(F681,N10)," ","♦",LEN(LEFT(F681,N10))-LEN(SUBSTITUTE(LEFT(F681,N10)," ","")))),FIND(" ",F681&amp;" ",N10+1)-1)))</f>
        <v>1</v>
      </c>
      <c r="N681" s="119">
        <f t="shared" si="71"/>
        <v>664</v>
      </c>
      <c r="O681" s="99" t="str">
        <f t="shared" si="72"/>
        <v>0</v>
      </c>
      <c r="P681" s="119">
        <f t="shared" si="73"/>
        <v>1</v>
      </c>
      <c r="Q681" s="119">
        <f t="shared" si="74"/>
        <v>1</v>
      </c>
    </row>
    <row r="682" spans="2:17">
      <c r="B682" s="116"/>
      <c r="C682" s="116"/>
      <c r="D682" s="116"/>
      <c r="E682" s="116" cm="1">
        <f t="array" ref="E682">IF(H681&lt;&gt;"",E681,IF(E681="","",IFERROR(MATCH(TRUE(),INDEX(INDEX(K:K,E681+1):K203&lt;&gt;"",0),0)+E681,"")))</f>
        <v>824</v>
      </c>
      <c r="F682" s="117" cm="1">
        <f t="array" ref="F682">IF(E682="","",IF(H681&lt;&gt;"",H681,INDEX(D:D,E682)))</f>
        <v>0</v>
      </c>
      <c r="G682" s="117" t="str">
        <f t="shared" si="69"/>
        <v>0</v>
      </c>
      <c r="H682" s="118" t="str">
        <f t="shared" si="70"/>
        <v/>
      </c>
      <c r="I682" s="116" t="str">
        <f>IF(AND(F682&lt;&gt;"",N10&gt;0,M682&gt;N10),"Mot &gt; limite","")</f>
        <v/>
      </c>
      <c r="M682" s="70">
        <f>IF(OR(F682="",N10="",N10&lt;=0),"",IF(LEN(F682)&lt;=N10,LEN(F682),IFERROR(FIND("♦",SUBSTITUTE(LEFT(F682,N10)," ","♦",LEN(LEFT(F682,N10))-LEN(SUBSTITUTE(LEFT(F682,N10)," ","")))),FIND(" ",F682&amp;" ",N10+1)-1)))</f>
        <v>1</v>
      </c>
      <c r="N682" s="119">
        <f t="shared" si="71"/>
        <v>665</v>
      </c>
      <c r="O682" s="99" t="str">
        <f t="shared" si="72"/>
        <v>0</v>
      </c>
      <c r="P682" s="119">
        <f t="shared" si="73"/>
        <v>1</v>
      </c>
      <c r="Q682" s="119">
        <f t="shared" si="74"/>
        <v>1</v>
      </c>
    </row>
    <row r="683" spans="2:17">
      <c r="B683" s="116"/>
      <c r="C683" s="116"/>
      <c r="D683" s="116"/>
      <c r="E683" s="116" cm="1">
        <f t="array" ref="E683">IF(H682&lt;&gt;"",E682,IF(E682="","",IFERROR(MATCH(TRUE(),INDEX(INDEX(K:K,E682+1):K203&lt;&gt;"",0),0)+E682,"")))</f>
        <v>825</v>
      </c>
      <c r="F683" s="117" cm="1">
        <f t="array" ref="F683">IF(E683="","",IF(H682&lt;&gt;"",H682,INDEX(D:D,E683)))</f>
        <v>0</v>
      </c>
      <c r="G683" s="117" t="str">
        <f t="shared" si="69"/>
        <v>0</v>
      </c>
      <c r="H683" s="118" t="str">
        <f t="shared" si="70"/>
        <v/>
      </c>
      <c r="I683" s="116" t="str">
        <f>IF(AND(F683&lt;&gt;"",N10&gt;0,M683&gt;N10),"Mot &gt; limite","")</f>
        <v/>
      </c>
      <c r="M683" s="70">
        <f>IF(OR(F683="",N10="",N10&lt;=0),"",IF(LEN(F683)&lt;=N10,LEN(F683),IFERROR(FIND("♦",SUBSTITUTE(LEFT(F683,N10)," ","♦",LEN(LEFT(F683,N10))-LEN(SUBSTITUTE(LEFT(F683,N10)," ","")))),FIND(" ",F683&amp;" ",N10+1)-1)))</f>
        <v>1</v>
      </c>
      <c r="N683" s="119">
        <f t="shared" si="71"/>
        <v>666</v>
      </c>
      <c r="O683" s="99" t="str">
        <f t="shared" si="72"/>
        <v>0</v>
      </c>
      <c r="P683" s="119">
        <f t="shared" si="73"/>
        <v>1</v>
      </c>
      <c r="Q683" s="119">
        <f t="shared" si="74"/>
        <v>1</v>
      </c>
    </row>
    <row r="684" spans="2:17">
      <c r="B684" s="116"/>
      <c r="C684" s="116"/>
      <c r="D684" s="116"/>
      <c r="E684" s="116" cm="1">
        <f t="array" ref="E684">IF(H683&lt;&gt;"",E683,IF(E683="","",IFERROR(MATCH(TRUE(),INDEX(INDEX(K:K,E683+1):K203&lt;&gt;"",0),0)+E683,"")))</f>
        <v>826</v>
      </c>
      <c r="F684" s="117" cm="1">
        <f t="array" ref="F684">IF(E684="","",IF(H683&lt;&gt;"",H683,INDEX(D:D,E684)))</f>
        <v>0</v>
      </c>
      <c r="G684" s="117" t="str">
        <f t="shared" si="69"/>
        <v>0</v>
      </c>
      <c r="H684" s="118" t="str">
        <f t="shared" si="70"/>
        <v/>
      </c>
      <c r="I684" s="116" t="str">
        <f>IF(AND(F684&lt;&gt;"",N10&gt;0,M684&gt;N10),"Mot &gt; limite","")</f>
        <v/>
      </c>
      <c r="M684" s="70">
        <f>IF(OR(F684="",N10="",N10&lt;=0),"",IF(LEN(F684)&lt;=N10,LEN(F684),IFERROR(FIND("♦",SUBSTITUTE(LEFT(F684,N10)," ","♦",LEN(LEFT(F684,N10))-LEN(SUBSTITUTE(LEFT(F684,N10)," ","")))),FIND(" ",F684&amp;" ",N10+1)-1)))</f>
        <v>1</v>
      </c>
      <c r="N684" s="119">
        <f t="shared" si="71"/>
        <v>667</v>
      </c>
      <c r="O684" s="99" t="str">
        <f t="shared" si="72"/>
        <v>0</v>
      </c>
      <c r="P684" s="119">
        <f t="shared" si="73"/>
        <v>1</v>
      </c>
      <c r="Q684" s="119">
        <f t="shared" si="74"/>
        <v>1</v>
      </c>
    </row>
    <row r="685" spans="2:17">
      <c r="B685" s="116"/>
      <c r="C685" s="116"/>
      <c r="D685" s="116"/>
      <c r="E685" s="116" cm="1">
        <f t="array" ref="E685">IF(H684&lt;&gt;"",E684,IF(E684="","",IFERROR(MATCH(TRUE(),INDEX(INDEX(K:K,E684+1):K203&lt;&gt;"",0),0)+E684,"")))</f>
        <v>827</v>
      </c>
      <c r="F685" s="117" cm="1">
        <f t="array" ref="F685">IF(E685="","",IF(H684&lt;&gt;"",H684,INDEX(D:D,E685)))</f>
        <v>0</v>
      </c>
      <c r="G685" s="117" t="str">
        <f t="shared" si="69"/>
        <v>0</v>
      </c>
      <c r="H685" s="118" t="str">
        <f t="shared" si="70"/>
        <v/>
      </c>
      <c r="I685" s="116" t="str">
        <f>IF(AND(F685&lt;&gt;"",N10&gt;0,M685&gt;N10),"Mot &gt; limite","")</f>
        <v/>
      </c>
      <c r="M685" s="70">
        <f>IF(OR(F685="",N10="",N10&lt;=0),"",IF(LEN(F685)&lt;=N10,LEN(F685),IFERROR(FIND("♦",SUBSTITUTE(LEFT(F685,N10)," ","♦",LEN(LEFT(F685,N10))-LEN(SUBSTITUTE(LEFT(F685,N10)," ","")))),FIND(" ",F685&amp;" ",N10+1)-1)))</f>
        <v>1</v>
      </c>
      <c r="N685" s="119">
        <f t="shared" si="71"/>
        <v>668</v>
      </c>
      <c r="O685" s="99" t="str">
        <f t="shared" si="72"/>
        <v>0</v>
      </c>
      <c r="P685" s="119">
        <f t="shared" si="73"/>
        <v>1</v>
      </c>
      <c r="Q685" s="119">
        <f t="shared" si="74"/>
        <v>1</v>
      </c>
    </row>
    <row r="686" spans="2:17">
      <c r="B686" s="116"/>
      <c r="C686" s="116"/>
      <c r="D686" s="116"/>
      <c r="E686" s="116" cm="1">
        <f t="array" ref="E686">IF(H685&lt;&gt;"",E685,IF(E685="","",IFERROR(MATCH(TRUE(),INDEX(INDEX(K:K,E685+1):K203&lt;&gt;"",0),0)+E685,"")))</f>
        <v>828</v>
      </c>
      <c r="F686" s="117" cm="1">
        <f t="array" ref="F686">IF(E686="","",IF(H685&lt;&gt;"",H685,INDEX(D:D,E686)))</f>
        <v>0</v>
      </c>
      <c r="G686" s="117" t="str">
        <f t="shared" si="69"/>
        <v>0</v>
      </c>
      <c r="H686" s="118" t="str">
        <f t="shared" si="70"/>
        <v/>
      </c>
      <c r="I686" s="116" t="str">
        <f>IF(AND(F686&lt;&gt;"",N10&gt;0,M686&gt;N10),"Mot &gt; limite","")</f>
        <v/>
      </c>
      <c r="M686" s="70">
        <f>IF(OR(F686="",N10="",N10&lt;=0),"",IF(LEN(F686)&lt;=N10,LEN(F686),IFERROR(FIND("♦",SUBSTITUTE(LEFT(F686,N10)," ","♦",LEN(LEFT(F686,N10))-LEN(SUBSTITUTE(LEFT(F686,N10)," ","")))),FIND(" ",F686&amp;" ",N10+1)-1)))</f>
        <v>1</v>
      </c>
      <c r="N686" s="119">
        <f t="shared" si="71"/>
        <v>669</v>
      </c>
      <c r="O686" s="99" t="str">
        <f t="shared" si="72"/>
        <v>0</v>
      </c>
      <c r="P686" s="119">
        <f t="shared" si="73"/>
        <v>1</v>
      </c>
      <c r="Q686" s="119">
        <f t="shared" si="74"/>
        <v>1</v>
      </c>
    </row>
    <row r="687" spans="2:17">
      <c r="B687" s="116"/>
      <c r="C687" s="116"/>
      <c r="D687" s="116"/>
      <c r="E687" s="116" cm="1">
        <f t="array" ref="E687">IF(H686&lt;&gt;"",E686,IF(E686="","",IFERROR(MATCH(TRUE(),INDEX(INDEX(K:K,E686+1):K203&lt;&gt;"",0),0)+E686,"")))</f>
        <v>829</v>
      </c>
      <c r="F687" s="117" cm="1">
        <f t="array" ref="F687">IF(E687="","",IF(H686&lt;&gt;"",H686,INDEX(D:D,E687)))</f>
        <v>0</v>
      </c>
      <c r="G687" s="117" t="str">
        <f t="shared" si="69"/>
        <v>0</v>
      </c>
      <c r="H687" s="118" t="str">
        <f t="shared" si="70"/>
        <v/>
      </c>
      <c r="I687" s="116" t="str">
        <f>IF(AND(F687&lt;&gt;"",N10&gt;0,M687&gt;N10),"Mot &gt; limite","")</f>
        <v/>
      </c>
      <c r="M687" s="70">
        <f>IF(OR(F687="",N10="",N10&lt;=0),"",IF(LEN(F687)&lt;=N10,LEN(F687),IFERROR(FIND("♦",SUBSTITUTE(LEFT(F687,N10)," ","♦",LEN(LEFT(F687,N10))-LEN(SUBSTITUTE(LEFT(F687,N10)," ","")))),FIND(" ",F687&amp;" ",N10+1)-1)))</f>
        <v>1</v>
      </c>
      <c r="N687" s="119">
        <f t="shared" si="71"/>
        <v>670</v>
      </c>
      <c r="O687" s="99" t="str">
        <f t="shared" si="72"/>
        <v>0</v>
      </c>
      <c r="P687" s="119">
        <f t="shared" si="73"/>
        <v>1</v>
      </c>
      <c r="Q687" s="119">
        <f t="shared" si="74"/>
        <v>1</v>
      </c>
    </row>
    <row r="688" spans="2:17">
      <c r="B688" s="116"/>
      <c r="C688" s="116"/>
      <c r="D688" s="116"/>
      <c r="E688" s="116" cm="1">
        <f t="array" ref="E688">IF(H687&lt;&gt;"",E687,IF(E687="","",IFERROR(MATCH(TRUE(),INDEX(INDEX(K:K,E687+1):K203&lt;&gt;"",0),0)+E687,"")))</f>
        <v>830</v>
      </c>
      <c r="F688" s="117" cm="1">
        <f t="array" ref="F688">IF(E688="","",IF(H687&lt;&gt;"",H687,INDEX(D:D,E688)))</f>
        <v>0</v>
      </c>
      <c r="G688" s="117" t="str">
        <f t="shared" si="69"/>
        <v>0</v>
      </c>
      <c r="H688" s="118" t="str">
        <f t="shared" si="70"/>
        <v/>
      </c>
      <c r="I688" s="116" t="str">
        <f>IF(AND(F688&lt;&gt;"",N10&gt;0,M688&gt;N10),"Mot &gt; limite","")</f>
        <v/>
      </c>
      <c r="M688" s="70">
        <f>IF(OR(F688="",N10="",N10&lt;=0),"",IF(LEN(F688)&lt;=N10,LEN(F688),IFERROR(FIND("♦",SUBSTITUTE(LEFT(F688,N10)," ","♦",LEN(LEFT(F688,N10))-LEN(SUBSTITUTE(LEFT(F688,N10)," ","")))),FIND(" ",F688&amp;" ",N10+1)-1)))</f>
        <v>1</v>
      </c>
      <c r="N688" s="119">
        <f t="shared" si="71"/>
        <v>671</v>
      </c>
      <c r="O688" s="99" t="str">
        <f t="shared" si="72"/>
        <v>0</v>
      </c>
      <c r="P688" s="119">
        <f t="shared" si="73"/>
        <v>1</v>
      </c>
      <c r="Q688" s="119">
        <f t="shared" si="74"/>
        <v>1</v>
      </c>
    </row>
    <row r="689" spans="2:17">
      <c r="B689" s="116"/>
      <c r="C689" s="116"/>
      <c r="D689" s="116"/>
      <c r="E689" s="116" cm="1">
        <f t="array" ref="E689">IF(H688&lt;&gt;"",E688,IF(E688="","",IFERROR(MATCH(TRUE(),INDEX(INDEX(K:K,E688+1):K203&lt;&gt;"",0),0)+E688,"")))</f>
        <v>831</v>
      </c>
      <c r="F689" s="117" cm="1">
        <f t="array" ref="F689">IF(E689="","",IF(H688&lt;&gt;"",H688,INDEX(D:D,E689)))</f>
        <v>0</v>
      </c>
      <c r="G689" s="117" t="str">
        <f t="shared" si="69"/>
        <v>0</v>
      </c>
      <c r="H689" s="118" t="str">
        <f t="shared" si="70"/>
        <v/>
      </c>
      <c r="I689" s="116" t="str">
        <f>IF(AND(F689&lt;&gt;"",N10&gt;0,M689&gt;N10),"Mot &gt; limite","")</f>
        <v/>
      </c>
      <c r="M689" s="70">
        <f>IF(OR(F689="",N10="",N10&lt;=0),"",IF(LEN(F689)&lt;=N10,LEN(F689),IFERROR(FIND("♦",SUBSTITUTE(LEFT(F689,N10)," ","♦",LEN(LEFT(F689,N10))-LEN(SUBSTITUTE(LEFT(F689,N10)," ","")))),FIND(" ",F689&amp;" ",N10+1)-1)))</f>
        <v>1</v>
      </c>
      <c r="N689" s="119">
        <f t="shared" si="71"/>
        <v>672</v>
      </c>
      <c r="O689" s="99" t="str">
        <f t="shared" si="72"/>
        <v>0</v>
      </c>
      <c r="P689" s="119">
        <f t="shared" si="73"/>
        <v>1</v>
      </c>
      <c r="Q689" s="119">
        <f t="shared" si="74"/>
        <v>1</v>
      </c>
    </row>
    <row r="690" spans="2:17">
      <c r="B690" s="116"/>
      <c r="C690" s="116"/>
      <c r="D690" s="116"/>
      <c r="E690" s="116" cm="1">
        <f t="array" ref="E690">IF(H689&lt;&gt;"",E689,IF(E689="","",IFERROR(MATCH(TRUE(),INDEX(INDEX(K:K,E689+1):K203&lt;&gt;"",0),0)+E689,"")))</f>
        <v>832</v>
      </c>
      <c r="F690" s="117" cm="1">
        <f t="array" ref="F690">IF(E690="","",IF(H689&lt;&gt;"",H689,INDEX(D:D,E690)))</f>
        <v>0</v>
      </c>
      <c r="G690" s="117" t="str">
        <f t="shared" si="69"/>
        <v>0</v>
      </c>
      <c r="H690" s="118" t="str">
        <f t="shared" si="70"/>
        <v/>
      </c>
      <c r="I690" s="116" t="str">
        <f>IF(AND(F690&lt;&gt;"",N10&gt;0,M690&gt;N10),"Mot &gt; limite","")</f>
        <v/>
      </c>
      <c r="M690" s="70">
        <f>IF(OR(F690="",N10="",N10&lt;=0),"",IF(LEN(F690)&lt;=N10,LEN(F690),IFERROR(FIND("♦",SUBSTITUTE(LEFT(F690,N10)," ","♦",LEN(LEFT(F690,N10))-LEN(SUBSTITUTE(LEFT(F690,N10)," ","")))),FIND(" ",F690&amp;" ",N10+1)-1)))</f>
        <v>1</v>
      </c>
      <c r="N690" s="119">
        <f t="shared" si="71"/>
        <v>673</v>
      </c>
      <c r="O690" s="99" t="str">
        <f t="shared" si="72"/>
        <v>0</v>
      </c>
      <c r="P690" s="119">
        <f t="shared" si="73"/>
        <v>1</v>
      </c>
      <c r="Q690" s="119">
        <f t="shared" si="74"/>
        <v>1</v>
      </c>
    </row>
    <row r="691" spans="2:17">
      <c r="B691" s="116"/>
      <c r="C691" s="116"/>
      <c r="D691" s="116"/>
      <c r="E691" s="116" cm="1">
        <f t="array" ref="E691">IF(H690&lt;&gt;"",E690,IF(E690="","",IFERROR(MATCH(TRUE(),INDEX(INDEX(K:K,E690+1):K203&lt;&gt;"",0),0)+E690,"")))</f>
        <v>833</v>
      </c>
      <c r="F691" s="117" cm="1">
        <f t="array" ref="F691">IF(E691="","",IF(H690&lt;&gt;"",H690,INDEX(D:D,E691)))</f>
        <v>0</v>
      </c>
      <c r="G691" s="117" t="str">
        <f t="shared" si="69"/>
        <v>0</v>
      </c>
      <c r="H691" s="118" t="str">
        <f t="shared" si="70"/>
        <v/>
      </c>
      <c r="I691" s="116" t="str">
        <f>IF(AND(F691&lt;&gt;"",N10&gt;0,M691&gt;N10),"Mot &gt; limite","")</f>
        <v/>
      </c>
      <c r="M691" s="70">
        <f>IF(OR(F691="",N10="",N10&lt;=0),"",IF(LEN(F691)&lt;=N10,LEN(F691),IFERROR(FIND("♦",SUBSTITUTE(LEFT(F691,N10)," ","♦",LEN(LEFT(F691,N10))-LEN(SUBSTITUTE(LEFT(F691,N10)," ","")))),FIND(" ",F691&amp;" ",N10+1)-1)))</f>
        <v>1</v>
      </c>
      <c r="N691" s="119">
        <f t="shared" si="71"/>
        <v>674</v>
      </c>
      <c r="O691" s="99" t="str">
        <f t="shared" si="72"/>
        <v>0</v>
      </c>
      <c r="P691" s="119">
        <f t="shared" si="73"/>
        <v>1</v>
      </c>
      <c r="Q691" s="119">
        <f t="shared" si="74"/>
        <v>1</v>
      </c>
    </row>
    <row r="692" spans="2:17">
      <c r="B692" s="116"/>
      <c r="C692" s="116"/>
      <c r="D692" s="116"/>
      <c r="E692" s="116" cm="1">
        <f t="array" ref="E692">IF(H691&lt;&gt;"",E691,IF(E691="","",IFERROR(MATCH(TRUE(),INDEX(INDEX(K:K,E691+1):K203&lt;&gt;"",0),0)+E691,"")))</f>
        <v>834</v>
      </c>
      <c r="F692" s="117" cm="1">
        <f t="array" ref="F692">IF(E692="","",IF(H691&lt;&gt;"",H691,INDEX(D:D,E692)))</f>
        <v>0</v>
      </c>
      <c r="G692" s="117" t="str">
        <f t="shared" si="69"/>
        <v>0</v>
      </c>
      <c r="H692" s="118" t="str">
        <f t="shared" si="70"/>
        <v/>
      </c>
      <c r="I692" s="116" t="str">
        <f>IF(AND(F692&lt;&gt;"",N10&gt;0,M692&gt;N10),"Mot &gt; limite","")</f>
        <v/>
      </c>
      <c r="M692" s="70">
        <f>IF(OR(F692="",N10="",N10&lt;=0),"",IF(LEN(F692)&lt;=N10,LEN(F692),IFERROR(FIND("♦",SUBSTITUTE(LEFT(F692,N10)," ","♦",LEN(LEFT(F692,N10))-LEN(SUBSTITUTE(LEFT(F692,N10)," ","")))),FIND(" ",F692&amp;" ",N10+1)-1)))</f>
        <v>1</v>
      </c>
      <c r="N692" s="119">
        <f t="shared" si="71"/>
        <v>675</v>
      </c>
      <c r="O692" s="99" t="str">
        <f t="shared" si="72"/>
        <v>0</v>
      </c>
      <c r="P692" s="119">
        <f t="shared" si="73"/>
        <v>1</v>
      </c>
      <c r="Q692" s="119">
        <f t="shared" si="74"/>
        <v>1</v>
      </c>
    </row>
    <row r="693" spans="2:17">
      <c r="B693" s="116"/>
      <c r="C693" s="116"/>
      <c r="D693" s="116"/>
      <c r="E693" s="116" cm="1">
        <f t="array" ref="E693">IF(H692&lt;&gt;"",E692,IF(E692="","",IFERROR(MATCH(TRUE(),INDEX(INDEX(K:K,E692+1):K203&lt;&gt;"",0),0)+E692,"")))</f>
        <v>835</v>
      </c>
      <c r="F693" s="117" cm="1">
        <f t="array" ref="F693">IF(E693="","",IF(H692&lt;&gt;"",H692,INDEX(D:D,E693)))</f>
        <v>0</v>
      </c>
      <c r="G693" s="117" t="str">
        <f t="shared" si="69"/>
        <v>0</v>
      </c>
      <c r="H693" s="118" t="str">
        <f t="shared" si="70"/>
        <v/>
      </c>
      <c r="I693" s="116" t="str">
        <f>IF(AND(F693&lt;&gt;"",N10&gt;0,M693&gt;N10),"Mot &gt; limite","")</f>
        <v/>
      </c>
      <c r="M693" s="70">
        <f>IF(OR(F693="",N10="",N10&lt;=0),"",IF(LEN(F693)&lt;=N10,LEN(F693),IFERROR(FIND("♦",SUBSTITUTE(LEFT(F693,N10)," ","♦",LEN(LEFT(F693,N10))-LEN(SUBSTITUTE(LEFT(F693,N10)," ","")))),FIND(" ",F693&amp;" ",N10+1)-1)))</f>
        <v>1</v>
      </c>
      <c r="N693" s="119">
        <f t="shared" si="71"/>
        <v>676</v>
      </c>
      <c r="O693" s="99" t="str">
        <f t="shared" si="72"/>
        <v>0</v>
      </c>
      <c r="P693" s="119">
        <f t="shared" si="73"/>
        <v>1</v>
      </c>
      <c r="Q693" s="119">
        <f t="shared" si="74"/>
        <v>1</v>
      </c>
    </row>
    <row r="694" spans="2:17">
      <c r="B694" s="116"/>
      <c r="C694" s="116"/>
      <c r="D694" s="116"/>
      <c r="E694" s="116" cm="1">
        <f t="array" ref="E694">IF(H693&lt;&gt;"",E693,IF(E693="","",IFERROR(MATCH(TRUE(),INDEX(INDEX(K:K,E693+1):K203&lt;&gt;"",0),0)+E693,"")))</f>
        <v>836</v>
      </c>
      <c r="F694" s="117" cm="1">
        <f t="array" ref="F694">IF(E694="","",IF(H693&lt;&gt;"",H693,INDEX(D:D,E694)))</f>
        <v>0</v>
      </c>
      <c r="G694" s="117" t="str">
        <f t="shared" si="69"/>
        <v>0</v>
      </c>
      <c r="H694" s="118" t="str">
        <f t="shared" si="70"/>
        <v/>
      </c>
      <c r="I694" s="116" t="str">
        <f>IF(AND(F694&lt;&gt;"",N10&gt;0,M694&gt;N10),"Mot &gt; limite","")</f>
        <v/>
      </c>
      <c r="M694" s="70">
        <f>IF(OR(F694="",N10="",N10&lt;=0),"",IF(LEN(F694)&lt;=N10,LEN(F694),IFERROR(FIND("♦",SUBSTITUTE(LEFT(F694,N10)," ","♦",LEN(LEFT(F694,N10))-LEN(SUBSTITUTE(LEFT(F694,N10)," ","")))),FIND(" ",F694&amp;" ",N10+1)-1)))</f>
        <v>1</v>
      </c>
      <c r="N694" s="119">
        <f t="shared" si="71"/>
        <v>677</v>
      </c>
      <c r="O694" s="99" t="str">
        <f t="shared" si="72"/>
        <v>0</v>
      </c>
      <c r="P694" s="119">
        <f t="shared" si="73"/>
        <v>1</v>
      </c>
      <c r="Q694" s="119">
        <f t="shared" si="74"/>
        <v>1</v>
      </c>
    </row>
    <row r="695" spans="2:17">
      <c r="B695" s="116"/>
      <c r="C695" s="116"/>
      <c r="D695" s="116"/>
      <c r="E695" s="116" cm="1">
        <f t="array" ref="E695">IF(H694&lt;&gt;"",E694,IF(E694="","",IFERROR(MATCH(TRUE(),INDEX(INDEX(K:K,E694+1):K203&lt;&gt;"",0),0)+E694,"")))</f>
        <v>837</v>
      </c>
      <c r="F695" s="117" cm="1">
        <f t="array" ref="F695">IF(E695="","",IF(H694&lt;&gt;"",H694,INDEX(D:D,E695)))</f>
        <v>0</v>
      </c>
      <c r="G695" s="117" t="str">
        <f t="shared" si="69"/>
        <v>0</v>
      </c>
      <c r="H695" s="118" t="str">
        <f t="shared" si="70"/>
        <v/>
      </c>
      <c r="I695" s="116" t="str">
        <f>IF(AND(F695&lt;&gt;"",N10&gt;0,M695&gt;N10),"Mot &gt; limite","")</f>
        <v/>
      </c>
      <c r="M695" s="70">
        <f>IF(OR(F695="",N10="",N10&lt;=0),"",IF(LEN(F695)&lt;=N10,LEN(F695),IFERROR(FIND("♦",SUBSTITUTE(LEFT(F695,N10)," ","♦",LEN(LEFT(F695,N10))-LEN(SUBSTITUTE(LEFT(F695,N10)," ","")))),FIND(" ",F695&amp;" ",N10+1)-1)))</f>
        <v>1</v>
      </c>
      <c r="N695" s="119">
        <f t="shared" si="71"/>
        <v>678</v>
      </c>
      <c r="O695" s="99" t="str">
        <f t="shared" si="72"/>
        <v>0</v>
      </c>
      <c r="P695" s="119">
        <f t="shared" si="73"/>
        <v>1</v>
      </c>
      <c r="Q695" s="119">
        <f t="shared" si="74"/>
        <v>1</v>
      </c>
    </row>
    <row r="696" spans="2:17">
      <c r="B696" s="116"/>
      <c r="C696" s="116"/>
      <c r="D696" s="116"/>
      <c r="E696" s="116" cm="1">
        <f t="array" ref="E696">IF(H695&lt;&gt;"",E695,IF(E695="","",IFERROR(MATCH(TRUE(),INDEX(INDEX(K:K,E695+1):K203&lt;&gt;"",0),0)+E695,"")))</f>
        <v>838</v>
      </c>
      <c r="F696" s="117" cm="1">
        <f t="array" ref="F696">IF(E696="","",IF(H695&lt;&gt;"",H695,INDEX(D:D,E696)))</f>
        <v>0</v>
      </c>
      <c r="G696" s="117" t="str">
        <f t="shared" si="69"/>
        <v>0</v>
      </c>
      <c r="H696" s="118" t="str">
        <f t="shared" si="70"/>
        <v/>
      </c>
      <c r="I696" s="116" t="str">
        <f>IF(AND(F696&lt;&gt;"",N10&gt;0,M696&gt;N10),"Mot &gt; limite","")</f>
        <v/>
      </c>
      <c r="M696" s="70">
        <f>IF(OR(F696="",N10="",N10&lt;=0),"",IF(LEN(F696)&lt;=N10,LEN(F696),IFERROR(FIND("♦",SUBSTITUTE(LEFT(F696,N10)," ","♦",LEN(LEFT(F696,N10))-LEN(SUBSTITUTE(LEFT(F696,N10)," ","")))),FIND(" ",F696&amp;" ",N10+1)-1)))</f>
        <v>1</v>
      </c>
      <c r="N696" s="119">
        <f t="shared" si="71"/>
        <v>679</v>
      </c>
      <c r="O696" s="99" t="str">
        <f t="shared" si="72"/>
        <v>0</v>
      </c>
      <c r="P696" s="119">
        <f t="shared" si="73"/>
        <v>1</v>
      </c>
      <c r="Q696" s="119">
        <f t="shared" si="74"/>
        <v>1</v>
      </c>
    </row>
    <row r="697" spans="2:17">
      <c r="B697" s="116"/>
      <c r="C697" s="116"/>
      <c r="D697" s="116"/>
      <c r="E697" s="116" cm="1">
        <f t="array" ref="E697">IF(H696&lt;&gt;"",E696,IF(E696="","",IFERROR(MATCH(TRUE(),INDEX(INDEX(K:K,E696+1):K203&lt;&gt;"",0),0)+E696,"")))</f>
        <v>839</v>
      </c>
      <c r="F697" s="117" cm="1">
        <f t="array" ref="F697">IF(E697="","",IF(H696&lt;&gt;"",H696,INDEX(D:D,E697)))</f>
        <v>0</v>
      </c>
      <c r="G697" s="117" t="str">
        <f t="shared" si="69"/>
        <v>0</v>
      </c>
      <c r="H697" s="118" t="str">
        <f t="shared" si="70"/>
        <v/>
      </c>
      <c r="I697" s="116" t="str">
        <f>IF(AND(F697&lt;&gt;"",N10&gt;0,M697&gt;N10),"Mot &gt; limite","")</f>
        <v/>
      </c>
      <c r="M697" s="70">
        <f>IF(OR(F697="",N10="",N10&lt;=0),"",IF(LEN(F697)&lt;=N10,LEN(F697),IFERROR(FIND("♦",SUBSTITUTE(LEFT(F697,N10)," ","♦",LEN(LEFT(F697,N10))-LEN(SUBSTITUTE(LEFT(F697,N10)," ","")))),FIND(" ",F697&amp;" ",N10+1)-1)))</f>
        <v>1</v>
      </c>
      <c r="N697" s="119">
        <f t="shared" si="71"/>
        <v>680</v>
      </c>
      <c r="O697" s="99" t="str">
        <f t="shared" si="72"/>
        <v>0</v>
      </c>
      <c r="P697" s="119">
        <f t="shared" si="73"/>
        <v>1</v>
      </c>
      <c r="Q697" s="119">
        <f t="shared" si="74"/>
        <v>1</v>
      </c>
    </row>
    <row r="698" spans="2:17">
      <c r="B698" s="116"/>
      <c r="C698" s="116"/>
      <c r="D698" s="116"/>
      <c r="E698" s="116" cm="1">
        <f t="array" ref="E698">IF(H697&lt;&gt;"",E697,IF(E697="","",IFERROR(MATCH(TRUE(),INDEX(INDEX(K:K,E697+1):K203&lt;&gt;"",0),0)+E697,"")))</f>
        <v>840</v>
      </c>
      <c r="F698" s="117" cm="1">
        <f t="array" ref="F698">IF(E698="","",IF(H697&lt;&gt;"",H697,INDEX(D:D,E698)))</f>
        <v>0</v>
      </c>
      <c r="G698" s="117" t="str">
        <f t="shared" si="69"/>
        <v>0</v>
      </c>
      <c r="H698" s="118" t="str">
        <f t="shared" si="70"/>
        <v/>
      </c>
      <c r="I698" s="116" t="str">
        <f>IF(AND(F698&lt;&gt;"",N10&gt;0,M698&gt;N10),"Mot &gt; limite","")</f>
        <v/>
      </c>
      <c r="M698" s="70">
        <f>IF(OR(F698="",N10="",N10&lt;=0),"",IF(LEN(F698)&lt;=N10,LEN(F698),IFERROR(FIND("♦",SUBSTITUTE(LEFT(F698,N10)," ","♦",LEN(LEFT(F698,N10))-LEN(SUBSTITUTE(LEFT(F698,N10)," ","")))),FIND(" ",F698&amp;" ",N10+1)-1)))</f>
        <v>1</v>
      </c>
      <c r="N698" s="119">
        <f t="shared" si="71"/>
        <v>681</v>
      </c>
      <c r="O698" s="99" t="str">
        <f t="shared" si="72"/>
        <v>0</v>
      </c>
      <c r="P698" s="119">
        <f t="shared" si="73"/>
        <v>1</v>
      </c>
      <c r="Q698" s="119">
        <f t="shared" si="74"/>
        <v>1</v>
      </c>
    </row>
    <row r="699" spans="2:17">
      <c r="B699" s="116"/>
      <c r="C699" s="116"/>
      <c r="D699" s="116"/>
      <c r="E699" s="116" cm="1">
        <f t="array" ref="E699">IF(H698&lt;&gt;"",E698,IF(E698="","",IFERROR(MATCH(TRUE(),INDEX(INDEX(K:K,E698+1):K203&lt;&gt;"",0),0)+E698,"")))</f>
        <v>841</v>
      </c>
      <c r="F699" s="117" cm="1">
        <f t="array" ref="F699">IF(E699="","",IF(H698&lt;&gt;"",H698,INDEX(D:D,E699)))</f>
        <v>0</v>
      </c>
      <c r="G699" s="117" t="str">
        <f t="shared" si="69"/>
        <v>0</v>
      </c>
      <c r="H699" s="118" t="str">
        <f t="shared" si="70"/>
        <v/>
      </c>
      <c r="I699" s="116" t="str">
        <f>IF(AND(F699&lt;&gt;"",N10&gt;0,M699&gt;N10),"Mot &gt; limite","")</f>
        <v/>
      </c>
      <c r="M699" s="70">
        <f>IF(OR(F699="",N10="",N10&lt;=0),"",IF(LEN(F699)&lt;=N10,LEN(F699),IFERROR(FIND("♦",SUBSTITUTE(LEFT(F699,N10)," ","♦",LEN(LEFT(F699,N10))-LEN(SUBSTITUTE(LEFT(F699,N10)," ","")))),FIND(" ",F699&amp;" ",N10+1)-1)))</f>
        <v>1</v>
      </c>
      <c r="N699" s="119">
        <f t="shared" si="71"/>
        <v>682</v>
      </c>
      <c r="O699" s="99" t="str">
        <f t="shared" si="72"/>
        <v>0</v>
      </c>
      <c r="P699" s="119">
        <f t="shared" si="73"/>
        <v>1</v>
      </c>
      <c r="Q699" s="119">
        <f t="shared" si="74"/>
        <v>1</v>
      </c>
    </row>
    <row r="700" spans="2:17">
      <c r="B700" s="116"/>
      <c r="C700" s="116"/>
      <c r="D700" s="116"/>
      <c r="E700" s="116" cm="1">
        <f t="array" ref="E700">IF(H699&lt;&gt;"",E699,IF(E699="","",IFERROR(MATCH(TRUE(),INDEX(INDEX(K:K,E699+1):K203&lt;&gt;"",0),0)+E699,"")))</f>
        <v>842</v>
      </c>
      <c r="F700" s="117" cm="1">
        <f t="array" ref="F700">IF(E700="","",IF(H699&lt;&gt;"",H699,INDEX(D:D,E700)))</f>
        <v>0</v>
      </c>
      <c r="G700" s="117" t="str">
        <f t="shared" si="69"/>
        <v>0</v>
      </c>
      <c r="H700" s="118" t="str">
        <f t="shared" si="70"/>
        <v/>
      </c>
      <c r="I700" s="116" t="str">
        <f>IF(AND(F700&lt;&gt;"",N10&gt;0,M700&gt;N10),"Mot &gt; limite","")</f>
        <v/>
      </c>
      <c r="M700" s="70">
        <f>IF(OR(F700="",N10="",N10&lt;=0),"",IF(LEN(F700)&lt;=N10,LEN(F700),IFERROR(FIND("♦",SUBSTITUTE(LEFT(F700,N10)," ","♦",LEN(LEFT(F700,N10))-LEN(SUBSTITUTE(LEFT(F700,N10)," ","")))),FIND(" ",F700&amp;" ",N10+1)-1)))</f>
        <v>1</v>
      </c>
      <c r="N700" s="119">
        <f t="shared" si="71"/>
        <v>683</v>
      </c>
      <c r="O700" s="99" t="str">
        <f t="shared" si="72"/>
        <v>0</v>
      </c>
      <c r="P700" s="119">
        <f t="shared" si="73"/>
        <v>1</v>
      </c>
      <c r="Q700" s="119">
        <f t="shared" si="74"/>
        <v>1</v>
      </c>
    </row>
    <row r="701" spans="2:17">
      <c r="B701" s="116"/>
      <c r="C701" s="116"/>
      <c r="D701" s="116"/>
      <c r="E701" s="116" cm="1">
        <f t="array" ref="E701">IF(H700&lt;&gt;"",E700,IF(E700="","",IFERROR(MATCH(TRUE(),INDEX(INDEX(K:K,E700+1):K203&lt;&gt;"",0),0)+E700,"")))</f>
        <v>843</v>
      </c>
      <c r="F701" s="117" cm="1">
        <f t="array" ref="F701">IF(E701="","",IF(H700&lt;&gt;"",H700,INDEX(D:D,E701)))</f>
        <v>0</v>
      </c>
      <c r="G701" s="117" t="str">
        <f t="shared" si="69"/>
        <v>0</v>
      </c>
      <c r="H701" s="118" t="str">
        <f t="shared" si="70"/>
        <v/>
      </c>
      <c r="I701" s="116" t="str">
        <f>IF(AND(F701&lt;&gt;"",N10&gt;0,M701&gt;N10),"Mot &gt; limite","")</f>
        <v/>
      </c>
      <c r="M701" s="70">
        <f>IF(OR(F701="",N10="",N10&lt;=0),"",IF(LEN(F701)&lt;=N10,LEN(F701),IFERROR(FIND("♦",SUBSTITUTE(LEFT(F701,N10)," ","♦",LEN(LEFT(F701,N10))-LEN(SUBSTITUTE(LEFT(F701,N10)," ","")))),FIND(" ",F701&amp;" ",N10+1)-1)))</f>
        <v>1</v>
      </c>
      <c r="N701" s="119">
        <f t="shared" si="71"/>
        <v>684</v>
      </c>
      <c r="O701" s="99" t="str">
        <f t="shared" si="72"/>
        <v>0</v>
      </c>
      <c r="P701" s="119">
        <f t="shared" si="73"/>
        <v>1</v>
      </c>
      <c r="Q701" s="119">
        <f t="shared" si="74"/>
        <v>1</v>
      </c>
    </row>
    <row r="702" spans="2:17">
      <c r="B702" s="116"/>
      <c r="C702" s="116"/>
      <c r="D702" s="116"/>
      <c r="E702" s="116" cm="1">
        <f t="array" ref="E702">IF(H701&lt;&gt;"",E701,IF(E701="","",IFERROR(MATCH(TRUE(),INDEX(INDEX(K:K,E701+1):K203&lt;&gt;"",0),0)+E701,"")))</f>
        <v>844</v>
      </c>
      <c r="F702" s="117" cm="1">
        <f t="array" ref="F702">IF(E702="","",IF(H701&lt;&gt;"",H701,INDEX(D:D,E702)))</f>
        <v>0</v>
      </c>
      <c r="G702" s="117" t="str">
        <f t="shared" si="69"/>
        <v>0</v>
      </c>
      <c r="H702" s="118" t="str">
        <f t="shared" si="70"/>
        <v/>
      </c>
      <c r="I702" s="116" t="str">
        <f>IF(AND(F702&lt;&gt;"",N10&gt;0,M702&gt;N10),"Mot &gt; limite","")</f>
        <v/>
      </c>
      <c r="M702" s="70">
        <f>IF(OR(F702="",N10="",N10&lt;=0),"",IF(LEN(F702)&lt;=N10,LEN(F702),IFERROR(FIND("♦",SUBSTITUTE(LEFT(F702,N10)," ","♦",LEN(LEFT(F702,N10))-LEN(SUBSTITUTE(LEFT(F702,N10)," ","")))),FIND(" ",F702&amp;" ",N10+1)-1)))</f>
        <v>1</v>
      </c>
      <c r="N702" s="119">
        <f t="shared" si="71"/>
        <v>685</v>
      </c>
      <c r="O702" s="99" t="str">
        <f t="shared" si="72"/>
        <v>0</v>
      </c>
      <c r="P702" s="119">
        <f t="shared" si="73"/>
        <v>1</v>
      </c>
      <c r="Q702" s="119">
        <f t="shared" si="74"/>
        <v>1</v>
      </c>
    </row>
    <row r="703" spans="2:17">
      <c r="B703" s="116"/>
      <c r="C703" s="116"/>
      <c r="D703" s="116"/>
      <c r="E703" s="116" cm="1">
        <f t="array" ref="E703">IF(H702&lt;&gt;"",E702,IF(E702="","",IFERROR(MATCH(TRUE(),INDEX(INDEX(K:K,E702+1):K203&lt;&gt;"",0),0)+E702,"")))</f>
        <v>845</v>
      </c>
      <c r="F703" s="117" cm="1">
        <f t="array" ref="F703">IF(E703="","",IF(H702&lt;&gt;"",H702,INDEX(D:D,E703)))</f>
        <v>0</v>
      </c>
      <c r="G703" s="117" t="str">
        <f t="shared" si="69"/>
        <v>0</v>
      </c>
      <c r="H703" s="118" t="str">
        <f t="shared" si="70"/>
        <v/>
      </c>
      <c r="I703" s="116" t="str">
        <f>IF(AND(F703&lt;&gt;"",N10&gt;0,M703&gt;N10),"Mot &gt; limite","")</f>
        <v/>
      </c>
      <c r="M703" s="70">
        <f>IF(OR(F703="",N10="",N10&lt;=0),"",IF(LEN(F703)&lt;=N10,LEN(F703),IFERROR(FIND("♦",SUBSTITUTE(LEFT(F703,N10)," ","♦",LEN(LEFT(F703,N10))-LEN(SUBSTITUTE(LEFT(F703,N10)," ","")))),FIND(" ",F703&amp;" ",N10+1)-1)))</f>
        <v>1</v>
      </c>
      <c r="N703" s="119">
        <f t="shared" si="71"/>
        <v>686</v>
      </c>
      <c r="O703" s="99" t="str">
        <f t="shared" si="72"/>
        <v>0</v>
      </c>
      <c r="P703" s="119">
        <f t="shared" si="73"/>
        <v>1</v>
      </c>
      <c r="Q703" s="119">
        <f t="shared" si="74"/>
        <v>1</v>
      </c>
    </row>
    <row r="704" spans="2:17">
      <c r="B704" s="116"/>
      <c r="C704" s="116"/>
      <c r="D704" s="116"/>
      <c r="E704" s="116" cm="1">
        <f t="array" ref="E704">IF(H703&lt;&gt;"",E703,IF(E703="","",IFERROR(MATCH(TRUE(),INDEX(INDEX(K:K,E703+1):K203&lt;&gt;"",0),0)+E703,"")))</f>
        <v>846</v>
      </c>
      <c r="F704" s="117" cm="1">
        <f t="array" ref="F704">IF(E704="","",IF(H703&lt;&gt;"",H703,INDEX(D:D,E704)))</f>
        <v>0</v>
      </c>
      <c r="G704" s="117" t="str">
        <f t="shared" si="69"/>
        <v>0</v>
      </c>
      <c r="H704" s="118" t="str">
        <f t="shared" si="70"/>
        <v/>
      </c>
      <c r="I704" s="116" t="str">
        <f>IF(AND(F704&lt;&gt;"",N10&gt;0,M704&gt;N10),"Mot &gt; limite","")</f>
        <v/>
      </c>
      <c r="M704" s="70">
        <f>IF(OR(F704="",N10="",N10&lt;=0),"",IF(LEN(F704)&lt;=N10,LEN(F704),IFERROR(FIND("♦",SUBSTITUTE(LEFT(F704,N10)," ","♦",LEN(LEFT(F704,N10))-LEN(SUBSTITUTE(LEFT(F704,N10)," ","")))),FIND(" ",F704&amp;" ",N10+1)-1)))</f>
        <v>1</v>
      </c>
      <c r="N704" s="119">
        <f t="shared" si="71"/>
        <v>687</v>
      </c>
      <c r="O704" s="99" t="str">
        <f t="shared" si="72"/>
        <v>0</v>
      </c>
      <c r="P704" s="119">
        <f t="shared" si="73"/>
        <v>1</v>
      </c>
      <c r="Q704" s="119">
        <f t="shared" si="74"/>
        <v>1</v>
      </c>
    </row>
    <row r="705" spans="2:17">
      <c r="B705" s="116"/>
      <c r="C705" s="116"/>
      <c r="D705" s="116"/>
      <c r="E705" s="116" cm="1">
        <f t="array" ref="E705">IF(H704&lt;&gt;"",E704,IF(E704="","",IFERROR(MATCH(TRUE(),INDEX(INDEX(K:K,E704+1):K203&lt;&gt;"",0),0)+E704,"")))</f>
        <v>847</v>
      </c>
      <c r="F705" s="117" cm="1">
        <f t="array" ref="F705">IF(E705="","",IF(H704&lt;&gt;"",H704,INDEX(D:D,E705)))</f>
        <v>0</v>
      </c>
      <c r="G705" s="117" t="str">
        <f t="shared" si="69"/>
        <v>0</v>
      </c>
      <c r="H705" s="118" t="str">
        <f t="shared" si="70"/>
        <v/>
      </c>
      <c r="I705" s="116" t="str">
        <f>IF(AND(F705&lt;&gt;"",N10&gt;0,M705&gt;N10),"Mot &gt; limite","")</f>
        <v/>
      </c>
      <c r="M705" s="70">
        <f>IF(OR(F705="",N10="",N10&lt;=0),"",IF(LEN(F705)&lt;=N10,LEN(F705),IFERROR(FIND("♦",SUBSTITUTE(LEFT(F705,N10)," ","♦",LEN(LEFT(F705,N10))-LEN(SUBSTITUTE(LEFT(F705,N10)," ","")))),FIND(" ",F705&amp;" ",N10+1)-1)))</f>
        <v>1</v>
      </c>
      <c r="N705" s="119">
        <f t="shared" si="71"/>
        <v>688</v>
      </c>
      <c r="O705" s="99" t="str">
        <f t="shared" si="72"/>
        <v>0</v>
      </c>
      <c r="P705" s="119">
        <f t="shared" si="73"/>
        <v>1</v>
      </c>
      <c r="Q705" s="119">
        <f t="shared" si="74"/>
        <v>1</v>
      </c>
    </row>
    <row r="706" spans="2:17">
      <c r="B706" s="116"/>
      <c r="C706" s="116"/>
      <c r="D706" s="116"/>
      <c r="E706" s="116" cm="1">
        <f t="array" ref="E706">IF(H705&lt;&gt;"",E705,IF(E705="","",IFERROR(MATCH(TRUE(),INDEX(INDEX(K:K,E705+1):K203&lt;&gt;"",0),0)+E705,"")))</f>
        <v>848</v>
      </c>
      <c r="F706" s="117" cm="1">
        <f t="array" ref="F706">IF(E706="","",IF(H705&lt;&gt;"",H705,INDEX(D:D,E706)))</f>
        <v>0</v>
      </c>
      <c r="G706" s="117" t="str">
        <f t="shared" si="69"/>
        <v>0</v>
      </c>
      <c r="H706" s="118" t="str">
        <f t="shared" si="70"/>
        <v/>
      </c>
      <c r="I706" s="116" t="str">
        <f>IF(AND(F706&lt;&gt;"",N10&gt;0,M706&gt;N10),"Mot &gt; limite","")</f>
        <v/>
      </c>
      <c r="M706" s="70">
        <f>IF(OR(F706="",N10="",N10&lt;=0),"",IF(LEN(F706)&lt;=N10,LEN(F706),IFERROR(FIND("♦",SUBSTITUTE(LEFT(F706,N10)," ","♦",LEN(LEFT(F706,N10))-LEN(SUBSTITUTE(LEFT(F706,N10)," ","")))),FIND(" ",F706&amp;" ",N10+1)-1)))</f>
        <v>1</v>
      </c>
      <c r="N706" s="119">
        <f t="shared" si="71"/>
        <v>689</v>
      </c>
      <c r="O706" s="99" t="str">
        <f t="shared" si="72"/>
        <v>0</v>
      </c>
      <c r="P706" s="119">
        <f t="shared" si="73"/>
        <v>1</v>
      </c>
      <c r="Q706" s="119">
        <f t="shared" si="74"/>
        <v>1</v>
      </c>
    </row>
    <row r="707" spans="2:17">
      <c r="B707" s="116"/>
      <c r="C707" s="116"/>
      <c r="D707" s="116"/>
      <c r="E707" s="116" cm="1">
        <f t="array" ref="E707">IF(H706&lt;&gt;"",E706,IF(E706="","",IFERROR(MATCH(TRUE(),INDEX(INDEX(K:K,E706+1):K203&lt;&gt;"",0),0)+E706,"")))</f>
        <v>849</v>
      </c>
      <c r="F707" s="117" cm="1">
        <f t="array" ref="F707">IF(E707="","",IF(H706&lt;&gt;"",H706,INDEX(D:D,E707)))</f>
        <v>0</v>
      </c>
      <c r="G707" s="117" t="str">
        <f t="shared" si="69"/>
        <v>0</v>
      </c>
      <c r="H707" s="118" t="str">
        <f t="shared" si="70"/>
        <v/>
      </c>
      <c r="I707" s="116" t="str">
        <f>IF(AND(F707&lt;&gt;"",N10&gt;0,M707&gt;N10),"Mot &gt; limite","")</f>
        <v/>
      </c>
      <c r="M707" s="70">
        <f>IF(OR(F707="",N10="",N10&lt;=0),"",IF(LEN(F707)&lt;=N10,LEN(F707),IFERROR(FIND("♦",SUBSTITUTE(LEFT(F707,N10)," ","♦",LEN(LEFT(F707,N10))-LEN(SUBSTITUTE(LEFT(F707,N10)," ","")))),FIND(" ",F707&amp;" ",N10+1)-1)))</f>
        <v>1</v>
      </c>
      <c r="N707" s="119">
        <f t="shared" si="71"/>
        <v>690</v>
      </c>
      <c r="O707" s="99" t="str">
        <f t="shared" si="72"/>
        <v>0</v>
      </c>
      <c r="P707" s="119">
        <f t="shared" si="73"/>
        <v>1</v>
      </c>
      <c r="Q707" s="119">
        <f t="shared" si="74"/>
        <v>1</v>
      </c>
    </row>
    <row r="708" spans="2:17">
      <c r="B708" s="116"/>
      <c r="C708" s="116"/>
      <c r="D708" s="116"/>
      <c r="E708" s="116" cm="1">
        <f t="array" ref="E708">IF(H707&lt;&gt;"",E707,IF(E707="","",IFERROR(MATCH(TRUE(),INDEX(INDEX(K:K,E707+1):K203&lt;&gt;"",0),0)+E707,"")))</f>
        <v>850</v>
      </c>
      <c r="F708" s="117" cm="1">
        <f t="array" ref="F708">IF(E708="","",IF(H707&lt;&gt;"",H707,INDEX(D:D,E708)))</f>
        <v>0</v>
      </c>
      <c r="G708" s="117" t="str">
        <f t="shared" si="69"/>
        <v>0</v>
      </c>
      <c r="H708" s="118" t="str">
        <f t="shared" si="70"/>
        <v/>
      </c>
      <c r="I708" s="116" t="str">
        <f>IF(AND(F708&lt;&gt;"",N10&gt;0,M708&gt;N10),"Mot &gt; limite","")</f>
        <v/>
      </c>
      <c r="M708" s="70">
        <f>IF(OR(F708="",N10="",N10&lt;=0),"",IF(LEN(F708)&lt;=N10,LEN(F708),IFERROR(FIND("♦",SUBSTITUTE(LEFT(F708,N10)," ","♦",LEN(LEFT(F708,N10))-LEN(SUBSTITUTE(LEFT(F708,N10)," ","")))),FIND(" ",F708&amp;" ",N10+1)-1)))</f>
        <v>1</v>
      </c>
      <c r="N708" s="119">
        <f t="shared" si="71"/>
        <v>691</v>
      </c>
      <c r="O708" s="99" t="str">
        <f t="shared" si="72"/>
        <v>0</v>
      </c>
      <c r="P708" s="119">
        <f t="shared" si="73"/>
        <v>1</v>
      </c>
      <c r="Q708" s="119">
        <f t="shared" si="74"/>
        <v>1</v>
      </c>
    </row>
    <row r="709" spans="2:17">
      <c r="B709" s="116"/>
      <c r="C709" s="116"/>
      <c r="D709" s="116"/>
      <c r="E709" s="116" cm="1">
        <f t="array" ref="E709">IF(H708&lt;&gt;"",E708,IF(E708="","",IFERROR(MATCH(TRUE(),INDEX(INDEX(K:K,E708+1):K203&lt;&gt;"",0),0)+E708,"")))</f>
        <v>851</v>
      </c>
      <c r="F709" s="117" cm="1">
        <f t="array" ref="F709">IF(E709="","",IF(H708&lt;&gt;"",H708,INDEX(D:D,E709)))</f>
        <v>0</v>
      </c>
      <c r="G709" s="117" t="str">
        <f t="shared" si="69"/>
        <v>0</v>
      </c>
      <c r="H709" s="118" t="str">
        <f t="shared" si="70"/>
        <v/>
      </c>
      <c r="I709" s="116" t="str">
        <f>IF(AND(F709&lt;&gt;"",N10&gt;0,M709&gt;N10),"Mot &gt; limite","")</f>
        <v/>
      </c>
      <c r="M709" s="70">
        <f>IF(OR(F709="",N10="",N10&lt;=0),"",IF(LEN(F709)&lt;=N10,LEN(F709),IFERROR(FIND("♦",SUBSTITUTE(LEFT(F709,N10)," ","♦",LEN(LEFT(F709,N10))-LEN(SUBSTITUTE(LEFT(F709,N10)," ","")))),FIND(" ",F709&amp;" ",N10+1)-1)))</f>
        <v>1</v>
      </c>
      <c r="N709" s="119">
        <f t="shared" si="71"/>
        <v>692</v>
      </c>
      <c r="O709" s="99" t="str">
        <f t="shared" si="72"/>
        <v>0</v>
      </c>
      <c r="P709" s="119">
        <f t="shared" si="73"/>
        <v>1</v>
      </c>
      <c r="Q709" s="119">
        <f t="shared" si="74"/>
        <v>1</v>
      </c>
    </row>
    <row r="710" spans="2:17">
      <c r="B710" s="116"/>
      <c r="C710" s="116"/>
      <c r="D710" s="116"/>
      <c r="E710" s="116" cm="1">
        <f t="array" ref="E710">IF(H709&lt;&gt;"",E709,IF(E709="","",IFERROR(MATCH(TRUE(),INDEX(INDEX(K:K,E709+1):K203&lt;&gt;"",0),0)+E709,"")))</f>
        <v>852</v>
      </c>
      <c r="F710" s="117" cm="1">
        <f t="array" ref="F710">IF(E710="","",IF(H709&lt;&gt;"",H709,INDEX(D:D,E710)))</f>
        <v>0</v>
      </c>
      <c r="G710" s="117" t="str">
        <f t="shared" si="69"/>
        <v>0</v>
      </c>
      <c r="H710" s="118" t="str">
        <f t="shared" si="70"/>
        <v/>
      </c>
      <c r="I710" s="116" t="str">
        <f>IF(AND(F710&lt;&gt;"",N10&gt;0,M710&gt;N10),"Mot &gt; limite","")</f>
        <v/>
      </c>
      <c r="M710" s="70">
        <f>IF(OR(F710="",N10="",N10&lt;=0),"",IF(LEN(F710)&lt;=N10,LEN(F710),IFERROR(FIND("♦",SUBSTITUTE(LEFT(F710,N10)," ","♦",LEN(LEFT(F710,N10))-LEN(SUBSTITUTE(LEFT(F710,N10)," ","")))),FIND(" ",F710&amp;" ",N10+1)-1)))</f>
        <v>1</v>
      </c>
      <c r="N710" s="119">
        <f t="shared" si="71"/>
        <v>693</v>
      </c>
      <c r="O710" s="99" t="str">
        <f t="shared" si="72"/>
        <v>0</v>
      </c>
      <c r="P710" s="119">
        <f t="shared" si="73"/>
        <v>1</v>
      </c>
      <c r="Q710" s="119">
        <f t="shared" si="74"/>
        <v>1</v>
      </c>
    </row>
    <row r="711" spans="2:17">
      <c r="B711" s="116"/>
      <c r="C711" s="116"/>
      <c r="D711" s="116"/>
      <c r="E711" s="116" cm="1">
        <f t="array" ref="E711">IF(H710&lt;&gt;"",E710,IF(E710="","",IFERROR(MATCH(TRUE(),INDEX(INDEX(K:K,E710+1):K203&lt;&gt;"",0),0)+E710,"")))</f>
        <v>853</v>
      </c>
      <c r="F711" s="117" cm="1">
        <f t="array" ref="F711">IF(E711="","",IF(H710&lt;&gt;"",H710,INDEX(D:D,E711)))</f>
        <v>0</v>
      </c>
      <c r="G711" s="117" t="str">
        <f t="shared" si="69"/>
        <v>0</v>
      </c>
      <c r="H711" s="118" t="str">
        <f t="shared" si="70"/>
        <v/>
      </c>
      <c r="I711" s="116" t="str">
        <f>IF(AND(F711&lt;&gt;"",N10&gt;0,M711&gt;N10),"Mot &gt; limite","")</f>
        <v/>
      </c>
      <c r="M711" s="70">
        <f>IF(OR(F711="",N10="",N10&lt;=0),"",IF(LEN(F711)&lt;=N10,LEN(F711),IFERROR(FIND("♦",SUBSTITUTE(LEFT(F711,N10)," ","♦",LEN(LEFT(F711,N10))-LEN(SUBSTITUTE(LEFT(F711,N10)," ","")))),FIND(" ",F711&amp;" ",N10+1)-1)))</f>
        <v>1</v>
      </c>
      <c r="N711" s="119">
        <f t="shared" si="71"/>
        <v>694</v>
      </c>
      <c r="O711" s="99" t="str">
        <f t="shared" si="72"/>
        <v>0</v>
      </c>
      <c r="P711" s="119">
        <f t="shared" si="73"/>
        <v>1</v>
      </c>
      <c r="Q711" s="119">
        <f t="shared" si="74"/>
        <v>1</v>
      </c>
    </row>
    <row r="712" spans="2:17">
      <c r="B712" s="116"/>
      <c r="C712" s="116"/>
      <c r="D712" s="116"/>
      <c r="E712" s="116" cm="1">
        <f t="array" ref="E712">IF(H711&lt;&gt;"",E711,IF(E711="","",IFERROR(MATCH(TRUE(),INDEX(INDEX(K:K,E711+1):K203&lt;&gt;"",0),0)+E711,"")))</f>
        <v>854</v>
      </c>
      <c r="F712" s="117" cm="1">
        <f t="array" ref="F712">IF(E712="","",IF(H711&lt;&gt;"",H711,INDEX(D:D,E712)))</f>
        <v>0</v>
      </c>
      <c r="G712" s="117" t="str">
        <f t="shared" si="69"/>
        <v>0</v>
      </c>
      <c r="H712" s="118" t="str">
        <f t="shared" si="70"/>
        <v/>
      </c>
      <c r="I712" s="116" t="str">
        <f>IF(AND(F712&lt;&gt;"",N10&gt;0,M712&gt;N10),"Mot &gt; limite","")</f>
        <v/>
      </c>
      <c r="M712" s="70">
        <f>IF(OR(F712="",N10="",N10&lt;=0),"",IF(LEN(F712)&lt;=N10,LEN(F712),IFERROR(FIND("♦",SUBSTITUTE(LEFT(F712,N10)," ","♦",LEN(LEFT(F712,N10))-LEN(SUBSTITUTE(LEFT(F712,N10)," ","")))),FIND(" ",F712&amp;" ",N10+1)-1)))</f>
        <v>1</v>
      </c>
      <c r="N712" s="119">
        <f t="shared" si="71"/>
        <v>695</v>
      </c>
      <c r="O712" s="99" t="str">
        <f t="shared" si="72"/>
        <v>0</v>
      </c>
      <c r="P712" s="119">
        <f t="shared" si="73"/>
        <v>1</v>
      </c>
      <c r="Q712" s="119">
        <f t="shared" si="74"/>
        <v>1</v>
      </c>
    </row>
    <row r="713" spans="2:17">
      <c r="B713" s="116"/>
      <c r="C713" s="116"/>
      <c r="D713" s="116"/>
      <c r="E713" s="116" cm="1">
        <f t="array" ref="E713">IF(H712&lt;&gt;"",E712,IF(E712="","",IFERROR(MATCH(TRUE(),INDEX(INDEX(K:K,E712+1):K203&lt;&gt;"",0),0)+E712,"")))</f>
        <v>855</v>
      </c>
      <c r="F713" s="117" cm="1">
        <f t="array" ref="F713">IF(E713="","",IF(H712&lt;&gt;"",H712,INDEX(D:D,E713)))</f>
        <v>0</v>
      </c>
      <c r="G713" s="117" t="str">
        <f t="shared" si="69"/>
        <v>0</v>
      </c>
      <c r="H713" s="118" t="str">
        <f t="shared" si="70"/>
        <v/>
      </c>
      <c r="I713" s="116" t="str">
        <f>IF(AND(F713&lt;&gt;"",N10&gt;0,M713&gt;N10),"Mot &gt; limite","")</f>
        <v/>
      </c>
      <c r="M713" s="70">
        <f>IF(OR(F713="",N10="",N10&lt;=0),"",IF(LEN(F713)&lt;=N10,LEN(F713),IFERROR(FIND("♦",SUBSTITUTE(LEFT(F713,N10)," ","♦",LEN(LEFT(F713,N10))-LEN(SUBSTITUTE(LEFT(F713,N10)," ","")))),FIND(" ",F713&amp;" ",N10+1)-1)))</f>
        <v>1</v>
      </c>
      <c r="N713" s="119">
        <f t="shared" si="71"/>
        <v>696</v>
      </c>
      <c r="O713" s="99" t="str">
        <f t="shared" si="72"/>
        <v>0</v>
      </c>
      <c r="P713" s="119">
        <f t="shared" si="73"/>
        <v>1</v>
      </c>
      <c r="Q713" s="119">
        <f t="shared" si="74"/>
        <v>1</v>
      </c>
    </row>
    <row r="714" spans="2:17">
      <c r="B714" s="116"/>
      <c r="C714" s="116"/>
      <c r="D714" s="116"/>
      <c r="E714" s="116" cm="1">
        <f t="array" ref="E714">IF(H713&lt;&gt;"",E713,IF(E713="","",IFERROR(MATCH(TRUE(),INDEX(INDEX(K:K,E713+1):K203&lt;&gt;"",0),0)+E713,"")))</f>
        <v>856</v>
      </c>
      <c r="F714" s="117" cm="1">
        <f t="array" ref="F714">IF(E714="","",IF(H713&lt;&gt;"",H713,INDEX(D:D,E714)))</f>
        <v>0</v>
      </c>
      <c r="G714" s="117" t="str">
        <f t="shared" si="69"/>
        <v>0</v>
      </c>
      <c r="H714" s="118" t="str">
        <f t="shared" si="70"/>
        <v/>
      </c>
      <c r="I714" s="116" t="str">
        <f>IF(AND(F714&lt;&gt;"",N10&gt;0,M714&gt;N10),"Mot &gt; limite","")</f>
        <v/>
      </c>
      <c r="M714" s="70">
        <f>IF(OR(F714="",N10="",N10&lt;=0),"",IF(LEN(F714)&lt;=N10,LEN(F714),IFERROR(FIND("♦",SUBSTITUTE(LEFT(F714,N10)," ","♦",LEN(LEFT(F714,N10))-LEN(SUBSTITUTE(LEFT(F714,N10)," ","")))),FIND(" ",F714&amp;" ",N10+1)-1)))</f>
        <v>1</v>
      </c>
      <c r="N714" s="119">
        <f t="shared" si="71"/>
        <v>697</v>
      </c>
      <c r="O714" s="99" t="str">
        <f t="shared" si="72"/>
        <v>0</v>
      </c>
      <c r="P714" s="119">
        <f t="shared" si="73"/>
        <v>1</v>
      </c>
      <c r="Q714" s="119">
        <f t="shared" si="74"/>
        <v>1</v>
      </c>
    </row>
    <row r="715" spans="2:17">
      <c r="B715" s="116"/>
      <c r="C715" s="116"/>
      <c r="D715" s="116"/>
      <c r="E715" s="116" cm="1">
        <f t="array" ref="E715">IF(H714&lt;&gt;"",E714,IF(E714="","",IFERROR(MATCH(TRUE(),INDEX(INDEX(K:K,E714+1):K203&lt;&gt;"",0),0)+E714,"")))</f>
        <v>857</v>
      </c>
      <c r="F715" s="117" cm="1">
        <f t="array" ref="F715">IF(E715="","",IF(H714&lt;&gt;"",H714,INDEX(D:D,E715)))</f>
        <v>0</v>
      </c>
      <c r="G715" s="117" t="str">
        <f t="shared" si="69"/>
        <v>0</v>
      </c>
      <c r="H715" s="118" t="str">
        <f t="shared" si="70"/>
        <v/>
      </c>
      <c r="I715" s="116" t="str">
        <f>IF(AND(F715&lt;&gt;"",N10&gt;0,M715&gt;N10),"Mot &gt; limite","")</f>
        <v/>
      </c>
      <c r="M715" s="70">
        <f>IF(OR(F715="",N10="",N10&lt;=0),"",IF(LEN(F715)&lt;=N10,LEN(F715),IFERROR(FIND("♦",SUBSTITUTE(LEFT(F715,N10)," ","♦",LEN(LEFT(F715,N10))-LEN(SUBSTITUTE(LEFT(F715,N10)," ","")))),FIND(" ",F715&amp;" ",N10+1)-1)))</f>
        <v>1</v>
      </c>
      <c r="N715" s="119">
        <f t="shared" si="71"/>
        <v>698</v>
      </c>
      <c r="O715" s="99" t="str">
        <f t="shared" si="72"/>
        <v>0</v>
      </c>
      <c r="P715" s="119">
        <f t="shared" si="73"/>
        <v>1</v>
      </c>
      <c r="Q715" s="119">
        <f t="shared" si="74"/>
        <v>1</v>
      </c>
    </row>
    <row r="716" spans="2:17">
      <c r="B716" s="116"/>
      <c r="C716" s="116"/>
      <c r="D716" s="116"/>
      <c r="E716" s="116" cm="1">
        <f t="array" ref="E716">IF(H715&lt;&gt;"",E715,IF(E715="","",IFERROR(MATCH(TRUE(),INDEX(INDEX(K:K,E715+1):K203&lt;&gt;"",0),0)+E715,"")))</f>
        <v>858</v>
      </c>
      <c r="F716" s="117" cm="1">
        <f t="array" ref="F716">IF(E716="","",IF(H715&lt;&gt;"",H715,INDEX(D:D,E716)))</f>
        <v>0</v>
      </c>
      <c r="G716" s="117" t="str">
        <f t="shared" si="69"/>
        <v>0</v>
      </c>
      <c r="H716" s="118" t="str">
        <f t="shared" si="70"/>
        <v/>
      </c>
      <c r="I716" s="116" t="str">
        <f>IF(AND(F716&lt;&gt;"",N10&gt;0,M716&gt;N10),"Mot &gt; limite","")</f>
        <v/>
      </c>
      <c r="M716" s="70">
        <f>IF(OR(F716="",N10="",N10&lt;=0),"",IF(LEN(F716)&lt;=N10,LEN(F716),IFERROR(FIND("♦",SUBSTITUTE(LEFT(F716,N10)," ","♦",LEN(LEFT(F716,N10))-LEN(SUBSTITUTE(LEFT(F716,N10)," ","")))),FIND(" ",F716&amp;" ",N10+1)-1)))</f>
        <v>1</v>
      </c>
      <c r="N716" s="119">
        <f t="shared" si="71"/>
        <v>699</v>
      </c>
      <c r="O716" s="99" t="str">
        <f t="shared" si="72"/>
        <v>0</v>
      </c>
      <c r="P716" s="119">
        <f t="shared" si="73"/>
        <v>1</v>
      </c>
      <c r="Q716" s="119">
        <f t="shared" si="74"/>
        <v>1</v>
      </c>
    </row>
    <row r="717" spans="2:17">
      <c r="B717" s="116"/>
      <c r="C717" s="116"/>
      <c r="D717" s="116"/>
      <c r="E717" s="116" cm="1">
        <f t="array" ref="E717">IF(H716&lt;&gt;"",E716,IF(E716="","",IFERROR(MATCH(TRUE(),INDEX(INDEX(K:K,E716+1):K203&lt;&gt;"",0),0)+E716,"")))</f>
        <v>859</v>
      </c>
      <c r="F717" s="117" cm="1">
        <f t="array" ref="F717">IF(E717="","",IF(H716&lt;&gt;"",H716,INDEX(D:D,E717)))</f>
        <v>0</v>
      </c>
      <c r="G717" s="117" t="str">
        <f t="shared" si="69"/>
        <v>0</v>
      </c>
      <c r="H717" s="118" t="str">
        <f t="shared" si="70"/>
        <v/>
      </c>
      <c r="I717" s="116" t="str">
        <f>IF(AND(F717&lt;&gt;"",N10&gt;0,M717&gt;N10),"Mot &gt; limite","")</f>
        <v/>
      </c>
      <c r="M717" s="70">
        <f>IF(OR(F717="",N10="",N10&lt;=0),"",IF(LEN(F717)&lt;=N10,LEN(F717),IFERROR(FIND("♦",SUBSTITUTE(LEFT(F717,N10)," ","♦",LEN(LEFT(F717,N10))-LEN(SUBSTITUTE(LEFT(F717,N10)," ","")))),FIND(" ",F717&amp;" ",N10+1)-1)))</f>
        <v>1</v>
      </c>
      <c r="N717" s="119">
        <f t="shared" si="71"/>
        <v>700</v>
      </c>
      <c r="O717" s="99" t="str">
        <f t="shared" si="72"/>
        <v>0</v>
      </c>
      <c r="P717" s="119">
        <f t="shared" si="73"/>
        <v>1</v>
      </c>
      <c r="Q717" s="119">
        <f t="shared" si="74"/>
        <v>1</v>
      </c>
    </row>
    <row r="718" spans="2:17">
      <c r="B718" s="116"/>
      <c r="C718" s="116"/>
      <c r="D718" s="116"/>
      <c r="E718" s="116" cm="1">
        <f t="array" ref="E718">IF(H717&lt;&gt;"",E717,IF(E717="","",IFERROR(MATCH(TRUE(),INDEX(INDEX(K:K,E717+1):K203&lt;&gt;"",0),0)+E717,"")))</f>
        <v>860</v>
      </c>
      <c r="F718" s="117" cm="1">
        <f t="array" ref="F718">IF(E718="","",IF(H717&lt;&gt;"",H717,INDEX(D:D,E718)))</f>
        <v>0</v>
      </c>
      <c r="G718" s="117" t="str">
        <f t="shared" si="69"/>
        <v>0</v>
      </c>
      <c r="H718" s="118" t="str">
        <f t="shared" si="70"/>
        <v/>
      </c>
      <c r="I718" s="116" t="str">
        <f>IF(AND(F718&lt;&gt;"",N10&gt;0,M718&gt;N10),"Mot &gt; limite","")</f>
        <v/>
      </c>
      <c r="M718" s="70">
        <f>IF(OR(F718="",N10="",N10&lt;=0),"",IF(LEN(F718)&lt;=N10,LEN(F718),IFERROR(FIND("♦",SUBSTITUTE(LEFT(F718,N10)," ","♦",LEN(LEFT(F718,N10))-LEN(SUBSTITUTE(LEFT(F718,N10)," ","")))),FIND(" ",F718&amp;" ",N10+1)-1)))</f>
        <v>1</v>
      </c>
      <c r="N718" s="119">
        <f t="shared" si="71"/>
        <v>701</v>
      </c>
      <c r="O718" s="99" t="str">
        <f t="shared" si="72"/>
        <v>0</v>
      </c>
      <c r="P718" s="119">
        <f t="shared" si="73"/>
        <v>1</v>
      </c>
      <c r="Q718" s="119">
        <f t="shared" si="74"/>
        <v>1</v>
      </c>
    </row>
    <row r="719" spans="2:17">
      <c r="B719" s="116"/>
      <c r="C719" s="116"/>
      <c r="D719" s="116"/>
      <c r="E719" s="116" cm="1">
        <f t="array" ref="E719">IF(H718&lt;&gt;"",E718,IF(E718="","",IFERROR(MATCH(TRUE(),INDEX(INDEX(K:K,E718+1):K203&lt;&gt;"",0),0)+E718,"")))</f>
        <v>861</v>
      </c>
      <c r="F719" s="117" cm="1">
        <f t="array" ref="F719">IF(E719="","",IF(H718&lt;&gt;"",H718,INDEX(D:D,E719)))</f>
        <v>0</v>
      </c>
      <c r="G719" s="117" t="str">
        <f t="shared" si="69"/>
        <v>0</v>
      </c>
      <c r="H719" s="118" t="str">
        <f t="shared" si="70"/>
        <v/>
      </c>
      <c r="I719" s="116" t="str">
        <f>IF(AND(F719&lt;&gt;"",N10&gt;0,M719&gt;N10),"Mot &gt; limite","")</f>
        <v/>
      </c>
      <c r="M719" s="70">
        <f>IF(OR(F719="",N10="",N10&lt;=0),"",IF(LEN(F719)&lt;=N10,LEN(F719),IFERROR(FIND("♦",SUBSTITUTE(LEFT(F719,N10)," ","♦",LEN(LEFT(F719,N10))-LEN(SUBSTITUTE(LEFT(F719,N10)," ","")))),FIND(" ",F719&amp;" ",N10+1)-1)))</f>
        <v>1</v>
      </c>
      <c r="N719" s="119">
        <f t="shared" si="71"/>
        <v>702</v>
      </c>
      <c r="O719" s="99" t="str">
        <f t="shared" si="72"/>
        <v>0</v>
      </c>
      <c r="P719" s="119">
        <f t="shared" si="73"/>
        <v>1</v>
      </c>
      <c r="Q719" s="119">
        <f t="shared" si="74"/>
        <v>1</v>
      </c>
    </row>
    <row r="720" spans="2:17">
      <c r="B720" s="116"/>
      <c r="C720" s="116"/>
      <c r="D720" s="116"/>
      <c r="E720" s="116" cm="1">
        <f t="array" ref="E720">IF(H719&lt;&gt;"",E719,IF(E719="","",IFERROR(MATCH(TRUE(),INDEX(INDEX(K:K,E719+1):K203&lt;&gt;"",0),0)+E719,"")))</f>
        <v>862</v>
      </c>
      <c r="F720" s="117" cm="1">
        <f t="array" ref="F720">IF(E720="","",IF(H719&lt;&gt;"",H719,INDEX(D:D,E720)))</f>
        <v>0</v>
      </c>
      <c r="G720" s="117" t="str">
        <f t="shared" si="69"/>
        <v>0</v>
      </c>
      <c r="H720" s="118" t="str">
        <f t="shared" si="70"/>
        <v/>
      </c>
      <c r="I720" s="116" t="str">
        <f>IF(AND(F720&lt;&gt;"",N10&gt;0,M720&gt;N10),"Mot &gt; limite","")</f>
        <v/>
      </c>
      <c r="M720" s="70">
        <f>IF(OR(F720="",N10="",N10&lt;=0),"",IF(LEN(F720)&lt;=N10,LEN(F720),IFERROR(FIND("♦",SUBSTITUTE(LEFT(F720,N10)," ","♦",LEN(LEFT(F720,N10))-LEN(SUBSTITUTE(LEFT(F720,N10)," ","")))),FIND(" ",F720&amp;" ",N10+1)-1)))</f>
        <v>1</v>
      </c>
      <c r="N720" s="119">
        <f t="shared" si="71"/>
        <v>703</v>
      </c>
      <c r="O720" s="99" t="str">
        <f t="shared" si="72"/>
        <v>0</v>
      </c>
      <c r="P720" s="119">
        <f t="shared" si="73"/>
        <v>1</v>
      </c>
      <c r="Q720" s="119">
        <f t="shared" si="74"/>
        <v>1</v>
      </c>
    </row>
    <row r="721" spans="2:17">
      <c r="B721" s="116"/>
      <c r="C721" s="116"/>
      <c r="D721" s="116"/>
      <c r="E721" s="116" cm="1">
        <f t="array" ref="E721">IF(H720&lt;&gt;"",E720,IF(E720="","",IFERROR(MATCH(TRUE(),INDEX(INDEX(K:K,E720+1):K203&lt;&gt;"",0),0)+E720,"")))</f>
        <v>863</v>
      </c>
      <c r="F721" s="117" cm="1">
        <f t="array" ref="F721">IF(E721="","",IF(H720&lt;&gt;"",H720,INDEX(D:D,E721)))</f>
        <v>0</v>
      </c>
      <c r="G721" s="117" t="str">
        <f t="shared" si="69"/>
        <v>0</v>
      </c>
      <c r="H721" s="118" t="str">
        <f t="shared" si="70"/>
        <v/>
      </c>
      <c r="I721" s="116" t="str">
        <f>IF(AND(F721&lt;&gt;"",N10&gt;0,M721&gt;N10),"Mot &gt; limite","")</f>
        <v/>
      </c>
      <c r="M721" s="70">
        <f>IF(OR(F721="",N10="",N10&lt;=0),"",IF(LEN(F721)&lt;=N10,LEN(F721),IFERROR(FIND("♦",SUBSTITUTE(LEFT(F721,N10)," ","♦",LEN(LEFT(F721,N10))-LEN(SUBSTITUTE(LEFT(F721,N10)," ","")))),FIND(" ",F721&amp;" ",N10+1)-1)))</f>
        <v>1</v>
      </c>
      <c r="N721" s="119">
        <f t="shared" si="71"/>
        <v>704</v>
      </c>
      <c r="O721" s="99" t="str">
        <f t="shared" si="72"/>
        <v>0</v>
      </c>
      <c r="P721" s="119">
        <f t="shared" si="73"/>
        <v>1</v>
      </c>
      <c r="Q721" s="119">
        <f t="shared" si="74"/>
        <v>1</v>
      </c>
    </row>
    <row r="722" spans="2:17">
      <c r="B722" s="116"/>
      <c r="C722" s="116"/>
      <c r="D722" s="116"/>
      <c r="E722" s="116" cm="1">
        <f t="array" ref="E722">IF(H721&lt;&gt;"",E721,IF(E721="","",IFERROR(MATCH(TRUE(),INDEX(INDEX(K:K,E721+1):K203&lt;&gt;"",0),0)+E721,"")))</f>
        <v>864</v>
      </c>
      <c r="F722" s="117" cm="1">
        <f t="array" ref="F722">IF(E722="","",IF(H721&lt;&gt;"",H721,INDEX(D:D,E722)))</f>
        <v>0</v>
      </c>
      <c r="G722" s="117" t="str">
        <f t="shared" ref="G722:G785" si="75">IF(OR(F722="",M722=""),"",LEFT(F722,M722))</f>
        <v>0</v>
      </c>
      <c r="H722" s="118" t="str">
        <f t="shared" ref="H722:H785" si="76">IF(OR(F722="",M722=""),"",TRIM(MID(F722,M722+1,99999)))</f>
        <v/>
      </c>
      <c r="I722" s="116" t="str">
        <f>IF(AND(F722&lt;&gt;"",N10&gt;0,M722&gt;N10),"Mot &gt; limite","")</f>
        <v/>
      </c>
      <c r="M722" s="70">
        <f>IF(OR(F722="",N10="",N10&lt;=0),"",IF(LEN(F722)&lt;=N10,LEN(F722),IFERROR(FIND("♦",SUBSTITUTE(LEFT(F722,N10)," ","♦",LEN(LEFT(F722,N10))-LEN(SUBSTITUTE(LEFT(F722,N10)," ","")))),FIND(" ",F722&amp;" ",N10+1)-1)))</f>
        <v>1</v>
      </c>
      <c r="N722" s="119">
        <f t="shared" ref="N722:N785" si="77">IF(O722="","",ROW()-17)</f>
        <v>705</v>
      </c>
      <c r="O722" s="99" t="str">
        <f t="shared" ref="O722:O785" si="78">G722</f>
        <v>0</v>
      </c>
      <c r="P722" s="119">
        <f t="shared" ref="P722:P785" si="79">IF(O722="","",LEN(TRIM(O722))-LEN(SUBSTITUTE(TRIM(O722)," ",""))+1)</f>
        <v>1</v>
      </c>
      <c r="Q722" s="119">
        <f t="shared" ref="Q722:Q785" si="80">IF(O722="","",LEN(O722))</f>
        <v>1</v>
      </c>
    </row>
    <row r="723" spans="2:17">
      <c r="B723" s="116"/>
      <c r="C723" s="116"/>
      <c r="D723" s="116"/>
      <c r="E723" s="116" cm="1">
        <f t="array" ref="E723">IF(H722&lt;&gt;"",E722,IF(E722="","",IFERROR(MATCH(TRUE(),INDEX(INDEX(K:K,E722+1):K203&lt;&gt;"",0),0)+E722,"")))</f>
        <v>865</v>
      </c>
      <c r="F723" s="117" cm="1">
        <f t="array" ref="F723">IF(E723="","",IF(H722&lt;&gt;"",H722,INDEX(D:D,E723)))</f>
        <v>0</v>
      </c>
      <c r="G723" s="117" t="str">
        <f t="shared" si="75"/>
        <v>0</v>
      </c>
      <c r="H723" s="118" t="str">
        <f t="shared" si="76"/>
        <v/>
      </c>
      <c r="I723" s="116" t="str">
        <f>IF(AND(F723&lt;&gt;"",N10&gt;0,M723&gt;N10),"Mot &gt; limite","")</f>
        <v/>
      </c>
      <c r="M723" s="70">
        <f>IF(OR(F723="",N10="",N10&lt;=0),"",IF(LEN(F723)&lt;=N10,LEN(F723),IFERROR(FIND("♦",SUBSTITUTE(LEFT(F723,N10)," ","♦",LEN(LEFT(F723,N10))-LEN(SUBSTITUTE(LEFT(F723,N10)," ","")))),FIND(" ",F723&amp;" ",N10+1)-1)))</f>
        <v>1</v>
      </c>
      <c r="N723" s="119">
        <f t="shared" si="77"/>
        <v>706</v>
      </c>
      <c r="O723" s="99" t="str">
        <f t="shared" si="78"/>
        <v>0</v>
      </c>
      <c r="P723" s="119">
        <f t="shared" si="79"/>
        <v>1</v>
      </c>
      <c r="Q723" s="119">
        <f t="shared" si="80"/>
        <v>1</v>
      </c>
    </row>
    <row r="724" spans="2:17">
      <c r="B724" s="116"/>
      <c r="C724" s="116"/>
      <c r="D724" s="116"/>
      <c r="E724" s="116" cm="1">
        <f t="array" ref="E724">IF(H723&lt;&gt;"",E723,IF(E723="","",IFERROR(MATCH(TRUE(),INDEX(INDEX(K:K,E723+1):K203&lt;&gt;"",0),0)+E723,"")))</f>
        <v>866</v>
      </c>
      <c r="F724" s="117" cm="1">
        <f t="array" ref="F724">IF(E724="","",IF(H723&lt;&gt;"",H723,INDEX(D:D,E724)))</f>
        <v>0</v>
      </c>
      <c r="G724" s="117" t="str">
        <f t="shared" si="75"/>
        <v>0</v>
      </c>
      <c r="H724" s="118" t="str">
        <f t="shared" si="76"/>
        <v/>
      </c>
      <c r="I724" s="116" t="str">
        <f>IF(AND(F724&lt;&gt;"",N10&gt;0,M724&gt;N10),"Mot &gt; limite","")</f>
        <v/>
      </c>
      <c r="M724" s="70">
        <f>IF(OR(F724="",N10="",N10&lt;=0),"",IF(LEN(F724)&lt;=N10,LEN(F724),IFERROR(FIND("♦",SUBSTITUTE(LEFT(F724,N10)," ","♦",LEN(LEFT(F724,N10))-LEN(SUBSTITUTE(LEFT(F724,N10)," ","")))),FIND(" ",F724&amp;" ",N10+1)-1)))</f>
        <v>1</v>
      </c>
      <c r="N724" s="119">
        <f t="shared" si="77"/>
        <v>707</v>
      </c>
      <c r="O724" s="99" t="str">
        <f t="shared" si="78"/>
        <v>0</v>
      </c>
      <c r="P724" s="119">
        <f t="shared" si="79"/>
        <v>1</v>
      </c>
      <c r="Q724" s="119">
        <f t="shared" si="80"/>
        <v>1</v>
      </c>
    </row>
    <row r="725" spans="2:17">
      <c r="B725" s="116"/>
      <c r="C725" s="116"/>
      <c r="D725" s="116"/>
      <c r="E725" s="116" cm="1">
        <f t="array" ref="E725">IF(H724&lt;&gt;"",E724,IF(E724="","",IFERROR(MATCH(TRUE(),INDEX(INDEX(K:K,E724+1):K203&lt;&gt;"",0),0)+E724,"")))</f>
        <v>867</v>
      </c>
      <c r="F725" s="117" cm="1">
        <f t="array" ref="F725">IF(E725="","",IF(H724&lt;&gt;"",H724,INDEX(D:D,E725)))</f>
        <v>0</v>
      </c>
      <c r="G725" s="117" t="str">
        <f t="shared" si="75"/>
        <v>0</v>
      </c>
      <c r="H725" s="118" t="str">
        <f t="shared" si="76"/>
        <v/>
      </c>
      <c r="I725" s="116" t="str">
        <f>IF(AND(F725&lt;&gt;"",N10&gt;0,M725&gt;N10),"Mot &gt; limite","")</f>
        <v/>
      </c>
      <c r="M725" s="70">
        <f>IF(OR(F725="",N10="",N10&lt;=0),"",IF(LEN(F725)&lt;=N10,LEN(F725),IFERROR(FIND("♦",SUBSTITUTE(LEFT(F725,N10)," ","♦",LEN(LEFT(F725,N10))-LEN(SUBSTITUTE(LEFT(F725,N10)," ","")))),FIND(" ",F725&amp;" ",N10+1)-1)))</f>
        <v>1</v>
      </c>
      <c r="N725" s="119">
        <f t="shared" si="77"/>
        <v>708</v>
      </c>
      <c r="O725" s="99" t="str">
        <f t="shared" si="78"/>
        <v>0</v>
      </c>
      <c r="P725" s="119">
        <f t="shared" si="79"/>
        <v>1</v>
      </c>
      <c r="Q725" s="119">
        <f t="shared" si="80"/>
        <v>1</v>
      </c>
    </row>
    <row r="726" spans="2:17">
      <c r="B726" s="116"/>
      <c r="C726" s="116"/>
      <c r="D726" s="116"/>
      <c r="E726" s="116" cm="1">
        <f t="array" ref="E726">IF(H725&lt;&gt;"",E725,IF(E725="","",IFERROR(MATCH(TRUE(),INDEX(INDEX(K:K,E725+1):K203&lt;&gt;"",0),0)+E725,"")))</f>
        <v>868</v>
      </c>
      <c r="F726" s="117" cm="1">
        <f t="array" ref="F726">IF(E726="","",IF(H725&lt;&gt;"",H725,INDEX(D:D,E726)))</f>
        <v>0</v>
      </c>
      <c r="G726" s="117" t="str">
        <f t="shared" si="75"/>
        <v>0</v>
      </c>
      <c r="H726" s="118" t="str">
        <f t="shared" si="76"/>
        <v/>
      </c>
      <c r="I726" s="116" t="str">
        <f>IF(AND(F726&lt;&gt;"",N10&gt;0,M726&gt;N10),"Mot &gt; limite","")</f>
        <v/>
      </c>
      <c r="M726" s="70">
        <f>IF(OR(F726="",N10="",N10&lt;=0),"",IF(LEN(F726)&lt;=N10,LEN(F726),IFERROR(FIND("♦",SUBSTITUTE(LEFT(F726,N10)," ","♦",LEN(LEFT(F726,N10))-LEN(SUBSTITUTE(LEFT(F726,N10)," ","")))),FIND(" ",F726&amp;" ",N10+1)-1)))</f>
        <v>1</v>
      </c>
      <c r="N726" s="119">
        <f t="shared" si="77"/>
        <v>709</v>
      </c>
      <c r="O726" s="99" t="str">
        <f t="shared" si="78"/>
        <v>0</v>
      </c>
      <c r="P726" s="119">
        <f t="shared" si="79"/>
        <v>1</v>
      </c>
      <c r="Q726" s="119">
        <f t="shared" si="80"/>
        <v>1</v>
      </c>
    </row>
    <row r="727" spans="2:17">
      <c r="B727" s="116"/>
      <c r="C727" s="116"/>
      <c r="D727" s="116"/>
      <c r="E727" s="116" cm="1">
        <f t="array" ref="E727">IF(H726&lt;&gt;"",E726,IF(E726="","",IFERROR(MATCH(TRUE(),INDEX(INDEX(K:K,E726+1):K203&lt;&gt;"",0),0)+E726,"")))</f>
        <v>869</v>
      </c>
      <c r="F727" s="117" cm="1">
        <f t="array" ref="F727">IF(E727="","",IF(H726&lt;&gt;"",H726,INDEX(D:D,E727)))</f>
        <v>0</v>
      </c>
      <c r="G727" s="117" t="str">
        <f t="shared" si="75"/>
        <v>0</v>
      </c>
      <c r="H727" s="118" t="str">
        <f t="shared" si="76"/>
        <v/>
      </c>
      <c r="I727" s="116" t="str">
        <f>IF(AND(F727&lt;&gt;"",N10&gt;0,M727&gt;N10),"Mot &gt; limite","")</f>
        <v/>
      </c>
      <c r="M727" s="70">
        <f>IF(OR(F727="",N10="",N10&lt;=0),"",IF(LEN(F727)&lt;=N10,LEN(F727),IFERROR(FIND("♦",SUBSTITUTE(LEFT(F727,N10)," ","♦",LEN(LEFT(F727,N10))-LEN(SUBSTITUTE(LEFT(F727,N10)," ","")))),FIND(" ",F727&amp;" ",N10+1)-1)))</f>
        <v>1</v>
      </c>
      <c r="N727" s="119">
        <f t="shared" si="77"/>
        <v>710</v>
      </c>
      <c r="O727" s="99" t="str">
        <f t="shared" si="78"/>
        <v>0</v>
      </c>
      <c r="P727" s="119">
        <f t="shared" si="79"/>
        <v>1</v>
      </c>
      <c r="Q727" s="119">
        <f t="shared" si="80"/>
        <v>1</v>
      </c>
    </row>
    <row r="728" spans="2:17">
      <c r="B728" s="116"/>
      <c r="C728" s="116"/>
      <c r="D728" s="116"/>
      <c r="E728" s="116" cm="1">
        <f t="array" ref="E728">IF(H727&lt;&gt;"",E727,IF(E727="","",IFERROR(MATCH(TRUE(),INDEX(INDEX(K:K,E727+1):K203&lt;&gt;"",0),0)+E727,"")))</f>
        <v>870</v>
      </c>
      <c r="F728" s="117" cm="1">
        <f t="array" ref="F728">IF(E728="","",IF(H727&lt;&gt;"",H727,INDEX(D:D,E728)))</f>
        <v>0</v>
      </c>
      <c r="G728" s="117" t="str">
        <f t="shared" si="75"/>
        <v>0</v>
      </c>
      <c r="H728" s="118" t="str">
        <f t="shared" si="76"/>
        <v/>
      </c>
      <c r="I728" s="116" t="str">
        <f>IF(AND(F728&lt;&gt;"",N10&gt;0,M728&gt;N10),"Mot &gt; limite","")</f>
        <v/>
      </c>
      <c r="M728" s="70">
        <f>IF(OR(F728="",N10="",N10&lt;=0),"",IF(LEN(F728)&lt;=N10,LEN(F728),IFERROR(FIND("♦",SUBSTITUTE(LEFT(F728,N10)," ","♦",LEN(LEFT(F728,N10))-LEN(SUBSTITUTE(LEFT(F728,N10)," ","")))),FIND(" ",F728&amp;" ",N10+1)-1)))</f>
        <v>1</v>
      </c>
      <c r="N728" s="119">
        <f t="shared" si="77"/>
        <v>711</v>
      </c>
      <c r="O728" s="99" t="str">
        <f t="shared" si="78"/>
        <v>0</v>
      </c>
      <c r="P728" s="119">
        <f t="shared" si="79"/>
        <v>1</v>
      </c>
      <c r="Q728" s="119">
        <f t="shared" si="80"/>
        <v>1</v>
      </c>
    </row>
    <row r="729" spans="2:17">
      <c r="B729" s="116"/>
      <c r="C729" s="116"/>
      <c r="D729" s="116"/>
      <c r="E729" s="116" cm="1">
        <f t="array" ref="E729">IF(H728&lt;&gt;"",E728,IF(E728="","",IFERROR(MATCH(TRUE(),INDEX(INDEX(K:K,E728+1):K203&lt;&gt;"",0),0)+E728,"")))</f>
        <v>871</v>
      </c>
      <c r="F729" s="117" cm="1">
        <f t="array" ref="F729">IF(E729="","",IF(H728&lt;&gt;"",H728,INDEX(D:D,E729)))</f>
        <v>0</v>
      </c>
      <c r="G729" s="117" t="str">
        <f t="shared" si="75"/>
        <v>0</v>
      </c>
      <c r="H729" s="118" t="str">
        <f t="shared" si="76"/>
        <v/>
      </c>
      <c r="I729" s="116" t="str">
        <f>IF(AND(F729&lt;&gt;"",N10&gt;0,M729&gt;N10),"Mot &gt; limite","")</f>
        <v/>
      </c>
      <c r="M729" s="70">
        <f>IF(OR(F729="",N10="",N10&lt;=0),"",IF(LEN(F729)&lt;=N10,LEN(F729),IFERROR(FIND("♦",SUBSTITUTE(LEFT(F729,N10)," ","♦",LEN(LEFT(F729,N10))-LEN(SUBSTITUTE(LEFT(F729,N10)," ","")))),FIND(" ",F729&amp;" ",N10+1)-1)))</f>
        <v>1</v>
      </c>
      <c r="N729" s="119">
        <f t="shared" si="77"/>
        <v>712</v>
      </c>
      <c r="O729" s="99" t="str">
        <f t="shared" si="78"/>
        <v>0</v>
      </c>
      <c r="P729" s="119">
        <f t="shared" si="79"/>
        <v>1</v>
      </c>
      <c r="Q729" s="119">
        <f t="shared" si="80"/>
        <v>1</v>
      </c>
    </row>
    <row r="730" spans="2:17">
      <c r="B730" s="116"/>
      <c r="C730" s="116"/>
      <c r="D730" s="116"/>
      <c r="E730" s="116" cm="1">
        <f t="array" ref="E730">IF(H729&lt;&gt;"",E729,IF(E729="","",IFERROR(MATCH(TRUE(),INDEX(INDEX(K:K,E729+1):K203&lt;&gt;"",0),0)+E729,"")))</f>
        <v>872</v>
      </c>
      <c r="F730" s="117" cm="1">
        <f t="array" ref="F730">IF(E730="","",IF(H729&lt;&gt;"",H729,INDEX(D:D,E730)))</f>
        <v>0</v>
      </c>
      <c r="G730" s="117" t="str">
        <f t="shared" si="75"/>
        <v>0</v>
      </c>
      <c r="H730" s="118" t="str">
        <f t="shared" si="76"/>
        <v/>
      </c>
      <c r="I730" s="116" t="str">
        <f>IF(AND(F730&lt;&gt;"",N10&gt;0,M730&gt;N10),"Mot &gt; limite","")</f>
        <v/>
      </c>
      <c r="M730" s="70">
        <f>IF(OR(F730="",N10="",N10&lt;=0),"",IF(LEN(F730)&lt;=N10,LEN(F730),IFERROR(FIND("♦",SUBSTITUTE(LEFT(F730,N10)," ","♦",LEN(LEFT(F730,N10))-LEN(SUBSTITUTE(LEFT(F730,N10)," ","")))),FIND(" ",F730&amp;" ",N10+1)-1)))</f>
        <v>1</v>
      </c>
      <c r="N730" s="119">
        <f t="shared" si="77"/>
        <v>713</v>
      </c>
      <c r="O730" s="99" t="str">
        <f t="shared" si="78"/>
        <v>0</v>
      </c>
      <c r="P730" s="119">
        <f t="shared" si="79"/>
        <v>1</v>
      </c>
      <c r="Q730" s="119">
        <f t="shared" si="80"/>
        <v>1</v>
      </c>
    </row>
    <row r="731" spans="2:17">
      <c r="B731" s="116"/>
      <c r="C731" s="116"/>
      <c r="D731" s="116"/>
      <c r="E731" s="116" cm="1">
        <f t="array" ref="E731">IF(H730&lt;&gt;"",E730,IF(E730="","",IFERROR(MATCH(TRUE(),INDEX(INDEX(K:K,E730+1):K203&lt;&gt;"",0),0)+E730,"")))</f>
        <v>873</v>
      </c>
      <c r="F731" s="117" cm="1">
        <f t="array" ref="F731">IF(E731="","",IF(H730&lt;&gt;"",H730,INDEX(D:D,E731)))</f>
        <v>0</v>
      </c>
      <c r="G731" s="117" t="str">
        <f t="shared" si="75"/>
        <v>0</v>
      </c>
      <c r="H731" s="118" t="str">
        <f t="shared" si="76"/>
        <v/>
      </c>
      <c r="I731" s="116" t="str">
        <f>IF(AND(F731&lt;&gt;"",N10&gt;0,M731&gt;N10),"Mot &gt; limite","")</f>
        <v/>
      </c>
      <c r="M731" s="70">
        <f>IF(OR(F731="",N10="",N10&lt;=0),"",IF(LEN(F731)&lt;=N10,LEN(F731),IFERROR(FIND("♦",SUBSTITUTE(LEFT(F731,N10)," ","♦",LEN(LEFT(F731,N10))-LEN(SUBSTITUTE(LEFT(F731,N10)," ","")))),FIND(" ",F731&amp;" ",N10+1)-1)))</f>
        <v>1</v>
      </c>
      <c r="N731" s="119">
        <f t="shared" si="77"/>
        <v>714</v>
      </c>
      <c r="O731" s="99" t="str">
        <f t="shared" si="78"/>
        <v>0</v>
      </c>
      <c r="P731" s="119">
        <f t="shared" si="79"/>
        <v>1</v>
      </c>
      <c r="Q731" s="119">
        <f t="shared" si="80"/>
        <v>1</v>
      </c>
    </row>
    <row r="732" spans="2:17">
      <c r="B732" s="116"/>
      <c r="C732" s="116"/>
      <c r="D732" s="116"/>
      <c r="E732" s="116" cm="1">
        <f t="array" ref="E732">IF(H731&lt;&gt;"",E731,IF(E731="","",IFERROR(MATCH(TRUE(),INDEX(INDEX(K:K,E731+1):K203&lt;&gt;"",0),0)+E731,"")))</f>
        <v>874</v>
      </c>
      <c r="F732" s="117" cm="1">
        <f t="array" ref="F732">IF(E732="","",IF(H731&lt;&gt;"",H731,INDEX(D:D,E732)))</f>
        <v>0</v>
      </c>
      <c r="G732" s="117" t="str">
        <f t="shared" si="75"/>
        <v>0</v>
      </c>
      <c r="H732" s="118" t="str">
        <f t="shared" si="76"/>
        <v/>
      </c>
      <c r="I732" s="116" t="str">
        <f>IF(AND(F732&lt;&gt;"",N10&gt;0,M732&gt;N10),"Mot &gt; limite","")</f>
        <v/>
      </c>
      <c r="M732" s="70">
        <f>IF(OR(F732="",N10="",N10&lt;=0),"",IF(LEN(F732)&lt;=N10,LEN(F732),IFERROR(FIND("♦",SUBSTITUTE(LEFT(F732,N10)," ","♦",LEN(LEFT(F732,N10))-LEN(SUBSTITUTE(LEFT(F732,N10)," ","")))),FIND(" ",F732&amp;" ",N10+1)-1)))</f>
        <v>1</v>
      </c>
      <c r="N732" s="119">
        <f t="shared" si="77"/>
        <v>715</v>
      </c>
      <c r="O732" s="99" t="str">
        <f t="shared" si="78"/>
        <v>0</v>
      </c>
      <c r="P732" s="119">
        <f t="shared" si="79"/>
        <v>1</v>
      </c>
      <c r="Q732" s="119">
        <f t="shared" si="80"/>
        <v>1</v>
      </c>
    </row>
    <row r="733" spans="2:17">
      <c r="B733" s="116"/>
      <c r="C733" s="116"/>
      <c r="D733" s="116"/>
      <c r="E733" s="116" cm="1">
        <f t="array" ref="E733">IF(H732&lt;&gt;"",E732,IF(E732="","",IFERROR(MATCH(TRUE(),INDEX(INDEX(K:K,E732+1):K203&lt;&gt;"",0),0)+E732,"")))</f>
        <v>875</v>
      </c>
      <c r="F733" s="117" cm="1">
        <f t="array" ref="F733">IF(E733="","",IF(H732&lt;&gt;"",H732,INDEX(D:D,E733)))</f>
        <v>0</v>
      </c>
      <c r="G733" s="117" t="str">
        <f t="shared" si="75"/>
        <v>0</v>
      </c>
      <c r="H733" s="118" t="str">
        <f t="shared" si="76"/>
        <v/>
      </c>
      <c r="I733" s="116" t="str">
        <f>IF(AND(F733&lt;&gt;"",N10&gt;0,M733&gt;N10),"Mot &gt; limite","")</f>
        <v/>
      </c>
      <c r="M733" s="70">
        <f>IF(OR(F733="",N10="",N10&lt;=0),"",IF(LEN(F733)&lt;=N10,LEN(F733),IFERROR(FIND("♦",SUBSTITUTE(LEFT(F733,N10)," ","♦",LEN(LEFT(F733,N10))-LEN(SUBSTITUTE(LEFT(F733,N10)," ","")))),FIND(" ",F733&amp;" ",N10+1)-1)))</f>
        <v>1</v>
      </c>
      <c r="N733" s="119">
        <f t="shared" si="77"/>
        <v>716</v>
      </c>
      <c r="O733" s="99" t="str">
        <f t="shared" si="78"/>
        <v>0</v>
      </c>
      <c r="P733" s="119">
        <f t="shared" si="79"/>
        <v>1</v>
      </c>
      <c r="Q733" s="119">
        <f t="shared" si="80"/>
        <v>1</v>
      </c>
    </row>
    <row r="734" spans="2:17">
      <c r="B734" s="116"/>
      <c r="C734" s="116"/>
      <c r="D734" s="116"/>
      <c r="E734" s="116" cm="1">
        <f t="array" ref="E734">IF(H733&lt;&gt;"",E733,IF(E733="","",IFERROR(MATCH(TRUE(),INDEX(INDEX(K:K,E733+1):K203&lt;&gt;"",0),0)+E733,"")))</f>
        <v>876</v>
      </c>
      <c r="F734" s="117" cm="1">
        <f t="array" ref="F734">IF(E734="","",IF(H733&lt;&gt;"",H733,INDEX(D:D,E734)))</f>
        <v>0</v>
      </c>
      <c r="G734" s="117" t="str">
        <f t="shared" si="75"/>
        <v>0</v>
      </c>
      <c r="H734" s="118" t="str">
        <f t="shared" si="76"/>
        <v/>
      </c>
      <c r="I734" s="116" t="str">
        <f>IF(AND(F734&lt;&gt;"",N10&gt;0,M734&gt;N10),"Mot &gt; limite","")</f>
        <v/>
      </c>
      <c r="M734" s="70">
        <f>IF(OR(F734="",N10="",N10&lt;=0),"",IF(LEN(F734)&lt;=N10,LEN(F734),IFERROR(FIND("♦",SUBSTITUTE(LEFT(F734,N10)," ","♦",LEN(LEFT(F734,N10))-LEN(SUBSTITUTE(LEFT(F734,N10)," ","")))),FIND(" ",F734&amp;" ",N10+1)-1)))</f>
        <v>1</v>
      </c>
      <c r="N734" s="119">
        <f t="shared" si="77"/>
        <v>717</v>
      </c>
      <c r="O734" s="99" t="str">
        <f t="shared" si="78"/>
        <v>0</v>
      </c>
      <c r="P734" s="119">
        <f t="shared" si="79"/>
        <v>1</v>
      </c>
      <c r="Q734" s="119">
        <f t="shared" si="80"/>
        <v>1</v>
      </c>
    </row>
    <row r="735" spans="2:17">
      <c r="B735" s="116"/>
      <c r="C735" s="116"/>
      <c r="D735" s="116"/>
      <c r="E735" s="116" cm="1">
        <f t="array" ref="E735">IF(H734&lt;&gt;"",E734,IF(E734="","",IFERROR(MATCH(TRUE(),INDEX(INDEX(K:K,E734+1):K203&lt;&gt;"",0),0)+E734,"")))</f>
        <v>877</v>
      </c>
      <c r="F735" s="117" cm="1">
        <f t="array" ref="F735">IF(E735="","",IF(H734&lt;&gt;"",H734,INDEX(D:D,E735)))</f>
        <v>0</v>
      </c>
      <c r="G735" s="117" t="str">
        <f t="shared" si="75"/>
        <v>0</v>
      </c>
      <c r="H735" s="118" t="str">
        <f t="shared" si="76"/>
        <v/>
      </c>
      <c r="I735" s="116" t="str">
        <f>IF(AND(F735&lt;&gt;"",N10&gt;0,M735&gt;N10),"Mot &gt; limite","")</f>
        <v/>
      </c>
      <c r="M735" s="70">
        <f>IF(OR(F735="",N10="",N10&lt;=0),"",IF(LEN(F735)&lt;=N10,LEN(F735),IFERROR(FIND("♦",SUBSTITUTE(LEFT(F735,N10)," ","♦",LEN(LEFT(F735,N10))-LEN(SUBSTITUTE(LEFT(F735,N10)," ","")))),FIND(" ",F735&amp;" ",N10+1)-1)))</f>
        <v>1</v>
      </c>
      <c r="N735" s="119">
        <f t="shared" si="77"/>
        <v>718</v>
      </c>
      <c r="O735" s="99" t="str">
        <f t="shared" si="78"/>
        <v>0</v>
      </c>
      <c r="P735" s="119">
        <f t="shared" si="79"/>
        <v>1</v>
      </c>
      <c r="Q735" s="119">
        <f t="shared" si="80"/>
        <v>1</v>
      </c>
    </row>
    <row r="736" spans="2:17">
      <c r="B736" s="116"/>
      <c r="C736" s="116"/>
      <c r="D736" s="116"/>
      <c r="E736" s="116" cm="1">
        <f t="array" ref="E736">IF(H735&lt;&gt;"",E735,IF(E735="","",IFERROR(MATCH(TRUE(),INDEX(INDEX(K:K,E735+1):K203&lt;&gt;"",0),0)+E735,"")))</f>
        <v>878</v>
      </c>
      <c r="F736" s="117" cm="1">
        <f t="array" ref="F736">IF(E736="","",IF(H735&lt;&gt;"",H735,INDEX(D:D,E736)))</f>
        <v>0</v>
      </c>
      <c r="G736" s="117" t="str">
        <f t="shared" si="75"/>
        <v>0</v>
      </c>
      <c r="H736" s="118" t="str">
        <f t="shared" si="76"/>
        <v/>
      </c>
      <c r="I736" s="116" t="str">
        <f>IF(AND(F736&lt;&gt;"",N10&gt;0,M736&gt;N10),"Mot &gt; limite","")</f>
        <v/>
      </c>
      <c r="M736" s="70">
        <f>IF(OR(F736="",N10="",N10&lt;=0),"",IF(LEN(F736)&lt;=N10,LEN(F736),IFERROR(FIND("♦",SUBSTITUTE(LEFT(F736,N10)," ","♦",LEN(LEFT(F736,N10))-LEN(SUBSTITUTE(LEFT(F736,N10)," ","")))),FIND(" ",F736&amp;" ",N10+1)-1)))</f>
        <v>1</v>
      </c>
      <c r="N736" s="119">
        <f t="shared" si="77"/>
        <v>719</v>
      </c>
      <c r="O736" s="99" t="str">
        <f t="shared" si="78"/>
        <v>0</v>
      </c>
      <c r="P736" s="119">
        <f t="shared" si="79"/>
        <v>1</v>
      </c>
      <c r="Q736" s="119">
        <f t="shared" si="80"/>
        <v>1</v>
      </c>
    </row>
    <row r="737" spans="2:17">
      <c r="B737" s="116"/>
      <c r="C737" s="116"/>
      <c r="D737" s="116"/>
      <c r="E737" s="116" cm="1">
        <f t="array" ref="E737">IF(H736&lt;&gt;"",E736,IF(E736="","",IFERROR(MATCH(TRUE(),INDEX(INDEX(K:K,E736+1):K203&lt;&gt;"",0),0)+E736,"")))</f>
        <v>879</v>
      </c>
      <c r="F737" s="117" cm="1">
        <f t="array" ref="F737">IF(E737="","",IF(H736&lt;&gt;"",H736,INDEX(D:D,E737)))</f>
        <v>0</v>
      </c>
      <c r="G737" s="117" t="str">
        <f t="shared" si="75"/>
        <v>0</v>
      </c>
      <c r="H737" s="118" t="str">
        <f t="shared" si="76"/>
        <v/>
      </c>
      <c r="I737" s="116" t="str">
        <f>IF(AND(F737&lt;&gt;"",N10&gt;0,M737&gt;N10),"Mot &gt; limite","")</f>
        <v/>
      </c>
      <c r="M737" s="70">
        <f>IF(OR(F737="",N10="",N10&lt;=0),"",IF(LEN(F737)&lt;=N10,LEN(F737),IFERROR(FIND("♦",SUBSTITUTE(LEFT(F737,N10)," ","♦",LEN(LEFT(F737,N10))-LEN(SUBSTITUTE(LEFT(F737,N10)," ","")))),FIND(" ",F737&amp;" ",N10+1)-1)))</f>
        <v>1</v>
      </c>
      <c r="N737" s="119">
        <f t="shared" si="77"/>
        <v>720</v>
      </c>
      <c r="O737" s="99" t="str">
        <f t="shared" si="78"/>
        <v>0</v>
      </c>
      <c r="P737" s="119">
        <f t="shared" si="79"/>
        <v>1</v>
      </c>
      <c r="Q737" s="119">
        <f t="shared" si="80"/>
        <v>1</v>
      </c>
    </row>
    <row r="738" spans="2:17">
      <c r="B738" s="116"/>
      <c r="C738" s="116"/>
      <c r="D738" s="116"/>
      <c r="E738" s="116" cm="1">
        <f t="array" ref="E738">IF(H737&lt;&gt;"",E737,IF(E737="","",IFERROR(MATCH(TRUE(),INDEX(INDEX(K:K,E737+1):K203&lt;&gt;"",0),0)+E737,"")))</f>
        <v>880</v>
      </c>
      <c r="F738" s="117" cm="1">
        <f t="array" ref="F738">IF(E738="","",IF(H737&lt;&gt;"",H737,INDEX(D:D,E738)))</f>
        <v>0</v>
      </c>
      <c r="G738" s="117" t="str">
        <f t="shared" si="75"/>
        <v>0</v>
      </c>
      <c r="H738" s="118" t="str">
        <f t="shared" si="76"/>
        <v/>
      </c>
      <c r="I738" s="116" t="str">
        <f>IF(AND(F738&lt;&gt;"",N10&gt;0,M738&gt;N10),"Mot &gt; limite","")</f>
        <v/>
      </c>
      <c r="M738" s="70">
        <f>IF(OR(F738="",N10="",N10&lt;=0),"",IF(LEN(F738)&lt;=N10,LEN(F738),IFERROR(FIND("♦",SUBSTITUTE(LEFT(F738,N10)," ","♦",LEN(LEFT(F738,N10))-LEN(SUBSTITUTE(LEFT(F738,N10)," ","")))),FIND(" ",F738&amp;" ",N10+1)-1)))</f>
        <v>1</v>
      </c>
      <c r="N738" s="119">
        <f t="shared" si="77"/>
        <v>721</v>
      </c>
      <c r="O738" s="99" t="str">
        <f t="shared" si="78"/>
        <v>0</v>
      </c>
      <c r="P738" s="119">
        <f t="shared" si="79"/>
        <v>1</v>
      </c>
      <c r="Q738" s="119">
        <f t="shared" si="80"/>
        <v>1</v>
      </c>
    </row>
    <row r="739" spans="2:17">
      <c r="B739" s="116"/>
      <c r="C739" s="116"/>
      <c r="D739" s="116"/>
      <c r="E739" s="116" cm="1">
        <f t="array" ref="E739">IF(H738&lt;&gt;"",E738,IF(E738="","",IFERROR(MATCH(TRUE(),INDEX(INDEX(K:K,E738+1):K203&lt;&gt;"",0),0)+E738,"")))</f>
        <v>881</v>
      </c>
      <c r="F739" s="117" cm="1">
        <f t="array" ref="F739">IF(E739="","",IF(H738&lt;&gt;"",H738,INDEX(D:D,E739)))</f>
        <v>0</v>
      </c>
      <c r="G739" s="117" t="str">
        <f t="shared" si="75"/>
        <v>0</v>
      </c>
      <c r="H739" s="118" t="str">
        <f t="shared" si="76"/>
        <v/>
      </c>
      <c r="I739" s="116" t="str">
        <f>IF(AND(F739&lt;&gt;"",N10&gt;0,M739&gt;N10),"Mot &gt; limite","")</f>
        <v/>
      </c>
      <c r="M739" s="70">
        <f>IF(OR(F739="",N10="",N10&lt;=0),"",IF(LEN(F739)&lt;=N10,LEN(F739),IFERROR(FIND("♦",SUBSTITUTE(LEFT(F739,N10)," ","♦",LEN(LEFT(F739,N10))-LEN(SUBSTITUTE(LEFT(F739,N10)," ","")))),FIND(" ",F739&amp;" ",N10+1)-1)))</f>
        <v>1</v>
      </c>
      <c r="N739" s="119">
        <f t="shared" si="77"/>
        <v>722</v>
      </c>
      <c r="O739" s="99" t="str">
        <f t="shared" si="78"/>
        <v>0</v>
      </c>
      <c r="P739" s="119">
        <f t="shared" si="79"/>
        <v>1</v>
      </c>
      <c r="Q739" s="119">
        <f t="shared" si="80"/>
        <v>1</v>
      </c>
    </row>
    <row r="740" spans="2:17">
      <c r="B740" s="116"/>
      <c r="C740" s="116"/>
      <c r="D740" s="116"/>
      <c r="E740" s="116" cm="1">
        <f t="array" ref="E740">IF(H739&lt;&gt;"",E739,IF(E739="","",IFERROR(MATCH(TRUE(),INDEX(INDEX(K:K,E739+1):K203&lt;&gt;"",0),0)+E739,"")))</f>
        <v>882</v>
      </c>
      <c r="F740" s="117" cm="1">
        <f t="array" ref="F740">IF(E740="","",IF(H739&lt;&gt;"",H739,INDEX(D:D,E740)))</f>
        <v>0</v>
      </c>
      <c r="G740" s="117" t="str">
        <f t="shared" si="75"/>
        <v>0</v>
      </c>
      <c r="H740" s="118" t="str">
        <f t="shared" si="76"/>
        <v/>
      </c>
      <c r="I740" s="116" t="str">
        <f>IF(AND(F740&lt;&gt;"",N10&gt;0,M740&gt;N10),"Mot &gt; limite","")</f>
        <v/>
      </c>
      <c r="M740" s="70">
        <f>IF(OR(F740="",N10="",N10&lt;=0),"",IF(LEN(F740)&lt;=N10,LEN(F740),IFERROR(FIND("♦",SUBSTITUTE(LEFT(F740,N10)," ","♦",LEN(LEFT(F740,N10))-LEN(SUBSTITUTE(LEFT(F740,N10)," ","")))),FIND(" ",F740&amp;" ",N10+1)-1)))</f>
        <v>1</v>
      </c>
      <c r="N740" s="119">
        <f t="shared" si="77"/>
        <v>723</v>
      </c>
      <c r="O740" s="99" t="str">
        <f t="shared" si="78"/>
        <v>0</v>
      </c>
      <c r="P740" s="119">
        <f t="shared" si="79"/>
        <v>1</v>
      </c>
      <c r="Q740" s="119">
        <f t="shared" si="80"/>
        <v>1</v>
      </c>
    </row>
    <row r="741" spans="2:17">
      <c r="B741" s="116"/>
      <c r="C741" s="116"/>
      <c r="D741" s="116"/>
      <c r="E741" s="116" cm="1">
        <f t="array" ref="E741">IF(H740&lt;&gt;"",E740,IF(E740="","",IFERROR(MATCH(TRUE(),INDEX(INDEX(K:K,E740+1):K203&lt;&gt;"",0),0)+E740,"")))</f>
        <v>883</v>
      </c>
      <c r="F741" s="117" cm="1">
        <f t="array" ref="F741">IF(E741="","",IF(H740&lt;&gt;"",H740,INDEX(D:D,E741)))</f>
        <v>0</v>
      </c>
      <c r="G741" s="117" t="str">
        <f t="shared" si="75"/>
        <v>0</v>
      </c>
      <c r="H741" s="118" t="str">
        <f t="shared" si="76"/>
        <v/>
      </c>
      <c r="I741" s="116" t="str">
        <f>IF(AND(F741&lt;&gt;"",N10&gt;0,M741&gt;N10),"Mot &gt; limite","")</f>
        <v/>
      </c>
      <c r="M741" s="70">
        <f>IF(OR(F741="",N10="",N10&lt;=0),"",IF(LEN(F741)&lt;=N10,LEN(F741),IFERROR(FIND("♦",SUBSTITUTE(LEFT(F741,N10)," ","♦",LEN(LEFT(F741,N10))-LEN(SUBSTITUTE(LEFT(F741,N10)," ","")))),FIND(" ",F741&amp;" ",N10+1)-1)))</f>
        <v>1</v>
      </c>
      <c r="N741" s="119">
        <f t="shared" si="77"/>
        <v>724</v>
      </c>
      <c r="O741" s="99" t="str">
        <f t="shared" si="78"/>
        <v>0</v>
      </c>
      <c r="P741" s="119">
        <f t="shared" si="79"/>
        <v>1</v>
      </c>
      <c r="Q741" s="119">
        <f t="shared" si="80"/>
        <v>1</v>
      </c>
    </row>
    <row r="742" spans="2:17">
      <c r="B742" s="116"/>
      <c r="C742" s="116"/>
      <c r="D742" s="116"/>
      <c r="E742" s="116" cm="1">
        <f t="array" ref="E742">IF(H741&lt;&gt;"",E741,IF(E741="","",IFERROR(MATCH(TRUE(),INDEX(INDEX(K:K,E741+1):K203&lt;&gt;"",0),0)+E741,"")))</f>
        <v>884</v>
      </c>
      <c r="F742" s="117" cm="1">
        <f t="array" ref="F742">IF(E742="","",IF(H741&lt;&gt;"",H741,INDEX(D:D,E742)))</f>
        <v>0</v>
      </c>
      <c r="G742" s="117" t="str">
        <f t="shared" si="75"/>
        <v>0</v>
      </c>
      <c r="H742" s="118" t="str">
        <f t="shared" si="76"/>
        <v/>
      </c>
      <c r="I742" s="116" t="str">
        <f>IF(AND(F742&lt;&gt;"",N10&gt;0,M742&gt;N10),"Mot &gt; limite","")</f>
        <v/>
      </c>
      <c r="M742" s="70">
        <f>IF(OR(F742="",N10="",N10&lt;=0),"",IF(LEN(F742)&lt;=N10,LEN(F742),IFERROR(FIND("♦",SUBSTITUTE(LEFT(F742,N10)," ","♦",LEN(LEFT(F742,N10))-LEN(SUBSTITUTE(LEFT(F742,N10)," ","")))),FIND(" ",F742&amp;" ",N10+1)-1)))</f>
        <v>1</v>
      </c>
      <c r="N742" s="119">
        <f t="shared" si="77"/>
        <v>725</v>
      </c>
      <c r="O742" s="99" t="str">
        <f t="shared" si="78"/>
        <v>0</v>
      </c>
      <c r="P742" s="119">
        <f t="shared" si="79"/>
        <v>1</v>
      </c>
      <c r="Q742" s="119">
        <f t="shared" si="80"/>
        <v>1</v>
      </c>
    </row>
    <row r="743" spans="2:17">
      <c r="B743" s="116"/>
      <c r="C743" s="116"/>
      <c r="D743" s="116"/>
      <c r="E743" s="116" cm="1">
        <f t="array" ref="E743">IF(H742&lt;&gt;"",E742,IF(E742="","",IFERROR(MATCH(TRUE(),INDEX(INDEX(K:K,E742+1):K203&lt;&gt;"",0),0)+E742,"")))</f>
        <v>885</v>
      </c>
      <c r="F743" s="117" cm="1">
        <f t="array" ref="F743">IF(E743="","",IF(H742&lt;&gt;"",H742,INDEX(D:D,E743)))</f>
        <v>0</v>
      </c>
      <c r="G743" s="117" t="str">
        <f t="shared" si="75"/>
        <v>0</v>
      </c>
      <c r="H743" s="118" t="str">
        <f t="shared" si="76"/>
        <v/>
      </c>
      <c r="I743" s="116" t="str">
        <f>IF(AND(F743&lt;&gt;"",N10&gt;0,M743&gt;N10),"Mot &gt; limite","")</f>
        <v/>
      </c>
      <c r="M743" s="70">
        <f>IF(OR(F743="",N10="",N10&lt;=0),"",IF(LEN(F743)&lt;=N10,LEN(F743),IFERROR(FIND("♦",SUBSTITUTE(LEFT(F743,N10)," ","♦",LEN(LEFT(F743,N10))-LEN(SUBSTITUTE(LEFT(F743,N10)," ","")))),FIND(" ",F743&amp;" ",N10+1)-1)))</f>
        <v>1</v>
      </c>
      <c r="N743" s="119">
        <f t="shared" si="77"/>
        <v>726</v>
      </c>
      <c r="O743" s="99" t="str">
        <f t="shared" si="78"/>
        <v>0</v>
      </c>
      <c r="P743" s="119">
        <f t="shared" si="79"/>
        <v>1</v>
      </c>
      <c r="Q743" s="119">
        <f t="shared" si="80"/>
        <v>1</v>
      </c>
    </row>
    <row r="744" spans="2:17">
      <c r="B744" s="116"/>
      <c r="C744" s="116"/>
      <c r="D744" s="116"/>
      <c r="E744" s="116" cm="1">
        <f t="array" ref="E744">IF(H743&lt;&gt;"",E743,IF(E743="","",IFERROR(MATCH(TRUE(),INDEX(INDEX(K:K,E743+1):K203&lt;&gt;"",0),0)+E743,"")))</f>
        <v>886</v>
      </c>
      <c r="F744" s="117" cm="1">
        <f t="array" ref="F744">IF(E744="","",IF(H743&lt;&gt;"",H743,INDEX(D:D,E744)))</f>
        <v>0</v>
      </c>
      <c r="G744" s="117" t="str">
        <f t="shared" si="75"/>
        <v>0</v>
      </c>
      <c r="H744" s="118" t="str">
        <f t="shared" si="76"/>
        <v/>
      </c>
      <c r="I744" s="116" t="str">
        <f>IF(AND(F744&lt;&gt;"",N10&gt;0,M744&gt;N10),"Mot &gt; limite","")</f>
        <v/>
      </c>
      <c r="M744" s="70">
        <f>IF(OR(F744="",N10="",N10&lt;=0),"",IF(LEN(F744)&lt;=N10,LEN(F744),IFERROR(FIND("♦",SUBSTITUTE(LEFT(F744,N10)," ","♦",LEN(LEFT(F744,N10))-LEN(SUBSTITUTE(LEFT(F744,N10)," ","")))),FIND(" ",F744&amp;" ",N10+1)-1)))</f>
        <v>1</v>
      </c>
      <c r="N744" s="119">
        <f t="shared" si="77"/>
        <v>727</v>
      </c>
      <c r="O744" s="99" t="str">
        <f t="shared" si="78"/>
        <v>0</v>
      </c>
      <c r="P744" s="119">
        <f t="shared" si="79"/>
        <v>1</v>
      </c>
      <c r="Q744" s="119">
        <f t="shared" si="80"/>
        <v>1</v>
      </c>
    </row>
    <row r="745" spans="2:17">
      <c r="B745" s="116"/>
      <c r="C745" s="116"/>
      <c r="D745" s="116"/>
      <c r="E745" s="116" cm="1">
        <f t="array" ref="E745">IF(H744&lt;&gt;"",E744,IF(E744="","",IFERROR(MATCH(TRUE(),INDEX(INDEX(K:K,E744+1):K203&lt;&gt;"",0),0)+E744,"")))</f>
        <v>887</v>
      </c>
      <c r="F745" s="117" cm="1">
        <f t="array" ref="F745">IF(E745="","",IF(H744&lt;&gt;"",H744,INDEX(D:D,E745)))</f>
        <v>0</v>
      </c>
      <c r="G745" s="117" t="str">
        <f t="shared" si="75"/>
        <v>0</v>
      </c>
      <c r="H745" s="118" t="str">
        <f t="shared" si="76"/>
        <v/>
      </c>
      <c r="I745" s="116" t="str">
        <f>IF(AND(F745&lt;&gt;"",N10&gt;0,M745&gt;N10),"Mot &gt; limite","")</f>
        <v/>
      </c>
      <c r="M745" s="70">
        <f>IF(OR(F745="",N10="",N10&lt;=0),"",IF(LEN(F745)&lt;=N10,LEN(F745),IFERROR(FIND("♦",SUBSTITUTE(LEFT(F745,N10)," ","♦",LEN(LEFT(F745,N10))-LEN(SUBSTITUTE(LEFT(F745,N10)," ","")))),FIND(" ",F745&amp;" ",N10+1)-1)))</f>
        <v>1</v>
      </c>
      <c r="N745" s="119">
        <f t="shared" si="77"/>
        <v>728</v>
      </c>
      <c r="O745" s="99" t="str">
        <f t="shared" si="78"/>
        <v>0</v>
      </c>
      <c r="P745" s="119">
        <f t="shared" si="79"/>
        <v>1</v>
      </c>
      <c r="Q745" s="119">
        <f t="shared" si="80"/>
        <v>1</v>
      </c>
    </row>
    <row r="746" spans="2:17">
      <c r="B746" s="116"/>
      <c r="C746" s="116"/>
      <c r="D746" s="116"/>
      <c r="E746" s="116" cm="1">
        <f t="array" ref="E746">IF(H745&lt;&gt;"",E745,IF(E745="","",IFERROR(MATCH(TRUE(),INDEX(INDEX(K:K,E745+1):K203&lt;&gt;"",0),0)+E745,"")))</f>
        <v>888</v>
      </c>
      <c r="F746" s="117" cm="1">
        <f t="array" ref="F746">IF(E746="","",IF(H745&lt;&gt;"",H745,INDEX(D:D,E746)))</f>
        <v>0</v>
      </c>
      <c r="G746" s="117" t="str">
        <f t="shared" si="75"/>
        <v>0</v>
      </c>
      <c r="H746" s="118" t="str">
        <f t="shared" si="76"/>
        <v/>
      </c>
      <c r="I746" s="116" t="str">
        <f>IF(AND(F746&lt;&gt;"",N10&gt;0,M746&gt;N10),"Mot &gt; limite","")</f>
        <v/>
      </c>
      <c r="M746" s="70">
        <f>IF(OR(F746="",N10="",N10&lt;=0),"",IF(LEN(F746)&lt;=N10,LEN(F746),IFERROR(FIND("♦",SUBSTITUTE(LEFT(F746,N10)," ","♦",LEN(LEFT(F746,N10))-LEN(SUBSTITUTE(LEFT(F746,N10)," ","")))),FIND(" ",F746&amp;" ",N10+1)-1)))</f>
        <v>1</v>
      </c>
      <c r="N746" s="119">
        <f t="shared" si="77"/>
        <v>729</v>
      </c>
      <c r="O746" s="99" t="str">
        <f t="shared" si="78"/>
        <v>0</v>
      </c>
      <c r="P746" s="119">
        <f t="shared" si="79"/>
        <v>1</v>
      </c>
      <c r="Q746" s="119">
        <f t="shared" si="80"/>
        <v>1</v>
      </c>
    </row>
    <row r="747" spans="2:17">
      <c r="B747" s="116"/>
      <c r="C747" s="116"/>
      <c r="D747" s="116"/>
      <c r="E747" s="116" cm="1">
        <f t="array" ref="E747">IF(H746&lt;&gt;"",E746,IF(E746="","",IFERROR(MATCH(TRUE(),INDEX(INDEX(K:K,E746+1):K203&lt;&gt;"",0),0)+E746,"")))</f>
        <v>889</v>
      </c>
      <c r="F747" s="117" cm="1">
        <f t="array" ref="F747">IF(E747="","",IF(H746&lt;&gt;"",H746,INDEX(D:D,E747)))</f>
        <v>0</v>
      </c>
      <c r="G747" s="117" t="str">
        <f t="shared" si="75"/>
        <v>0</v>
      </c>
      <c r="H747" s="118" t="str">
        <f t="shared" si="76"/>
        <v/>
      </c>
      <c r="I747" s="116" t="str">
        <f>IF(AND(F747&lt;&gt;"",N10&gt;0,M747&gt;N10),"Mot &gt; limite","")</f>
        <v/>
      </c>
      <c r="M747" s="70">
        <f>IF(OR(F747="",N10="",N10&lt;=0),"",IF(LEN(F747)&lt;=N10,LEN(F747),IFERROR(FIND("♦",SUBSTITUTE(LEFT(F747,N10)," ","♦",LEN(LEFT(F747,N10))-LEN(SUBSTITUTE(LEFT(F747,N10)," ","")))),FIND(" ",F747&amp;" ",N10+1)-1)))</f>
        <v>1</v>
      </c>
      <c r="N747" s="119">
        <f t="shared" si="77"/>
        <v>730</v>
      </c>
      <c r="O747" s="99" t="str">
        <f t="shared" si="78"/>
        <v>0</v>
      </c>
      <c r="P747" s="119">
        <f t="shared" si="79"/>
        <v>1</v>
      </c>
      <c r="Q747" s="119">
        <f t="shared" si="80"/>
        <v>1</v>
      </c>
    </row>
    <row r="748" spans="2:17">
      <c r="B748" s="116"/>
      <c r="C748" s="116"/>
      <c r="D748" s="116"/>
      <c r="E748" s="116" cm="1">
        <f t="array" ref="E748">IF(H747&lt;&gt;"",E747,IF(E747="","",IFERROR(MATCH(TRUE(),INDEX(INDEX(K:K,E747+1):K203&lt;&gt;"",0),0)+E747,"")))</f>
        <v>890</v>
      </c>
      <c r="F748" s="117" cm="1">
        <f t="array" ref="F748">IF(E748="","",IF(H747&lt;&gt;"",H747,INDEX(D:D,E748)))</f>
        <v>0</v>
      </c>
      <c r="G748" s="117" t="str">
        <f t="shared" si="75"/>
        <v>0</v>
      </c>
      <c r="H748" s="118" t="str">
        <f t="shared" si="76"/>
        <v/>
      </c>
      <c r="I748" s="116" t="str">
        <f>IF(AND(F748&lt;&gt;"",N10&gt;0,M748&gt;N10),"Mot &gt; limite","")</f>
        <v/>
      </c>
      <c r="M748" s="70">
        <f>IF(OR(F748="",N10="",N10&lt;=0),"",IF(LEN(F748)&lt;=N10,LEN(F748),IFERROR(FIND("♦",SUBSTITUTE(LEFT(F748,N10)," ","♦",LEN(LEFT(F748,N10))-LEN(SUBSTITUTE(LEFT(F748,N10)," ","")))),FIND(" ",F748&amp;" ",N10+1)-1)))</f>
        <v>1</v>
      </c>
      <c r="N748" s="119">
        <f t="shared" si="77"/>
        <v>731</v>
      </c>
      <c r="O748" s="99" t="str">
        <f t="shared" si="78"/>
        <v>0</v>
      </c>
      <c r="P748" s="119">
        <f t="shared" si="79"/>
        <v>1</v>
      </c>
      <c r="Q748" s="119">
        <f t="shared" si="80"/>
        <v>1</v>
      </c>
    </row>
    <row r="749" spans="2:17">
      <c r="B749" s="116"/>
      <c r="C749" s="116"/>
      <c r="D749" s="116"/>
      <c r="E749" s="116" cm="1">
        <f t="array" ref="E749">IF(H748&lt;&gt;"",E748,IF(E748="","",IFERROR(MATCH(TRUE(),INDEX(INDEX(K:K,E748+1):K203&lt;&gt;"",0),0)+E748,"")))</f>
        <v>891</v>
      </c>
      <c r="F749" s="117" cm="1">
        <f t="array" ref="F749">IF(E749="","",IF(H748&lt;&gt;"",H748,INDEX(D:D,E749)))</f>
        <v>0</v>
      </c>
      <c r="G749" s="117" t="str">
        <f t="shared" si="75"/>
        <v>0</v>
      </c>
      <c r="H749" s="118" t="str">
        <f t="shared" si="76"/>
        <v/>
      </c>
      <c r="I749" s="116" t="str">
        <f>IF(AND(F749&lt;&gt;"",N10&gt;0,M749&gt;N10),"Mot &gt; limite","")</f>
        <v/>
      </c>
      <c r="M749" s="70">
        <f>IF(OR(F749="",N10="",N10&lt;=0),"",IF(LEN(F749)&lt;=N10,LEN(F749),IFERROR(FIND("♦",SUBSTITUTE(LEFT(F749,N10)," ","♦",LEN(LEFT(F749,N10))-LEN(SUBSTITUTE(LEFT(F749,N10)," ","")))),FIND(" ",F749&amp;" ",N10+1)-1)))</f>
        <v>1</v>
      </c>
      <c r="N749" s="119">
        <f t="shared" si="77"/>
        <v>732</v>
      </c>
      <c r="O749" s="99" t="str">
        <f t="shared" si="78"/>
        <v>0</v>
      </c>
      <c r="P749" s="119">
        <f t="shared" si="79"/>
        <v>1</v>
      </c>
      <c r="Q749" s="119">
        <f t="shared" si="80"/>
        <v>1</v>
      </c>
    </row>
    <row r="750" spans="2:17">
      <c r="B750" s="116"/>
      <c r="C750" s="116"/>
      <c r="D750" s="116"/>
      <c r="E750" s="116" cm="1">
        <f t="array" ref="E750">IF(H749&lt;&gt;"",E749,IF(E749="","",IFERROR(MATCH(TRUE(),INDEX(INDEX(K:K,E749+1):K203&lt;&gt;"",0),0)+E749,"")))</f>
        <v>892</v>
      </c>
      <c r="F750" s="117" cm="1">
        <f t="array" ref="F750">IF(E750="","",IF(H749&lt;&gt;"",H749,INDEX(D:D,E750)))</f>
        <v>0</v>
      </c>
      <c r="G750" s="117" t="str">
        <f t="shared" si="75"/>
        <v>0</v>
      </c>
      <c r="H750" s="118" t="str">
        <f t="shared" si="76"/>
        <v/>
      </c>
      <c r="I750" s="116" t="str">
        <f>IF(AND(F750&lt;&gt;"",N10&gt;0,M750&gt;N10),"Mot &gt; limite","")</f>
        <v/>
      </c>
      <c r="M750" s="70">
        <f>IF(OR(F750="",N10="",N10&lt;=0),"",IF(LEN(F750)&lt;=N10,LEN(F750),IFERROR(FIND("♦",SUBSTITUTE(LEFT(F750,N10)," ","♦",LEN(LEFT(F750,N10))-LEN(SUBSTITUTE(LEFT(F750,N10)," ","")))),FIND(" ",F750&amp;" ",N10+1)-1)))</f>
        <v>1</v>
      </c>
      <c r="N750" s="119">
        <f t="shared" si="77"/>
        <v>733</v>
      </c>
      <c r="O750" s="99" t="str">
        <f t="shared" si="78"/>
        <v>0</v>
      </c>
      <c r="P750" s="119">
        <f t="shared" si="79"/>
        <v>1</v>
      </c>
      <c r="Q750" s="119">
        <f t="shared" si="80"/>
        <v>1</v>
      </c>
    </row>
    <row r="751" spans="2:17">
      <c r="B751" s="116"/>
      <c r="C751" s="116"/>
      <c r="D751" s="116"/>
      <c r="E751" s="116" cm="1">
        <f t="array" ref="E751">IF(H750&lt;&gt;"",E750,IF(E750="","",IFERROR(MATCH(TRUE(),INDEX(INDEX(K:K,E750+1):K203&lt;&gt;"",0),0)+E750,"")))</f>
        <v>893</v>
      </c>
      <c r="F751" s="117" cm="1">
        <f t="array" ref="F751">IF(E751="","",IF(H750&lt;&gt;"",H750,INDEX(D:D,E751)))</f>
        <v>0</v>
      </c>
      <c r="G751" s="117" t="str">
        <f t="shared" si="75"/>
        <v>0</v>
      </c>
      <c r="H751" s="118" t="str">
        <f t="shared" si="76"/>
        <v/>
      </c>
      <c r="I751" s="116" t="str">
        <f>IF(AND(F751&lt;&gt;"",N10&gt;0,M751&gt;N10),"Mot &gt; limite","")</f>
        <v/>
      </c>
      <c r="M751" s="70">
        <f>IF(OR(F751="",N10="",N10&lt;=0),"",IF(LEN(F751)&lt;=N10,LEN(F751),IFERROR(FIND("♦",SUBSTITUTE(LEFT(F751,N10)," ","♦",LEN(LEFT(F751,N10))-LEN(SUBSTITUTE(LEFT(F751,N10)," ","")))),FIND(" ",F751&amp;" ",N10+1)-1)))</f>
        <v>1</v>
      </c>
      <c r="N751" s="119">
        <f t="shared" si="77"/>
        <v>734</v>
      </c>
      <c r="O751" s="99" t="str">
        <f t="shared" si="78"/>
        <v>0</v>
      </c>
      <c r="P751" s="119">
        <f t="shared" si="79"/>
        <v>1</v>
      </c>
      <c r="Q751" s="119">
        <f t="shared" si="80"/>
        <v>1</v>
      </c>
    </row>
    <row r="752" spans="2:17">
      <c r="B752" s="116"/>
      <c r="C752" s="116"/>
      <c r="D752" s="116"/>
      <c r="E752" s="116" cm="1">
        <f t="array" ref="E752">IF(H751&lt;&gt;"",E751,IF(E751="","",IFERROR(MATCH(TRUE(),INDEX(INDEX(K:K,E751+1):K203&lt;&gt;"",0),0)+E751,"")))</f>
        <v>894</v>
      </c>
      <c r="F752" s="117" cm="1">
        <f t="array" ref="F752">IF(E752="","",IF(H751&lt;&gt;"",H751,INDEX(D:D,E752)))</f>
        <v>0</v>
      </c>
      <c r="G752" s="117" t="str">
        <f t="shared" si="75"/>
        <v>0</v>
      </c>
      <c r="H752" s="118" t="str">
        <f t="shared" si="76"/>
        <v/>
      </c>
      <c r="I752" s="116" t="str">
        <f>IF(AND(F752&lt;&gt;"",N10&gt;0,M752&gt;N10),"Mot &gt; limite","")</f>
        <v/>
      </c>
      <c r="M752" s="70">
        <f>IF(OR(F752="",N10="",N10&lt;=0),"",IF(LEN(F752)&lt;=N10,LEN(F752),IFERROR(FIND("♦",SUBSTITUTE(LEFT(F752,N10)," ","♦",LEN(LEFT(F752,N10))-LEN(SUBSTITUTE(LEFT(F752,N10)," ","")))),FIND(" ",F752&amp;" ",N10+1)-1)))</f>
        <v>1</v>
      </c>
      <c r="N752" s="119">
        <f t="shared" si="77"/>
        <v>735</v>
      </c>
      <c r="O752" s="99" t="str">
        <f t="shared" si="78"/>
        <v>0</v>
      </c>
      <c r="P752" s="119">
        <f t="shared" si="79"/>
        <v>1</v>
      </c>
      <c r="Q752" s="119">
        <f t="shared" si="80"/>
        <v>1</v>
      </c>
    </row>
    <row r="753" spans="2:17">
      <c r="B753" s="116"/>
      <c r="C753" s="116"/>
      <c r="D753" s="116"/>
      <c r="E753" s="116" cm="1">
        <f t="array" ref="E753">IF(H752&lt;&gt;"",E752,IF(E752="","",IFERROR(MATCH(TRUE(),INDEX(INDEX(K:K,E752+1):K203&lt;&gt;"",0),0)+E752,"")))</f>
        <v>895</v>
      </c>
      <c r="F753" s="117" cm="1">
        <f t="array" ref="F753">IF(E753="","",IF(H752&lt;&gt;"",H752,INDEX(D:D,E753)))</f>
        <v>0</v>
      </c>
      <c r="G753" s="117" t="str">
        <f t="shared" si="75"/>
        <v>0</v>
      </c>
      <c r="H753" s="118" t="str">
        <f t="shared" si="76"/>
        <v/>
      </c>
      <c r="I753" s="116" t="str">
        <f>IF(AND(F753&lt;&gt;"",N10&gt;0,M753&gt;N10),"Mot &gt; limite","")</f>
        <v/>
      </c>
      <c r="M753" s="70">
        <f>IF(OR(F753="",N10="",N10&lt;=0),"",IF(LEN(F753)&lt;=N10,LEN(F753),IFERROR(FIND("♦",SUBSTITUTE(LEFT(F753,N10)," ","♦",LEN(LEFT(F753,N10))-LEN(SUBSTITUTE(LEFT(F753,N10)," ","")))),FIND(" ",F753&amp;" ",N10+1)-1)))</f>
        <v>1</v>
      </c>
      <c r="N753" s="119">
        <f t="shared" si="77"/>
        <v>736</v>
      </c>
      <c r="O753" s="99" t="str">
        <f t="shared" si="78"/>
        <v>0</v>
      </c>
      <c r="P753" s="119">
        <f t="shared" si="79"/>
        <v>1</v>
      </c>
      <c r="Q753" s="119">
        <f t="shared" si="80"/>
        <v>1</v>
      </c>
    </row>
    <row r="754" spans="2:17">
      <c r="B754" s="116"/>
      <c r="C754" s="116"/>
      <c r="D754" s="116"/>
      <c r="E754" s="116" cm="1">
        <f t="array" ref="E754">IF(H753&lt;&gt;"",E753,IF(E753="","",IFERROR(MATCH(TRUE(),INDEX(INDEX(K:K,E753+1):K203&lt;&gt;"",0),0)+E753,"")))</f>
        <v>896</v>
      </c>
      <c r="F754" s="117" cm="1">
        <f t="array" ref="F754">IF(E754="","",IF(H753&lt;&gt;"",H753,INDEX(D:D,E754)))</f>
        <v>0</v>
      </c>
      <c r="G754" s="117" t="str">
        <f t="shared" si="75"/>
        <v>0</v>
      </c>
      <c r="H754" s="118" t="str">
        <f t="shared" si="76"/>
        <v/>
      </c>
      <c r="I754" s="116" t="str">
        <f>IF(AND(F754&lt;&gt;"",N10&gt;0,M754&gt;N10),"Mot &gt; limite","")</f>
        <v/>
      </c>
      <c r="M754" s="70">
        <f>IF(OR(F754="",N10="",N10&lt;=0),"",IF(LEN(F754)&lt;=N10,LEN(F754),IFERROR(FIND("♦",SUBSTITUTE(LEFT(F754,N10)," ","♦",LEN(LEFT(F754,N10))-LEN(SUBSTITUTE(LEFT(F754,N10)," ","")))),FIND(" ",F754&amp;" ",N10+1)-1)))</f>
        <v>1</v>
      </c>
      <c r="N754" s="119">
        <f t="shared" si="77"/>
        <v>737</v>
      </c>
      <c r="O754" s="99" t="str">
        <f t="shared" si="78"/>
        <v>0</v>
      </c>
      <c r="P754" s="119">
        <f t="shared" si="79"/>
        <v>1</v>
      </c>
      <c r="Q754" s="119">
        <f t="shared" si="80"/>
        <v>1</v>
      </c>
    </row>
    <row r="755" spans="2:17">
      <c r="B755" s="116"/>
      <c r="C755" s="116"/>
      <c r="D755" s="116"/>
      <c r="E755" s="116" cm="1">
        <f t="array" ref="E755">IF(H754&lt;&gt;"",E754,IF(E754="","",IFERROR(MATCH(TRUE(),INDEX(INDEX(K:K,E754+1):K203&lt;&gt;"",0),0)+E754,"")))</f>
        <v>897</v>
      </c>
      <c r="F755" s="117" cm="1">
        <f t="array" ref="F755">IF(E755="","",IF(H754&lt;&gt;"",H754,INDEX(D:D,E755)))</f>
        <v>0</v>
      </c>
      <c r="G755" s="117" t="str">
        <f t="shared" si="75"/>
        <v>0</v>
      </c>
      <c r="H755" s="118" t="str">
        <f t="shared" si="76"/>
        <v/>
      </c>
      <c r="I755" s="116" t="str">
        <f>IF(AND(F755&lt;&gt;"",N10&gt;0,M755&gt;N10),"Mot &gt; limite","")</f>
        <v/>
      </c>
      <c r="M755" s="70">
        <f>IF(OR(F755="",N10="",N10&lt;=0),"",IF(LEN(F755)&lt;=N10,LEN(F755),IFERROR(FIND("♦",SUBSTITUTE(LEFT(F755,N10)," ","♦",LEN(LEFT(F755,N10))-LEN(SUBSTITUTE(LEFT(F755,N10)," ","")))),FIND(" ",F755&amp;" ",N10+1)-1)))</f>
        <v>1</v>
      </c>
      <c r="N755" s="119">
        <f t="shared" si="77"/>
        <v>738</v>
      </c>
      <c r="O755" s="99" t="str">
        <f t="shared" si="78"/>
        <v>0</v>
      </c>
      <c r="P755" s="119">
        <f t="shared" si="79"/>
        <v>1</v>
      </c>
      <c r="Q755" s="119">
        <f t="shared" si="80"/>
        <v>1</v>
      </c>
    </row>
    <row r="756" spans="2:17">
      <c r="B756" s="116"/>
      <c r="C756" s="116"/>
      <c r="D756" s="116"/>
      <c r="E756" s="116" cm="1">
        <f t="array" ref="E756">IF(H755&lt;&gt;"",E755,IF(E755="","",IFERROR(MATCH(TRUE(),INDEX(INDEX(K:K,E755+1):K203&lt;&gt;"",0),0)+E755,"")))</f>
        <v>898</v>
      </c>
      <c r="F756" s="117" cm="1">
        <f t="array" ref="F756">IF(E756="","",IF(H755&lt;&gt;"",H755,INDEX(D:D,E756)))</f>
        <v>0</v>
      </c>
      <c r="G756" s="117" t="str">
        <f t="shared" si="75"/>
        <v>0</v>
      </c>
      <c r="H756" s="118" t="str">
        <f t="shared" si="76"/>
        <v/>
      </c>
      <c r="I756" s="116" t="str">
        <f>IF(AND(F756&lt;&gt;"",N10&gt;0,M756&gt;N10),"Mot &gt; limite","")</f>
        <v/>
      </c>
      <c r="M756" s="70">
        <f>IF(OR(F756="",N10="",N10&lt;=0),"",IF(LEN(F756)&lt;=N10,LEN(F756),IFERROR(FIND("♦",SUBSTITUTE(LEFT(F756,N10)," ","♦",LEN(LEFT(F756,N10))-LEN(SUBSTITUTE(LEFT(F756,N10)," ","")))),FIND(" ",F756&amp;" ",N10+1)-1)))</f>
        <v>1</v>
      </c>
      <c r="N756" s="119">
        <f t="shared" si="77"/>
        <v>739</v>
      </c>
      <c r="O756" s="99" t="str">
        <f t="shared" si="78"/>
        <v>0</v>
      </c>
      <c r="P756" s="119">
        <f t="shared" si="79"/>
        <v>1</v>
      </c>
      <c r="Q756" s="119">
        <f t="shared" si="80"/>
        <v>1</v>
      </c>
    </row>
    <row r="757" spans="2:17">
      <c r="B757" s="116"/>
      <c r="C757" s="116"/>
      <c r="D757" s="116"/>
      <c r="E757" s="116" cm="1">
        <f t="array" ref="E757">IF(H756&lt;&gt;"",E756,IF(E756="","",IFERROR(MATCH(TRUE(),INDEX(INDEX(K:K,E756+1):K203&lt;&gt;"",0),0)+E756,"")))</f>
        <v>899</v>
      </c>
      <c r="F757" s="117" cm="1">
        <f t="array" ref="F757">IF(E757="","",IF(H756&lt;&gt;"",H756,INDEX(D:D,E757)))</f>
        <v>0</v>
      </c>
      <c r="G757" s="117" t="str">
        <f t="shared" si="75"/>
        <v>0</v>
      </c>
      <c r="H757" s="118" t="str">
        <f t="shared" si="76"/>
        <v/>
      </c>
      <c r="I757" s="116" t="str">
        <f>IF(AND(F757&lt;&gt;"",N10&gt;0,M757&gt;N10),"Mot &gt; limite","")</f>
        <v/>
      </c>
      <c r="M757" s="70">
        <f>IF(OR(F757="",N10="",N10&lt;=0),"",IF(LEN(F757)&lt;=N10,LEN(F757),IFERROR(FIND("♦",SUBSTITUTE(LEFT(F757,N10)," ","♦",LEN(LEFT(F757,N10))-LEN(SUBSTITUTE(LEFT(F757,N10)," ","")))),FIND(" ",F757&amp;" ",N10+1)-1)))</f>
        <v>1</v>
      </c>
      <c r="N757" s="119">
        <f t="shared" si="77"/>
        <v>740</v>
      </c>
      <c r="O757" s="99" t="str">
        <f t="shared" si="78"/>
        <v>0</v>
      </c>
      <c r="P757" s="119">
        <f t="shared" si="79"/>
        <v>1</v>
      </c>
      <c r="Q757" s="119">
        <f t="shared" si="80"/>
        <v>1</v>
      </c>
    </row>
    <row r="758" spans="2:17">
      <c r="B758" s="116"/>
      <c r="C758" s="116"/>
      <c r="D758" s="116"/>
      <c r="E758" s="116" cm="1">
        <f t="array" ref="E758">IF(H757&lt;&gt;"",E757,IF(E757="","",IFERROR(MATCH(TRUE(),INDEX(INDEX(K:K,E757+1):K203&lt;&gt;"",0),0)+E757,"")))</f>
        <v>900</v>
      </c>
      <c r="F758" s="117" cm="1">
        <f t="array" ref="F758">IF(E758="","",IF(H757&lt;&gt;"",H757,INDEX(D:D,E758)))</f>
        <v>0</v>
      </c>
      <c r="G758" s="117" t="str">
        <f t="shared" si="75"/>
        <v>0</v>
      </c>
      <c r="H758" s="118" t="str">
        <f t="shared" si="76"/>
        <v/>
      </c>
      <c r="I758" s="116" t="str">
        <f>IF(AND(F758&lt;&gt;"",N10&gt;0,M758&gt;N10),"Mot &gt; limite","")</f>
        <v/>
      </c>
      <c r="M758" s="70">
        <f>IF(OR(F758="",N10="",N10&lt;=0),"",IF(LEN(F758)&lt;=N10,LEN(F758),IFERROR(FIND("♦",SUBSTITUTE(LEFT(F758,N10)," ","♦",LEN(LEFT(F758,N10))-LEN(SUBSTITUTE(LEFT(F758,N10)," ","")))),FIND(" ",F758&amp;" ",N10+1)-1)))</f>
        <v>1</v>
      </c>
      <c r="N758" s="119">
        <f t="shared" si="77"/>
        <v>741</v>
      </c>
      <c r="O758" s="99" t="str">
        <f t="shared" si="78"/>
        <v>0</v>
      </c>
      <c r="P758" s="119">
        <f t="shared" si="79"/>
        <v>1</v>
      </c>
      <c r="Q758" s="119">
        <f t="shared" si="80"/>
        <v>1</v>
      </c>
    </row>
    <row r="759" spans="2:17">
      <c r="B759" s="116"/>
      <c r="C759" s="116"/>
      <c r="D759" s="116"/>
      <c r="E759" s="116" cm="1">
        <f t="array" ref="E759">IF(H758&lt;&gt;"",E758,IF(E758="","",IFERROR(MATCH(TRUE(),INDEX(INDEX(K:K,E758+1):K203&lt;&gt;"",0),0)+E758,"")))</f>
        <v>901</v>
      </c>
      <c r="F759" s="117" cm="1">
        <f t="array" ref="F759">IF(E759="","",IF(H758&lt;&gt;"",H758,INDEX(D:D,E759)))</f>
        <v>0</v>
      </c>
      <c r="G759" s="117" t="str">
        <f t="shared" si="75"/>
        <v>0</v>
      </c>
      <c r="H759" s="118" t="str">
        <f t="shared" si="76"/>
        <v/>
      </c>
      <c r="I759" s="116" t="str">
        <f>IF(AND(F759&lt;&gt;"",N10&gt;0,M759&gt;N10),"Mot &gt; limite","")</f>
        <v/>
      </c>
      <c r="M759" s="70">
        <f>IF(OR(F759="",N10="",N10&lt;=0),"",IF(LEN(F759)&lt;=N10,LEN(F759),IFERROR(FIND("♦",SUBSTITUTE(LEFT(F759,N10)," ","♦",LEN(LEFT(F759,N10))-LEN(SUBSTITUTE(LEFT(F759,N10)," ","")))),FIND(" ",F759&amp;" ",N10+1)-1)))</f>
        <v>1</v>
      </c>
      <c r="N759" s="119">
        <f t="shared" si="77"/>
        <v>742</v>
      </c>
      <c r="O759" s="99" t="str">
        <f t="shared" si="78"/>
        <v>0</v>
      </c>
      <c r="P759" s="119">
        <f t="shared" si="79"/>
        <v>1</v>
      </c>
      <c r="Q759" s="119">
        <f t="shared" si="80"/>
        <v>1</v>
      </c>
    </row>
    <row r="760" spans="2:17">
      <c r="B760" s="116"/>
      <c r="C760" s="116"/>
      <c r="D760" s="116"/>
      <c r="E760" s="116" cm="1">
        <f t="array" ref="E760">IF(H759&lt;&gt;"",E759,IF(E759="","",IFERROR(MATCH(TRUE(),INDEX(INDEX(K:K,E759+1):K203&lt;&gt;"",0),0)+E759,"")))</f>
        <v>902</v>
      </c>
      <c r="F760" s="117" cm="1">
        <f t="array" ref="F760">IF(E760="","",IF(H759&lt;&gt;"",H759,INDEX(D:D,E760)))</f>
        <v>0</v>
      </c>
      <c r="G760" s="117" t="str">
        <f t="shared" si="75"/>
        <v>0</v>
      </c>
      <c r="H760" s="118" t="str">
        <f t="shared" si="76"/>
        <v/>
      </c>
      <c r="I760" s="116" t="str">
        <f>IF(AND(F760&lt;&gt;"",N10&gt;0,M760&gt;N10),"Mot &gt; limite","")</f>
        <v/>
      </c>
      <c r="M760" s="70">
        <f>IF(OR(F760="",N10="",N10&lt;=0),"",IF(LEN(F760)&lt;=N10,LEN(F760),IFERROR(FIND("♦",SUBSTITUTE(LEFT(F760,N10)," ","♦",LEN(LEFT(F760,N10))-LEN(SUBSTITUTE(LEFT(F760,N10)," ","")))),FIND(" ",F760&amp;" ",N10+1)-1)))</f>
        <v>1</v>
      </c>
      <c r="N760" s="119">
        <f t="shared" si="77"/>
        <v>743</v>
      </c>
      <c r="O760" s="99" t="str">
        <f t="shared" si="78"/>
        <v>0</v>
      </c>
      <c r="P760" s="119">
        <f t="shared" si="79"/>
        <v>1</v>
      </c>
      <c r="Q760" s="119">
        <f t="shared" si="80"/>
        <v>1</v>
      </c>
    </row>
    <row r="761" spans="2:17">
      <c r="B761" s="116"/>
      <c r="C761" s="116"/>
      <c r="D761" s="116"/>
      <c r="E761" s="116" cm="1">
        <f t="array" ref="E761">IF(H760&lt;&gt;"",E760,IF(E760="","",IFERROR(MATCH(TRUE(),INDEX(INDEX(K:K,E760+1):K203&lt;&gt;"",0),0)+E760,"")))</f>
        <v>903</v>
      </c>
      <c r="F761" s="117" cm="1">
        <f t="array" ref="F761">IF(E761="","",IF(H760&lt;&gt;"",H760,INDEX(D:D,E761)))</f>
        <v>0</v>
      </c>
      <c r="G761" s="117" t="str">
        <f t="shared" si="75"/>
        <v>0</v>
      </c>
      <c r="H761" s="118" t="str">
        <f t="shared" si="76"/>
        <v/>
      </c>
      <c r="I761" s="116" t="str">
        <f>IF(AND(F761&lt;&gt;"",N10&gt;0,M761&gt;N10),"Mot &gt; limite","")</f>
        <v/>
      </c>
      <c r="M761" s="70">
        <f>IF(OR(F761="",N10="",N10&lt;=0),"",IF(LEN(F761)&lt;=N10,LEN(F761),IFERROR(FIND("♦",SUBSTITUTE(LEFT(F761,N10)," ","♦",LEN(LEFT(F761,N10))-LEN(SUBSTITUTE(LEFT(F761,N10)," ","")))),FIND(" ",F761&amp;" ",N10+1)-1)))</f>
        <v>1</v>
      </c>
      <c r="N761" s="119">
        <f t="shared" si="77"/>
        <v>744</v>
      </c>
      <c r="O761" s="99" t="str">
        <f t="shared" si="78"/>
        <v>0</v>
      </c>
      <c r="P761" s="119">
        <f t="shared" si="79"/>
        <v>1</v>
      </c>
      <c r="Q761" s="119">
        <f t="shared" si="80"/>
        <v>1</v>
      </c>
    </row>
    <row r="762" spans="2:17">
      <c r="B762" s="116"/>
      <c r="C762" s="116"/>
      <c r="D762" s="116"/>
      <c r="E762" s="116" cm="1">
        <f t="array" ref="E762">IF(H761&lt;&gt;"",E761,IF(E761="","",IFERROR(MATCH(TRUE(),INDEX(INDEX(K:K,E761+1):K203&lt;&gt;"",0),0)+E761,"")))</f>
        <v>904</v>
      </c>
      <c r="F762" s="117" cm="1">
        <f t="array" ref="F762">IF(E762="","",IF(H761&lt;&gt;"",H761,INDEX(D:D,E762)))</f>
        <v>0</v>
      </c>
      <c r="G762" s="117" t="str">
        <f t="shared" si="75"/>
        <v>0</v>
      </c>
      <c r="H762" s="118" t="str">
        <f t="shared" si="76"/>
        <v/>
      </c>
      <c r="I762" s="116" t="str">
        <f>IF(AND(F762&lt;&gt;"",N10&gt;0,M762&gt;N10),"Mot &gt; limite","")</f>
        <v/>
      </c>
      <c r="M762" s="70">
        <f>IF(OR(F762="",N10="",N10&lt;=0),"",IF(LEN(F762)&lt;=N10,LEN(F762),IFERROR(FIND("♦",SUBSTITUTE(LEFT(F762,N10)," ","♦",LEN(LEFT(F762,N10))-LEN(SUBSTITUTE(LEFT(F762,N10)," ","")))),FIND(" ",F762&amp;" ",N10+1)-1)))</f>
        <v>1</v>
      </c>
      <c r="N762" s="119">
        <f t="shared" si="77"/>
        <v>745</v>
      </c>
      <c r="O762" s="99" t="str">
        <f t="shared" si="78"/>
        <v>0</v>
      </c>
      <c r="P762" s="119">
        <f t="shared" si="79"/>
        <v>1</v>
      </c>
      <c r="Q762" s="119">
        <f t="shared" si="80"/>
        <v>1</v>
      </c>
    </row>
    <row r="763" spans="2:17">
      <c r="B763" s="116"/>
      <c r="C763" s="116"/>
      <c r="D763" s="116"/>
      <c r="E763" s="116" cm="1">
        <f t="array" ref="E763">IF(H762&lt;&gt;"",E762,IF(E762="","",IFERROR(MATCH(TRUE(),INDEX(INDEX(K:K,E762+1):K203&lt;&gt;"",0),0)+E762,"")))</f>
        <v>905</v>
      </c>
      <c r="F763" s="117" cm="1">
        <f t="array" ref="F763">IF(E763="","",IF(H762&lt;&gt;"",H762,INDEX(D:D,E763)))</f>
        <v>0</v>
      </c>
      <c r="G763" s="117" t="str">
        <f t="shared" si="75"/>
        <v>0</v>
      </c>
      <c r="H763" s="118" t="str">
        <f t="shared" si="76"/>
        <v/>
      </c>
      <c r="I763" s="116" t="str">
        <f>IF(AND(F763&lt;&gt;"",N10&gt;0,M763&gt;N10),"Mot &gt; limite","")</f>
        <v/>
      </c>
      <c r="M763" s="70">
        <f>IF(OR(F763="",N10="",N10&lt;=0),"",IF(LEN(F763)&lt;=N10,LEN(F763),IFERROR(FIND("♦",SUBSTITUTE(LEFT(F763,N10)," ","♦",LEN(LEFT(F763,N10))-LEN(SUBSTITUTE(LEFT(F763,N10)," ","")))),FIND(" ",F763&amp;" ",N10+1)-1)))</f>
        <v>1</v>
      </c>
      <c r="N763" s="119">
        <f t="shared" si="77"/>
        <v>746</v>
      </c>
      <c r="O763" s="99" t="str">
        <f t="shared" si="78"/>
        <v>0</v>
      </c>
      <c r="P763" s="119">
        <f t="shared" si="79"/>
        <v>1</v>
      </c>
      <c r="Q763" s="119">
        <f t="shared" si="80"/>
        <v>1</v>
      </c>
    </row>
    <row r="764" spans="2:17">
      <c r="B764" s="116"/>
      <c r="C764" s="116"/>
      <c r="D764" s="116"/>
      <c r="E764" s="116" cm="1">
        <f t="array" ref="E764">IF(H763&lt;&gt;"",E763,IF(E763="","",IFERROR(MATCH(TRUE(),INDEX(INDEX(K:K,E763+1):K203&lt;&gt;"",0),0)+E763,"")))</f>
        <v>906</v>
      </c>
      <c r="F764" s="117" cm="1">
        <f t="array" ref="F764">IF(E764="","",IF(H763&lt;&gt;"",H763,INDEX(D:D,E764)))</f>
        <v>0</v>
      </c>
      <c r="G764" s="117" t="str">
        <f t="shared" si="75"/>
        <v>0</v>
      </c>
      <c r="H764" s="118" t="str">
        <f t="shared" si="76"/>
        <v/>
      </c>
      <c r="I764" s="116" t="str">
        <f>IF(AND(F764&lt;&gt;"",N10&gt;0,M764&gt;N10),"Mot &gt; limite","")</f>
        <v/>
      </c>
      <c r="M764" s="70">
        <f>IF(OR(F764="",N10="",N10&lt;=0),"",IF(LEN(F764)&lt;=N10,LEN(F764),IFERROR(FIND("♦",SUBSTITUTE(LEFT(F764,N10)," ","♦",LEN(LEFT(F764,N10))-LEN(SUBSTITUTE(LEFT(F764,N10)," ","")))),FIND(" ",F764&amp;" ",N10+1)-1)))</f>
        <v>1</v>
      </c>
      <c r="N764" s="119">
        <f t="shared" si="77"/>
        <v>747</v>
      </c>
      <c r="O764" s="99" t="str">
        <f t="shared" si="78"/>
        <v>0</v>
      </c>
      <c r="P764" s="119">
        <f t="shared" si="79"/>
        <v>1</v>
      </c>
      <c r="Q764" s="119">
        <f t="shared" si="80"/>
        <v>1</v>
      </c>
    </row>
    <row r="765" spans="2:17">
      <c r="B765" s="116"/>
      <c r="C765" s="116"/>
      <c r="D765" s="116"/>
      <c r="E765" s="116" cm="1">
        <f t="array" ref="E765">IF(H764&lt;&gt;"",E764,IF(E764="","",IFERROR(MATCH(TRUE(),INDEX(INDEX(K:K,E764+1):K203&lt;&gt;"",0),0)+E764,"")))</f>
        <v>907</v>
      </c>
      <c r="F765" s="117" cm="1">
        <f t="array" ref="F765">IF(E765="","",IF(H764&lt;&gt;"",H764,INDEX(D:D,E765)))</f>
        <v>0</v>
      </c>
      <c r="G765" s="117" t="str">
        <f t="shared" si="75"/>
        <v>0</v>
      </c>
      <c r="H765" s="118" t="str">
        <f t="shared" si="76"/>
        <v/>
      </c>
      <c r="I765" s="116" t="str">
        <f>IF(AND(F765&lt;&gt;"",N10&gt;0,M765&gt;N10),"Mot &gt; limite","")</f>
        <v/>
      </c>
      <c r="M765" s="70">
        <f>IF(OR(F765="",N10="",N10&lt;=0),"",IF(LEN(F765)&lt;=N10,LEN(F765),IFERROR(FIND("♦",SUBSTITUTE(LEFT(F765,N10)," ","♦",LEN(LEFT(F765,N10))-LEN(SUBSTITUTE(LEFT(F765,N10)," ","")))),FIND(" ",F765&amp;" ",N10+1)-1)))</f>
        <v>1</v>
      </c>
      <c r="N765" s="119">
        <f t="shared" si="77"/>
        <v>748</v>
      </c>
      <c r="O765" s="99" t="str">
        <f t="shared" si="78"/>
        <v>0</v>
      </c>
      <c r="P765" s="119">
        <f t="shared" si="79"/>
        <v>1</v>
      </c>
      <c r="Q765" s="119">
        <f t="shared" si="80"/>
        <v>1</v>
      </c>
    </row>
    <row r="766" spans="2:17">
      <c r="B766" s="116"/>
      <c r="C766" s="116"/>
      <c r="D766" s="116"/>
      <c r="E766" s="116" cm="1">
        <f t="array" ref="E766">IF(H765&lt;&gt;"",E765,IF(E765="","",IFERROR(MATCH(TRUE(),INDEX(INDEX(K:K,E765+1):K203&lt;&gt;"",0),0)+E765,"")))</f>
        <v>908</v>
      </c>
      <c r="F766" s="117" cm="1">
        <f t="array" ref="F766">IF(E766="","",IF(H765&lt;&gt;"",H765,INDEX(D:D,E766)))</f>
        <v>0</v>
      </c>
      <c r="G766" s="117" t="str">
        <f t="shared" si="75"/>
        <v>0</v>
      </c>
      <c r="H766" s="118" t="str">
        <f t="shared" si="76"/>
        <v/>
      </c>
      <c r="I766" s="116" t="str">
        <f>IF(AND(F766&lt;&gt;"",N10&gt;0,M766&gt;N10),"Mot &gt; limite","")</f>
        <v/>
      </c>
      <c r="M766" s="70">
        <f>IF(OR(F766="",N10="",N10&lt;=0),"",IF(LEN(F766)&lt;=N10,LEN(F766),IFERROR(FIND("♦",SUBSTITUTE(LEFT(F766,N10)," ","♦",LEN(LEFT(F766,N10))-LEN(SUBSTITUTE(LEFT(F766,N10)," ","")))),FIND(" ",F766&amp;" ",N10+1)-1)))</f>
        <v>1</v>
      </c>
      <c r="N766" s="119">
        <f t="shared" si="77"/>
        <v>749</v>
      </c>
      <c r="O766" s="99" t="str">
        <f t="shared" si="78"/>
        <v>0</v>
      </c>
      <c r="P766" s="119">
        <f t="shared" si="79"/>
        <v>1</v>
      </c>
      <c r="Q766" s="119">
        <f t="shared" si="80"/>
        <v>1</v>
      </c>
    </row>
    <row r="767" spans="2:17">
      <c r="B767" s="116"/>
      <c r="C767" s="116"/>
      <c r="D767" s="116"/>
      <c r="E767" s="116" cm="1">
        <f t="array" ref="E767">IF(H766&lt;&gt;"",E766,IF(E766="","",IFERROR(MATCH(TRUE(),INDEX(INDEX(K:K,E766+1):K203&lt;&gt;"",0),0)+E766,"")))</f>
        <v>909</v>
      </c>
      <c r="F767" s="117" cm="1">
        <f t="array" ref="F767">IF(E767="","",IF(H766&lt;&gt;"",H766,INDEX(D:D,E767)))</f>
        <v>0</v>
      </c>
      <c r="G767" s="117" t="str">
        <f t="shared" si="75"/>
        <v>0</v>
      </c>
      <c r="H767" s="118" t="str">
        <f t="shared" si="76"/>
        <v/>
      </c>
      <c r="I767" s="116" t="str">
        <f>IF(AND(F767&lt;&gt;"",N10&gt;0,M767&gt;N10),"Mot &gt; limite","")</f>
        <v/>
      </c>
      <c r="M767" s="70">
        <f>IF(OR(F767="",N10="",N10&lt;=0),"",IF(LEN(F767)&lt;=N10,LEN(F767),IFERROR(FIND("♦",SUBSTITUTE(LEFT(F767,N10)," ","♦",LEN(LEFT(F767,N10))-LEN(SUBSTITUTE(LEFT(F767,N10)," ","")))),FIND(" ",F767&amp;" ",N10+1)-1)))</f>
        <v>1</v>
      </c>
      <c r="N767" s="119">
        <f t="shared" si="77"/>
        <v>750</v>
      </c>
      <c r="O767" s="99" t="str">
        <f t="shared" si="78"/>
        <v>0</v>
      </c>
      <c r="P767" s="119">
        <f t="shared" si="79"/>
        <v>1</v>
      </c>
      <c r="Q767" s="119">
        <f t="shared" si="80"/>
        <v>1</v>
      </c>
    </row>
    <row r="768" spans="2:17">
      <c r="B768" s="116"/>
      <c r="C768" s="116"/>
      <c r="D768" s="116"/>
      <c r="E768" s="116" cm="1">
        <f t="array" ref="E768">IF(H767&lt;&gt;"",E767,IF(E767="","",IFERROR(MATCH(TRUE(),INDEX(INDEX(K:K,E767+1):K203&lt;&gt;"",0),0)+E767,"")))</f>
        <v>910</v>
      </c>
      <c r="F768" s="117" cm="1">
        <f t="array" ref="F768">IF(E768="","",IF(H767&lt;&gt;"",H767,INDEX(D:D,E768)))</f>
        <v>0</v>
      </c>
      <c r="G768" s="117" t="str">
        <f t="shared" si="75"/>
        <v>0</v>
      </c>
      <c r="H768" s="118" t="str">
        <f t="shared" si="76"/>
        <v/>
      </c>
      <c r="I768" s="116" t="str">
        <f>IF(AND(F768&lt;&gt;"",N10&gt;0,M768&gt;N10),"Mot &gt; limite","")</f>
        <v/>
      </c>
      <c r="M768" s="70">
        <f>IF(OR(F768="",N10="",N10&lt;=0),"",IF(LEN(F768)&lt;=N10,LEN(F768),IFERROR(FIND("♦",SUBSTITUTE(LEFT(F768,N10)," ","♦",LEN(LEFT(F768,N10))-LEN(SUBSTITUTE(LEFT(F768,N10)," ","")))),FIND(" ",F768&amp;" ",N10+1)-1)))</f>
        <v>1</v>
      </c>
      <c r="N768" s="119">
        <f t="shared" si="77"/>
        <v>751</v>
      </c>
      <c r="O768" s="99" t="str">
        <f t="shared" si="78"/>
        <v>0</v>
      </c>
      <c r="P768" s="119">
        <f t="shared" si="79"/>
        <v>1</v>
      </c>
      <c r="Q768" s="119">
        <f t="shared" si="80"/>
        <v>1</v>
      </c>
    </row>
    <row r="769" spans="2:17">
      <c r="B769" s="116"/>
      <c r="C769" s="116"/>
      <c r="D769" s="116"/>
      <c r="E769" s="116" cm="1">
        <f t="array" ref="E769">IF(H768&lt;&gt;"",E768,IF(E768="","",IFERROR(MATCH(TRUE(),INDEX(INDEX(K:K,E768+1):K203&lt;&gt;"",0),0)+E768,"")))</f>
        <v>911</v>
      </c>
      <c r="F769" s="117" cm="1">
        <f t="array" ref="F769">IF(E769="","",IF(H768&lt;&gt;"",H768,INDEX(D:D,E769)))</f>
        <v>0</v>
      </c>
      <c r="G769" s="117" t="str">
        <f t="shared" si="75"/>
        <v>0</v>
      </c>
      <c r="H769" s="118" t="str">
        <f t="shared" si="76"/>
        <v/>
      </c>
      <c r="I769" s="116" t="str">
        <f>IF(AND(F769&lt;&gt;"",N10&gt;0,M769&gt;N10),"Mot &gt; limite","")</f>
        <v/>
      </c>
      <c r="M769" s="70">
        <f>IF(OR(F769="",N10="",N10&lt;=0),"",IF(LEN(F769)&lt;=N10,LEN(F769),IFERROR(FIND("♦",SUBSTITUTE(LEFT(F769,N10)," ","♦",LEN(LEFT(F769,N10))-LEN(SUBSTITUTE(LEFT(F769,N10)," ","")))),FIND(" ",F769&amp;" ",N10+1)-1)))</f>
        <v>1</v>
      </c>
      <c r="N769" s="119">
        <f t="shared" si="77"/>
        <v>752</v>
      </c>
      <c r="O769" s="99" t="str">
        <f t="shared" si="78"/>
        <v>0</v>
      </c>
      <c r="P769" s="119">
        <f t="shared" si="79"/>
        <v>1</v>
      </c>
      <c r="Q769" s="119">
        <f t="shared" si="80"/>
        <v>1</v>
      </c>
    </row>
    <row r="770" spans="2:17">
      <c r="B770" s="116"/>
      <c r="C770" s="116"/>
      <c r="D770" s="116"/>
      <c r="E770" s="116" cm="1">
        <f t="array" ref="E770">IF(H769&lt;&gt;"",E769,IF(E769="","",IFERROR(MATCH(TRUE(),INDEX(INDEX(K:K,E769+1):K203&lt;&gt;"",0),0)+E769,"")))</f>
        <v>912</v>
      </c>
      <c r="F770" s="117" cm="1">
        <f t="array" ref="F770">IF(E770="","",IF(H769&lt;&gt;"",H769,INDEX(D:D,E770)))</f>
        <v>0</v>
      </c>
      <c r="G770" s="117" t="str">
        <f t="shared" si="75"/>
        <v>0</v>
      </c>
      <c r="H770" s="118" t="str">
        <f t="shared" si="76"/>
        <v/>
      </c>
      <c r="I770" s="116" t="str">
        <f>IF(AND(F770&lt;&gt;"",N10&gt;0,M770&gt;N10),"Mot &gt; limite","")</f>
        <v/>
      </c>
      <c r="M770" s="70">
        <f>IF(OR(F770="",N10="",N10&lt;=0),"",IF(LEN(F770)&lt;=N10,LEN(F770),IFERROR(FIND("♦",SUBSTITUTE(LEFT(F770,N10)," ","♦",LEN(LEFT(F770,N10))-LEN(SUBSTITUTE(LEFT(F770,N10)," ","")))),FIND(" ",F770&amp;" ",N10+1)-1)))</f>
        <v>1</v>
      </c>
      <c r="N770" s="119">
        <f t="shared" si="77"/>
        <v>753</v>
      </c>
      <c r="O770" s="99" t="str">
        <f t="shared" si="78"/>
        <v>0</v>
      </c>
      <c r="P770" s="119">
        <f t="shared" si="79"/>
        <v>1</v>
      </c>
      <c r="Q770" s="119">
        <f t="shared" si="80"/>
        <v>1</v>
      </c>
    </row>
    <row r="771" spans="2:17">
      <c r="B771" s="116"/>
      <c r="C771" s="116"/>
      <c r="D771" s="116"/>
      <c r="E771" s="116" cm="1">
        <f t="array" ref="E771">IF(H770&lt;&gt;"",E770,IF(E770="","",IFERROR(MATCH(TRUE(),INDEX(INDEX(K:K,E770+1):K203&lt;&gt;"",0),0)+E770,"")))</f>
        <v>913</v>
      </c>
      <c r="F771" s="117" cm="1">
        <f t="array" ref="F771">IF(E771="","",IF(H770&lt;&gt;"",H770,INDEX(D:D,E771)))</f>
        <v>0</v>
      </c>
      <c r="G771" s="117" t="str">
        <f t="shared" si="75"/>
        <v>0</v>
      </c>
      <c r="H771" s="118" t="str">
        <f t="shared" si="76"/>
        <v/>
      </c>
      <c r="I771" s="116" t="str">
        <f>IF(AND(F771&lt;&gt;"",N10&gt;0,M771&gt;N10),"Mot &gt; limite","")</f>
        <v/>
      </c>
      <c r="M771" s="70">
        <f>IF(OR(F771="",N10="",N10&lt;=0),"",IF(LEN(F771)&lt;=N10,LEN(F771),IFERROR(FIND("♦",SUBSTITUTE(LEFT(F771,N10)," ","♦",LEN(LEFT(F771,N10))-LEN(SUBSTITUTE(LEFT(F771,N10)," ","")))),FIND(" ",F771&amp;" ",N10+1)-1)))</f>
        <v>1</v>
      </c>
      <c r="N771" s="119">
        <f t="shared" si="77"/>
        <v>754</v>
      </c>
      <c r="O771" s="99" t="str">
        <f t="shared" si="78"/>
        <v>0</v>
      </c>
      <c r="P771" s="119">
        <f t="shared" si="79"/>
        <v>1</v>
      </c>
      <c r="Q771" s="119">
        <f t="shared" si="80"/>
        <v>1</v>
      </c>
    </row>
    <row r="772" spans="2:17">
      <c r="B772" s="116"/>
      <c r="C772" s="116"/>
      <c r="D772" s="116"/>
      <c r="E772" s="116" cm="1">
        <f t="array" ref="E772">IF(H771&lt;&gt;"",E771,IF(E771="","",IFERROR(MATCH(TRUE(),INDEX(INDEX(K:K,E771+1):K203&lt;&gt;"",0),0)+E771,"")))</f>
        <v>914</v>
      </c>
      <c r="F772" s="117" cm="1">
        <f t="array" ref="F772">IF(E772="","",IF(H771&lt;&gt;"",H771,INDEX(D:D,E772)))</f>
        <v>0</v>
      </c>
      <c r="G772" s="117" t="str">
        <f t="shared" si="75"/>
        <v>0</v>
      </c>
      <c r="H772" s="118" t="str">
        <f t="shared" si="76"/>
        <v/>
      </c>
      <c r="I772" s="116" t="str">
        <f>IF(AND(F772&lt;&gt;"",N10&gt;0,M772&gt;N10),"Mot &gt; limite","")</f>
        <v/>
      </c>
      <c r="M772" s="70">
        <f>IF(OR(F772="",N10="",N10&lt;=0),"",IF(LEN(F772)&lt;=N10,LEN(F772),IFERROR(FIND("♦",SUBSTITUTE(LEFT(F772,N10)," ","♦",LEN(LEFT(F772,N10))-LEN(SUBSTITUTE(LEFT(F772,N10)," ","")))),FIND(" ",F772&amp;" ",N10+1)-1)))</f>
        <v>1</v>
      </c>
      <c r="N772" s="119">
        <f t="shared" si="77"/>
        <v>755</v>
      </c>
      <c r="O772" s="99" t="str">
        <f t="shared" si="78"/>
        <v>0</v>
      </c>
      <c r="P772" s="119">
        <f t="shared" si="79"/>
        <v>1</v>
      </c>
      <c r="Q772" s="119">
        <f t="shared" si="80"/>
        <v>1</v>
      </c>
    </row>
    <row r="773" spans="2:17">
      <c r="B773" s="116"/>
      <c r="C773" s="116"/>
      <c r="D773" s="116"/>
      <c r="E773" s="116" cm="1">
        <f t="array" ref="E773">IF(H772&lt;&gt;"",E772,IF(E772="","",IFERROR(MATCH(TRUE(),INDEX(INDEX(K:K,E772+1):K203&lt;&gt;"",0),0)+E772,"")))</f>
        <v>915</v>
      </c>
      <c r="F773" s="117" cm="1">
        <f t="array" ref="F773">IF(E773="","",IF(H772&lt;&gt;"",H772,INDEX(D:D,E773)))</f>
        <v>0</v>
      </c>
      <c r="G773" s="117" t="str">
        <f t="shared" si="75"/>
        <v>0</v>
      </c>
      <c r="H773" s="118" t="str">
        <f t="shared" si="76"/>
        <v/>
      </c>
      <c r="I773" s="116" t="str">
        <f>IF(AND(F773&lt;&gt;"",N10&gt;0,M773&gt;N10),"Mot &gt; limite","")</f>
        <v/>
      </c>
      <c r="M773" s="70">
        <f>IF(OR(F773="",N10="",N10&lt;=0),"",IF(LEN(F773)&lt;=N10,LEN(F773),IFERROR(FIND("♦",SUBSTITUTE(LEFT(F773,N10)," ","♦",LEN(LEFT(F773,N10))-LEN(SUBSTITUTE(LEFT(F773,N10)," ","")))),FIND(" ",F773&amp;" ",N10+1)-1)))</f>
        <v>1</v>
      </c>
      <c r="N773" s="119">
        <f t="shared" si="77"/>
        <v>756</v>
      </c>
      <c r="O773" s="99" t="str">
        <f t="shared" si="78"/>
        <v>0</v>
      </c>
      <c r="P773" s="119">
        <f t="shared" si="79"/>
        <v>1</v>
      </c>
      <c r="Q773" s="119">
        <f t="shared" si="80"/>
        <v>1</v>
      </c>
    </row>
    <row r="774" spans="2:17">
      <c r="B774" s="116"/>
      <c r="C774" s="116"/>
      <c r="D774" s="116"/>
      <c r="E774" s="116" cm="1">
        <f t="array" ref="E774">IF(H773&lt;&gt;"",E773,IF(E773="","",IFERROR(MATCH(TRUE(),INDEX(INDEX(K:K,E773+1):K203&lt;&gt;"",0),0)+E773,"")))</f>
        <v>916</v>
      </c>
      <c r="F774" s="117" cm="1">
        <f t="array" ref="F774">IF(E774="","",IF(H773&lt;&gt;"",H773,INDEX(D:D,E774)))</f>
        <v>0</v>
      </c>
      <c r="G774" s="117" t="str">
        <f t="shared" si="75"/>
        <v>0</v>
      </c>
      <c r="H774" s="118" t="str">
        <f t="shared" si="76"/>
        <v/>
      </c>
      <c r="I774" s="116" t="str">
        <f>IF(AND(F774&lt;&gt;"",N10&gt;0,M774&gt;N10),"Mot &gt; limite","")</f>
        <v/>
      </c>
      <c r="M774" s="70">
        <f>IF(OR(F774="",N10="",N10&lt;=0),"",IF(LEN(F774)&lt;=N10,LEN(F774),IFERROR(FIND("♦",SUBSTITUTE(LEFT(F774,N10)," ","♦",LEN(LEFT(F774,N10))-LEN(SUBSTITUTE(LEFT(F774,N10)," ","")))),FIND(" ",F774&amp;" ",N10+1)-1)))</f>
        <v>1</v>
      </c>
      <c r="N774" s="119">
        <f t="shared" si="77"/>
        <v>757</v>
      </c>
      <c r="O774" s="99" t="str">
        <f t="shared" si="78"/>
        <v>0</v>
      </c>
      <c r="P774" s="119">
        <f t="shared" si="79"/>
        <v>1</v>
      </c>
      <c r="Q774" s="119">
        <f t="shared" si="80"/>
        <v>1</v>
      </c>
    </row>
    <row r="775" spans="2:17">
      <c r="B775" s="116"/>
      <c r="C775" s="116"/>
      <c r="D775" s="116"/>
      <c r="E775" s="116" cm="1">
        <f t="array" ref="E775">IF(H774&lt;&gt;"",E774,IF(E774="","",IFERROR(MATCH(TRUE(),INDEX(INDEX(K:K,E774+1):K203&lt;&gt;"",0),0)+E774,"")))</f>
        <v>917</v>
      </c>
      <c r="F775" s="117" cm="1">
        <f t="array" ref="F775">IF(E775="","",IF(H774&lt;&gt;"",H774,INDEX(D:D,E775)))</f>
        <v>0</v>
      </c>
      <c r="G775" s="117" t="str">
        <f t="shared" si="75"/>
        <v>0</v>
      </c>
      <c r="H775" s="118" t="str">
        <f t="shared" si="76"/>
        <v/>
      </c>
      <c r="I775" s="116" t="str">
        <f>IF(AND(F775&lt;&gt;"",N10&gt;0,M775&gt;N10),"Mot &gt; limite","")</f>
        <v/>
      </c>
      <c r="M775" s="70">
        <f>IF(OR(F775="",N10="",N10&lt;=0),"",IF(LEN(F775)&lt;=N10,LEN(F775),IFERROR(FIND("♦",SUBSTITUTE(LEFT(F775,N10)," ","♦",LEN(LEFT(F775,N10))-LEN(SUBSTITUTE(LEFT(F775,N10)," ","")))),FIND(" ",F775&amp;" ",N10+1)-1)))</f>
        <v>1</v>
      </c>
      <c r="N775" s="119">
        <f t="shared" si="77"/>
        <v>758</v>
      </c>
      <c r="O775" s="99" t="str">
        <f t="shared" si="78"/>
        <v>0</v>
      </c>
      <c r="P775" s="119">
        <f t="shared" si="79"/>
        <v>1</v>
      </c>
      <c r="Q775" s="119">
        <f t="shared" si="80"/>
        <v>1</v>
      </c>
    </row>
    <row r="776" spans="2:17">
      <c r="B776" s="116"/>
      <c r="C776" s="116"/>
      <c r="D776" s="116"/>
      <c r="E776" s="116" cm="1">
        <f t="array" ref="E776">IF(H775&lt;&gt;"",E775,IF(E775="","",IFERROR(MATCH(TRUE(),INDEX(INDEX(K:K,E775+1):K203&lt;&gt;"",0),0)+E775,"")))</f>
        <v>918</v>
      </c>
      <c r="F776" s="117" cm="1">
        <f t="array" ref="F776">IF(E776="","",IF(H775&lt;&gt;"",H775,INDEX(D:D,E776)))</f>
        <v>0</v>
      </c>
      <c r="G776" s="117" t="str">
        <f t="shared" si="75"/>
        <v>0</v>
      </c>
      <c r="H776" s="118" t="str">
        <f t="shared" si="76"/>
        <v/>
      </c>
      <c r="I776" s="116" t="str">
        <f>IF(AND(F776&lt;&gt;"",N10&gt;0,M776&gt;N10),"Mot &gt; limite","")</f>
        <v/>
      </c>
      <c r="M776" s="70">
        <f>IF(OR(F776="",N10="",N10&lt;=0),"",IF(LEN(F776)&lt;=N10,LEN(F776),IFERROR(FIND("♦",SUBSTITUTE(LEFT(F776,N10)," ","♦",LEN(LEFT(F776,N10))-LEN(SUBSTITUTE(LEFT(F776,N10)," ","")))),FIND(" ",F776&amp;" ",N10+1)-1)))</f>
        <v>1</v>
      </c>
      <c r="N776" s="119">
        <f t="shared" si="77"/>
        <v>759</v>
      </c>
      <c r="O776" s="99" t="str">
        <f t="shared" si="78"/>
        <v>0</v>
      </c>
      <c r="P776" s="119">
        <f t="shared" si="79"/>
        <v>1</v>
      </c>
      <c r="Q776" s="119">
        <f t="shared" si="80"/>
        <v>1</v>
      </c>
    </row>
    <row r="777" spans="2:17">
      <c r="B777" s="116"/>
      <c r="C777" s="116"/>
      <c r="D777" s="116"/>
      <c r="E777" s="116" cm="1">
        <f t="array" ref="E777">IF(H776&lt;&gt;"",E776,IF(E776="","",IFERROR(MATCH(TRUE(),INDEX(INDEX(K:K,E776+1):K203&lt;&gt;"",0),0)+E776,"")))</f>
        <v>919</v>
      </c>
      <c r="F777" s="117" cm="1">
        <f t="array" ref="F777">IF(E777="","",IF(H776&lt;&gt;"",H776,INDEX(D:D,E777)))</f>
        <v>0</v>
      </c>
      <c r="G777" s="117" t="str">
        <f t="shared" si="75"/>
        <v>0</v>
      </c>
      <c r="H777" s="118" t="str">
        <f t="shared" si="76"/>
        <v/>
      </c>
      <c r="I777" s="116" t="str">
        <f>IF(AND(F777&lt;&gt;"",N10&gt;0,M777&gt;N10),"Mot &gt; limite","")</f>
        <v/>
      </c>
      <c r="M777" s="70">
        <f>IF(OR(F777="",N10="",N10&lt;=0),"",IF(LEN(F777)&lt;=N10,LEN(F777),IFERROR(FIND("♦",SUBSTITUTE(LEFT(F777,N10)," ","♦",LEN(LEFT(F777,N10))-LEN(SUBSTITUTE(LEFT(F777,N10)," ","")))),FIND(" ",F777&amp;" ",N10+1)-1)))</f>
        <v>1</v>
      </c>
      <c r="N777" s="119">
        <f t="shared" si="77"/>
        <v>760</v>
      </c>
      <c r="O777" s="99" t="str">
        <f t="shared" si="78"/>
        <v>0</v>
      </c>
      <c r="P777" s="119">
        <f t="shared" si="79"/>
        <v>1</v>
      </c>
      <c r="Q777" s="119">
        <f t="shared" si="80"/>
        <v>1</v>
      </c>
    </row>
    <row r="778" spans="2:17">
      <c r="B778" s="116"/>
      <c r="C778" s="116"/>
      <c r="D778" s="116"/>
      <c r="E778" s="116" cm="1">
        <f t="array" ref="E778">IF(H777&lt;&gt;"",E777,IF(E777="","",IFERROR(MATCH(TRUE(),INDEX(INDEX(K:K,E777+1):K203&lt;&gt;"",0),0)+E777,"")))</f>
        <v>920</v>
      </c>
      <c r="F778" s="117" cm="1">
        <f t="array" ref="F778">IF(E778="","",IF(H777&lt;&gt;"",H777,INDEX(D:D,E778)))</f>
        <v>0</v>
      </c>
      <c r="G778" s="117" t="str">
        <f t="shared" si="75"/>
        <v>0</v>
      </c>
      <c r="H778" s="118" t="str">
        <f t="shared" si="76"/>
        <v/>
      </c>
      <c r="I778" s="116" t="str">
        <f>IF(AND(F778&lt;&gt;"",N10&gt;0,M778&gt;N10),"Mot &gt; limite","")</f>
        <v/>
      </c>
      <c r="M778" s="70">
        <f>IF(OR(F778="",N10="",N10&lt;=0),"",IF(LEN(F778)&lt;=N10,LEN(F778),IFERROR(FIND("♦",SUBSTITUTE(LEFT(F778,N10)," ","♦",LEN(LEFT(F778,N10))-LEN(SUBSTITUTE(LEFT(F778,N10)," ","")))),FIND(" ",F778&amp;" ",N10+1)-1)))</f>
        <v>1</v>
      </c>
      <c r="N778" s="119">
        <f t="shared" si="77"/>
        <v>761</v>
      </c>
      <c r="O778" s="99" t="str">
        <f t="shared" si="78"/>
        <v>0</v>
      </c>
      <c r="P778" s="119">
        <f t="shared" si="79"/>
        <v>1</v>
      </c>
      <c r="Q778" s="119">
        <f t="shared" si="80"/>
        <v>1</v>
      </c>
    </row>
    <row r="779" spans="2:17">
      <c r="B779" s="116"/>
      <c r="C779" s="116"/>
      <c r="D779" s="116"/>
      <c r="E779" s="116" cm="1">
        <f t="array" ref="E779">IF(H778&lt;&gt;"",E778,IF(E778="","",IFERROR(MATCH(TRUE(),INDEX(INDEX(K:K,E778+1):K203&lt;&gt;"",0),0)+E778,"")))</f>
        <v>921</v>
      </c>
      <c r="F779" s="117" cm="1">
        <f t="array" ref="F779">IF(E779="","",IF(H778&lt;&gt;"",H778,INDEX(D:D,E779)))</f>
        <v>0</v>
      </c>
      <c r="G779" s="117" t="str">
        <f t="shared" si="75"/>
        <v>0</v>
      </c>
      <c r="H779" s="118" t="str">
        <f t="shared" si="76"/>
        <v/>
      </c>
      <c r="I779" s="116" t="str">
        <f>IF(AND(F779&lt;&gt;"",N10&gt;0,M779&gt;N10),"Mot &gt; limite","")</f>
        <v/>
      </c>
      <c r="M779" s="70">
        <f>IF(OR(F779="",N10="",N10&lt;=0),"",IF(LEN(F779)&lt;=N10,LEN(F779),IFERROR(FIND("♦",SUBSTITUTE(LEFT(F779,N10)," ","♦",LEN(LEFT(F779,N10))-LEN(SUBSTITUTE(LEFT(F779,N10)," ","")))),FIND(" ",F779&amp;" ",N10+1)-1)))</f>
        <v>1</v>
      </c>
      <c r="N779" s="119">
        <f t="shared" si="77"/>
        <v>762</v>
      </c>
      <c r="O779" s="99" t="str">
        <f t="shared" si="78"/>
        <v>0</v>
      </c>
      <c r="P779" s="119">
        <f t="shared" si="79"/>
        <v>1</v>
      </c>
      <c r="Q779" s="119">
        <f t="shared" si="80"/>
        <v>1</v>
      </c>
    </row>
    <row r="780" spans="2:17">
      <c r="B780" s="116"/>
      <c r="C780" s="116"/>
      <c r="D780" s="116"/>
      <c r="E780" s="116" cm="1">
        <f t="array" ref="E780">IF(H779&lt;&gt;"",E779,IF(E779="","",IFERROR(MATCH(TRUE(),INDEX(INDEX(K:K,E779+1):K203&lt;&gt;"",0),0)+E779,"")))</f>
        <v>922</v>
      </c>
      <c r="F780" s="117" cm="1">
        <f t="array" ref="F780">IF(E780="","",IF(H779&lt;&gt;"",H779,INDEX(D:D,E780)))</f>
        <v>0</v>
      </c>
      <c r="G780" s="117" t="str">
        <f t="shared" si="75"/>
        <v>0</v>
      </c>
      <c r="H780" s="118" t="str">
        <f t="shared" si="76"/>
        <v/>
      </c>
      <c r="I780" s="116" t="str">
        <f>IF(AND(F780&lt;&gt;"",N10&gt;0,M780&gt;N10),"Mot &gt; limite","")</f>
        <v/>
      </c>
      <c r="M780" s="70">
        <f>IF(OR(F780="",N10="",N10&lt;=0),"",IF(LEN(F780)&lt;=N10,LEN(F780),IFERROR(FIND("♦",SUBSTITUTE(LEFT(F780,N10)," ","♦",LEN(LEFT(F780,N10))-LEN(SUBSTITUTE(LEFT(F780,N10)," ","")))),FIND(" ",F780&amp;" ",N10+1)-1)))</f>
        <v>1</v>
      </c>
      <c r="N780" s="119">
        <f t="shared" si="77"/>
        <v>763</v>
      </c>
      <c r="O780" s="99" t="str">
        <f t="shared" si="78"/>
        <v>0</v>
      </c>
      <c r="P780" s="119">
        <f t="shared" si="79"/>
        <v>1</v>
      </c>
      <c r="Q780" s="119">
        <f t="shared" si="80"/>
        <v>1</v>
      </c>
    </row>
    <row r="781" spans="2:17">
      <c r="B781" s="116"/>
      <c r="C781" s="116"/>
      <c r="D781" s="116"/>
      <c r="E781" s="116" cm="1">
        <f t="array" ref="E781">IF(H780&lt;&gt;"",E780,IF(E780="","",IFERROR(MATCH(TRUE(),INDEX(INDEX(K:K,E780+1):K203&lt;&gt;"",0),0)+E780,"")))</f>
        <v>923</v>
      </c>
      <c r="F781" s="117" cm="1">
        <f t="array" ref="F781">IF(E781="","",IF(H780&lt;&gt;"",H780,INDEX(D:D,E781)))</f>
        <v>0</v>
      </c>
      <c r="G781" s="117" t="str">
        <f t="shared" si="75"/>
        <v>0</v>
      </c>
      <c r="H781" s="118" t="str">
        <f t="shared" si="76"/>
        <v/>
      </c>
      <c r="I781" s="116" t="str">
        <f>IF(AND(F781&lt;&gt;"",N10&gt;0,M781&gt;N10),"Mot &gt; limite","")</f>
        <v/>
      </c>
      <c r="M781" s="70">
        <f>IF(OR(F781="",N10="",N10&lt;=0),"",IF(LEN(F781)&lt;=N10,LEN(F781),IFERROR(FIND("♦",SUBSTITUTE(LEFT(F781,N10)," ","♦",LEN(LEFT(F781,N10))-LEN(SUBSTITUTE(LEFT(F781,N10)," ","")))),FIND(" ",F781&amp;" ",N10+1)-1)))</f>
        <v>1</v>
      </c>
      <c r="N781" s="119">
        <f t="shared" si="77"/>
        <v>764</v>
      </c>
      <c r="O781" s="99" t="str">
        <f t="shared" si="78"/>
        <v>0</v>
      </c>
      <c r="P781" s="119">
        <f t="shared" si="79"/>
        <v>1</v>
      </c>
      <c r="Q781" s="119">
        <f t="shared" si="80"/>
        <v>1</v>
      </c>
    </row>
    <row r="782" spans="2:17">
      <c r="B782" s="116"/>
      <c r="C782" s="116"/>
      <c r="D782" s="116"/>
      <c r="E782" s="116" cm="1">
        <f t="array" ref="E782">IF(H781&lt;&gt;"",E781,IF(E781="","",IFERROR(MATCH(TRUE(),INDEX(INDEX(K:K,E781+1):K203&lt;&gt;"",0),0)+E781,"")))</f>
        <v>924</v>
      </c>
      <c r="F782" s="117" cm="1">
        <f t="array" ref="F782">IF(E782="","",IF(H781&lt;&gt;"",H781,INDEX(D:D,E782)))</f>
        <v>0</v>
      </c>
      <c r="G782" s="117" t="str">
        <f t="shared" si="75"/>
        <v>0</v>
      </c>
      <c r="H782" s="118" t="str">
        <f t="shared" si="76"/>
        <v/>
      </c>
      <c r="I782" s="116" t="str">
        <f>IF(AND(F782&lt;&gt;"",N10&gt;0,M782&gt;N10),"Mot &gt; limite","")</f>
        <v/>
      </c>
      <c r="M782" s="70">
        <f>IF(OR(F782="",N10="",N10&lt;=0),"",IF(LEN(F782)&lt;=N10,LEN(F782),IFERROR(FIND("♦",SUBSTITUTE(LEFT(F782,N10)," ","♦",LEN(LEFT(F782,N10))-LEN(SUBSTITUTE(LEFT(F782,N10)," ","")))),FIND(" ",F782&amp;" ",N10+1)-1)))</f>
        <v>1</v>
      </c>
      <c r="N782" s="119">
        <f t="shared" si="77"/>
        <v>765</v>
      </c>
      <c r="O782" s="99" t="str">
        <f t="shared" si="78"/>
        <v>0</v>
      </c>
      <c r="P782" s="119">
        <f t="shared" si="79"/>
        <v>1</v>
      </c>
      <c r="Q782" s="119">
        <f t="shared" si="80"/>
        <v>1</v>
      </c>
    </row>
    <row r="783" spans="2:17">
      <c r="B783" s="116"/>
      <c r="C783" s="116"/>
      <c r="D783" s="116"/>
      <c r="E783" s="116" cm="1">
        <f t="array" ref="E783">IF(H782&lt;&gt;"",E782,IF(E782="","",IFERROR(MATCH(TRUE(),INDEX(INDEX(K:K,E782+1):K203&lt;&gt;"",0),0)+E782,"")))</f>
        <v>925</v>
      </c>
      <c r="F783" s="117" cm="1">
        <f t="array" ref="F783">IF(E783="","",IF(H782&lt;&gt;"",H782,INDEX(D:D,E783)))</f>
        <v>0</v>
      </c>
      <c r="G783" s="117" t="str">
        <f t="shared" si="75"/>
        <v>0</v>
      </c>
      <c r="H783" s="118" t="str">
        <f t="shared" si="76"/>
        <v/>
      </c>
      <c r="I783" s="116" t="str">
        <f>IF(AND(F783&lt;&gt;"",N10&gt;0,M783&gt;N10),"Mot &gt; limite","")</f>
        <v/>
      </c>
      <c r="M783" s="70">
        <f>IF(OR(F783="",N10="",N10&lt;=0),"",IF(LEN(F783)&lt;=N10,LEN(F783),IFERROR(FIND("♦",SUBSTITUTE(LEFT(F783,N10)," ","♦",LEN(LEFT(F783,N10))-LEN(SUBSTITUTE(LEFT(F783,N10)," ","")))),FIND(" ",F783&amp;" ",N10+1)-1)))</f>
        <v>1</v>
      </c>
      <c r="N783" s="119">
        <f t="shared" si="77"/>
        <v>766</v>
      </c>
      <c r="O783" s="99" t="str">
        <f t="shared" si="78"/>
        <v>0</v>
      </c>
      <c r="P783" s="119">
        <f t="shared" si="79"/>
        <v>1</v>
      </c>
      <c r="Q783" s="119">
        <f t="shared" si="80"/>
        <v>1</v>
      </c>
    </row>
    <row r="784" spans="2:17">
      <c r="B784" s="116"/>
      <c r="C784" s="116"/>
      <c r="D784" s="116"/>
      <c r="E784" s="116" cm="1">
        <f t="array" ref="E784">IF(H783&lt;&gt;"",E783,IF(E783="","",IFERROR(MATCH(TRUE(),INDEX(INDEX(K:K,E783+1):K203&lt;&gt;"",0),0)+E783,"")))</f>
        <v>926</v>
      </c>
      <c r="F784" s="117" cm="1">
        <f t="array" ref="F784">IF(E784="","",IF(H783&lt;&gt;"",H783,INDEX(D:D,E784)))</f>
        <v>0</v>
      </c>
      <c r="G784" s="117" t="str">
        <f t="shared" si="75"/>
        <v>0</v>
      </c>
      <c r="H784" s="118" t="str">
        <f t="shared" si="76"/>
        <v/>
      </c>
      <c r="I784" s="116" t="str">
        <f>IF(AND(F784&lt;&gt;"",N10&gt;0,M784&gt;N10),"Mot &gt; limite","")</f>
        <v/>
      </c>
      <c r="M784" s="70">
        <f>IF(OR(F784="",N10="",N10&lt;=0),"",IF(LEN(F784)&lt;=N10,LEN(F784),IFERROR(FIND("♦",SUBSTITUTE(LEFT(F784,N10)," ","♦",LEN(LEFT(F784,N10))-LEN(SUBSTITUTE(LEFT(F784,N10)," ","")))),FIND(" ",F784&amp;" ",N10+1)-1)))</f>
        <v>1</v>
      </c>
      <c r="N784" s="119">
        <f t="shared" si="77"/>
        <v>767</v>
      </c>
      <c r="O784" s="99" t="str">
        <f t="shared" si="78"/>
        <v>0</v>
      </c>
      <c r="P784" s="119">
        <f t="shared" si="79"/>
        <v>1</v>
      </c>
      <c r="Q784" s="119">
        <f t="shared" si="80"/>
        <v>1</v>
      </c>
    </row>
    <row r="785" spans="2:17">
      <c r="B785" s="116"/>
      <c r="C785" s="116"/>
      <c r="D785" s="116"/>
      <c r="E785" s="116" cm="1">
        <f t="array" ref="E785">IF(H784&lt;&gt;"",E784,IF(E784="","",IFERROR(MATCH(TRUE(),INDEX(INDEX(K:K,E784+1):K203&lt;&gt;"",0),0)+E784,"")))</f>
        <v>927</v>
      </c>
      <c r="F785" s="117" cm="1">
        <f t="array" ref="F785">IF(E785="","",IF(H784&lt;&gt;"",H784,INDEX(D:D,E785)))</f>
        <v>0</v>
      </c>
      <c r="G785" s="117" t="str">
        <f t="shared" si="75"/>
        <v>0</v>
      </c>
      <c r="H785" s="118" t="str">
        <f t="shared" si="76"/>
        <v/>
      </c>
      <c r="I785" s="116" t="str">
        <f>IF(AND(F785&lt;&gt;"",N10&gt;0,M785&gt;N10),"Mot &gt; limite","")</f>
        <v/>
      </c>
      <c r="M785" s="70">
        <f>IF(OR(F785="",N10="",N10&lt;=0),"",IF(LEN(F785)&lt;=N10,LEN(F785),IFERROR(FIND("♦",SUBSTITUTE(LEFT(F785,N10)," ","♦",LEN(LEFT(F785,N10))-LEN(SUBSTITUTE(LEFT(F785,N10)," ","")))),FIND(" ",F785&amp;" ",N10+1)-1)))</f>
        <v>1</v>
      </c>
      <c r="N785" s="119">
        <f t="shared" si="77"/>
        <v>768</v>
      </c>
      <c r="O785" s="99" t="str">
        <f t="shared" si="78"/>
        <v>0</v>
      </c>
      <c r="P785" s="119">
        <f t="shared" si="79"/>
        <v>1</v>
      </c>
      <c r="Q785" s="119">
        <f t="shared" si="80"/>
        <v>1</v>
      </c>
    </row>
    <row r="786" spans="2:17">
      <c r="B786" s="116"/>
      <c r="C786" s="116"/>
      <c r="D786" s="116"/>
      <c r="E786" s="116" cm="1">
        <f t="array" ref="E786">IF(H785&lt;&gt;"",E785,IF(E785="","",IFERROR(MATCH(TRUE(),INDEX(INDEX(K:K,E785+1):K203&lt;&gt;"",0),0)+E785,"")))</f>
        <v>928</v>
      </c>
      <c r="F786" s="117" cm="1">
        <f t="array" ref="F786">IF(E786="","",IF(H785&lt;&gt;"",H785,INDEX(D:D,E786)))</f>
        <v>0</v>
      </c>
      <c r="G786" s="117" t="str">
        <f t="shared" ref="G786:G849" si="81">IF(OR(F786="",M786=""),"",LEFT(F786,M786))</f>
        <v>0</v>
      </c>
      <c r="H786" s="118" t="str">
        <f t="shared" ref="H786:H849" si="82">IF(OR(F786="",M786=""),"",TRIM(MID(F786,M786+1,99999)))</f>
        <v/>
      </c>
      <c r="I786" s="116" t="str">
        <f>IF(AND(F786&lt;&gt;"",N10&gt;0,M786&gt;N10),"Mot &gt; limite","")</f>
        <v/>
      </c>
      <c r="M786" s="70">
        <f>IF(OR(F786="",N10="",N10&lt;=0),"",IF(LEN(F786)&lt;=N10,LEN(F786),IFERROR(FIND("♦",SUBSTITUTE(LEFT(F786,N10)," ","♦",LEN(LEFT(F786,N10))-LEN(SUBSTITUTE(LEFT(F786,N10)," ","")))),FIND(" ",F786&amp;" ",N10+1)-1)))</f>
        <v>1</v>
      </c>
      <c r="N786" s="119">
        <f t="shared" ref="N786:N849" si="83">IF(O786="","",ROW()-17)</f>
        <v>769</v>
      </c>
      <c r="O786" s="99" t="str">
        <f t="shared" ref="O786:O849" si="84">G786</f>
        <v>0</v>
      </c>
      <c r="P786" s="119">
        <f t="shared" ref="P786:P849" si="85">IF(O786="","",LEN(TRIM(O786))-LEN(SUBSTITUTE(TRIM(O786)," ",""))+1)</f>
        <v>1</v>
      </c>
      <c r="Q786" s="119">
        <f t="shared" ref="Q786:Q849" si="86">IF(O786="","",LEN(O786))</f>
        <v>1</v>
      </c>
    </row>
    <row r="787" spans="2:17">
      <c r="B787" s="116"/>
      <c r="C787" s="116"/>
      <c r="D787" s="116"/>
      <c r="E787" s="116" cm="1">
        <f t="array" ref="E787">IF(H786&lt;&gt;"",E786,IF(E786="","",IFERROR(MATCH(TRUE(),INDEX(INDEX(K:K,E786+1):K203&lt;&gt;"",0),0)+E786,"")))</f>
        <v>929</v>
      </c>
      <c r="F787" s="117" cm="1">
        <f t="array" ref="F787">IF(E787="","",IF(H786&lt;&gt;"",H786,INDEX(D:D,E787)))</f>
        <v>0</v>
      </c>
      <c r="G787" s="117" t="str">
        <f t="shared" si="81"/>
        <v>0</v>
      </c>
      <c r="H787" s="118" t="str">
        <f t="shared" si="82"/>
        <v/>
      </c>
      <c r="I787" s="116" t="str">
        <f>IF(AND(F787&lt;&gt;"",N10&gt;0,M787&gt;N10),"Mot &gt; limite","")</f>
        <v/>
      </c>
      <c r="M787" s="70">
        <f>IF(OR(F787="",N10="",N10&lt;=0),"",IF(LEN(F787)&lt;=N10,LEN(F787),IFERROR(FIND("♦",SUBSTITUTE(LEFT(F787,N10)," ","♦",LEN(LEFT(F787,N10))-LEN(SUBSTITUTE(LEFT(F787,N10)," ","")))),FIND(" ",F787&amp;" ",N10+1)-1)))</f>
        <v>1</v>
      </c>
      <c r="N787" s="119">
        <f t="shared" si="83"/>
        <v>770</v>
      </c>
      <c r="O787" s="99" t="str">
        <f t="shared" si="84"/>
        <v>0</v>
      </c>
      <c r="P787" s="119">
        <f t="shared" si="85"/>
        <v>1</v>
      </c>
      <c r="Q787" s="119">
        <f t="shared" si="86"/>
        <v>1</v>
      </c>
    </row>
    <row r="788" spans="2:17">
      <c r="B788" s="116"/>
      <c r="C788" s="116"/>
      <c r="D788" s="116"/>
      <c r="E788" s="116" cm="1">
        <f t="array" ref="E788">IF(H787&lt;&gt;"",E787,IF(E787="","",IFERROR(MATCH(TRUE(),INDEX(INDEX(K:K,E787+1):K203&lt;&gt;"",0),0)+E787,"")))</f>
        <v>930</v>
      </c>
      <c r="F788" s="117" cm="1">
        <f t="array" ref="F788">IF(E788="","",IF(H787&lt;&gt;"",H787,INDEX(D:D,E788)))</f>
        <v>0</v>
      </c>
      <c r="G788" s="117" t="str">
        <f t="shared" si="81"/>
        <v>0</v>
      </c>
      <c r="H788" s="118" t="str">
        <f t="shared" si="82"/>
        <v/>
      </c>
      <c r="I788" s="116" t="str">
        <f>IF(AND(F788&lt;&gt;"",N10&gt;0,M788&gt;N10),"Mot &gt; limite","")</f>
        <v/>
      </c>
      <c r="M788" s="70">
        <f>IF(OR(F788="",N10="",N10&lt;=0),"",IF(LEN(F788)&lt;=N10,LEN(F788),IFERROR(FIND("♦",SUBSTITUTE(LEFT(F788,N10)," ","♦",LEN(LEFT(F788,N10))-LEN(SUBSTITUTE(LEFT(F788,N10)," ","")))),FIND(" ",F788&amp;" ",N10+1)-1)))</f>
        <v>1</v>
      </c>
      <c r="N788" s="119">
        <f t="shared" si="83"/>
        <v>771</v>
      </c>
      <c r="O788" s="99" t="str">
        <f t="shared" si="84"/>
        <v>0</v>
      </c>
      <c r="P788" s="119">
        <f t="shared" si="85"/>
        <v>1</v>
      </c>
      <c r="Q788" s="119">
        <f t="shared" si="86"/>
        <v>1</v>
      </c>
    </row>
    <row r="789" spans="2:17">
      <c r="B789" s="116"/>
      <c r="C789" s="116"/>
      <c r="D789" s="116"/>
      <c r="E789" s="116" cm="1">
        <f t="array" ref="E789">IF(H788&lt;&gt;"",E788,IF(E788="","",IFERROR(MATCH(TRUE(),INDEX(INDEX(K:K,E788+1):K203&lt;&gt;"",0),0)+E788,"")))</f>
        <v>931</v>
      </c>
      <c r="F789" s="117" cm="1">
        <f t="array" ref="F789">IF(E789="","",IF(H788&lt;&gt;"",H788,INDEX(D:D,E789)))</f>
        <v>0</v>
      </c>
      <c r="G789" s="117" t="str">
        <f t="shared" si="81"/>
        <v>0</v>
      </c>
      <c r="H789" s="118" t="str">
        <f t="shared" si="82"/>
        <v/>
      </c>
      <c r="I789" s="116" t="str">
        <f>IF(AND(F789&lt;&gt;"",N10&gt;0,M789&gt;N10),"Mot &gt; limite","")</f>
        <v/>
      </c>
      <c r="M789" s="70">
        <f>IF(OR(F789="",N10="",N10&lt;=0),"",IF(LEN(F789)&lt;=N10,LEN(F789),IFERROR(FIND("♦",SUBSTITUTE(LEFT(F789,N10)," ","♦",LEN(LEFT(F789,N10))-LEN(SUBSTITUTE(LEFT(F789,N10)," ","")))),FIND(" ",F789&amp;" ",N10+1)-1)))</f>
        <v>1</v>
      </c>
      <c r="N789" s="119">
        <f t="shared" si="83"/>
        <v>772</v>
      </c>
      <c r="O789" s="99" t="str">
        <f t="shared" si="84"/>
        <v>0</v>
      </c>
      <c r="P789" s="119">
        <f t="shared" si="85"/>
        <v>1</v>
      </c>
      <c r="Q789" s="119">
        <f t="shared" si="86"/>
        <v>1</v>
      </c>
    </row>
    <row r="790" spans="2:17">
      <c r="B790" s="116"/>
      <c r="C790" s="116"/>
      <c r="D790" s="116"/>
      <c r="E790" s="116" cm="1">
        <f t="array" ref="E790">IF(H789&lt;&gt;"",E789,IF(E789="","",IFERROR(MATCH(TRUE(),INDEX(INDEX(K:K,E789+1):K203&lt;&gt;"",0),0)+E789,"")))</f>
        <v>932</v>
      </c>
      <c r="F790" s="117" cm="1">
        <f t="array" ref="F790">IF(E790="","",IF(H789&lt;&gt;"",H789,INDEX(D:D,E790)))</f>
        <v>0</v>
      </c>
      <c r="G790" s="117" t="str">
        <f t="shared" si="81"/>
        <v>0</v>
      </c>
      <c r="H790" s="118" t="str">
        <f t="shared" si="82"/>
        <v/>
      </c>
      <c r="I790" s="116" t="str">
        <f>IF(AND(F790&lt;&gt;"",N10&gt;0,M790&gt;N10),"Mot &gt; limite","")</f>
        <v/>
      </c>
      <c r="M790" s="70">
        <f>IF(OR(F790="",N10="",N10&lt;=0),"",IF(LEN(F790)&lt;=N10,LEN(F790),IFERROR(FIND("♦",SUBSTITUTE(LEFT(F790,N10)," ","♦",LEN(LEFT(F790,N10))-LEN(SUBSTITUTE(LEFT(F790,N10)," ","")))),FIND(" ",F790&amp;" ",N10+1)-1)))</f>
        <v>1</v>
      </c>
      <c r="N790" s="119">
        <f t="shared" si="83"/>
        <v>773</v>
      </c>
      <c r="O790" s="99" t="str">
        <f t="shared" si="84"/>
        <v>0</v>
      </c>
      <c r="P790" s="119">
        <f t="shared" si="85"/>
        <v>1</v>
      </c>
      <c r="Q790" s="119">
        <f t="shared" si="86"/>
        <v>1</v>
      </c>
    </row>
    <row r="791" spans="2:17">
      <c r="B791" s="116"/>
      <c r="C791" s="116"/>
      <c r="D791" s="116"/>
      <c r="E791" s="116" cm="1">
        <f t="array" ref="E791">IF(H790&lt;&gt;"",E790,IF(E790="","",IFERROR(MATCH(TRUE(),INDEX(INDEX(K:K,E790+1):K203&lt;&gt;"",0),0)+E790,"")))</f>
        <v>933</v>
      </c>
      <c r="F791" s="117" cm="1">
        <f t="array" ref="F791">IF(E791="","",IF(H790&lt;&gt;"",H790,INDEX(D:D,E791)))</f>
        <v>0</v>
      </c>
      <c r="G791" s="117" t="str">
        <f t="shared" si="81"/>
        <v>0</v>
      </c>
      <c r="H791" s="118" t="str">
        <f t="shared" si="82"/>
        <v/>
      </c>
      <c r="I791" s="116" t="str">
        <f>IF(AND(F791&lt;&gt;"",N10&gt;0,M791&gt;N10),"Mot &gt; limite","")</f>
        <v/>
      </c>
      <c r="M791" s="70">
        <f>IF(OR(F791="",N10="",N10&lt;=0),"",IF(LEN(F791)&lt;=N10,LEN(F791),IFERROR(FIND("♦",SUBSTITUTE(LEFT(F791,N10)," ","♦",LEN(LEFT(F791,N10))-LEN(SUBSTITUTE(LEFT(F791,N10)," ","")))),FIND(" ",F791&amp;" ",N10+1)-1)))</f>
        <v>1</v>
      </c>
      <c r="N791" s="119">
        <f t="shared" si="83"/>
        <v>774</v>
      </c>
      <c r="O791" s="99" t="str">
        <f t="shared" si="84"/>
        <v>0</v>
      </c>
      <c r="P791" s="119">
        <f t="shared" si="85"/>
        <v>1</v>
      </c>
      <c r="Q791" s="119">
        <f t="shared" si="86"/>
        <v>1</v>
      </c>
    </row>
    <row r="792" spans="2:17">
      <c r="B792" s="116"/>
      <c r="C792" s="116"/>
      <c r="D792" s="116"/>
      <c r="E792" s="116" cm="1">
        <f t="array" ref="E792">IF(H791&lt;&gt;"",E791,IF(E791="","",IFERROR(MATCH(TRUE(),INDEX(INDEX(K:K,E791+1):K203&lt;&gt;"",0),0)+E791,"")))</f>
        <v>934</v>
      </c>
      <c r="F792" s="117" cm="1">
        <f t="array" ref="F792">IF(E792="","",IF(H791&lt;&gt;"",H791,INDEX(D:D,E792)))</f>
        <v>0</v>
      </c>
      <c r="G792" s="117" t="str">
        <f t="shared" si="81"/>
        <v>0</v>
      </c>
      <c r="H792" s="118" t="str">
        <f t="shared" si="82"/>
        <v/>
      </c>
      <c r="I792" s="116" t="str">
        <f>IF(AND(F792&lt;&gt;"",N10&gt;0,M792&gt;N10),"Mot &gt; limite","")</f>
        <v/>
      </c>
      <c r="M792" s="70">
        <f>IF(OR(F792="",N10="",N10&lt;=0),"",IF(LEN(F792)&lt;=N10,LEN(F792),IFERROR(FIND("♦",SUBSTITUTE(LEFT(F792,N10)," ","♦",LEN(LEFT(F792,N10))-LEN(SUBSTITUTE(LEFT(F792,N10)," ","")))),FIND(" ",F792&amp;" ",N10+1)-1)))</f>
        <v>1</v>
      </c>
      <c r="N792" s="119">
        <f t="shared" si="83"/>
        <v>775</v>
      </c>
      <c r="O792" s="99" t="str">
        <f t="shared" si="84"/>
        <v>0</v>
      </c>
      <c r="P792" s="119">
        <f t="shared" si="85"/>
        <v>1</v>
      </c>
      <c r="Q792" s="119">
        <f t="shared" si="86"/>
        <v>1</v>
      </c>
    </row>
    <row r="793" spans="2:17">
      <c r="B793" s="116"/>
      <c r="C793" s="116"/>
      <c r="D793" s="116"/>
      <c r="E793" s="116" cm="1">
        <f t="array" ref="E793">IF(H792&lt;&gt;"",E792,IF(E792="","",IFERROR(MATCH(TRUE(),INDEX(INDEX(K:K,E792+1):K203&lt;&gt;"",0),0)+E792,"")))</f>
        <v>935</v>
      </c>
      <c r="F793" s="117" cm="1">
        <f t="array" ref="F793">IF(E793="","",IF(H792&lt;&gt;"",H792,INDEX(D:D,E793)))</f>
        <v>0</v>
      </c>
      <c r="G793" s="117" t="str">
        <f t="shared" si="81"/>
        <v>0</v>
      </c>
      <c r="H793" s="118" t="str">
        <f t="shared" si="82"/>
        <v/>
      </c>
      <c r="I793" s="116" t="str">
        <f>IF(AND(F793&lt;&gt;"",N10&gt;0,M793&gt;N10),"Mot &gt; limite","")</f>
        <v/>
      </c>
      <c r="M793" s="70">
        <f>IF(OR(F793="",N10="",N10&lt;=0),"",IF(LEN(F793)&lt;=N10,LEN(F793),IFERROR(FIND("♦",SUBSTITUTE(LEFT(F793,N10)," ","♦",LEN(LEFT(F793,N10))-LEN(SUBSTITUTE(LEFT(F793,N10)," ","")))),FIND(" ",F793&amp;" ",N10+1)-1)))</f>
        <v>1</v>
      </c>
      <c r="N793" s="119">
        <f t="shared" si="83"/>
        <v>776</v>
      </c>
      <c r="O793" s="99" t="str">
        <f t="shared" si="84"/>
        <v>0</v>
      </c>
      <c r="P793" s="119">
        <f t="shared" si="85"/>
        <v>1</v>
      </c>
      <c r="Q793" s="119">
        <f t="shared" si="86"/>
        <v>1</v>
      </c>
    </row>
    <row r="794" spans="2:17">
      <c r="B794" s="116"/>
      <c r="C794" s="116"/>
      <c r="D794" s="116"/>
      <c r="E794" s="116" cm="1">
        <f t="array" ref="E794">IF(H793&lt;&gt;"",E793,IF(E793="","",IFERROR(MATCH(TRUE(),INDEX(INDEX(K:K,E793+1):K203&lt;&gt;"",0),0)+E793,"")))</f>
        <v>936</v>
      </c>
      <c r="F794" s="117" cm="1">
        <f t="array" ref="F794">IF(E794="","",IF(H793&lt;&gt;"",H793,INDEX(D:D,E794)))</f>
        <v>0</v>
      </c>
      <c r="G794" s="117" t="str">
        <f t="shared" si="81"/>
        <v>0</v>
      </c>
      <c r="H794" s="118" t="str">
        <f t="shared" si="82"/>
        <v/>
      </c>
      <c r="I794" s="116" t="str">
        <f>IF(AND(F794&lt;&gt;"",N10&gt;0,M794&gt;N10),"Mot &gt; limite","")</f>
        <v/>
      </c>
      <c r="M794" s="70">
        <f>IF(OR(F794="",N10="",N10&lt;=0),"",IF(LEN(F794)&lt;=N10,LEN(F794),IFERROR(FIND("♦",SUBSTITUTE(LEFT(F794,N10)," ","♦",LEN(LEFT(F794,N10))-LEN(SUBSTITUTE(LEFT(F794,N10)," ","")))),FIND(" ",F794&amp;" ",N10+1)-1)))</f>
        <v>1</v>
      </c>
      <c r="N794" s="119">
        <f t="shared" si="83"/>
        <v>777</v>
      </c>
      <c r="O794" s="99" t="str">
        <f t="shared" si="84"/>
        <v>0</v>
      </c>
      <c r="P794" s="119">
        <f t="shared" si="85"/>
        <v>1</v>
      </c>
      <c r="Q794" s="119">
        <f t="shared" si="86"/>
        <v>1</v>
      </c>
    </row>
    <row r="795" spans="2:17">
      <c r="B795" s="116"/>
      <c r="C795" s="116"/>
      <c r="D795" s="116"/>
      <c r="E795" s="116" cm="1">
        <f t="array" ref="E795">IF(H794&lt;&gt;"",E794,IF(E794="","",IFERROR(MATCH(TRUE(),INDEX(INDEX(K:K,E794+1):K203&lt;&gt;"",0),0)+E794,"")))</f>
        <v>937</v>
      </c>
      <c r="F795" s="117" cm="1">
        <f t="array" ref="F795">IF(E795="","",IF(H794&lt;&gt;"",H794,INDEX(D:D,E795)))</f>
        <v>0</v>
      </c>
      <c r="G795" s="117" t="str">
        <f t="shared" si="81"/>
        <v>0</v>
      </c>
      <c r="H795" s="118" t="str">
        <f t="shared" si="82"/>
        <v/>
      </c>
      <c r="I795" s="116" t="str">
        <f>IF(AND(F795&lt;&gt;"",N10&gt;0,M795&gt;N10),"Mot &gt; limite","")</f>
        <v/>
      </c>
      <c r="M795" s="70">
        <f>IF(OR(F795="",N10="",N10&lt;=0),"",IF(LEN(F795)&lt;=N10,LEN(F795),IFERROR(FIND("♦",SUBSTITUTE(LEFT(F795,N10)," ","♦",LEN(LEFT(F795,N10))-LEN(SUBSTITUTE(LEFT(F795,N10)," ","")))),FIND(" ",F795&amp;" ",N10+1)-1)))</f>
        <v>1</v>
      </c>
      <c r="N795" s="119">
        <f t="shared" si="83"/>
        <v>778</v>
      </c>
      <c r="O795" s="99" t="str">
        <f t="shared" si="84"/>
        <v>0</v>
      </c>
      <c r="P795" s="119">
        <f t="shared" si="85"/>
        <v>1</v>
      </c>
      <c r="Q795" s="119">
        <f t="shared" si="86"/>
        <v>1</v>
      </c>
    </row>
    <row r="796" spans="2:17">
      <c r="B796" s="116"/>
      <c r="C796" s="116"/>
      <c r="D796" s="116"/>
      <c r="E796" s="116" cm="1">
        <f t="array" ref="E796">IF(H795&lt;&gt;"",E795,IF(E795="","",IFERROR(MATCH(TRUE(),INDEX(INDEX(K:K,E795+1):K203&lt;&gt;"",0),0)+E795,"")))</f>
        <v>938</v>
      </c>
      <c r="F796" s="117" cm="1">
        <f t="array" ref="F796">IF(E796="","",IF(H795&lt;&gt;"",H795,INDEX(D:D,E796)))</f>
        <v>0</v>
      </c>
      <c r="G796" s="117" t="str">
        <f t="shared" si="81"/>
        <v>0</v>
      </c>
      <c r="H796" s="118" t="str">
        <f t="shared" si="82"/>
        <v/>
      </c>
      <c r="I796" s="116" t="str">
        <f>IF(AND(F796&lt;&gt;"",N10&gt;0,M796&gt;N10),"Mot &gt; limite","")</f>
        <v/>
      </c>
      <c r="M796" s="70">
        <f>IF(OR(F796="",N10="",N10&lt;=0),"",IF(LEN(F796)&lt;=N10,LEN(F796),IFERROR(FIND("♦",SUBSTITUTE(LEFT(F796,N10)," ","♦",LEN(LEFT(F796,N10))-LEN(SUBSTITUTE(LEFT(F796,N10)," ","")))),FIND(" ",F796&amp;" ",N10+1)-1)))</f>
        <v>1</v>
      </c>
      <c r="N796" s="119">
        <f t="shared" si="83"/>
        <v>779</v>
      </c>
      <c r="O796" s="99" t="str">
        <f t="shared" si="84"/>
        <v>0</v>
      </c>
      <c r="P796" s="119">
        <f t="shared" si="85"/>
        <v>1</v>
      </c>
      <c r="Q796" s="119">
        <f t="shared" si="86"/>
        <v>1</v>
      </c>
    </row>
    <row r="797" spans="2:17">
      <c r="B797" s="116"/>
      <c r="C797" s="116"/>
      <c r="D797" s="116"/>
      <c r="E797" s="116" cm="1">
        <f t="array" ref="E797">IF(H796&lt;&gt;"",E796,IF(E796="","",IFERROR(MATCH(TRUE(),INDEX(INDEX(K:K,E796+1):K203&lt;&gt;"",0),0)+E796,"")))</f>
        <v>939</v>
      </c>
      <c r="F797" s="117" cm="1">
        <f t="array" ref="F797">IF(E797="","",IF(H796&lt;&gt;"",H796,INDEX(D:D,E797)))</f>
        <v>0</v>
      </c>
      <c r="G797" s="117" t="str">
        <f t="shared" si="81"/>
        <v>0</v>
      </c>
      <c r="H797" s="118" t="str">
        <f t="shared" si="82"/>
        <v/>
      </c>
      <c r="I797" s="116" t="str">
        <f>IF(AND(F797&lt;&gt;"",N10&gt;0,M797&gt;N10),"Mot &gt; limite","")</f>
        <v/>
      </c>
      <c r="M797" s="70">
        <f>IF(OR(F797="",N10="",N10&lt;=0),"",IF(LEN(F797)&lt;=N10,LEN(F797),IFERROR(FIND("♦",SUBSTITUTE(LEFT(F797,N10)," ","♦",LEN(LEFT(F797,N10))-LEN(SUBSTITUTE(LEFT(F797,N10)," ","")))),FIND(" ",F797&amp;" ",N10+1)-1)))</f>
        <v>1</v>
      </c>
      <c r="N797" s="119">
        <f t="shared" si="83"/>
        <v>780</v>
      </c>
      <c r="O797" s="99" t="str">
        <f t="shared" si="84"/>
        <v>0</v>
      </c>
      <c r="P797" s="119">
        <f t="shared" si="85"/>
        <v>1</v>
      </c>
      <c r="Q797" s="119">
        <f t="shared" si="86"/>
        <v>1</v>
      </c>
    </row>
    <row r="798" spans="2:17">
      <c r="B798" s="116"/>
      <c r="C798" s="116"/>
      <c r="D798" s="116"/>
      <c r="E798" s="116" cm="1">
        <f t="array" ref="E798">IF(H797&lt;&gt;"",E797,IF(E797="","",IFERROR(MATCH(TRUE(),INDEX(INDEX(K:K,E797+1):K203&lt;&gt;"",0),0)+E797,"")))</f>
        <v>940</v>
      </c>
      <c r="F798" s="117" cm="1">
        <f t="array" ref="F798">IF(E798="","",IF(H797&lt;&gt;"",H797,INDEX(D:D,E798)))</f>
        <v>0</v>
      </c>
      <c r="G798" s="117" t="str">
        <f t="shared" si="81"/>
        <v>0</v>
      </c>
      <c r="H798" s="118" t="str">
        <f t="shared" si="82"/>
        <v/>
      </c>
      <c r="I798" s="116" t="str">
        <f>IF(AND(F798&lt;&gt;"",N10&gt;0,M798&gt;N10),"Mot &gt; limite","")</f>
        <v/>
      </c>
      <c r="M798" s="70">
        <f>IF(OR(F798="",N10="",N10&lt;=0),"",IF(LEN(F798)&lt;=N10,LEN(F798),IFERROR(FIND("♦",SUBSTITUTE(LEFT(F798,N10)," ","♦",LEN(LEFT(F798,N10))-LEN(SUBSTITUTE(LEFT(F798,N10)," ","")))),FIND(" ",F798&amp;" ",N10+1)-1)))</f>
        <v>1</v>
      </c>
      <c r="N798" s="119">
        <f t="shared" si="83"/>
        <v>781</v>
      </c>
      <c r="O798" s="99" t="str">
        <f t="shared" si="84"/>
        <v>0</v>
      </c>
      <c r="P798" s="119">
        <f t="shared" si="85"/>
        <v>1</v>
      </c>
      <c r="Q798" s="119">
        <f t="shared" si="86"/>
        <v>1</v>
      </c>
    </row>
    <row r="799" spans="2:17">
      <c r="B799" s="116"/>
      <c r="C799" s="116"/>
      <c r="D799" s="116"/>
      <c r="E799" s="116" cm="1">
        <f t="array" ref="E799">IF(H798&lt;&gt;"",E798,IF(E798="","",IFERROR(MATCH(TRUE(),INDEX(INDEX(K:K,E798+1):K203&lt;&gt;"",0),0)+E798,"")))</f>
        <v>941</v>
      </c>
      <c r="F799" s="117" cm="1">
        <f t="array" ref="F799">IF(E799="","",IF(H798&lt;&gt;"",H798,INDEX(D:D,E799)))</f>
        <v>0</v>
      </c>
      <c r="G799" s="117" t="str">
        <f t="shared" si="81"/>
        <v>0</v>
      </c>
      <c r="H799" s="118" t="str">
        <f t="shared" si="82"/>
        <v/>
      </c>
      <c r="I799" s="116" t="str">
        <f>IF(AND(F799&lt;&gt;"",N10&gt;0,M799&gt;N10),"Mot &gt; limite","")</f>
        <v/>
      </c>
      <c r="M799" s="70">
        <f>IF(OR(F799="",N10="",N10&lt;=0),"",IF(LEN(F799)&lt;=N10,LEN(F799),IFERROR(FIND("♦",SUBSTITUTE(LEFT(F799,N10)," ","♦",LEN(LEFT(F799,N10))-LEN(SUBSTITUTE(LEFT(F799,N10)," ","")))),FIND(" ",F799&amp;" ",N10+1)-1)))</f>
        <v>1</v>
      </c>
      <c r="N799" s="119">
        <f t="shared" si="83"/>
        <v>782</v>
      </c>
      <c r="O799" s="99" t="str">
        <f t="shared" si="84"/>
        <v>0</v>
      </c>
      <c r="P799" s="119">
        <f t="shared" si="85"/>
        <v>1</v>
      </c>
      <c r="Q799" s="119">
        <f t="shared" si="86"/>
        <v>1</v>
      </c>
    </row>
    <row r="800" spans="2:17">
      <c r="B800" s="116"/>
      <c r="C800" s="116"/>
      <c r="D800" s="116"/>
      <c r="E800" s="116" cm="1">
        <f t="array" ref="E800">IF(H799&lt;&gt;"",E799,IF(E799="","",IFERROR(MATCH(TRUE(),INDEX(INDEX(K:K,E799+1):K203&lt;&gt;"",0),0)+E799,"")))</f>
        <v>942</v>
      </c>
      <c r="F800" s="117" cm="1">
        <f t="array" ref="F800">IF(E800="","",IF(H799&lt;&gt;"",H799,INDEX(D:D,E800)))</f>
        <v>0</v>
      </c>
      <c r="G800" s="117" t="str">
        <f t="shared" si="81"/>
        <v>0</v>
      </c>
      <c r="H800" s="118" t="str">
        <f t="shared" si="82"/>
        <v/>
      </c>
      <c r="I800" s="116" t="str">
        <f>IF(AND(F800&lt;&gt;"",N10&gt;0,M800&gt;N10),"Mot &gt; limite","")</f>
        <v/>
      </c>
      <c r="M800" s="70">
        <f>IF(OR(F800="",N10="",N10&lt;=0),"",IF(LEN(F800)&lt;=N10,LEN(F800),IFERROR(FIND("♦",SUBSTITUTE(LEFT(F800,N10)," ","♦",LEN(LEFT(F800,N10))-LEN(SUBSTITUTE(LEFT(F800,N10)," ","")))),FIND(" ",F800&amp;" ",N10+1)-1)))</f>
        <v>1</v>
      </c>
      <c r="N800" s="119">
        <f t="shared" si="83"/>
        <v>783</v>
      </c>
      <c r="O800" s="99" t="str">
        <f t="shared" si="84"/>
        <v>0</v>
      </c>
      <c r="P800" s="119">
        <f t="shared" si="85"/>
        <v>1</v>
      </c>
      <c r="Q800" s="119">
        <f t="shared" si="86"/>
        <v>1</v>
      </c>
    </row>
    <row r="801" spans="2:17">
      <c r="B801" s="116"/>
      <c r="C801" s="116"/>
      <c r="D801" s="116"/>
      <c r="E801" s="116" cm="1">
        <f t="array" ref="E801">IF(H800&lt;&gt;"",E800,IF(E800="","",IFERROR(MATCH(TRUE(),INDEX(INDEX(K:K,E800+1):K203&lt;&gt;"",0),0)+E800,"")))</f>
        <v>943</v>
      </c>
      <c r="F801" s="117" cm="1">
        <f t="array" ref="F801">IF(E801="","",IF(H800&lt;&gt;"",H800,INDEX(D:D,E801)))</f>
        <v>0</v>
      </c>
      <c r="G801" s="117" t="str">
        <f t="shared" si="81"/>
        <v>0</v>
      </c>
      <c r="H801" s="118" t="str">
        <f t="shared" si="82"/>
        <v/>
      </c>
      <c r="I801" s="116" t="str">
        <f>IF(AND(F801&lt;&gt;"",N10&gt;0,M801&gt;N10),"Mot &gt; limite","")</f>
        <v/>
      </c>
      <c r="M801" s="70">
        <f>IF(OR(F801="",N10="",N10&lt;=0),"",IF(LEN(F801)&lt;=N10,LEN(F801),IFERROR(FIND("♦",SUBSTITUTE(LEFT(F801,N10)," ","♦",LEN(LEFT(F801,N10))-LEN(SUBSTITUTE(LEFT(F801,N10)," ","")))),FIND(" ",F801&amp;" ",N10+1)-1)))</f>
        <v>1</v>
      </c>
      <c r="N801" s="119">
        <f t="shared" si="83"/>
        <v>784</v>
      </c>
      <c r="O801" s="99" t="str">
        <f t="shared" si="84"/>
        <v>0</v>
      </c>
      <c r="P801" s="119">
        <f t="shared" si="85"/>
        <v>1</v>
      </c>
      <c r="Q801" s="119">
        <f t="shared" si="86"/>
        <v>1</v>
      </c>
    </row>
    <row r="802" spans="2:17">
      <c r="B802" s="116"/>
      <c r="C802" s="116"/>
      <c r="D802" s="116"/>
      <c r="E802" s="116" cm="1">
        <f t="array" ref="E802">IF(H801&lt;&gt;"",E801,IF(E801="","",IFERROR(MATCH(TRUE(),INDEX(INDEX(K:K,E801+1):K203&lt;&gt;"",0),0)+E801,"")))</f>
        <v>944</v>
      </c>
      <c r="F802" s="117" cm="1">
        <f t="array" ref="F802">IF(E802="","",IF(H801&lt;&gt;"",H801,INDEX(D:D,E802)))</f>
        <v>0</v>
      </c>
      <c r="G802" s="117" t="str">
        <f t="shared" si="81"/>
        <v>0</v>
      </c>
      <c r="H802" s="118" t="str">
        <f t="shared" si="82"/>
        <v/>
      </c>
      <c r="I802" s="116" t="str">
        <f>IF(AND(F802&lt;&gt;"",N10&gt;0,M802&gt;N10),"Mot &gt; limite","")</f>
        <v/>
      </c>
      <c r="M802" s="70">
        <f>IF(OR(F802="",N10="",N10&lt;=0),"",IF(LEN(F802)&lt;=N10,LEN(F802),IFERROR(FIND("♦",SUBSTITUTE(LEFT(F802,N10)," ","♦",LEN(LEFT(F802,N10))-LEN(SUBSTITUTE(LEFT(F802,N10)," ","")))),FIND(" ",F802&amp;" ",N10+1)-1)))</f>
        <v>1</v>
      </c>
      <c r="N802" s="119">
        <f t="shared" si="83"/>
        <v>785</v>
      </c>
      <c r="O802" s="99" t="str">
        <f t="shared" si="84"/>
        <v>0</v>
      </c>
      <c r="P802" s="119">
        <f t="shared" si="85"/>
        <v>1</v>
      </c>
      <c r="Q802" s="119">
        <f t="shared" si="86"/>
        <v>1</v>
      </c>
    </row>
    <row r="803" spans="2:17">
      <c r="B803" s="116"/>
      <c r="C803" s="116"/>
      <c r="D803" s="116"/>
      <c r="E803" s="116" cm="1">
        <f t="array" ref="E803">IF(H802&lt;&gt;"",E802,IF(E802="","",IFERROR(MATCH(TRUE(),INDEX(INDEX(K:K,E802+1):K203&lt;&gt;"",0),0)+E802,"")))</f>
        <v>945</v>
      </c>
      <c r="F803" s="117" cm="1">
        <f t="array" ref="F803">IF(E803="","",IF(H802&lt;&gt;"",H802,INDEX(D:D,E803)))</f>
        <v>0</v>
      </c>
      <c r="G803" s="117" t="str">
        <f t="shared" si="81"/>
        <v>0</v>
      </c>
      <c r="H803" s="118" t="str">
        <f t="shared" si="82"/>
        <v/>
      </c>
      <c r="I803" s="116" t="str">
        <f>IF(AND(F803&lt;&gt;"",N10&gt;0,M803&gt;N10),"Mot &gt; limite","")</f>
        <v/>
      </c>
      <c r="M803" s="70">
        <f>IF(OR(F803="",N10="",N10&lt;=0),"",IF(LEN(F803)&lt;=N10,LEN(F803),IFERROR(FIND("♦",SUBSTITUTE(LEFT(F803,N10)," ","♦",LEN(LEFT(F803,N10))-LEN(SUBSTITUTE(LEFT(F803,N10)," ","")))),FIND(" ",F803&amp;" ",N10+1)-1)))</f>
        <v>1</v>
      </c>
      <c r="N803" s="119">
        <f t="shared" si="83"/>
        <v>786</v>
      </c>
      <c r="O803" s="99" t="str">
        <f t="shared" si="84"/>
        <v>0</v>
      </c>
      <c r="P803" s="119">
        <f t="shared" si="85"/>
        <v>1</v>
      </c>
      <c r="Q803" s="119">
        <f t="shared" si="86"/>
        <v>1</v>
      </c>
    </row>
    <row r="804" spans="2:17">
      <c r="B804" s="116"/>
      <c r="C804" s="116"/>
      <c r="D804" s="116"/>
      <c r="E804" s="116" cm="1">
        <f t="array" ref="E804">IF(H803&lt;&gt;"",E803,IF(E803="","",IFERROR(MATCH(TRUE(),INDEX(INDEX(K:K,E803+1):K203&lt;&gt;"",0),0)+E803,"")))</f>
        <v>946</v>
      </c>
      <c r="F804" s="117" cm="1">
        <f t="array" ref="F804">IF(E804="","",IF(H803&lt;&gt;"",H803,INDEX(D:D,E804)))</f>
        <v>0</v>
      </c>
      <c r="G804" s="117" t="str">
        <f t="shared" si="81"/>
        <v>0</v>
      </c>
      <c r="H804" s="118" t="str">
        <f t="shared" si="82"/>
        <v/>
      </c>
      <c r="I804" s="116" t="str">
        <f>IF(AND(F804&lt;&gt;"",N10&gt;0,M804&gt;N10),"Mot &gt; limite","")</f>
        <v/>
      </c>
      <c r="M804" s="70">
        <f>IF(OR(F804="",N10="",N10&lt;=0),"",IF(LEN(F804)&lt;=N10,LEN(F804),IFERROR(FIND("♦",SUBSTITUTE(LEFT(F804,N10)," ","♦",LEN(LEFT(F804,N10))-LEN(SUBSTITUTE(LEFT(F804,N10)," ","")))),FIND(" ",F804&amp;" ",N10+1)-1)))</f>
        <v>1</v>
      </c>
      <c r="N804" s="119">
        <f t="shared" si="83"/>
        <v>787</v>
      </c>
      <c r="O804" s="99" t="str">
        <f t="shared" si="84"/>
        <v>0</v>
      </c>
      <c r="P804" s="119">
        <f t="shared" si="85"/>
        <v>1</v>
      </c>
      <c r="Q804" s="119">
        <f t="shared" si="86"/>
        <v>1</v>
      </c>
    </row>
    <row r="805" spans="2:17">
      <c r="B805" s="116"/>
      <c r="C805" s="116"/>
      <c r="D805" s="116"/>
      <c r="E805" s="116" cm="1">
        <f t="array" ref="E805">IF(H804&lt;&gt;"",E804,IF(E804="","",IFERROR(MATCH(TRUE(),INDEX(INDEX(K:K,E804+1):K203&lt;&gt;"",0),0)+E804,"")))</f>
        <v>947</v>
      </c>
      <c r="F805" s="117" cm="1">
        <f t="array" ref="F805">IF(E805="","",IF(H804&lt;&gt;"",H804,INDEX(D:D,E805)))</f>
        <v>0</v>
      </c>
      <c r="G805" s="117" t="str">
        <f t="shared" si="81"/>
        <v>0</v>
      </c>
      <c r="H805" s="118" t="str">
        <f t="shared" si="82"/>
        <v/>
      </c>
      <c r="I805" s="116" t="str">
        <f>IF(AND(F805&lt;&gt;"",N10&gt;0,M805&gt;N10),"Mot &gt; limite","")</f>
        <v/>
      </c>
      <c r="M805" s="70">
        <f>IF(OR(F805="",N10="",N10&lt;=0),"",IF(LEN(F805)&lt;=N10,LEN(F805),IFERROR(FIND("♦",SUBSTITUTE(LEFT(F805,N10)," ","♦",LEN(LEFT(F805,N10))-LEN(SUBSTITUTE(LEFT(F805,N10)," ","")))),FIND(" ",F805&amp;" ",N10+1)-1)))</f>
        <v>1</v>
      </c>
      <c r="N805" s="119">
        <f t="shared" si="83"/>
        <v>788</v>
      </c>
      <c r="O805" s="99" t="str">
        <f t="shared" si="84"/>
        <v>0</v>
      </c>
      <c r="P805" s="119">
        <f t="shared" si="85"/>
        <v>1</v>
      </c>
      <c r="Q805" s="119">
        <f t="shared" si="86"/>
        <v>1</v>
      </c>
    </row>
    <row r="806" spans="2:17">
      <c r="B806" s="116"/>
      <c r="C806" s="116"/>
      <c r="D806" s="116"/>
      <c r="E806" s="116" cm="1">
        <f t="array" ref="E806">IF(H805&lt;&gt;"",E805,IF(E805="","",IFERROR(MATCH(TRUE(),INDEX(INDEX(K:K,E805+1):K203&lt;&gt;"",0),0)+E805,"")))</f>
        <v>948</v>
      </c>
      <c r="F806" s="117" cm="1">
        <f t="array" ref="F806">IF(E806="","",IF(H805&lt;&gt;"",H805,INDEX(D:D,E806)))</f>
        <v>0</v>
      </c>
      <c r="G806" s="117" t="str">
        <f t="shared" si="81"/>
        <v>0</v>
      </c>
      <c r="H806" s="118" t="str">
        <f t="shared" si="82"/>
        <v/>
      </c>
      <c r="I806" s="116" t="str">
        <f>IF(AND(F806&lt;&gt;"",N10&gt;0,M806&gt;N10),"Mot &gt; limite","")</f>
        <v/>
      </c>
      <c r="M806" s="70">
        <f>IF(OR(F806="",N10="",N10&lt;=0),"",IF(LEN(F806)&lt;=N10,LEN(F806),IFERROR(FIND("♦",SUBSTITUTE(LEFT(F806,N10)," ","♦",LEN(LEFT(F806,N10))-LEN(SUBSTITUTE(LEFT(F806,N10)," ","")))),FIND(" ",F806&amp;" ",N10+1)-1)))</f>
        <v>1</v>
      </c>
      <c r="N806" s="119">
        <f t="shared" si="83"/>
        <v>789</v>
      </c>
      <c r="O806" s="99" t="str">
        <f t="shared" si="84"/>
        <v>0</v>
      </c>
      <c r="P806" s="119">
        <f t="shared" si="85"/>
        <v>1</v>
      </c>
      <c r="Q806" s="119">
        <f t="shared" si="86"/>
        <v>1</v>
      </c>
    </row>
    <row r="807" spans="2:17">
      <c r="B807" s="116"/>
      <c r="C807" s="116"/>
      <c r="D807" s="116"/>
      <c r="E807" s="116" cm="1">
        <f t="array" ref="E807">IF(H806&lt;&gt;"",E806,IF(E806="","",IFERROR(MATCH(TRUE(),INDEX(INDEX(K:K,E806+1):K203&lt;&gt;"",0),0)+E806,"")))</f>
        <v>949</v>
      </c>
      <c r="F807" s="117" cm="1">
        <f t="array" ref="F807">IF(E807="","",IF(H806&lt;&gt;"",H806,INDEX(D:D,E807)))</f>
        <v>0</v>
      </c>
      <c r="G807" s="117" t="str">
        <f t="shared" si="81"/>
        <v>0</v>
      </c>
      <c r="H807" s="118" t="str">
        <f t="shared" si="82"/>
        <v/>
      </c>
      <c r="I807" s="116" t="str">
        <f>IF(AND(F807&lt;&gt;"",N10&gt;0,M807&gt;N10),"Mot &gt; limite","")</f>
        <v/>
      </c>
      <c r="M807" s="70">
        <f>IF(OR(F807="",N10="",N10&lt;=0),"",IF(LEN(F807)&lt;=N10,LEN(F807),IFERROR(FIND("♦",SUBSTITUTE(LEFT(F807,N10)," ","♦",LEN(LEFT(F807,N10))-LEN(SUBSTITUTE(LEFT(F807,N10)," ","")))),FIND(" ",F807&amp;" ",N10+1)-1)))</f>
        <v>1</v>
      </c>
      <c r="N807" s="119">
        <f t="shared" si="83"/>
        <v>790</v>
      </c>
      <c r="O807" s="99" t="str">
        <f t="shared" si="84"/>
        <v>0</v>
      </c>
      <c r="P807" s="119">
        <f t="shared" si="85"/>
        <v>1</v>
      </c>
      <c r="Q807" s="119">
        <f t="shared" si="86"/>
        <v>1</v>
      </c>
    </row>
    <row r="808" spans="2:17">
      <c r="B808" s="116"/>
      <c r="C808" s="116"/>
      <c r="D808" s="116"/>
      <c r="E808" s="116" cm="1">
        <f t="array" ref="E808">IF(H807&lt;&gt;"",E807,IF(E807="","",IFERROR(MATCH(TRUE(),INDEX(INDEX(K:K,E807+1):K203&lt;&gt;"",0),0)+E807,"")))</f>
        <v>950</v>
      </c>
      <c r="F808" s="117" cm="1">
        <f t="array" ref="F808">IF(E808="","",IF(H807&lt;&gt;"",H807,INDEX(D:D,E808)))</f>
        <v>0</v>
      </c>
      <c r="G808" s="117" t="str">
        <f t="shared" si="81"/>
        <v>0</v>
      </c>
      <c r="H808" s="118" t="str">
        <f t="shared" si="82"/>
        <v/>
      </c>
      <c r="I808" s="116" t="str">
        <f>IF(AND(F808&lt;&gt;"",N10&gt;0,M808&gt;N10),"Mot &gt; limite","")</f>
        <v/>
      </c>
      <c r="M808" s="70">
        <f>IF(OR(F808="",N10="",N10&lt;=0),"",IF(LEN(F808)&lt;=N10,LEN(F808),IFERROR(FIND("♦",SUBSTITUTE(LEFT(F808,N10)," ","♦",LEN(LEFT(F808,N10))-LEN(SUBSTITUTE(LEFT(F808,N10)," ","")))),FIND(" ",F808&amp;" ",N10+1)-1)))</f>
        <v>1</v>
      </c>
      <c r="N808" s="119">
        <f t="shared" si="83"/>
        <v>791</v>
      </c>
      <c r="O808" s="99" t="str">
        <f t="shared" si="84"/>
        <v>0</v>
      </c>
      <c r="P808" s="119">
        <f t="shared" si="85"/>
        <v>1</v>
      </c>
      <c r="Q808" s="119">
        <f t="shared" si="86"/>
        <v>1</v>
      </c>
    </row>
    <row r="809" spans="2:17">
      <c r="B809" s="116"/>
      <c r="C809" s="116"/>
      <c r="D809" s="116"/>
      <c r="E809" s="116" cm="1">
        <f t="array" ref="E809">IF(H808&lt;&gt;"",E808,IF(E808="","",IFERROR(MATCH(TRUE(),INDEX(INDEX(K:K,E808+1):K203&lt;&gt;"",0),0)+E808,"")))</f>
        <v>951</v>
      </c>
      <c r="F809" s="117" cm="1">
        <f t="array" ref="F809">IF(E809="","",IF(H808&lt;&gt;"",H808,INDEX(D:D,E809)))</f>
        <v>0</v>
      </c>
      <c r="G809" s="117" t="str">
        <f t="shared" si="81"/>
        <v>0</v>
      </c>
      <c r="H809" s="118" t="str">
        <f t="shared" si="82"/>
        <v/>
      </c>
      <c r="I809" s="116" t="str">
        <f>IF(AND(F809&lt;&gt;"",N10&gt;0,M809&gt;N10),"Mot &gt; limite","")</f>
        <v/>
      </c>
      <c r="M809" s="70">
        <f>IF(OR(F809="",N10="",N10&lt;=0),"",IF(LEN(F809)&lt;=N10,LEN(F809),IFERROR(FIND("♦",SUBSTITUTE(LEFT(F809,N10)," ","♦",LEN(LEFT(F809,N10))-LEN(SUBSTITUTE(LEFT(F809,N10)," ","")))),FIND(" ",F809&amp;" ",N10+1)-1)))</f>
        <v>1</v>
      </c>
      <c r="N809" s="119">
        <f t="shared" si="83"/>
        <v>792</v>
      </c>
      <c r="O809" s="99" t="str">
        <f t="shared" si="84"/>
        <v>0</v>
      </c>
      <c r="P809" s="119">
        <f t="shared" si="85"/>
        <v>1</v>
      </c>
      <c r="Q809" s="119">
        <f t="shared" si="86"/>
        <v>1</v>
      </c>
    </row>
    <row r="810" spans="2:17">
      <c r="B810" s="116"/>
      <c r="C810" s="116"/>
      <c r="D810" s="116"/>
      <c r="E810" s="116" cm="1">
        <f t="array" ref="E810">IF(H809&lt;&gt;"",E809,IF(E809="","",IFERROR(MATCH(TRUE(),INDEX(INDEX(K:K,E809+1):K203&lt;&gt;"",0),0)+E809,"")))</f>
        <v>952</v>
      </c>
      <c r="F810" s="117" cm="1">
        <f t="array" ref="F810">IF(E810="","",IF(H809&lt;&gt;"",H809,INDEX(D:D,E810)))</f>
        <v>0</v>
      </c>
      <c r="G810" s="117" t="str">
        <f t="shared" si="81"/>
        <v>0</v>
      </c>
      <c r="H810" s="118" t="str">
        <f t="shared" si="82"/>
        <v/>
      </c>
      <c r="I810" s="116" t="str">
        <f>IF(AND(F810&lt;&gt;"",N10&gt;0,M810&gt;N10),"Mot &gt; limite","")</f>
        <v/>
      </c>
      <c r="M810" s="70">
        <f>IF(OR(F810="",N10="",N10&lt;=0),"",IF(LEN(F810)&lt;=N10,LEN(F810),IFERROR(FIND("♦",SUBSTITUTE(LEFT(F810,N10)," ","♦",LEN(LEFT(F810,N10))-LEN(SUBSTITUTE(LEFT(F810,N10)," ","")))),FIND(" ",F810&amp;" ",N10+1)-1)))</f>
        <v>1</v>
      </c>
      <c r="N810" s="119">
        <f t="shared" si="83"/>
        <v>793</v>
      </c>
      <c r="O810" s="99" t="str">
        <f t="shared" si="84"/>
        <v>0</v>
      </c>
      <c r="P810" s="119">
        <f t="shared" si="85"/>
        <v>1</v>
      </c>
      <c r="Q810" s="119">
        <f t="shared" si="86"/>
        <v>1</v>
      </c>
    </row>
    <row r="811" spans="2:17">
      <c r="B811" s="116"/>
      <c r="C811" s="116"/>
      <c r="D811" s="116"/>
      <c r="E811" s="116" cm="1">
        <f t="array" ref="E811">IF(H810&lt;&gt;"",E810,IF(E810="","",IFERROR(MATCH(TRUE(),INDEX(INDEX(K:K,E810+1):K203&lt;&gt;"",0),0)+E810,"")))</f>
        <v>953</v>
      </c>
      <c r="F811" s="117" cm="1">
        <f t="array" ref="F811">IF(E811="","",IF(H810&lt;&gt;"",H810,INDEX(D:D,E811)))</f>
        <v>0</v>
      </c>
      <c r="G811" s="117" t="str">
        <f t="shared" si="81"/>
        <v>0</v>
      </c>
      <c r="H811" s="118" t="str">
        <f t="shared" si="82"/>
        <v/>
      </c>
      <c r="I811" s="116" t="str">
        <f>IF(AND(F811&lt;&gt;"",N10&gt;0,M811&gt;N10),"Mot &gt; limite","")</f>
        <v/>
      </c>
      <c r="M811" s="70">
        <f>IF(OR(F811="",N10="",N10&lt;=0),"",IF(LEN(F811)&lt;=N10,LEN(F811),IFERROR(FIND("♦",SUBSTITUTE(LEFT(F811,N10)," ","♦",LEN(LEFT(F811,N10))-LEN(SUBSTITUTE(LEFT(F811,N10)," ","")))),FIND(" ",F811&amp;" ",N10+1)-1)))</f>
        <v>1</v>
      </c>
      <c r="N811" s="119">
        <f t="shared" si="83"/>
        <v>794</v>
      </c>
      <c r="O811" s="99" t="str">
        <f t="shared" si="84"/>
        <v>0</v>
      </c>
      <c r="P811" s="119">
        <f t="shared" si="85"/>
        <v>1</v>
      </c>
      <c r="Q811" s="119">
        <f t="shared" si="86"/>
        <v>1</v>
      </c>
    </row>
    <row r="812" spans="2:17">
      <c r="B812" s="116"/>
      <c r="C812" s="116"/>
      <c r="D812" s="116"/>
      <c r="E812" s="116" cm="1">
        <f t="array" ref="E812">IF(H811&lt;&gt;"",E811,IF(E811="","",IFERROR(MATCH(TRUE(),INDEX(INDEX(K:K,E811+1):K203&lt;&gt;"",0),0)+E811,"")))</f>
        <v>954</v>
      </c>
      <c r="F812" s="117" cm="1">
        <f t="array" ref="F812">IF(E812="","",IF(H811&lt;&gt;"",H811,INDEX(D:D,E812)))</f>
        <v>0</v>
      </c>
      <c r="G812" s="117" t="str">
        <f t="shared" si="81"/>
        <v>0</v>
      </c>
      <c r="H812" s="118" t="str">
        <f t="shared" si="82"/>
        <v/>
      </c>
      <c r="I812" s="116" t="str">
        <f>IF(AND(F812&lt;&gt;"",N10&gt;0,M812&gt;N10),"Mot &gt; limite","")</f>
        <v/>
      </c>
      <c r="M812" s="70">
        <f>IF(OR(F812="",N10="",N10&lt;=0),"",IF(LEN(F812)&lt;=N10,LEN(F812),IFERROR(FIND("♦",SUBSTITUTE(LEFT(F812,N10)," ","♦",LEN(LEFT(F812,N10))-LEN(SUBSTITUTE(LEFT(F812,N10)," ","")))),FIND(" ",F812&amp;" ",N10+1)-1)))</f>
        <v>1</v>
      </c>
      <c r="N812" s="119">
        <f t="shared" si="83"/>
        <v>795</v>
      </c>
      <c r="O812" s="99" t="str">
        <f t="shared" si="84"/>
        <v>0</v>
      </c>
      <c r="P812" s="119">
        <f t="shared" si="85"/>
        <v>1</v>
      </c>
      <c r="Q812" s="119">
        <f t="shared" si="86"/>
        <v>1</v>
      </c>
    </row>
    <row r="813" spans="2:17">
      <c r="B813" s="116"/>
      <c r="C813" s="116"/>
      <c r="D813" s="116"/>
      <c r="E813" s="116" cm="1">
        <f t="array" ref="E813">IF(H812&lt;&gt;"",E812,IF(E812="","",IFERROR(MATCH(TRUE(),INDEX(INDEX(K:K,E812+1):K203&lt;&gt;"",0),0)+E812,"")))</f>
        <v>955</v>
      </c>
      <c r="F813" s="117" cm="1">
        <f t="array" ref="F813">IF(E813="","",IF(H812&lt;&gt;"",H812,INDEX(D:D,E813)))</f>
        <v>0</v>
      </c>
      <c r="G813" s="117" t="str">
        <f t="shared" si="81"/>
        <v>0</v>
      </c>
      <c r="H813" s="118" t="str">
        <f t="shared" si="82"/>
        <v/>
      </c>
      <c r="I813" s="116" t="str">
        <f>IF(AND(F813&lt;&gt;"",N10&gt;0,M813&gt;N10),"Mot &gt; limite","")</f>
        <v/>
      </c>
      <c r="M813" s="70">
        <f>IF(OR(F813="",N10="",N10&lt;=0),"",IF(LEN(F813)&lt;=N10,LEN(F813),IFERROR(FIND("♦",SUBSTITUTE(LEFT(F813,N10)," ","♦",LEN(LEFT(F813,N10))-LEN(SUBSTITUTE(LEFT(F813,N10)," ","")))),FIND(" ",F813&amp;" ",N10+1)-1)))</f>
        <v>1</v>
      </c>
      <c r="N813" s="119">
        <f t="shared" si="83"/>
        <v>796</v>
      </c>
      <c r="O813" s="99" t="str">
        <f t="shared" si="84"/>
        <v>0</v>
      </c>
      <c r="P813" s="119">
        <f t="shared" si="85"/>
        <v>1</v>
      </c>
      <c r="Q813" s="119">
        <f t="shared" si="86"/>
        <v>1</v>
      </c>
    </row>
    <row r="814" spans="2:17">
      <c r="B814" s="116"/>
      <c r="C814" s="116"/>
      <c r="D814" s="116"/>
      <c r="E814" s="116" cm="1">
        <f t="array" ref="E814">IF(H813&lt;&gt;"",E813,IF(E813="","",IFERROR(MATCH(TRUE(),INDEX(INDEX(K:K,E813+1):K203&lt;&gt;"",0),0)+E813,"")))</f>
        <v>956</v>
      </c>
      <c r="F814" s="117" cm="1">
        <f t="array" ref="F814">IF(E814="","",IF(H813&lt;&gt;"",H813,INDEX(D:D,E814)))</f>
        <v>0</v>
      </c>
      <c r="G814" s="117" t="str">
        <f t="shared" si="81"/>
        <v>0</v>
      </c>
      <c r="H814" s="118" t="str">
        <f t="shared" si="82"/>
        <v/>
      </c>
      <c r="I814" s="116" t="str">
        <f>IF(AND(F814&lt;&gt;"",N10&gt;0,M814&gt;N10),"Mot &gt; limite","")</f>
        <v/>
      </c>
      <c r="M814" s="70">
        <f>IF(OR(F814="",N10="",N10&lt;=0),"",IF(LEN(F814)&lt;=N10,LEN(F814),IFERROR(FIND("♦",SUBSTITUTE(LEFT(F814,N10)," ","♦",LEN(LEFT(F814,N10))-LEN(SUBSTITUTE(LEFT(F814,N10)," ","")))),FIND(" ",F814&amp;" ",N10+1)-1)))</f>
        <v>1</v>
      </c>
      <c r="N814" s="119">
        <f t="shared" si="83"/>
        <v>797</v>
      </c>
      <c r="O814" s="99" t="str">
        <f t="shared" si="84"/>
        <v>0</v>
      </c>
      <c r="P814" s="119">
        <f t="shared" si="85"/>
        <v>1</v>
      </c>
      <c r="Q814" s="119">
        <f t="shared" si="86"/>
        <v>1</v>
      </c>
    </row>
    <row r="815" spans="2:17">
      <c r="B815" s="116"/>
      <c r="C815" s="116"/>
      <c r="D815" s="116"/>
      <c r="E815" s="116" cm="1">
        <f t="array" ref="E815">IF(H814&lt;&gt;"",E814,IF(E814="","",IFERROR(MATCH(TRUE(),INDEX(INDEX(K:K,E814+1):K203&lt;&gt;"",0),0)+E814,"")))</f>
        <v>957</v>
      </c>
      <c r="F815" s="117" cm="1">
        <f t="array" ref="F815">IF(E815="","",IF(H814&lt;&gt;"",H814,INDEX(D:D,E815)))</f>
        <v>0</v>
      </c>
      <c r="G815" s="117" t="str">
        <f t="shared" si="81"/>
        <v>0</v>
      </c>
      <c r="H815" s="118" t="str">
        <f t="shared" si="82"/>
        <v/>
      </c>
      <c r="I815" s="116" t="str">
        <f>IF(AND(F815&lt;&gt;"",N10&gt;0,M815&gt;N10),"Mot &gt; limite","")</f>
        <v/>
      </c>
      <c r="M815" s="70">
        <f>IF(OR(F815="",N10="",N10&lt;=0),"",IF(LEN(F815)&lt;=N10,LEN(F815),IFERROR(FIND("♦",SUBSTITUTE(LEFT(F815,N10)," ","♦",LEN(LEFT(F815,N10))-LEN(SUBSTITUTE(LEFT(F815,N10)," ","")))),FIND(" ",F815&amp;" ",N10+1)-1)))</f>
        <v>1</v>
      </c>
      <c r="N815" s="119">
        <f t="shared" si="83"/>
        <v>798</v>
      </c>
      <c r="O815" s="99" t="str">
        <f t="shared" si="84"/>
        <v>0</v>
      </c>
      <c r="P815" s="119">
        <f t="shared" si="85"/>
        <v>1</v>
      </c>
      <c r="Q815" s="119">
        <f t="shared" si="86"/>
        <v>1</v>
      </c>
    </row>
    <row r="816" spans="2:17">
      <c r="B816" s="116"/>
      <c r="C816" s="116"/>
      <c r="D816" s="116"/>
      <c r="E816" s="116" cm="1">
        <f t="array" ref="E816">IF(H815&lt;&gt;"",E815,IF(E815="","",IFERROR(MATCH(TRUE(),INDEX(INDEX(K:K,E815+1):K203&lt;&gt;"",0),0)+E815,"")))</f>
        <v>958</v>
      </c>
      <c r="F816" s="117" cm="1">
        <f t="array" ref="F816">IF(E816="","",IF(H815&lt;&gt;"",H815,INDEX(D:D,E816)))</f>
        <v>0</v>
      </c>
      <c r="G816" s="117" t="str">
        <f t="shared" si="81"/>
        <v>0</v>
      </c>
      <c r="H816" s="118" t="str">
        <f t="shared" si="82"/>
        <v/>
      </c>
      <c r="I816" s="116" t="str">
        <f>IF(AND(F816&lt;&gt;"",N10&gt;0,M816&gt;N10),"Mot &gt; limite","")</f>
        <v/>
      </c>
      <c r="M816" s="70">
        <f>IF(OR(F816="",N10="",N10&lt;=0),"",IF(LEN(F816)&lt;=N10,LEN(F816),IFERROR(FIND("♦",SUBSTITUTE(LEFT(F816,N10)," ","♦",LEN(LEFT(F816,N10))-LEN(SUBSTITUTE(LEFT(F816,N10)," ","")))),FIND(" ",F816&amp;" ",N10+1)-1)))</f>
        <v>1</v>
      </c>
      <c r="N816" s="119">
        <f t="shared" si="83"/>
        <v>799</v>
      </c>
      <c r="O816" s="99" t="str">
        <f t="shared" si="84"/>
        <v>0</v>
      </c>
      <c r="P816" s="119">
        <f t="shared" si="85"/>
        <v>1</v>
      </c>
      <c r="Q816" s="119">
        <f t="shared" si="86"/>
        <v>1</v>
      </c>
    </row>
    <row r="817" spans="2:17">
      <c r="B817" s="116"/>
      <c r="C817" s="116"/>
      <c r="D817" s="116"/>
      <c r="E817" s="116" cm="1">
        <f t="array" ref="E817">IF(H816&lt;&gt;"",E816,IF(E816="","",IFERROR(MATCH(TRUE(),INDEX(INDEX(K:K,E816+1):K203&lt;&gt;"",0),0)+E816,"")))</f>
        <v>959</v>
      </c>
      <c r="F817" s="117" cm="1">
        <f t="array" ref="F817">IF(E817="","",IF(H816&lt;&gt;"",H816,INDEX(D:D,E817)))</f>
        <v>0</v>
      </c>
      <c r="G817" s="117" t="str">
        <f t="shared" si="81"/>
        <v>0</v>
      </c>
      <c r="H817" s="118" t="str">
        <f t="shared" si="82"/>
        <v/>
      </c>
      <c r="I817" s="116" t="str">
        <f>IF(AND(F817&lt;&gt;"",N10&gt;0,M817&gt;N10),"Mot &gt; limite","")</f>
        <v/>
      </c>
      <c r="M817" s="70">
        <f>IF(OR(F817="",N10="",N10&lt;=0),"",IF(LEN(F817)&lt;=N10,LEN(F817),IFERROR(FIND("♦",SUBSTITUTE(LEFT(F817,N10)," ","♦",LEN(LEFT(F817,N10))-LEN(SUBSTITUTE(LEFT(F817,N10)," ","")))),FIND(" ",F817&amp;" ",N10+1)-1)))</f>
        <v>1</v>
      </c>
      <c r="N817" s="119">
        <f t="shared" si="83"/>
        <v>800</v>
      </c>
      <c r="O817" s="99" t="str">
        <f t="shared" si="84"/>
        <v>0</v>
      </c>
      <c r="P817" s="119">
        <f t="shared" si="85"/>
        <v>1</v>
      </c>
      <c r="Q817" s="119">
        <f t="shared" si="86"/>
        <v>1</v>
      </c>
    </row>
    <row r="818" spans="2:17">
      <c r="B818" s="116"/>
      <c r="C818" s="116"/>
      <c r="D818" s="116"/>
      <c r="E818" s="116" cm="1">
        <f t="array" ref="E818">IF(H817&lt;&gt;"",E817,IF(E817="","",IFERROR(MATCH(TRUE(),INDEX(INDEX(K:K,E817+1):K203&lt;&gt;"",0),0)+E817,"")))</f>
        <v>960</v>
      </c>
      <c r="F818" s="117" cm="1">
        <f t="array" ref="F818">IF(E818="","",IF(H817&lt;&gt;"",H817,INDEX(D:D,E818)))</f>
        <v>0</v>
      </c>
      <c r="G818" s="117" t="str">
        <f t="shared" si="81"/>
        <v>0</v>
      </c>
      <c r="H818" s="118" t="str">
        <f t="shared" si="82"/>
        <v/>
      </c>
      <c r="I818" s="116" t="str">
        <f>IF(AND(F818&lt;&gt;"",N10&gt;0,M818&gt;N10),"Mot &gt; limite","")</f>
        <v/>
      </c>
      <c r="M818" s="70">
        <f>IF(OR(F818="",N10="",N10&lt;=0),"",IF(LEN(F818)&lt;=N10,LEN(F818),IFERROR(FIND("♦",SUBSTITUTE(LEFT(F818,N10)," ","♦",LEN(LEFT(F818,N10))-LEN(SUBSTITUTE(LEFT(F818,N10)," ","")))),FIND(" ",F818&amp;" ",N10+1)-1)))</f>
        <v>1</v>
      </c>
      <c r="N818" s="119">
        <f t="shared" si="83"/>
        <v>801</v>
      </c>
      <c r="O818" s="99" t="str">
        <f t="shared" si="84"/>
        <v>0</v>
      </c>
      <c r="P818" s="119">
        <f t="shared" si="85"/>
        <v>1</v>
      </c>
      <c r="Q818" s="119">
        <f t="shared" si="86"/>
        <v>1</v>
      </c>
    </row>
    <row r="819" spans="2:17">
      <c r="B819" s="116"/>
      <c r="C819" s="116"/>
      <c r="D819" s="116"/>
      <c r="E819" s="116" cm="1">
        <f t="array" ref="E819">IF(H818&lt;&gt;"",E818,IF(E818="","",IFERROR(MATCH(TRUE(),INDEX(INDEX(K:K,E818+1):K203&lt;&gt;"",0),0)+E818,"")))</f>
        <v>961</v>
      </c>
      <c r="F819" s="117" cm="1">
        <f t="array" ref="F819">IF(E819="","",IF(H818&lt;&gt;"",H818,INDEX(D:D,E819)))</f>
        <v>0</v>
      </c>
      <c r="G819" s="117" t="str">
        <f t="shared" si="81"/>
        <v>0</v>
      </c>
      <c r="H819" s="118" t="str">
        <f t="shared" si="82"/>
        <v/>
      </c>
      <c r="I819" s="116" t="str">
        <f>IF(AND(F819&lt;&gt;"",N10&gt;0,M819&gt;N10),"Mot &gt; limite","")</f>
        <v/>
      </c>
      <c r="M819" s="70">
        <f>IF(OR(F819="",N10="",N10&lt;=0),"",IF(LEN(F819)&lt;=N10,LEN(F819),IFERROR(FIND("♦",SUBSTITUTE(LEFT(F819,N10)," ","♦",LEN(LEFT(F819,N10))-LEN(SUBSTITUTE(LEFT(F819,N10)," ","")))),FIND(" ",F819&amp;" ",N10+1)-1)))</f>
        <v>1</v>
      </c>
      <c r="N819" s="119">
        <f t="shared" si="83"/>
        <v>802</v>
      </c>
      <c r="O819" s="99" t="str">
        <f t="shared" si="84"/>
        <v>0</v>
      </c>
      <c r="P819" s="119">
        <f t="shared" si="85"/>
        <v>1</v>
      </c>
      <c r="Q819" s="119">
        <f t="shared" si="86"/>
        <v>1</v>
      </c>
    </row>
    <row r="820" spans="2:17">
      <c r="B820" s="116"/>
      <c r="C820" s="116"/>
      <c r="D820" s="116"/>
      <c r="E820" s="116" cm="1">
        <f t="array" ref="E820">IF(H819&lt;&gt;"",E819,IF(E819="","",IFERROR(MATCH(TRUE(),INDEX(INDEX(K:K,E819+1):K203&lt;&gt;"",0),0)+E819,"")))</f>
        <v>962</v>
      </c>
      <c r="F820" s="117" cm="1">
        <f t="array" ref="F820">IF(E820="","",IF(H819&lt;&gt;"",H819,INDEX(D:D,E820)))</f>
        <v>0</v>
      </c>
      <c r="G820" s="117" t="str">
        <f t="shared" si="81"/>
        <v>0</v>
      </c>
      <c r="H820" s="118" t="str">
        <f t="shared" si="82"/>
        <v/>
      </c>
      <c r="I820" s="116" t="str">
        <f>IF(AND(F820&lt;&gt;"",N10&gt;0,M820&gt;N10),"Mot &gt; limite","")</f>
        <v/>
      </c>
      <c r="M820" s="70">
        <f>IF(OR(F820="",N10="",N10&lt;=0),"",IF(LEN(F820)&lt;=N10,LEN(F820),IFERROR(FIND("♦",SUBSTITUTE(LEFT(F820,N10)," ","♦",LEN(LEFT(F820,N10))-LEN(SUBSTITUTE(LEFT(F820,N10)," ","")))),FIND(" ",F820&amp;" ",N10+1)-1)))</f>
        <v>1</v>
      </c>
      <c r="N820" s="119">
        <f t="shared" si="83"/>
        <v>803</v>
      </c>
      <c r="O820" s="99" t="str">
        <f t="shared" si="84"/>
        <v>0</v>
      </c>
      <c r="P820" s="119">
        <f t="shared" si="85"/>
        <v>1</v>
      </c>
      <c r="Q820" s="119">
        <f t="shared" si="86"/>
        <v>1</v>
      </c>
    </row>
    <row r="821" spans="2:17">
      <c r="B821" s="116"/>
      <c r="C821" s="116"/>
      <c r="D821" s="116"/>
      <c r="E821" s="116" cm="1">
        <f t="array" ref="E821">IF(H820&lt;&gt;"",E820,IF(E820="","",IFERROR(MATCH(TRUE(),INDEX(INDEX(K:K,E820+1):K203&lt;&gt;"",0),0)+E820,"")))</f>
        <v>963</v>
      </c>
      <c r="F821" s="117" cm="1">
        <f t="array" ref="F821">IF(E821="","",IF(H820&lt;&gt;"",H820,INDEX(D:D,E821)))</f>
        <v>0</v>
      </c>
      <c r="G821" s="117" t="str">
        <f t="shared" si="81"/>
        <v>0</v>
      </c>
      <c r="H821" s="118" t="str">
        <f t="shared" si="82"/>
        <v/>
      </c>
      <c r="I821" s="116" t="str">
        <f>IF(AND(F821&lt;&gt;"",N10&gt;0,M821&gt;N10),"Mot &gt; limite","")</f>
        <v/>
      </c>
      <c r="M821" s="70">
        <f>IF(OR(F821="",N10="",N10&lt;=0),"",IF(LEN(F821)&lt;=N10,LEN(F821),IFERROR(FIND("♦",SUBSTITUTE(LEFT(F821,N10)," ","♦",LEN(LEFT(F821,N10))-LEN(SUBSTITUTE(LEFT(F821,N10)," ","")))),FIND(" ",F821&amp;" ",N10+1)-1)))</f>
        <v>1</v>
      </c>
      <c r="N821" s="119">
        <f t="shared" si="83"/>
        <v>804</v>
      </c>
      <c r="O821" s="99" t="str">
        <f t="shared" si="84"/>
        <v>0</v>
      </c>
      <c r="P821" s="119">
        <f t="shared" si="85"/>
        <v>1</v>
      </c>
      <c r="Q821" s="119">
        <f t="shared" si="86"/>
        <v>1</v>
      </c>
    </row>
    <row r="822" spans="2:17">
      <c r="B822" s="116"/>
      <c r="C822" s="116"/>
      <c r="D822" s="116"/>
      <c r="E822" s="116" cm="1">
        <f t="array" ref="E822">IF(H821&lt;&gt;"",E821,IF(E821="","",IFERROR(MATCH(TRUE(),INDEX(INDEX(K:K,E821+1):K203&lt;&gt;"",0),0)+E821,"")))</f>
        <v>964</v>
      </c>
      <c r="F822" s="117" cm="1">
        <f t="array" ref="F822">IF(E822="","",IF(H821&lt;&gt;"",H821,INDEX(D:D,E822)))</f>
        <v>0</v>
      </c>
      <c r="G822" s="117" t="str">
        <f t="shared" si="81"/>
        <v>0</v>
      </c>
      <c r="H822" s="118" t="str">
        <f t="shared" si="82"/>
        <v/>
      </c>
      <c r="I822" s="116" t="str">
        <f>IF(AND(F822&lt;&gt;"",N10&gt;0,M822&gt;N10),"Mot &gt; limite","")</f>
        <v/>
      </c>
      <c r="M822" s="70">
        <f>IF(OR(F822="",N10="",N10&lt;=0),"",IF(LEN(F822)&lt;=N10,LEN(F822),IFERROR(FIND("♦",SUBSTITUTE(LEFT(F822,N10)," ","♦",LEN(LEFT(F822,N10))-LEN(SUBSTITUTE(LEFT(F822,N10)," ","")))),FIND(" ",F822&amp;" ",N10+1)-1)))</f>
        <v>1</v>
      </c>
      <c r="N822" s="119">
        <f t="shared" si="83"/>
        <v>805</v>
      </c>
      <c r="O822" s="99" t="str">
        <f t="shared" si="84"/>
        <v>0</v>
      </c>
      <c r="P822" s="119">
        <f t="shared" si="85"/>
        <v>1</v>
      </c>
      <c r="Q822" s="119">
        <f t="shared" si="86"/>
        <v>1</v>
      </c>
    </row>
    <row r="823" spans="2:17">
      <c r="B823" s="116"/>
      <c r="C823" s="116"/>
      <c r="D823" s="116"/>
      <c r="E823" s="116" cm="1">
        <f t="array" ref="E823">IF(H822&lt;&gt;"",E822,IF(E822="","",IFERROR(MATCH(TRUE(),INDEX(INDEX(K:K,E822+1):K203&lt;&gt;"",0),0)+E822,"")))</f>
        <v>965</v>
      </c>
      <c r="F823" s="117" cm="1">
        <f t="array" ref="F823">IF(E823="","",IF(H822&lt;&gt;"",H822,INDEX(D:D,E823)))</f>
        <v>0</v>
      </c>
      <c r="G823" s="117" t="str">
        <f t="shared" si="81"/>
        <v>0</v>
      </c>
      <c r="H823" s="118" t="str">
        <f t="shared" si="82"/>
        <v/>
      </c>
      <c r="I823" s="116" t="str">
        <f>IF(AND(F823&lt;&gt;"",N10&gt;0,M823&gt;N10),"Mot &gt; limite","")</f>
        <v/>
      </c>
      <c r="M823" s="70">
        <f>IF(OR(F823="",N10="",N10&lt;=0),"",IF(LEN(F823)&lt;=N10,LEN(F823),IFERROR(FIND("♦",SUBSTITUTE(LEFT(F823,N10)," ","♦",LEN(LEFT(F823,N10))-LEN(SUBSTITUTE(LEFT(F823,N10)," ","")))),FIND(" ",F823&amp;" ",N10+1)-1)))</f>
        <v>1</v>
      </c>
      <c r="N823" s="119">
        <f t="shared" si="83"/>
        <v>806</v>
      </c>
      <c r="O823" s="99" t="str">
        <f t="shared" si="84"/>
        <v>0</v>
      </c>
      <c r="P823" s="119">
        <f t="shared" si="85"/>
        <v>1</v>
      </c>
      <c r="Q823" s="119">
        <f t="shared" si="86"/>
        <v>1</v>
      </c>
    </row>
    <row r="824" spans="2:17">
      <c r="B824" s="116"/>
      <c r="C824" s="116"/>
      <c r="D824" s="116"/>
      <c r="E824" s="116" cm="1">
        <f t="array" ref="E824">IF(H823&lt;&gt;"",E823,IF(E823="","",IFERROR(MATCH(TRUE(),INDEX(INDEX(K:K,E823+1):K203&lt;&gt;"",0),0)+E823,"")))</f>
        <v>966</v>
      </c>
      <c r="F824" s="117" cm="1">
        <f t="array" ref="F824">IF(E824="","",IF(H823&lt;&gt;"",H823,INDEX(D:D,E824)))</f>
        <v>0</v>
      </c>
      <c r="G824" s="117" t="str">
        <f t="shared" si="81"/>
        <v>0</v>
      </c>
      <c r="H824" s="118" t="str">
        <f t="shared" si="82"/>
        <v/>
      </c>
      <c r="I824" s="116" t="str">
        <f>IF(AND(F824&lt;&gt;"",N10&gt;0,M824&gt;N10),"Mot &gt; limite","")</f>
        <v/>
      </c>
      <c r="M824" s="70">
        <f>IF(OR(F824="",N10="",N10&lt;=0),"",IF(LEN(F824)&lt;=N10,LEN(F824),IFERROR(FIND("♦",SUBSTITUTE(LEFT(F824,N10)," ","♦",LEN(LEFT(F824,N10))-LEN(SUBSTITUTE(LEFT(F824,N10)," ","")))),FIND(" ",F824&amp;" ",N10+1)-1)))</f>
        <v>1</v>
      </c>
      <c r="N824" s="119">
        <f t="shared" si="83"/>
        <v>807</v>
      </c>
      <c r="O824" s="99" t="str">
        <f t="shared" si="84"/>
        <v>0</v>
      </c>
      <c r="P824" s="119">
        <f t="shared" si="85"/>
        <v>1</v>
      </c>
      <c r="Q824" s="119">
        <f t="shared" si="86"/>
        <v>1</v>
      </c>
    </row>
    <row r="825" spans="2:17">
      <c r="B825" s="116"/>
      <c r="C825" s="116"/>
      <c r="D825" s="116"/>
      <c r="E825" s="116" cm="1">
        <f t="array" ref="E825">IF(H824&lt;&gt;"",E824,IF(E824="","",IFERROR(MATCH(TRUE(),INDEX(INDEX(K:K,E824+1):K203&lt;&gt;"",0),0)+E824,"")))</f>
        <v>967</v>
      </c>
      <c r="F825" s="117" cm="1">
        <f t="array" ref="F825">IF(E825="","",IF(H824&lt;&gt;"",H824,INDEX(D:D,E825)))</f>
        <v>0</v>
      </c>
      <c r="G825" s="117" t="str">
        <f t="shared" si="81"/>
        <v>0</v>
      </c>
      <c r="H825" s="118" t="str">
        <f t="shared" si="82"/>
        <v/>
      </c>
      <c r="I825" s="116" t="str">
        <f>IF(AND(F825&lt;&gt;"",N10&gt;0,M825&gt;N10),"Mot &gt; limite","")</f>
        <v/>
      </c>
      <c r="M825" s="70">
        <f>IF(OR(F825="",N10="",N10&lt;=0),"",IF(LEN(F825)&lt;=N10,LEN(F825),IFERROR(FIND("♦",SUBSTITUTE(LEFT(F825,N10)," ","♦",LEN(LEFT(F825,N10))-LEN(SUBSTITUTE(LEFT(F825,N10)," ","")))),FIND(" ",F825&amp;" ",N10+1)-1)))</f>
        <v>1</v>
      </c>
      <c r="N825" s="119">
        <f t="shared" si="83"/>
        <v>808</v>
      </c>
      <c r="O825" s="99" t="str">
        <f t="shared" si="84"/>
        <v>0</v>
      </c>
      <c r="P825" s="119">
        <f t="shared" si="85"/>
        <v>1</v>
      </c>
      <c r="Q825" s="119">
        <f t="shared" si="86"/>
        <v>1</v>
      </c>
    </row>
    <row r="826" spans="2:17">
      <c r="B826" s="116"/>
      <c r="C826" s="116"/>
      <c r="D826" s="116"/>
      <c r="E826" s="116" cm="1">
        <f t="array" ref="E826">IF(H825&lt;&gt;"",E825,IF(E825="","",IFERROR(MATCH(TRUE(),INDEX(INDEX(K:K,E825+1):K203&lt;&gt;"",0),0)+E825,"")))</f>
        <v>968</v>
      </c>
      <c r="F826" s="117" cm="1">
        <f t="array" ref="F826">IF(E826="","",IF(H825&lt;&gt;"",H825,INDEX(D:D,E826)))</f>
        <v>0</v>
      </c>
      <c r="G826" s="117" t="str">
        <f t="shared" si="81"/>
        <v>0</v>
      </c>
      <c r="H826" s="118" t="str">
        <f t="shared" si="82"/>
        <v/>
      </c>
      <c r="I826" s="116" t="str">
        <f>IF(AND(F826&lt;&gt;"",N10&gt;0,M826&gt;N10),"Mot &gt; limite","")</f>
        <v/>
      </c>
      <c r="M826" s="70">
        <f>IF(OR(F826="",N10="",N10&lt;=0),"",IF(LEN(F826)&lt;=N10,LEN(F826),IFERROR(FIND("♦",SUBSTITUTE(LEFT(F826,N10)," ","♦",LEN(LEFT(F826,N10))-LEN(SUBSTITUTE(LEFT(F826,N10)," ","")))),FIND(" ",F826&amp;" ",N10+1)-1)))</f>
        <v>1</v>
      </c>
      <c r="N826" s="119">
        <f t="shared" si="83"/>
        <v>809</v>
      </c>
      <c r="O826" s="99" t="str">
        <f t="shared" si="84"/>
        <v>0</v>
      </c>
      <c r="P826" s="119">
        <f t="shared" si="85"/>
        <v>1</v>
      </c>
      <c r="Q826" s="119">
        <f t="shared" si="86"/>
        <v>1</v>
      </c>
    </row>
    <row r="827" spans="2:17">
      <c r="B827" s="116"/>
      <c r="C827" s="116"/>
      <c r="D827" s="116"/>
      <c r="E827" s="116" cm="1">
        <f t="array" ref="E827">IF(H826&lt;&gt;"",E826,IF(E826="","",IFERROR(MATCH(TRUE(),INDEX(INDEX(K:K,E826+1):K203&lt;&gt;"",0),0)+E826,"")))</f>
        <v>969</v>
      </c>
      <c r="F827" s="117" cm="1">
        <f t="array" ref="F827">IF(E827="","",IF(H826&lt;&gt;"",H826,INDEX(D:D,E827)))</f>
        <v>0</v>
      </c>
      <c r="G827" s="117" t="str">
        <f t="shared" si="81"/>
        <v>0</v>
      </c>
      <c r="H827" s="118" t="str">
        <f t="shared" si="82"/>
        <v/>
      </c>
      <c r="I827" s="116" t="str">
        <f>IF(AND(F827&lt;&gt;"",N10&gt;0,M827&gt;N10),"Mot &gt; limite","")</f>
        <v/>
      </c>
      <c r="M827" s="70">
        <f>IF(OR(F827="",N10="",N10&lt;=0),"",IF(LEN(F827)&lt;=N10,LEN(F827),IFERROR(FIND("♦",SUBSTITUTE(LEFT(F827,N10)," ","♦",LEN(LEFT(F827,N10))-LEN(SUBSTITUTE(LEFT(F827,N10)," ","")))),FIND(" ",F827&amp;" ",N10+1)-1)))</f>
        <v>1</v>
      </c>
      <c r="N827" s="119">
        <f t="shared" si="83"/>
        <v>810</v>
      </c>
      <c r="O827" s="99" t="str">
        <f t="shared" si="84"/>
        <v>0</v>
      </c>
      <c r="P827" s="119">
        <f t="shared" si="85"/>
        <v>1</v>
      </c>
      <c r="Q827" s="119">
        <f t="shared" si="86"/>
        <v>1</v>
      </c>
    </row>
    <row r="828" spans="2:17">
      <c r="B828" s="116"/>
      <c r="C828" s="116"/>
      <c r="D828" s="116"/>
      <c r="E828" s="116" cm="1">
        <f t="array" ref="E828">IF(H827&lt;&gt;"",E827,IF(E827="","",IFERROR(MATCH(TRUE(),INDEX(INDEX(K:K,E827+1):K203&lt;&gt;"",0),0)+E827,"")))</f>
        <v>970</v>
      </c>
      <c r="F828" s="117" cm="1">
        <f t="array" ref="F828">IF(E828="","",IF(H827&lt;&gt;"",H827,INDEX(D:D,E828)))</f>
        <v>0</v>
      </c>
      <c r="G828" s="117" t="str">
        <f t="shared" si="81"/>
        <v>0</v>
      </c>
      <c r="H828" s="118" t="str">
        <f t="shared" si="82"/>
        <v/>
      </c>
      <c r="I828" s="116" t="str">
        <f>IF(AND(F828&lt;&gt;"",N10&gt;0,M828&gt;N10),"Mot &gt; limite","")</f>
        <v/>
      </c>
      <c r="M828" s="70">
        <f>IF(OR(F828="",N10="",N10&lt;=0),"",IF(LEN(F828)&lt;=N10,LEN(F828),IFERROR(FIND("♦",SUBSTITUTE(LEFT(F828,N10)," ","♦",LEN(LEFT(F828,N10))-LEN(SUBSTITUTE(LEFT(F828,N10)," ","")))),FIND(" ",F828&amp;" ",N10+1)-1)))</f>
        <v>1</v>
      </c>
      <c r="N828" s="119">
        <f t="shared" si="83"/>
        <v>811</v>
      </c>
      <c r="O828" s="99" t="str">
        <f t="shared" si="84"/>
        <v>0</v>
      </c>
      <c r="P828" s="119">
        <f t="shared" si="85"/>
        <v>1</v>
      </c>
      <c r="Q828" s="119">
        <f t="shared" si="86"/>
        <v>1</v>
      </c>
    </row>
    <row r="829" spans="2:17">
      <c r="B829" s="116"/>
      <c r="C829" s="116"/>
      <c r="D829" s="116"/>
      <c r="E829" s="116" cm="1">
        <f t="array" ref="E829">IF(H828&lt;&gt;"",E828,IF(E828="","",IFERROR(MATCH(TRUE(),INDEX(INDEX(K:K,E828+1):K203&lt;&gt;"",0),0)+E828,"")))</f>
        <v>971</v>
      </c>
      <c r="F829" s="117" cm="1">
        <f t="array" ref="F829">IF(E829="","",IF(H828&lt;&gt;"",H828,INDEX(D:D,E829)))</f>
        <v>0</v>
      </c>
      <c r="G829" s="117" t="str">
        <f t="shared" si="81"/>
        <v>0</v>
      </c>
      <c r="H829" s="118" t="str">
        <f t="shared" si="82"/>
        <v/>
      </c>
      <c r="I829" s="116" t="str">
        <f>IF(AND(F829&lt;&gt;"",N10&gt;0,M829&gt;N10),"Mot &gt; limite","")</f>
        <v/>
      </c>
      <c r="M829" s="70">
        <f>IF(OR(F829="",N10="",N10&lt;=0),"",IF(LEN(F829)&lt;=N10,LEN(F829),IFERROR(FIND("♦",SUBSTITUTE(LEFT(F829,N10)," ","♦",LEN(LEFT(F829,N10))-LEN(SUBSTITUTE(LEFT(F829,N10)," ","")))),FIND(" ",F829&amp;" ",N10+1)-1)))</f>
        <v>1</v>
      </c>
      <c r="N829" s="119">
        <f t="shared" si="83"/>
        <v>812</v>
      </c>
      <c r="O829" s="99" t="str">
        <f t="shared" si="84"/>
        <v>0</v>
      </c>
      <c r="P829" s="119">
        <f t="shared" si="85"/>
        <v>1</v>
      </c>
      <c r="Q829" s="119">
        <f t="shared" si="86"/>
        <v>1</v>
      </c>
    </row>
    <row r="830" spans="2:17">
      <c r="B830" s="116"/>
      <c r="C830" s="116"/>
      <c r="D830" s="116"/>
      <c r="E830" s="116" cm="1">
        <f t="array" ref="E830">IF(H829&lt;&gt;"",E829,IF(E829="","",IFERROR(MATCH(TRUE(),INDEX(INDEX(K:K,E829+1):K203&lt;&gt;"",0),0)+E829,"")))</f>
        <v>972</v>
      </c>
      <c r="F830" s="117" cm="1">
        <f t="array" ref="F830">IF(E830="","",IF(H829&lt;&gt;"",H829,INDEX(D:D,E830)))</f>
        <v>0</v>
      </c>
      <c r="G830" s="117" t="str">
        <f t="shared" si="81"/>
        <v>0</v>
      </c>
      <c r="H830" s="118" t="str">
        <f t="shared" si="82"/>
        <v/>
      </c>
      <c r="I830" s="116" t="str">
        <f>IF(AND(F830&lt;&gt;"",N10&gt;0,M830&gt;N10),"Mot &gt; limite","")</f>
        <v/>
      </c>
      <c r="M830" s="70">
        <f>IF(OR(F830="",N10="",N10&lt;=0),"",IF(LEN(F830)&lt;=N10,LEN(F830),IFERROR(FIND("♦",SUBSTITUTE(LEFT(F830,N10)," ","♦",LEN(LEFT(F830,N10))-LEN(SUBSTITUTE(LEFT(F830,N10)," ","")))),FIND(" ",F830&amp;" ",N10+1)-1)))</f>
        <v>1</v>
      </c>
      <c r="N830" s="119">
        <f t="shared" si="83"/>
        <v>813</v>
      </c>
      <c r="O830" s="99" t="str">
        <f t="shared" si="84"/>
        <v>0</v>
      </c>
      <c r="P830" s="119">
        <f t="shared" si="85"/>
        <v>1</v>
      </c>
      <c r="Q830" s="119">
        <f t="shared" si="86"/>
        <v>1</v>
      </c>
    </row>
    <row r="831" spans="2:17">
      <c r="B831" s="116"/>
      <c r="C831" s="116"/>
      <c r="D831" s="116"/>
      <c r="E831" s="116" cm="1">
        <f t="array" ref="E831">IF(H830&lt;&gt;"",E830,IF(E830="","",IFERROR(MATCH(TRUE(),INDEX(INDEX(K:K,E830+1):K203&lt;&gt;"",0),0)+E830,"")))</f>
        <v>973</v>
      </c>
      <c r="F831" s="117" cm="1">
        <f t="array" ref="F831">IF(E831="","",IF(H830&lt;&gt;"",H830,INDEX(D:D,E831)))</f>
        <v>0</v>
      </c>
      <c r="G831" s="117" t="str">
        <f t="shared" si="81"/>
        <v>0</v>
      </c>
      <c r="H831" s="118" t="str">
        <f t="shared" si="82"/>
        <v/>
      </c>
      <c r="I831" s="116" t="str">
        <f>IF(AND(F831&lt;&gt;"",N10&gt;0,M831&gt;N10),"Mot &gt; limite","")</f>
        <v/>
      </c>
      <c r="M831" s="70">
        <f>IF(OR(F831="",N10="",N10&lt;=0),"",IF(LEN(F831)&lt;=N10,LEN(F831),IFERROR(FIND("♦",SUBSTITUTE(LEFT(F831,N10)," ","♦",LEN(LEFT(F831,N10))-LEN(SUBSTITUTE(LEFT(F831,N10)," ","")))),FIND(" ",F831&amp;" ",N10+1)-1)))</f>
        <v>1</v>
      </c>
      <c r="N831" s="119">
        <f t="shared" si="83"/>
        <v>814</v>
      </c>
      <c r="O831" s="99" t="str">
        <f t="shared" si="84"/>
        <v>0</v>
      </c>
      <c r="P831" s="119">
        <f t="shared" si="85"/>
        <v>1</v>
      </c>
      <c r="Q831" s="119">
        <f t="shared" si="86"/>
        <v>1</v>
      </c>
    </row>
    <row r="832" spans="2:17">
      <c r="B832" s="116"/>
      <c r="C832" s="116"/>
      <c r="D832" s="116"/>
      <c r="E832" s="116" cm="1">
        <f t="array" ref="E832">IF(H831&lt;&gt;"",E831,IF(E831="","",IFERROR(MATCH(TRUE(),INDEX(INDEX(K:K,E831+1):K203&lt;&gt;"",0),0)+E831,"")))</f>
        <v>974</v>
      </c>
      <c r="F832" s="117" cm="1">
        <f t="array" ref="F832">IF(E832="","",IF(H831&lt;&gt;"",H831,INDEX(D:D,E832)))</f>
        <v>0</v>
      </c>
      <c r="G832" s="117" t="str">
        <f t="shared" si="81"/>
        <v>0</v>
      </c>
      <c r="H832" s="118" t="str">
        <f t="shared" si="82"/>
        <v/>
      </c>
      <c r="I832" s="116" t="str">
        <f>IF(AND(F832&lt;&gt;"",N10&gt;0,M832&gt;N10),"Mot &gt; limite","")</f>
        <v/>
      </c>
      <c r="M832" s="70">
        <f>IF(OR(F832="",N10="",N10&lt;=0),"",IF(LEN(F832)&lt;=N10,LEN(F832),IFERROR(FIND("♦",SUBSTITUTE(LEFT(F832,N10)," ","♦",LEN(LEFT(F832,N10))-LEN(SUBSTITUTE(LEFT(F832,N10)," ","")))),FIND(" ",F832&amp;" ",N10+1)-1)))</f>
        <v>1</v>
      </c>
      <c r="N832" s="119">
        <f t="shared" si="83"/>
        <v>815</v>
      </c>
      <c r="O832" s="99" t="str">
        <f t="shared" si="84"/>
        <v>0</v>
      </c>
      <c r="P832" s="119">
        <f t="shared" si="85"/>
        <v>1</v>
      </c>
      <c r="Q832" s="119">
        <f t="shared" si="86"/>
        <v>1</v>
      </c>
    </row>
    <row r="833" spans="2:17">
      <c r="B833" s="116"/>
      <c r="C833" s="116"/>
      <c r="D833" s="116"/>
      <c r="E833" s="116" cm="1">
        <f t="array" ref="E833">IF(H832&lt;&gt;"",E832,IF(E832="","",IFERROR(MATCH(TRUE(),INDEX(INDEX(K:K,E832+1):K203&lt;&gt;"",0),0)+E832,"")))</f>
        <v>975</v>
      </c>
      <c r="F833" s="117" cm="1">
        <f t="array" ref="F833">IF(E833="","",IF(H832&lt;&gt;"",H832,INDEX(D:D,E833)))</f>
        <v>0</v>
      </c>
      <c r="G833" s="117" t="str">
        <f t="shared" si="81"/>
        <v>0</v>
      </c>
      <c r="H833" s="118" t="str">
        <f t="shared" si="82"/>
        <v/>
      </c>
      <c r="I833" s="116" t="str">
        <f>IF(AND(F833&lt;&gt;"",N10&gt;0,M833&gt;N10),"Mot &gt; limite","")</f>
        <v/>
      </c>
      <c r="M833" s="70">
        <f>IF(OR(F833="",N10="",N10&lt;=0),"",IF(LEN(F833)&lt;=N10,LEN(F833),IFERROR(FIND("♦",SUBSTITUTE(LEFT(F833,N10)," ","♦",LEN(LEFT(F833,N10))-LEN(SUBSTITUTE(LEFT(F833,N10)," ","")))),FIND(" ",F833&amp;" ",N10+1)-1)))</f>
        <v>1</v>
      </c>
      <c r="N833" s="119">
        <f t="shared" si="83"/>
        <v>816</v>
      </c>
      <c r="O833" s="99" t="str">
        <f t="shared" si="84"/>
        <v>0</v>
      </c>
      <c r="P833" s="119">
        <f t="shared" si="85"/>
        <v>1</v>
      </c>
      <c r="Q833" s="119">
        <f t="shared" si="86"/>
        <v>1</v>
      </c>
    </row>
    <row r="834" spans="2:17">
      <c r="B834" s="116"/>
      <c r="C834" s="116"/>
      <c r="D834" s="116"/>
      <c r="E834" s="116" cm="1">
        <f t="array" ref="E834">IF(H833&lt;&gt;"",E833,IF(E833="","",IFERROR(MATCH(TRUE(),INDEX(INDEX(K:K,E833+1):K203&lt;&gt;"",0),0)+E833,"")))</f>
        <v>976</v>
      </c>
      <c r="F834" s="117" cm="1">
        <f t="array" ref="F834">IF(E834="","",IF(H833&lt;&gt;"",H833,INDEX(D:D,E834)))</f>
        <v>0</v>
      </c>
      <c r="G834" s="117" t="str">
        <f t="shared" si="81"/>
        <v>0</v>
      </c>
      <c r="H834" s="118" t="str">
        <f t="shared" si="82"/>
        <v/>
      </c>
      <c r="I834" s="116" t="str">
        <f>IF(AND(F834&lt;&gt;"",N10&gt;0,M834&gt;N10),"Mot &gt; limite","")</f>
        <v/>
      </c>
      <c r="M834" s="70">
        <f>IF(OR(F834="",N10="",N10&lt;=0),"",IF(LEN(F834)&lt;=N10,LEN(F834),IFERROR(FIND("♦",SUBSTITUTE(LEFT(F834,N10)," ","♦",LEN(LEFT(F834,N10))-LEN(SUBSTITUTE(LEFT(F834,N10)," ","")))),FIND(" ",F834&amp;" ",N10+1)-1)))</f>
        <v>1</v>
      </c>
      <c r="N834" s="119">
        <f t="shared" si="83"/>
        <v>817</v>
      </c>
      <c r="O834" s="99" t="str">
        <f t="shared" si="84"/>
        <v>0</v>
      </c>
      <c r="P834" s="119">
        <f t="shared" si="85"/>
        <v>1</v>
      </c>
      <c r="Q834" s="119">
        <f t="shared" si="86"/>
        <v>1</v>
      </c>
    </row>
    <row r="835" spans="2:17">
      <c r="B835" s="116"/>
      <c r="C835" s="116"/>
      <c r="D835" s="116"/>
      <c r="E835" s="116" cm="1">
        <f t="array" ref="E835">IF(H834&lt;&gt;"",E834,IF(E834="","",IFERROR(MATCH(TRUE(),INDEX(INDEX(K:K,E834+1):K203&lt;&gt;"",0),0)+E834,"")))</f>
        <v>977</v>
      </c>
      <c r="F835" s="117" cm="1">
        <f t="array" ref="F835">IF(E835="","",IF(H834&lt;&gt;"",H834,INDEX(D:D,E835)))</f>
        <v>0</v>
      </c>
      <c r="G835" s="117" t="str">
        <f t="shared" si="81"/>
        <v>0</v>
      </c>
      <c r="H835" s="118" t="str">
        <f t="shared" si="82"/>
        <v/>
      </c>
      <c r="I835" s="116" t="str">
        <f>IF(AND(F835&lt;&gt;"",N10&gt;0,M835&gt;N10),"Mot &gt; limite","")</f>
        <v/>
      </c>
      <c r="M835" s="70">
        <f>IF(OR(F835="",N10="",N10&lt;=0),"",IF(LEN(F835)&lt;=N10,LEN(F835),IFERROR(FIND("♦",SUBSTITUTE(LEFT(F835,N10)," ","♦",LEN(LEFT(F835,N10))-LEN(SUBSTITUTE(LEFT(F835,N10)," ","")))),FIND(" ",F835&amp;" ",N10+1)-1)))</f>
        <v>1</v>
      </c>
      <c r="N835" s="119">
        <f t="shared" si="83"/>
        <v>818</v>
      </c>
      <c r="O835" s="99" t="str">
        <f t="shared" si="84"/>
        <v>0</v>
      </c>
      <c r="P835" s="119">
        <f t="shared" si="85"/>
        <v>1</v>
      </c>
      <c r="Q835" s="119">
        <f t="shared" si="86"/>
        <v>1</v>
      </c>
    </row>
    <row r="836" spans="2:17">
      <c r="B836" s="116"/>
      <c r="C836" s="116"/>
      <c r="D836" s="116"/>
      <c r="E836" s="116" cm="1">
        <f t="array" ref="E836">IF(H835&lt;&gt;"",E835,IF(E835="","",IFERROR(MATCH(TRUE(),INDEX(INDEX(K:K,E835+1):K203&lt;&gt;"",0),0)+E835,"")))</f>
        <v>978</v>
      </c>
      <c r="F836" s="117" cm="1">
        <f t="array" ref="F836">IF(E836="","",IF(H835&lt;&gt;"",H835,INDEX(D:D,E836)))</f>
        <v>0</v>
      </c>
      <c r="G836" s="117" t="str">
        <f t="shared" si="81"/>
        <v>0</v>
      </c>
      <c r="H836" s="118" t="str">
        <f t="shared" si="82"/>
        <v/>
      </c>
      <c r="I836" s="116" t="str">
        <f>IF(AND(F836&lt;&gt;"",N10&gt;0,M836&gt;N10),"Mot &gt; limite","")</f>
        <v/>
      </c>
      <c r="M836" s="70">
        <f>IF(OR(F836="",N10="",N10&lt;=0),"",IF(LEN(F836)&lt;=N10,LEN(F836),IFERROR(FIND("♦",SUBSTITUTE(LEFT(F836,N10)," ","♦",LEN(LEFT(F836,N10))-LEN(SUBSTITUTE(LEFT(F836,N10)," ","")))),FIND(" ",F836&amp;" ",N10+1)-1)))</f>
        <v>1</v>
      </c>
      <c r="N836" s="119">
        <f t="shared" si="83"/>
        <v>819</v>
      </c>
      <c r="O836" s="99" t="str">
        <f t="shared" si="84"/>
        <v>0</v>
      </c>
      <c r="P836" s="119">
        <f t="shared" si="85"/>
        <v>1</v>
      </c>
      <c r="Q836" s="119">
        <f t="shared" si="86"/>
        <v>1</v>
      </c>
    </row>
    <row r="837" spans="2:17">
      <c r="B837" s="116"/>
      <c r="C837" s="116"/>
      <c r="D837" s="116"/>
      <c r="E837" s="116" cm="1">
        <f t="array" ref="E837">IF(H836&lt;&gt;"",E836,IF(E836="","",IFERROR(MATCH(TRUE(),INDEX(INDEX(K:K,E836+1):K203&lt;&gt;"",0),0)+E836,"")))</f>
        <v>979</v>
      </c>
      <c r="F837" s="117" cm="1">
        <f t="array" ref="F837">IF(E837="","",IF(H836&lt;&gt;"",H836,INDEX(D:D,E837)))</f>
        <v>0</v>
      </c>
      <c r="G837" s="117" t="str">
        <f t="shared" si="81"/>
        <v>0</v>
      </c>
      <c r="H837" s="118" t="str">
        <f t="shared" si="82"/>
        <v/>
      </c>
      <c r="I837" s="116" t="str">
        <f>IF(AND(F837&lt;&gt;"",N10&gt;0,M837&gt;N10),"Mot &gt; limite","")</f>
        <v/>
      </c>
      <c r="M837" s="70">
        <f>IF(OR(F837="",N10="",N10&lt;=0),"",IF(LEN(F837)&lt;=N10,LEN(F837),IFERROR(FIND("♦",SUBSTITUTE(LEFT(F837,N10)," ","♦",LEN(LEFT(F837,N10))-LEN(SUBSTITUTE(LEFT(F837,N10)," ","")))),FIND(" ",F837&amp;" ",N10+1)-1)))</f>
        <v>1</v>
      </c>
      <c r="N837" s="119">
        <f t="shared" si="83"/>
        <v>820</v>
      </c>
      <c r="O837" s="99" t="str">
        <f t="shared" si="84"/>
        <v>0</v>
      </c>
      <c r="P837" s="119">
        <f t="shared" si="85"/>
        <v>1</v>
      </c>
      <c r="Q837" s="119">
        <f t="shared" si="86"/>
        <v>1</v>
      </c>
    </row>
    <row r="838" spans="2:17">
      <c r="B838" s="116"/>
      <c r="C838" s="116"/>
      <c r="D838" s="116"/>
      <c r="E838" s="116" cm="1">
        <f t="array" ref="E838">IF(H837&lt;&gt;"",E837,IF(E837="","",IFERROR(MATCH(TRUE(),INDEX(INDEX(K:K,E837+1):K203&lt;&gt;"",0),0)+E837,"")))</f>
        <v>980</v>
      </c>
      <c r="F838" s="117" cm="1">
        <f t="array" ref="F838">IF(E838="","",IF(H837&lt;&gt;"",H837,INDEX(D:D,E838)))</f>
        <v>0</v>
      </c>
      <c r="G838" s="117" t="str">
        <f t="shared" si="81"/>
        <v>0</v>
      </c>
      <c r="H838" s="118" t="str">
        <f t="shared" si="82"/>
        <v/>
      </c>
      <c r="I838" s="116" t="str">
        <f>IF(AND(F838&lt;&gt;"",N10&gt;0,M838&gt;N10),"Mot &gt; limite","")</f>
        <v/>
      </c>
      <c r="M838" s="70">
        <f>IF(OR(F838="",N10="",N10&lt;=0),"",IF(LEN(F838)&lt;=N10,LEN(F838),IFERROR(FIND("♦",SUBSTITUTE(LEFT(F838,N10)," ","♦",LEN(LEFT(F838,N10))-LEN(SUBSTITUTE(LEFT(F838,N10)," ","")))),FIND(" ",F838&amp;" ",N10+1)-1)))</f>
        <v>1</v>
      </c>
      <c r="N838" s="119">
        <f t="shared" si="83"/>
        <v>821</v>
      </c>
      <c r="O838" s="99" t="str">
        <f t="shared" si="84"/>
        <v>0</v>
      </c>
      <c r="P838" s="119">
        <f t="shared" si="85"/>
        <v>1</v>
      </c>
      <c r="Q838" s="119">
        <f t="shared" si="86"/>
        <v>1</v>
      </c>
    </row>
    <row r="839" spans="2:17">
      <c r="B839" s="116"/>
      <c r="C839" s="116"/>
      <c r="D839" s="116"/>
      <c r="E839" s="116" cm="1">
        <f t="array" ref="E839">IF(H838&lt;&gt;"",E838,IF(E838="","",IFERROR(MATCH(TRUE(),INDEX(INDEX(K:K,E838+1):K203&lt;&gt;"",0),0)+E838,"")))</f>
        <v>981</v>
      </c>
      <c r="F839" s="117" cm="1">
        <f t="array" ref="F839">IF(E839="","",IF(H838&lt;&gt;"",H838,INDEX(D:D,E839)))</f>
        <v>0</v>
      </c>
      <c r="G839" s="117" t="str">
        <f t="shared" si="81"/>
        <v>0</v>
      </c>
      <c r="H839" s="118" t="str">
        <f t="shared" si="82"/>
        <v/>
      </c>
      <c r="I839" s="116" t="str">
        <f>IF(AND(F839&lt;&gt;"",N10&gt;0,M839&gt;N10),"Mot &gt; limite","")</f>
        <v/>
      </c>
      <c r="M839" s="70">
        <f>IF(OR(F839="",N10="",N10&lt;=0),"",IF(LEN(F839)&lt;=N10,LEN(F839),IFERROR(FIND("♦",SUBSTITUTE(LEFT(F839,N10)," ","♦",LEN(LEFT(F839,N10))-LEN(SUBSTITUTE(LEFT(F839,N10)," ","")))),FIND(" ",F839&amp;" ",N10+1)-1)))</f>
        <v>1</v>
      </c>
      <c r="N839" s="119">
        <f t="shared" si="83"/>
        <v>822</v>
      </c>
      <c r="O839" s="99" t="str">
        <f t="shared" si="84"/>
        <v>0</v>
      </c>
      <c r="P839" s="119">
        <f t="shared" si="85"/>
        <v>1</v>
      </c>
      <c r="Q839" s="119">
        <f t="shared" si="86"/>
        <v>1</v>
      </c>
    </row>
    <row r="840" spans="2:17">
      <c r="B840" s="116"/>
      <c r="C840" s="116"/>
      <c r="D840" s="116"/>
      <c r="E840" s="116" cm="1">
        <f t="array" ref="E840">IF(H839&lt;&gt;"",E839,IF(E839="","",IFERROR(MATCH(TRUE(),INDEX(INDEX(K:K,E839+1):K203&lt;&gt;"",0),0)+E839,"")))</f>
        <v>982</v>
      </c>
      <c r="F840" s="117" cm="1">
        <f t="array" ref="F840">IF(E840="","",IF(H839&lt;&gt;"",H839,INDEX(D:D,E840)))</f>
        <v>0</v>
      </c>
      <c r="G840" s="117" t="str">
        <f t="shared" si="81"/>
        <v>0</v>
      </c>
      <c r="H840" s="118" t="str">
        <f t="shared" si="82"/>
        <v/>
      </c>
      <c r="I840" s="116" t="str">
        <f>IF(AND(F840&lt;&gt;"",N10&gt;0,M840&gt;N10),"Mot &gt; limite","")</f>
        <v/>
      </c>
      <c r="M840" s="70">
        <f>IF(OR(F840="",N10="",N10&lt;=0),"",IF(LEN(F840)&lt;=N10,LEN(F840),IFERROR(FIND("♦",SUBSTITUTE(LEFT(F840,N10)," ","♦",LEN(LEFT(F840,N10))-LEN(SUBSTITUTE(LEFT(F840,N10)," ","")))),FIND(" ",F840&amp;" ",N10+1)-1)))</f>
        <v>1</v>
      </c>
      <c r="N840" s="119">
        <f t="shared" si="83"/>
        <v>823</v>
      </c>
      <c r="O840" s="99" t="str">
        <f t="shared" si="84"/>
        <v>0</v>
      </c>
      <c r="P840" s="119">
        <f t="shared" si="85"/>
        <v>1</v>
      </c>
      <c r="Q840" s="119">
        <f t="shared" si="86"/>
        <v>1</v>
      </c>
    </row>
    <row r="841" spans="2:17">
      <c r="B841" s="116"/>
      <c r="C841" s="116"/>
      <c r="D841" s="116"/>
      <c r="E841" s="116" cm="1">
        <f t="array" ref="E841">IF(H840&lt;&gt;"",E840,IF(E840="","",IFERROR(MATCH(TRUE(),INDEX(INDEX(K:K,E840+1):K203&lt;&gt;"",0),0)+E840,"")))</f>
        <v>983</v>
      </c>
      <c r="F841" s="117" cm="1">
        <f t="array" ref="F841">IF(E841="","",IF(H840&lt;&gt;"",H840,INDEX(D:D,E841)))</f>
        <v>0</v>
      </c>
      <c r="G841" s="117" t="str">
        <f t="shared" si="81"/>
        <v>0</v>
      </c>
      <c r="H841" s="118" t="str">
        <f t="shared" si="82"/>
        <v/>
      </c>
      <c r="I841" s="116" t="str">
        <f>IF(AND(F841&lt;&gt;"",N10&gt;0,M841&gt;N10),"Mot &gt; limite","")</f>
        <v/>
      </c>
      <c r="M841" s="70">
        <f>IF(OR(F841="",N10="",N10&lt;=0),"",IF(LEN(F841)&lt;=N10,LEN(F841),IFERROR(FIND("♦",SUBSTITUTE(LEFT(F841,N10)," ","♦",LEN(LEFT(F841,N10))-LEN(SUBSTITUTE(LEFT(F841,N10)," ","")))),FIND(" ",F841&amp;" ",N10+1)-1)))</f>
        <v>1</v>
      </c>
      <c r="N841" s="119">
        <f t="shared" si="83"/>
        <v>824</v>
      </c>
      <c r="O841" s="99" t="str">
        <f t="shared" si="84"/>
        <v>0</v>
      </c>
      <c r="P841" s="119">
        <f t="shared" si="85"/>
        <v>1</v>
      </c>
      <c r="Q841" s="119">
        <f t="shared" si="86"/>
        <v>1</v>
      </c>
    </row>
    <row r="842" spans="2:17">
      <c r="B842" s="116"/>
      <c r="C842" s="116"/>
      <c r="D842" s="116"/>
      <c r="E842" s="116" cm="1">
        <f t="array" ref="E842">IF(H841&lt;&gt;"",E841,IF(E841="","",IFERROR(MATCH(TRUE(),INDEX(INDEX(K:K,E841+1):K203&lt;&gt;"",0),0)+E841,"")))</f>
        <v>984</v>
      </c>
      <c r="F842" s="117" cm="1">
        <f t="array" ref="F842">IF(E842="","",IF(H841&lt;&gt;"",H841,INDEX(D:D,E842)))</f>
        <v>0</v>
      </c>
      <c r="G842" s="117" t="str">
        <f t="shared" si="81"/>
        <v>0</v>
      </c>
      <c r="H842" s="118" t="str">
        <f t="shared" si="82"/>
        <v/>
      </c>
      <c r="I842" s="116" t="str">
        <f>IF(AND(F842&lt;&gt;"",N10&gt;0,M842&gt;N10),"Mot &gt; limite","")</f>
        <v/>
      </c>
      <c r="M842" s="70">
        <f>IF(OR(F842="",N10="",N10&lt;=0),"",IF(LEN(F842)&lt;=N10,LEN(F842),IFERROR(FIND("♦",SUBSTITUTE(LEFT(F842,N10)," ","♦",LEN(LEFT(F842,N10))-LEN(SUBSTITUTE(LEFT(F842,N10)," ","")))),FIND(" ",F842&amp;" ",N10+1)-1)))</f>
        <v>1</v>
      </c>
      <c r="N842" s="119">
        <f t="shared" si="83"/>
        <v>825</v>
      </c>
      <c r="O842" s="99" t="str">
        <f t="shared" si="84"/>
        <v>0</v>
      </c>
      <c r="P842" s="119">
        <f t="shared" si="85"/>
        <v>1</v>
      </c>
      <c r="Q842" s="119">
        <f t="shared" si="86"/>
        <v>1</v>
      </c>
    </row>
    <row r="843" spans="2:17">
      <c r="B843" s="116"/>
      <c r="C843" s="116"/>
      <c r="D843" s="116"/>
      <c r="E843" s="116" cm="1">
        <f t="array" ref="E843">IF(H842&lt;&gt;"",E842,IF(E842="","",IFERROR(MATCH(TRUE(),INDEX(INDEX(K:K,E842+1):K203&lt;&gt;"",0),0)+E842,"")))</f>
        <v>985</v>
      </c>
      <c r="F843" s="117" cm="1">
        <f t="array" ref="F843">IF(E843="","",IF(H842&lt;&gt;"",H842,INDEX(D:D,E843)))</f>
        <v>0</v>
      </c>
      <c r="G843" s="117" t="str">
        <f t="shared" si="81"/>
        <v>0</v>
      </c>
      <c r="H843" s="118" t="str">
        <f t="shared" si="82"/>
        <v/>
      </c>
      <c r="I843" s="116" t="str">
        <f>IF(AND(F843&lt;&gt;"",N10&gt;0,M843&gt;N10),"Mot &gt; limite","")</f>
        <v/>
      </c>
      <c r="M843" s="70">
        <f>IF(OR(F843="",N10="",N10&lt;=0),"",IF(LEN(F843)&lt;=N10,LEN(F843),IFERROR(FIND("♦",SUBSTITUTE(LEFT(F843,N10)," ","♦",LEN(LEFT(F843,N10))-LEN(SUBSTITUTE(LEFT(F843,N10)," ","")))),FIND(" ",F843&amp;" ",N10+1)-1)))</f>
        <v>1</v>
      </c>
      <c r="N843" s="119">
        <f t="shared" si="83"/>
        <v>826</v>
      </c>
      <c r="O843" s="99" t="str">
        <f t="shared" si="84"/>
        <v>0</v>
      </c>
      <c r="P843" s="119">
        <f t="shared" si="85"/>
        <v>1</v>
      </c>
      <c r="Q843" s="119">
        <f t="shared" si="86"/>
        <v>1</v>
      </c>
    </row>
    <row r="844" spans="2:17">
      <c r="B844" s="116"/>
      <c r="C844" s="116"/>
      <c r="D844" s="116"/>
      <c r="E844" s="116" cm="1">
        <f t="array" ref="E844">IF(H843&lt;&gt;"",E843,IF(E843="","",IFERROR(MATCH(TRUE(),INDEX(INDEX(K:K,E843+1):K203&lt;&gt;"",0),0)+E843,"")))</f>
        <v>986</v>
      </c>
      <c r="F844" s="117" cm="1">
        <f t="array" ref="F844">IF(E844="","",IF(H843&lt;&gt;"",H843,INDEX(D:D,E844)))</f>
        <v>0</v>
      </c>
      <c r="G844" s="117" t="str">
        <f t="shared" si="81"/>
        <v>0</v>
      </c>
      <c r="H844" s="118" t="str">
        <f t="shared" si="82"/>
        <v/>
      </c>
      <c r="I844" s="116" t="str">
        <f>IF(AND(F844&lt;&gt;"",N10&gt;0,M844&gt;N10),"Mot &gt; limite","")</f>
        <v/>
      </c>
      <c r="M844" s="70">
        <f>IF(OR(F844="",N10="",N10&lt;=0),"",IF(LEN(F844)&lt;=N10,LEN(F844),IFERROR(FIND("♦",SUBSTITUTE(LEFT(F844,N10)," ","♦",LEN(LEFT(F844,N10))-LEN(SUBSTITUTE(LEFT(F844,N10)," ","")))),FIND(" ",F844&amp;" ",N10+1)-1)))</f>
        <v>1</v>
      </c>
      <c r="N844" s="119">
        <f t="shared" si="83"/>
        <v>827</v>
      </c>
      <c r="O844" s="99" t="str">
        <f t="shared" si="84"/>
        <v>0</v>
      </c>
      <c r="P844" s="119">
        <f t="shared" si="85"/>
        <v>1</v>
      </c>
      <c r="Q844" s="119">
        <f t="shared" si="86"/>
        <v>1</v>
      </c>
    </row>
    <row r="845" spans="2:17">
      <c r="B845" s="116"/>
      <c r="C845" s="116"/>
      <c r="D845" s="116"/>
      <c r="E845" s="116" cm="1">
        <f t="array" ref="E845">IF(H844&lt;&gt;"",E844,IF(E844="","",IFERROR(MATCH(TRUE(),INDEX(INDEX(K:K,E844+1):K203&lt;&gt;"",0),0)+E844,"")))</f>
        <v>987</v>
      </c>
      <c r="F845" s="117" cm="1">
        <f t="array" ref="F845">IF(E845="","",IF(H844&lt;&gt;"",H844,INDEX(D:D,E845)))</f>
        <v>0</v>
      </c>
      <c r="G845" s="117" t="str">
        <f t="shared" si="81"/>
        <v>0</v>
      </c>
      <c r="H845" s="118" t="str">
        <f t="shared" si="82"/>
        <v/>
      </c>
      <c r="I845" s="116" t="str">
        <f>IF(AND(F845&lt;&gt;"",N10&gt;0,M845&gt;N10),"Mot &gt; limite","")</f>
        <v/>
      </c>
      <c r="M845" s="70">
        <f>IF(OR(F845="",N10="",N10&lt;=0),"",IF(LEN(F845)&lt;=N10,LEN(F845),IFERROR(FIND("♦",SUBSTITUTE(LEFT(F845,N10)," ","♦",LEN(LEFT(F845,N10))-LEN(SUBSTITUTE(LEFT(F845,N10)," ","")))),FIND(" ",F845&amp;" ",N10+1)-1)))</f>
        <v>1</v>
      </c>
      <c r="N845" s="119">
        <f t="shared" si="83"/>
        <v>828</v>
      </c>
      <c r="O845" s="99" t="str">
        <f t="shared" si="84"/>
        <v>0</v>
      </c>
      <c r="P845" s="119">
        <f t="shared" si="85"/>
        <v>1</v>
      </c>
      <c r="Q845" s="119">
        <f t="shared" si="86"/>
        <v>1</v>
      </c>
    </row>
    <row r="846" spans="2:17">
      <c r="B846" s="116"/>
      <c r="C846" s="116"/>
      <c r="D846" s="116"/>
      <c r="E846" s="116" cm="1">
        <f t="array" ref="E846">IF(H845&lt;&gt;"",E845,IF(E845="","",IFERROR(MATCH(TRUE(),INDEX(INDEX(K:K,E845+1):K203&lt;&gt;"",0),0)+E845,"")))</f>
        <v>988</v>
      </c>
      <c r="F846" s="117" cm="1">
        <f t="array" ref="F846">IF(E846="","",IF(H845&lt;&gt;"",H845,INDEX(D:D,E846)))</f>
        <v>0</v>
      </c>
      <c r="G846" s="117" t="str">
        <f t="shared" si="81"/>
        <v>0</v>
      </c>
      <c r="H846" s="118" t="str">
        <f t="shared" si="82"/>
        <v/>
      </c>
      <c r="I846" s="116" t="str">
        <f>IF(AND(F846&lt;&gt;"",N10&gt;0,M846&gt;N10),"Mot &gt; limite","")</f>
        <v/>
      </c>
      <c r="M846" s="70">
        <f>IF(OR(F846="",N10="",N10&lt;=0),"",IF(LEN(F846)&lt;=N10,LEN(F846),IFERROR(FIND("♦",SUBSTITUTE(LEFT(F846,N10)," ","♦",LEN(LEFT(F846,N10))-LEN(SUBSTITUTE(LEFT(F846,N10)," ","")))),FIND(" ",F846&amp;" ",N10+1)-1)))</f>
        <v>1</v>
      </c>
      <c r="N846" s="119">
        <f t="shared" si="83"/>
        <v>829</v>
      </c>
      <c r="O846" s="99" t="str">
        <f t="shared" si="84"/>
        <v>0</v>
      </c>
      <c r="P846" s="119">
        <f t="shared" si="85"/>
        <v>1</v>
      </c>
      <c r="Q846" s="119">
        <f t="shared" si="86"/>
        <v>1</v>
      </c>
    </row>
    <row r="847" spans="2:17">
      <c r="B847" s="116"/>
      <c r="C847" s="116"/>
      <c r="D847" s="116"/>
      <c r="E847" s="116" cm="1">
        <f t="array" ref="E847">IF(H846&lt;&gt;"",E846,IF(E846="","",IFERROR(MATCH(TRUE(),INDEX(INDEX(K:K,E846+1):K203&lt;&gt;"",0),0)+E846,"")))</f>
        <v>989</v>
      </c>
      <c r="F847" s="117" cm="1">
        <f t="array" ref="F847">IF(E847="","",IF(H846&lt;&gt;"",H846,INDEX(D:D,E847)))</f>
        <v>0</v>
      </c>
      <c r="G847" s="117" t="str">
        <f t="shared" si="81"/>
        <v>0</v>
      </c>
      <c r="H847" s="118" t="str">
        <f t="shared" si="82"/>
        <v/>
      </c>
      <c r="I847" s="116" t="str">
        <f>IF(AND(F847&lt;&gt;"",N10&gt;0,M847&gt;N10),"Mot &gt; limite","")</f>
        <v/>
      </c>
      <c r="M847" s="70">
        <f>IF(OR(F847="",N10="",N10&lt;=0),"",IF(LEN(F847)&lt;=N10,LEN(F847),IFERROR(FIND("♦",SUBSTITUTE(LEFT(F847,N10)," ","♦",LEN(LEFT(F847,N10))-LEN(SUBSTITUTE(LEFT(F847,N10)," ","")))),FIND(" ",F847&amp;" ",N10+1)-1)))</f>
        <v>1</v>
      </c>
      <c r="N847" s="119">
        <f t="shared" si="83"/>
        <v>830</v>
      </c>
      <c r="O847" s="99" t="str">
        <f t="shared" si="84"/>
        <v>0</v>
      </c>
      <c r="P847" s="119">
        <f t="shared" si="85"/>
        <v>1</v>
      </c>
      <c r="Q847" s="119">
        <f t="shared" si="86"/>
        <v>1</v>
      </c>
    </row>
    <row r="848" spans="2:17">
      <c r="B848" s="116"/>
      <c r="C848" s="116"/>
      <c r="D848" s="116"/>
      <c r="E848" s="116" cm="1">
        <f t="array" ref="E848">IF(H847&lt;&gt;"",E847,IF(E847="","",IFERROR(MATCH(TRUE(),INDEX(INDEX(K:K,E847+1):K203&lt;&gt;"",0),0)+E847,"")))</f>
        <v>990</v>
      </c>
      <c r="F848" s="117" cm="1">
        <f t="array" ref="F848">IF(E848="","",IF(H847&lt;&gt;"",H847,INDEX(D:D,E848)))</f>
        <v>0</v>
      </c>
      <c r="G848" s="117" t="str">
        <f t="shared" si="81"/>
        <v>0</v>
      </c>
      <c r="H848" s="118" t="str">
        <f t="shared" si="82"/>
        <v/>
      </c>
      <c r="I848" s="116" t="str">
        <f>IF(AND(F848&lt;&gt;"",N10&gt;0,M848&gt;N10),"Mot &gt; limite","")</f>
        <v/>
      </c>
      <c r="M848" s="70">
        <f>IF(OR(F848="",N10="",N10&lt;=0),"",IF(LEN(F848)&lt;=N10,LEN(F848),IFERROR(FIND("♦",SUBSTITUTE(LEFT(F848,N10)," ","♦",LEN(LEFT(F848,N10))-LEN(SUBSTITUTE(LEFT(F848,N10)," ","")))),FIND(" ",F848&amp;" ",N10+1)-1)))</f>
        <v>1</v>
      </c>
      <c r="N848" s="119">
        <f t="shared" si="83"/>
        <v>831</v>
      </c>
      <c r="O848" s="99" t="str">
        <f t="shared" si="84"/>
        <v>0</v>
      </c>
      <c r="P848" s="119">
        <f t="shared" si="85"/>
        <v>1</v>
      </c>
      <c r="Q848" s="119">
        <f t="shared" si="86"/>
        <v>1</v>
      </c>
    </row>
    <row r="849" spans="2:17">
      <c r="B849" s="116"/>
      <c r="C849" s="116"/>
      <c r="D849" s="116"/>
      <c r="E849" s="116" cm="1">
        <f t="array" ref="E849">IF(H848&lt;&gt;"",E848,IF(E848="","",IFERROR(MATCH(TRUE(),INDEX(INDEX(K:K,E848+1):K203&lt;&gt;"",0),0)+E848,"")))</f>
        <v>991</v>
      </c>
      <c r="F849" s="117" cm="1">
        <f t="array" ref="F849">IF(E849="","",IF(H848&lt;&gt;"",H848,INDEX(D:D,E849)))</f>
        <v>0</v>
      </c>
      <c r="G849" s="117" t="str">
        <f t="shared" si="81"/>
        <v>0</v>
      </c>
      <c r="H849" s="118" t="str">
        <f t="shared" si="82"/>
        <v/>
      </c>
      <c r="I849" s="116" t="str">
        <f>IF(AND(F849&lt;&gt;"",N10&gt;0,M849&gt;N10),"Mot &gt; limite","")</f>
        <v/>
      </c>
      <c r="M849" s="70">
        <f>IF(OR(F849="",N10="",N10&lt;=0),"",IF(LEN(F849)&lt;=N10,LEN(F849),IFERROR(FIND("♦",SUBSTITUTE(LEFT(F849,N10)," ","♦",LEN(LEFT(F849,N10))-LEN(SUBSTITUTE(LEFT(F849,N10)," ","")))),FIND(" ",F849&amp;" ",N10+1)-1)))</f>
        <v>1</v>
      </c>
      <c r="N849" s="119">
        <f t="shared" si="83"/>
        <v>832</v>
      </c>
      <c r="O849" s="99" t="str">
        <f t="shared" si="84"/>
        <v>0</v>
      </c>
      <c r="P849" s="119">
        <f t="shared" si="85"/>
        <v>1</v>
      </c>
      <c r="Q849" s="119">
        <f t="shared" si="86"/>
        <v>1</v>
      </c>
    </row>
    <row r="850" spans="2:17">
      <c r="B850" s="116"/>
      <c r="C850" s="116"/>
      <c r="D850" s="116"/>
      <c r="E850" s="116" cm="1">
        <f t="array" ref="E850">IF(H849&lt;&gt;"",E849,IF(E849="","",IFERROR(MATCH(TRUE(),INDEX(INDEX(K:K,E849+1):K203&lt;&gt;"",0),0)+E849,"")))</f>
        <v>992</v>
      </c>
      <c r="F850" s="117" cm="1">
        <f t="array" ref="F850">IF(E850="","",IF(H849&lt;&gt;"",H849,INDEX(D:D,E850)))</f>
        <v>0</v>
      </c>
      <c r="G850" s="117" t="str">
        <f t="shared" ref="G850:G913" si="87">IF(OR(F850="",M850=""),"",LEFT(F850,M850))</f>
        <v>0</v>
      </c>
      <c r="H850" s="118" t="str">
        <f t="shared" ref="H850:H913" si="88">IF(OR(F850="",M850=""),"",TRIM(MID(F850,M850+1,99999)))</f>
        <v/>
      </c>
      <c r="I850" s="116" t="str">
        <f>IF(AND(F850&lt;&gt;"",N10&gt;0,M850&gt;N10),"Mot &gt; limite","")</f>
        <v/>
      </c>
      <c r="M850" s="70">
        <f>IF(OR(F850="",N10="",N10&lt;=0),"",IF(LEN(F850)&lt;=N10,LEN(F850),IFERROR(FIND("♦",SUBSTITUTE(LEFT(F850,N10)," ","♦",LEN(LEFT(F850,N10))-LEN(SUBSTITUTE(LEFT(F850,N10)," ","")))),FIND(" ",F850&amp;" ",N10+1)-1)))</f>
        <v>1</v>
      </c>
      <c r="N850" s="119">
        <f t="shared" ref="N850:N913" si="89">IF(O850="","",ROW()-17)</f>
        <v>833</v>
      </c>
      <c r="O850" s="99" t="str">
        <f t="shared" ref="O850:O913" si="90">G850</f>
        <v>0</v>
      </c>
      <c r="P850" s="119">
        <f t="shared" ref="P850:P913" si="91">IF(O850="","",LEN(TRIM(O850))-LEN(SUBSTITUTE(TRIM(O850)," ",""))+1)</f>
        <v>1</v>
      </c>
      <c r="Q850" s="119">
        <f t="shared" ref="Q850:Q913" si="92">IF(O850="","",LEN(O850))</f>
        <v>1</v>
      </c>
    </row>
    <row r="851" spans="2:17">
      <c r="B851" s="116"/>
      <c r="C851" s="116"/>
      <c r="D851" s="116"/>
      <c r="E851" s="116" cm="1">
        <f t="array" ref="E851">IF(H850&lt;&gt;"",E850,IF(E850="","",IFERROR(MATCH(TRUE(),INDEX(INDEX(K:K,E850+1):K203&lt;&gt;"",0),0)+E850,"")))</f>
        <v>993</v>
      </c>
      <c r="F851" s="117" cm="1">
        <f t="array" ref="F851">IF(E851="","",IF(H850&lt;&gt;"",H850,INDEX(D:D,E851)))</f>
        <v>0</v>
      </c>
      <c r="G851" s="117" t="str">
        <f t="shared" si="87"/>
        <v>0</v>
      </c>
      <c r="H851" s="118" t="str">
        <f t="shared" si="88"/>
        <v/>
      </c>
      <c r="I851" s="116" t="str">
        <f>IF(AND(F851&lt;&gt;"",N10&gt;0,M851&gt;N10),"Mot &gt; limite","")</f>
        <v/>
      </c>
      <c r="M851" s="70">
        <f>IF(OR(F851="",N10="",N10&lt;=0),"",IF(LEN(F851)&lt;=N10,LEN(F851),IFERROR(FIND("♦",SUBSTITUTE(LEFT(F851,N10)," ","♦",LEN(LEFT(F851,N10))-LEN(SUBSTITUTE(LEFT(F851,N10)," ","")))),FIND(" ",F851&amp;" ",N10+1)-1)))</f>
        <v>1</v>
      </c>
      <c r="N851" s="119">
        <f t="shared" si="89"/>
        <v>834</v>
      </c>
      <c r="O851" s="99" t="str">
        <f t="shared" si="90"/>
        <v>0</v>
      </c>
      <c r="P851" s="119">
        <f t="shared" si="91"/>
        <v>1</v>
      </c>
      <c r="Q851" s="119">
        <f t="shared" si="92"/>
        <v>1</v>
      </c>
    </row>
    <row r="852" spans="2:17">
      <c r="B852" s="116"/>
      <c r="C852" s="116"/>
      <c r="D852" s="116"/>
      <c r="E852" s="116" cm="1">
        <f t="array" ref="E852">IF(H851&lt;&gt;"",E851,IF(E851="","",IFERROR(MATCH(TRUE(),INDEX(INDEX(K:K,E851+1):K203&lt;&gt;"",0),0)+E851,"")))</f>
        <v>994</v>
      </c>
      <c r="F852" s="117" cm="1">
        <f t="array" ref="F852">IF(E852="","",IF(H851&lt;&gt;"",H851,INDEX(D:D,E852)))</f>
        <v>0</v>
      </c>
      <c r="G852" s="117" t="str">
        <f t="shared" si="87"/>
        <v>0</v>
      </c>
      <c r="H852" s="118" t="str">
        <f t="shared" si="88"/>
        <v/>
      </c>
      <c r="I852" s="116" t="str">
        <f>IF(AND(F852&lt;&gt;"",N10&gt;0,M852&gt;N10),"Mot &gt; limite","")</f>
        <v/>
      </c>
      <c r="M852" s="70">
        <f>IF(OR(F852="",N10="",N10&lt;=0),"",IF(LEN(F852)&lt;=N10,LEN(F852),IFERROR(FIND("♦",SUBSTITUTE(LEFT(F852,N10)," ","♦",LEN(LEFT(F852,N10))-LEN(SUBSTITUTE(LEFT(F852,N10)," ","")))),FIND(" ",F852&amp;" ",N10+1)-1)))</f>
        <v>1</v>
      </c>
      <c r="N852" s="119">
        <f t="shared" si="89"/>
        <v>835</v>
      </c>
      <c r="O852" s="99" t="str">
        <f t="shared" si="90"/>
        <v>0</v>
      </c>
      <c r="P852" s="119">
        <f t="shared" si="91"/>
        <v>1</v>
      </c>
      <c r="Q852" s="119">
        <f t="shared" si="92"/>
        <v>1</v>
      </c>
    </row>
    <row r="853" spans="2:17">
      <c r="B853" s="116"/>
      <c r="C853" s="116"/>
      <c r="D853" s="116"/>
      <c r="E853" s="116" cm="1">
        <f t="array" ref="E853">IF(H852&lt;&gt;"",E852,IF(E852="","",IFERROR(MATCH(TRUE(),INDEX(INDEX(K:K,E852+1):K203&lt;&gt;"",0),0)+E852,"")))</f>
        <v>995</v>
      </c>
      <c r="F853" s="117" cm="1">
        <f t="array" ref="F853">IF(E853="","",IF(H852&lt;&gt;"",H852,INDEX(D:D,E853)))</f>
        <v>0</v>
      </c>
      <c r="G853" s="117" t="str">
        <f t="shared" si="87"/>
        <v>0</v>
      </c>
      <c r="H853" s="118" t="str">
        <f t="shared" si="88"/>
        <v/>
      </c>
      <c r="I853" s="116" t="str">
        <f>IF(AND(F853&lt;&gt;"",N10&gt;0,M853&gt;N10),"Mot &gt; limite","")</f>
        <v/>
      </c>
      <c r="M853" s="70">
        <f>IF(OR(F853="",N10="",N10&lt;=0),"",IF(LEN(F853)&lt;=N10,LEN(F853),IFERROR(FIND("♦",SUBSTITUTE(LEFT(F853,N10)," ","♦",LEN(LEFT(F853,N10))-LEN(SUBSTITUTE(LEFT(F853,N10)," ","")))),FIND(" ",F853&amp;" ",N10+1)-1)))</f>
        <v>1</v>
      </c>
      <c r="N853" s="119">
        <f t="shared" si="89"/>
        <v>836</v>
      </c>
      <c r="O853" s="99" t="str">
        <f t="shared" si="90"/>
        <v>0</v>
      </c>
      <c r="P853" s="119">
        <f t="shared" si="91"/>
        <v>1</v>
      </c>
      <c r="Q853" s="119">
        <f t="shared" si="92"/>
        <v>1</v>
      </c>
    </row>
    <row r="854" spans="2:17">
      <c r="B854" s="116"/>
      <c r="C854" s="116"/>
      <c r="D854" s="116"/>
      <c r="E854" s="116" cm="1">
        <f t="array" ref="E854">IF(H853&lt;&gt;"",E853,IF(E853="","",IFERROR(MATCH(TRUE(),INDEX(INDEX(K:K,E853+1):K203&lt;&gt;"",0),0)+E853,"")))</f>
        <v>996</v>
      </c>
      <c r="F854" s="117" cm="1">
        <f t="array" ref="F854">IF(E854="","",IF(H853&lt;&gt;"",H853,INDEX(D:D,E854)))</f>
        <v>0</v>
      </c>
      <c r="G854" s="117" t="str">
        <f t="shared" si="87"/>
        <v>0</v>
      </c>
      <c r="H854" s="118" t="str">
        <f t="shared" si="88"/>
        <v/>
      </c>
      <c r="I854" s="116" t="str">
        <f>IF(AND(F854&lt;&gt;"",N10&gt;0,M854&gt;N10),"Mot &gt; limite","")</f>
        <v/>
      </c>
      <c r="M854" s="70">
        <f>IF(OR(F854="",N10="",N10&lt;=0),"",IF(LEN(F854)&lt;=N10,LEN(F854),IFERROR(FIND("♦",SUBSTITUTE(LEFT(F854,N10)," ","♦",LEN(LEFT(F854,N10))-LEN(SUBSTITUTE(LEFT(F854,N10)," ","")))),FIND(" ",F854&amp;" ",N10+1)-1)))</f>
        <v>1</v>
      </c>
      <c r="N854" s="119">
        <f t="shared" si="89"/>
        <v>837</v>
      </c>
      <c r="O854" s="99" t="str">
        <f t="shared" si="90"/>
        <v>0</v>
      </c>
      <c r="P854" s="119">
        <f t="shared" si="91"/>
        <v>1</v>
      </c>
      <c r="Q854" s="119">
        <f t="shared" si="92"/>
        <v>1</v>
      </c>
    </row>
    <row r="855" spans="2:17">
      <c r="B855" s="116"/>
      <c r="C855" s="116"/>
      <c r="D855" s="116"/>
      <c r="E855" s="116" cm="1">
        <f t="array" ref="E855">IF(H854&lt;&gt;"",E854,IF(E854="","",IFERROR(MATCH(TRUE(),INDEX(INDEX(K:K,E854+1):K203&lt;&gt;"",0),0)+E854,"")))</f>
        <v>997</v>
      </c>
      <c r="F855" s="117" cm="1">
        <f t="array" ref="F855">IF(E855="","",IF(H854&lt;&gt;"",H854,INDEX(D:D,E855)))</f>
        <v>0</v>
      </c>
      <c r="G855" s="117" t="str">
        <f t="shared" si="87"/>
        <v>0</v>
      </c>
      <c r="H855" s="118" t="str">
        <f t="shared" si="88"/>
        <v/>
      </c>
      <c r="I855" s="116" t="str">
        <f>IF(AND(F855&lt;&gt;"",N10&gt;0,M855&gt;N10),"Mot &gt; limite","")</f>
        <v/>
      </c>
      <c r="M855" s="70">
        <f>IF(OR(F855="",N10="",N10&lt;=0),"",IF(LEN(F855)&lt;=N10,LEN(F855),IFERROR(FIND("♦",SUBSTITUTE(LEFT(F855,N10)," ","♦",LEN(LEFT(F855,N10))-LEN(SUBSTITUTE(LEFT(F855,N10)," ","")))),FIND(" ",F855&amp;" ",N10+1)-1)))</f>
        <v>1</v>
      </c>
      <c r="N855" s="119">
        <f t="shared" si="89"/>
        <v>838</v>
      </c>
      <c r="O855" s="99" t="str">
        <f t="shared" si="90"/>
        <v>0</v>
      </c>
      <c r="P855" s="119">
        <f t="shared" si="91"/>
        <v>1</v>
      </c>
      <c r="Q855" s="119">
        <f t="shared" si="92"/>
        <v>1</v>
      </c>
    </row>
    <row r="856" spans="2:17">
      <c r="B856" s="116"/>
      <c r="C856" s="116"/>
      <c r="D856" s="116"/>
      <c r="E856" s="116" cm="1">
        <f t="array" ref="E856">IF(H855&lt;&gt;"",E855,IF(E855="","",IFERROR(MATCH(TRUE(),INDEX(INDEX(K:K,E855+1):K203&lt;&gt;"",0),0)+E855,"")))</f>
        <v>998</v>
      </c>
      <c r="F856" s="117" cm="1">
        <f t="array" ref="F856">IF(E856="","",IF(H855&lt;&gt;"",H855,INDEX(D:D,E856)))</f>
        <v>0</v>
      </c>
      <c r="G856" s="117" t="str">
        <f t="shared" si="87"/>
        <v>0</v>
      </c>
      <c r="H856" s="118" t="str">
        <f t="shared" si="88"/>
        <v/>
      </c>
      <c r="I856" s="116" t="str">
        <f>IF(AND(F856&lt;&gt;"",N10&gt;0,M856&gt;N10),"Mot &gt; limite","")</f>
        <v/>
      </c>
      <c r="M856" s="70">
        <f>IF(OR(F856="",N10="",N10&lt;=0),"",IF(LEN(F856)&lt;=N10,LEN(F856),IFERROR(FIND("♦",SUBSTITUTE(LEFT(F856,N10)," ","♦",LEN(LEFT(F856,N10))-LEN(SUBSTITUTE(LEFT(F856,N10)," ","")))),FIND(" ",F856&amp;" ",N10+1)-1)))</f>
        <v>1</v>
      </c>
      <c r="N856" s="119">
        <f t="shared" si="89"/>
        <v>839</v>
      </c>
      <c r="O856" s="99" t="str">
        <f t="shared" si="90"/>
        <v>0</v>
      </c>
      <c r="P856" s="119">
        <f t="shared" si="91"/>
        <v>1</v>
      </c>
      <c r="Q856" s="119">
        <f t="shared" si="92"/>
        <v>1</v>
      </c>
    </row>
    <row r="857" spans="2:17">
      <c r="B857" s="116"/>
      <c r="C857" s="116"/>
      <c r="D857" s="116"/>
      <c r="E857" s="116" cm="1">
        <f t="array" ref="E857">IF(H856&lt;&gt;"",E856,IF(E856="","",IFERROR(MATCH(TRUE(),INDEX(INDEX(K:K,E856+1):K203&lt;&gt;"",0),0)+E856,"")))</f>
        <v>999</v>
      </c>
      <c r="F857" s="117" cm="1">
        <f t="array" ref="F857">IF(E857="","",IF(H856&lt;&gt;"",H856,INDEX(D:D,E857)))</f>
        <v>0</v>
      </c>
      <c r="G857" s="117" t="str">
        <f t="shared" si="87"/>
        <v>0</v>
      </c>
      <c r="H857" s="118" t="str">
        <f t="shared" si="88"/>
        <v/>
      </c>
      <c r="I857" s="116" t="str">
        <f>IF(AND(F857&lt;&gt;"",N10&gt;0,M857&gt;N10),"Mot &gt; limite","")</f>
        <v/>
      </c>
      <c r="M857" s="70">
        <f>IF(OR(F857="",N10="",N10&lt;=0),"",IF(LEN(F857)&lt;=N10,LEN(F857),IFERROR(FIND("♦",SUBSTITUTE(LEFT(F857,N10)," ","♦",LEN(LEFT(F857,N10))-LEN(SUBSTITUTE(LEFT(F857,N10)," ","")))),FIND(" ",F857&amp;" ",N10+1)-1)))</f>
        <v>1</v>
      </c>
      <c r="N857" s="119">
        <f t="shared" si="89"/>
        <v>840</v>
      </c>
      <c r="O857" s="99" t="str">
        <f t="shared" si="90"/>
        <v>0</v>
      </c>
      <c r="P857" s="119">
        <f t="shared" si="91"/>
        <v>1</v>
      </c>
      <c r="Q857" s="119">
        <f t="shared" si="92"/>
        <v>1</v>
      </c>
    </row>
    <row r="858" spans="2:17">
      <c r="B858" s="116"/>
      <c r="C858" s="116"/>
      <c r="D858" s="116"/>
      <c r="E858" s="116" cm="1">
        <f t="array" ref="E858">IF(H857&lt;&gt;"",E857,IF(E857="","",IFERROR(MATCH(TRUE(),INDEX(INDEX(K:K,E857+1):K203&lt;&gt;"",0),0)+E857,"")))</f>
        <v>1000</v>
      </c>
      <c r="F858" s="117" cm="1">
        <f t="array" ref="F858">IF(E858="","",IF(H857&lt;&gt;"",H857,INDEX(D:D,E858)))</f>
        <v>0</v>
      </c>
      <c r="G858" s="117" t="str">
        <f t="shared" si="87"/>
        <v>0</v>
      </c>
      <c r="H858" s="118" t="str">
        <f t="shared" si="88"/>
        <v/>
      </c>
      <c r="I858" s="116" t="str">
        <f>IF(AND(F858&lt;&gt;"",N10&gt;0,M858&gt;N10),"Mot &gt; limite","")</f>
        <v/>
      </c>
      <c r="M858" s="70">
        <f>IF(OR(F858="",N10="",N10&lt;=0),"",IF(LEN(F858)&lt;=N10,LEN(F858),IFERROR(FIND("♦",SUBSTITUTE(LEFT(F858,N10)," ","♦",LEN(LEFT(F858,N10))-LEN(SUBSTITUTE(LEFT(F858,N10)," ","")))),FIND(" ",F858&amp;" ",N10+1)-1)))</f>
        <v>1</v>
      </c>
      <c r="N858" s="119">
        <f t="shared" si="89"/>
        <v>841</v>
      </c>
      <c r="O858" s="99" t="str">
        <f t="shared" si="90"/>
        <v>0</v>
      </c>
      <c r="P858" s="119">
        <f t="shared" si="91"/>
        <v>1</v>
      </c>
      <c r="Q858" s="119">
        <f t="shared" si="92"/>
        <v>1</v>
      </c>
    </row>
    <row r="859" spans="2:17">
      <c r="B859" s="116"/>
      <c r="C859" s="116"/>
      <c r="D859" s="116"/>
      <c r="E859" s="116" cm="1">
        <f t="array" ref="E859">IF(H858&lt;&gt;"",E858,IF(E858="","",IFERROR(MATCH(TRUE(),INDEX(INDEX(K:K,E858+1):K203&lt;&gt;"",0),0)+E858,"")))</f>
        <v>1001</v>
      </c>
      <c r="F859" s="117" cm="1">
        <f t="array" ref="F859">IF(E859="","",IF(H858&lt;&gt;"",H858,INDEX(D:D,E859)))</f>
        <v>0</v>
      </c>
      <c r="G859" s="117" t="str">
        <f t="shared" si="87"/>
        <v>0</v>
      </c>
      <c r="H859" s="118" t="str">
        <f t="shared" si="88"/>
        <v/>
      </c>
      <c r="I859" s="116" t="str">
        <f>IF(AND(F859&lt;&gt;"",N10&gt;0,M859&gt;N10),"Mot &gt; limite","")</f>
        <v/>
      </c>
      <c r="M859" s="70">
        <f>IF(OR(F859="",N10="",N10&lt;=0),"",IF(LEN(F859)&lt;=N10,LEN(F859),IFERROR(FIND("♦",SUBSTITUTE(LEFT(F859,N10)," ","♦",LEN(LEFT(F859,N10))-LEN(SUBSTITUTE(LEFT(F859,N10)," ","")))),FIND(" ",F859&amp;" ",N10+1)-1)))</f>
        <v>1</v>
      </c>
      <c r="N859" s="119">
        <f t="shared" si="89"/>
        <v>842</v>
      </c>
      <c r="O859" s="99" t="str">
        <f t="shared" si="90"/>
        <v>0</v>
      </c>
      <c r="P859" s="119">
        <f t="shared" si="91"/>
        <v>1</v>
      </c>
      <c r="Q859" s="119">
        <f t="shared" si="92"/>
        <v>1</v>
      </c>
    </row>
    <row r="860" spans="2:17">
      <c r="B860" s="116"/>
      <c r="C860" s="116"/>
      <c r="D860" s="116"/>
      <c r="E860" s="116" cm="1">
        <f t="array" ref="E860">IF(H859&lt;&gt;"",E859,IF(E859="","",IFERROR(MATCH(TRUE(),INDEX(INDEX(K:K,E859+1):K203&lt;&gt;"",0),0)+E859,"")))</f>
        <v>1002</v>
      </c>
      <c r="F860" s="117" cm="1">
        <f t="array" ref="F860">IF(E860="","",IF(H859&lt;&gt;"",H859,INDEX(D:D,E860)))</f>
        <v>0</v>
      </c>
      <c r="G860" s="117" t="str">
        <f t="shared" si="87"/>
        <v>0</v>
      </c>
      <c r="H860" s="118" t="str">
        <f t="shared" si="88"/>
        <v/>
      </c>
      <c r="I860" s="116" t="str">
        <f>IF(AND(F860&lt;&gt;"",N10&gt;0,M860&gt;N10),"Mot &gt; limite","")</f>
        <v/>
      </c>
      <c r="M860" s="70">
        <f>IF(OR(F860="",N10="",N10&lt;=0),"",IF(LEN(F860)&lt;=N10,LEN(F860),IFERROR(FIND("♦",SUBSTITUTE(LEFT(F860,N10)," ","♦",LEN(LEFT(F860,N10))-LEN(SUBSTITUTE(LEFT(F860,N10)," ","")))),FIND(" ",F860&amp;" ",N10+1)-1)))</f>
        <v>1</v>
      </c>
      <c r="N860" s="119">
        <f t="shared" si="89"/>
        <v>843</v>
      </c>
      <c r="O860" s="99" t="str">
        <f t="shared" si="90"/>
        <v>0</v>
      </c>
      <c r="P860" s="119">
        <f t="shared" si="91"/>
        <v>1</v>
      </c>
      <c r="Q860" s="119">
        <f t="shared" si="92"/>
        <v>1</v>
      </c>
    </row>
    <row r="861" spans="2:17">
      <c r="B861" s="116"/>
      <c r="C861" s="116"/>
      <c r="D861" s="116"/>
      <c r="E861" s="116" cm="1">
        <f t="array" ref="E861">IF(H860&lt;&gt;"",E860,IF(E860="","",IFERROR(MATCH(TRUE(),INDEX(INDEX(K:K,E860+1):K203&lt;&gt;"",0),0)+E860,"")))</f>
        <v>1003</v>
      </c>
      <c r="F861" s="117" cm="1">
        <f t="array" ref="F861">IF(E861="","",IF(H860&lt;&gt;"",H860,INDEX(D:D,E861)))</f>
        <v>0</v>
      </c>
      <c r="G861" s="117" t="str">
        <f t="shared" si="87"/>
        <v>0</v>
      </c>
      <c r="H861" s="118" t="str">
        <f t="shared" si="88"/>
        <v/>
      </c>
      <c r="I861" s="116" t="str">
        <f>IF(AND(F861&lt;&gt;"",N10&gt;0,M861&gt;N10),"Mot &gt; limite","")</f>
        <v/>
      </c>
      <c r="M861" s="70">
        <f>IF(OR(F861="",N10="",N10&lt;=0),"",IF(LEN(F861)&lt;=N10,LEN(F861),IFERROR(FIND("♦",SUBSTITUTE(LEFT(F861,N10)," ","♦",LEN(LEFT(F861,N10))-LEN(SUBSTITUTE(LEFT(F861,N10)," ","")))),FIND(" ",F861&amp;" ",N10+1)-1)))</f>
        <v>1</v>
      </c>
      <c r="N861" s="119">
        <f t="shared" si="89"/>
        <v>844</v>
      </c>
      <c r="O861" s="99" t="str">
        <f t="shared" si="90"/>
        <v>0</v>
      </c>
      <c r="P861" s="119">
        <f t="shared" si="91"/>
        <v>1</v>
      </c>
      <c r="Q861" s="119">
        <f t="shared" si="92"/>
        <v>1</v>
      </c>
    </row>
    <row r="862" spans="2:17">
      <c r="B862" s="116"/>
      <c r="C862" s="116"/>
      <c r="D862" s="116"/>
      <c r="E862" s="116" cm="1">
        <f t="array" ref="E862">IF(H861&lt;&gt;"",E861,IF(E861="","",IFERROR(MATCH(TRUE(),INDEX(INDEX(K:K,E861+1):K203&lt;&gt;"",0),0)+E861,"")))</f>
        <v>1004</v>
      </c>
      <c r="F862" s="117" cm="1">
        <f t="array" ref="F862">IF(E862="","",IF(H861&lt;&gt;"",H861,INDEX(D:D,E862)))</f>
        <v>0</v>
      </c>
      <c r="G862" s="117" t="str">
        <f t="shared" si="87"/>
        <v>0</v>
      </c>
      <c r="H862" s="118" t="str">
        <f t="shared" si="88"/>
        <v/>
      </c>
      <c r="I862" s="116" t="str">
        <f>IF(AND(F862&lt;&gt;"",N10&gt;0,M862&gt;N10),"Mot &gt; limite","")</f>
        <v/>
      </c>
      <c r="M862" s="70">
        <f>IF(OR(F862="",N10="",N10&lt;=0),"",IF(LEN(F862)&lt;=N10,LEN(F862),IFERROR(FIND("♦",SUBSTITUTE(LEFT(F862,N10)," ","♦",LEN(LEFT(F862,N10))-LEN(SUBSTITUTE(LEFT(F862,N10)," ","")))),FIND(" ",F862&amp;" ",N10+1)-1)))</f>
        <v>1</v>
      </c>
      <c r="N862" s="119">
        <f t="shared" si="89"/>
        <v>845</v>
      </c>
      <c r="O862" s="99" t="str">
        <f t="shared" si="90"/>
        <v>0</v>
      </c>
      <c r="P862" s="119">
        <f t="shared" si="91"/>
        <v>1</v>
      </c>
      <c r="Q862" s="119">
        <f t="shared" si="92"/>
        <v>1</v>
      </c>
    </row>
    <row r="863" spans="2:17">
      <c r="B863" s="116"/>
      <c r="C863" s="116"/>
      <c r="D863" s="116"/>
      <c r="E863" s="116" cm="1">
        <f t="array" ref="E863">IF(H862&lt;&gt;"",E862,IF(E862="","",IFERROR(MATCH(TRUE(),INDEX(INDEX(K:K,E862+1):K203&lt;&gt;"",0),0)+E862,"")))</f>
        <v>1005</v>
      </c>
      <c r="F863" s="117" cm="1">
        <f t="array" ref="F863">IF(E863="","",IF(H862&lt;&gt;"",H862,INDEX(D:D,E863)))</f>
        <v>0</v>
      </c>
      <c r="G863" s="117" t="str">
        <f t="shared" si="87"/>
        <v>0</v>
      </c>
      <c r="H863" s="118" t="str">
        <f t="shared" si="88"/>
        <v/>
      </c>
      <c r="I863" s="116" t="str">
        <f>IF(AND(F863&lt;&gt;"",N10&gt;0,M863&gt;N10),"Mot &gt; limite","")</f>
        <v/>
      </c>
      <c r="M863" s="70">
        <f>IF(OR(F863="",N10="",N10&lt;=0),"",IF(LEN(F863)&lt;=N10,LEN(F863),IFERROR(FIND("♦",SUBSTITUTE(LEFT(F863,N10)," ","♦",LEN(LEFT(F863,N10))-LEN(SUBSTITUTE(LEFT(F863,N10)," ","")))),FIND(" ",F863&amp;" ",N10+1)-1)))</f>
        <v>1</v>
      </c>
      <c r="N863" s="119">
        <f t="shared" si="89"/>
        <v>846</v>
      </c>
      <c r="O863" s="99" t="str">
        <f t="shared" si="90"/>
        <v>0</v>
      </c>
      <c r="P863" s="119">
        <f t="shared" si="91"/>
        <v>1</v>
      </c>
      <c r="Q863" s="119">
        <f t="shared" si="92"/>
        <v>1</v>
      </c>
    </row>
    <row r="864" spans="2:17">
      <c r="B864" s="116"/>
      <c r="C864" s="116"/>
      <c r="D864" s="116"/>
      <c r="E864" s="116" cm="1">
        <f t="array" ref="E864">IF(H863&lt;&gt;"",E863,IF(E863="","",IFERROR(MATCH(TRUE(),INDEX(INDEX(K:K,E863+1):K203&lt;&gt;"",0),0)+E863,"")))</f>
        <v>1006</v>
      </c>
      <c r="F864" s="117" cm="1">
        <f t="array" ref="F864">IF(E864="","",IF(H863&lt;&gt;"",H863,INDEX(D:D,E864)))</f>
        <v>0</v>
      </c>
      <c r="G864" s="117" t="str">
        <f t="shared" si="87"/>
        <v>0</v>
      </c>
      <c r="H864" s="118" t="str">
        <f t="shared" si="88"/>
        <v/>
      </c>
      <c r="I864" s="116" t="str">
        <f>IF(AND(F864&lt;&gt;"",N10&gt;0,M864&gt;N10),"Mot &gt; limite","")</f>
        <v/>
      </c>
      <c r="M864" s="70">
        <f>IF(OR(F864="",N10="",N10&lt;=0),"",IF(LEN(F864)&lt;=N10,LEN(F864),IFERROR(FIND("♦",SUBSTITUTE(LEFT(F864,N10)," ","♦",LEN(LEFT(F864,N10))-LEN(SUBSTITUTE(LEFT(F864,N10)," ","")))),FIND(" ",F864&amp;" ",N10+1)-1)))</f>
        <v>1</v>
      </c>
      <c r="N864" s="119">
        <f t="shared" si="89"/>
        <v>847</v>
      </c>
      <c r="O864" s="99" t="str">
        <f t="shared" si="90"/>
        <v>0</v>
      </c>
      <c r="P864" s="119">
        <f t="shared" si="91"/>
        <v>1</v>
      </c>
      <c r="Q864" s="119">
        <f t="shared" si="92"/>
        <v>1</v>
      </c>
    </row>
    <row r="865" spans="2:17">
      <c r="B865" s="116"/>
      <c r="C865" s="116"/>
      <c r="D865" s="116"/>
      <c r="E865" s="116" cm="1">
        <f t="array" ref="E865">IF(H864&lt;&gt;"",E864,IF(E864="","",IFERROR(MATCH(TRUE(),INDEX(INDEX(K:K,E864+1):K203&lt;&gt;"",0),0)+E864,"")))</f>
        <v>1007</v>
      </c>
      <c r="F865" s="117" cm="1">
        <f t="array" ref="F865">IF(E865="","",IF(H864&lt;&gt;"",H864,INDEX(D:D,E865)))</f>
        <v>0</v>
      </c>
      <c r="G865" s="117" t="str">
        <f t="shared" si="87"/>
        <v>0</v>
      </c>
      <c r="H865" s="118" t="str">
        <f t="shared" si="88"/>
        <v/>
      </c>
      <c r="I865" s="116" t="str">
        <f>IF(AND(F865&lt;&gt;"",N10&gt;0,M865&gt;N10),"Mot &gt; limite","")</f>
        <v/>
      </c>
      <c r="M865" s="70">
        <f>IF(OR(F865="",N10="",N10&lt;=0),"",IF(LEN(F865)&lt;=N10,LEN(F865),IFERROR(FIND("♦",SUBSTITUTE(LEFT(F865,N10)," ","♦",LEN(LEFT(F865,N10))-LEN(SUBSTITUTE(LEFT(F865,N10)," ","")))),FIND(" ",F865&amp;" ",N10+1)-1)))</f>
        <v>1</v>
      </c>
      <c r="N865" s="119">
        <f t="shared" si="89"/>
        <v>848</v>
      </c>
      <c r="O865" s="99" t="str">
        <f t="shared" si="90"/>
        <v>0</v>
      </c>
      <c r="P865" s="119">
        <f t="shared" si="91"/>
        <v>1</v>
      </c>
      <c r="Q865" s="119">
        <f t="shared" si="92"/>
        <v>1</v>
      </c>
    </row>
    <row r="866" spans="2:17">
      <c r="B866" s="116"/>
      <c r="C866" s="116"/>
      <c r="D866" s="116"/>
      <c r="E866" s="116" cm="1">
        <f t="array" ref="E866">IF(H865&lt;&gt;"",E865,IF(E865="","",IFERROR(MATCH(TRUE(),INDEX(INDEX(K:K,E865+1):K203&lt;&gt;"",0),0)+E865,"")))</f>
        <v>1008</v>
      </c>
      <c r="F866" s="117" cm="1">
        <f t="array" ref="F866">IF(E866="","",IF(H865&lt;&gt;"",H865,INDEX(D:D,E866)))</f>
        <v>0</v>
      </c>
      <c r="G866" s="117" t="str">
        <f t="shared" si="87"/>
        <v>0</v>
      </c>
      <c r="H866" s="118" t="str">
        <f t="shared" si="88"/>
        <v/>
      </c>
      <c r="I866" s="116" t="str">
        <f>IF(AND(F866&lt;&gt;"",N10&gt;0,M866&gt;N10),"Mot &gt; limite","")</f>
        <v/>
      </c>
      <c r="M866" s="70">
        <f>IF(OR(F866="",N10="",N10&lt;=0),"",IF(LEN(F866)&lt;=N10,LEN(F866),IFERROR(FIND("♦",SUBSTITUTE(LEFT(F866,N10)," ","♦",LEN(LEFT(F866,N10))-LEN(SUBSTITUTE(LEFT(F866,N10)," ","")))),FIND(" ",F866&amp;" ",N10+1)-1)))</f>
        <v>1</v>
      </c>
      <c r="N866" s="119">
        <f t="shared" si="89"/>
        <v>849</v>
      </c>
      <c r="O866" s="99" t="str">
        <f t="shared" si="90"/>
        <v>0</v>
      </c>
      <c r="P866" s="119">
        <f t="shared" si="91"/>
        <v>1</v>
      </c>
      <c r="Q866" s="119">
        <f t="shared" si="92"/>
        <v>1</v>
      </c>
    </row>
    <row r="867" spans="2:17">
      <c r="B867" s="116"/>
      <c r="C867" s="116"/>
      <c r="D867" s="116"/>
      <c r="E867" s="116" cm="1">
        <f t="array" ref="E867">IF(H866&lt;&gt;"",E866,IF(E866="","",IFERROR(MATCH(TRUE(),INDEX(INDEX(K:K,E866+1):K203&lt;&gt;"",0),0)+E866,"")))</f>
        <v>1009</v>
      </c>
      <c r="F867" s="117" cm="1">
        <f t="array" ref="F867">IF(E867="","",IF(H866&lt;&gt;"",H866,INDEX(D:D,E867)))</f>
        <v>0</v>
      </c>
      <c r="G867" s="117" t="str">
        <f t="shared" si="87"/>
        <v>0</v>
      </c>
      <c r="H867" s="118" t="str">
        <f t="shared" si="88"/>
        <v/>
      </c>
      <c r="I867" s="116" t="str">
        <f>IF(AND(F867&lt;&gt;"",N10&gt;0,M867&gt;N10),"Mot &gt; limite","")</f>
        <v/>
      </c>
      <c r="M867" s="70">
        <f>IF(OR(F867="",N10="",N10&lt;=0),"",IF(LEN(F867)&lt;=N10,LEN(F867),IFERROR(FIND("♦",SUBSTITUTE(LEFT(F867,N10)," ","♦",LEN(LEFT(F867,N10))-LEN(SUBSTITUTE(LEFT(F867,N10)," ","")))),FIND(" ",F867&amp;" ",N10+1)-1)))</f>
        <v>1</v>
      </c>
      <c r="N867" s="119">
        <f t="shared" si="89"/>
        <v>850</v>
      </c>
      <c r="O867" s="99" t="str">
        <f t="shared" si="90"/>
        <v>0</v>
      </c>
      <c r="P867" s="119">
        <f t="shared" si="91"/>
        <v>1</v>
      </c>
      <c r="Q867" s="119">
        <f t="shared" si="92"/>
        <v>1</v>
      </c>
    </row>
    <row r="868" spans="2:17">
      <c r="B868" s="116"/>
      <c r="C868" s="116"/>
      <c r="D868" s="116"/>
      <c r="E868" s="116" cm="1">
        <f t="array" ref="E868">IF(H867&lt;&gt;"",E867,IF(E867="","",IFERROR(MATCH(TRUE(),INDEX(INDEX(K:K,E867+1):K203&lt;&gt;"",0),0)+E867,"")))</f>
        <v>1010</v>
      </c>
      <c r="F868" s="117" cm="1">
        <f t="array" ref="F868">IF(E868="","",IF(H867&lt;&gt;"",H867,INDEX(D:D,E868)))</f>
        <v>0</v>
      </c>
      <c r="G868" s="117" t="str">
        <f t="shared" si="87"/>
        <v>0</v>
      </c>
      <c r="H868" s="118" t="str">
        <f t="shared" si="88"/>
        <v/>
      </c>
      <c r="I868" s="116" t="str">
        <f>IF(AND(F868&lt;&gt;"",N10&gt;0,M868&gt;N10),"Mot &gt; limite","")</f>
        <v/>
      </c>
      <c r="M868" s="70">
        <f>IF(OR(F868="",N10="",N10&lt;=0),"",IF(LEN(F868)&lt;=N10,LEN(F868),IFERROR(FIND("♦",SUBSTITUTE(LEFT(F868,N10)," ","♦",LEN(LEFT(F868,N10))-LEN(SUBSTITUTE(LEFT(F868,N10)," ","")))),FIND(" ",F868&amp;" ",N10+1)-1)))</f>
        <v>1</v>
      </c>
      <c r="N868" s="119">
        <f t="shared" si="89"/>
        <v>851</v>
      </c>
      <c r="O868" s="99" t="str">
        <f t="shared" si="90"/>
        <v>0</v>
      </c>
      <c r="P868" s="119">
        <f t="shared" si="91"/>
        <v>1</v>
      </c>
      <c r="Q868" s="119">
        <f t="shared" si="92"/>
        <v>1</v>
      </c>
    </row>
    <row r="869" spans="2:17">
      <c r="B869" s="116"/>
      <c r="C869" s="116"/>
      <c r="D869" s="116"/>
      <c r="E869" s="116" cm="1">
        <f t="array" ref="E869">IF(H868&lt;&gt;"",E868,IF(E868="","",IFERROR(MATCH(TRUE(),INDEX(INDEX(K:K,E868+1):K203&lt;&gt;"",0),0)+E868,"")))</f>
        <v>1011</v>
      </c>
      <c r="F869" s="117" cm="1">
        <f t="array" ref="F869">IF(E869="","",IF(H868&lt;&gt;"",H868,INDEX(D:D,E869)))</f>
        <v>0</v>
      </c>
      <c r="G869" s="117" t="str">
        <f t="shared" si="87"/>
        <v>0</v>
      </c>
      <c r="H869" s="118" t="str">
        <f t="shared" si="88"/>
        <v/>
      </c>
      <c r="I869" s="116" t="str">
        <f>IF(AND(F869&lt;&gt;"",N10&gt;0,M869&gt;N10),"Mot &gt; limite","")</f>
        <v/>
      </c>
      <c r="M869" s="70">
        <f>IF(OR(F869="",N10="",N10&lt;=0),"",IF(LEN(F869)&lt;=N10,LEN(F869),IFERROR(FIND("♦",SUBSTITUTE(LEFT(F869,N10)," ","♦",LEN(LEFT(F869,N10))-LEN(SUBSTITUTE(LEFT(F869,N10)," ","")))),FIND(" ",F869&amp;" ",N10+1)-1)))</f>
        <v>1</v>
      </c>
      <c r="N869" s="119">
        <f t="shared" si="89"/>
        <v>852</v>
      </c>
      <c r="O869" s="99" t="str">
        <f t="shared" si="90"/>
        <v>0</v>
      </c>
      <c r="P869" s="119">
        <f t="shared" si="91"/>
        <v>1</v>
      </c>
      <c r="Q869" s="119">
        <f t="shared" si="92"/>
        <v>1</v>
      </c>
    </row>
    <row r="870" spans="2:17">
      <c r="B870" s="116"/>
      <c r="C870" s="116"/>
      <c r="D870" s="116"/>
      <c r="E870" s="116" cm="1">
        <f t="array" ref="E870">IF(H869&lt;&gt;"",E869,IF(E869="","",IFERROR(MATCH(TRUE(),INDEX(INDEX(K:K,E869+1):K203&lt;&gt;"",0),0)+E869,"")))</f>
        <v>1012</v>
      </c>
      <c r="F870" s="117" cm="1">
        <f t="array" ref="F870">IF(E870="","",IF(H869&lt;&gt;"",H869,INDEX(D:D,E870)))</f>
        <v>0</v>
      </c>
      <c r="G870" s="117" t="str">
        <f t="shared" si="87"/>
        <v>0</v>
      </c>
      <c r="H870" s="118" t="str">
        <f t="shared" si="88"/>
        <v/>
      </c>
      <c r="I870" s="116" t="str">
        <f>IF(AND(F870&lt;&gt;"",N10&gt;0,M870&gt;N10),"Mot &gt; limite","")</f>
        <v/>
      </c>
      <c r="M870" s="70">
        <f>IF(OR(F870="",N10="",N10&lt;=0),"",IF(LEN(F870)&lt;=N10,LEN(F870),IFERROR(FIND("♦",SUBSTITUTE(LEFT(F870,N10)," ","♦",LEN(LEFT(F870,N10))-LEN(SUBSTITUTE(LEFT(F870,N10)," ","")))),FIND(" ",F870&amp;" ",N10+1)-1)))</f>
        <v>1</v>
      </c>
      <c r="N870" s="119">
        <f t="shared" si="89"/>
        <v>853</v>
      </c>
      <c r="O870" s="99" t="str">
        <f t="shared" si="90"/>
        <v>0</v>
      </c>
      <c r="P870" s="119">
        <f t="shared" si="91"/>
        <v>1</v>
      </c>
      <c r="Q870" s="119">
        <f t="shared" si="92"/>
        <v>1</v>
      </c>
    </row>
    <row r="871" spans="2:17">
      <c r="B871" s="116"/>
      <c r="C871" s="116"/>
      <c r="D871" s="116"/>
      <c r="E871" s="116" cm="1">
        <f t="array" ref="E871">IF(H870&lt;&gt;"",E870,IF(E870="","",IFERROR(MATCH(TRUE(),INDEX(INDEX(K:K,E870+1):K203&lt;&gt;"",0),0)+E870,"")))</f>
        <v>1013</v>
      </c>
      <c r="F871" s="117" cm="1">
        <f t="array" ref="F871">IF(E871="","",IF(H870&lt;&gt;"",H870,INDEX(D:D,E871)))</f>
        <v>0</v>
      </c>
      <c r="G871" s="117" t="str">
        <f t="shared" si="87"/>
        <v>0</v>
      </c>
      <c r="H871" s="118" t="str">
        <f t="shared" si="88"/>
        <v/>
      </c>
      <c r="I871" s="116" t="str">
        <f>IF(AND(F871&lt;&gt;"",N10&gt;0,M871&gt;N10),"Mot &gt; limite","")</f>
        <v/>
      </c>
      <c r="M871" s="70">
        <f>IF(OR(F871="",N10="",N10&lt;=0),"",IF(LEN(F871)&lt;=N10,LEN(F871),IFERROR(FIND("♦",SUBSTITUTE(LEFT(F871,N10)," ","♦",LEN(LEFT(F871,N10))-LEN(SUBSTITUTE(LEFT(F871,N10)," ","")))),FIND(" ",F871&amp;" ",N10+1)-1)))</f>
        <v>1</v>
      </c>
      <c r="N871" s="119">
        <f t="shared" si="89"/>
        <v>854</v>
      </c>
      <c r="O871" s="99" t="str">
        <f t="shared" si="90"/>
        <v>0</v>
      </c>
      <c r="P871" s="119">
        <f t="shared" si="91"/>
        <v>1</v>
      </c>
      <c r="Q871" s="119">
        <f t="shared" si="92"/>
        <v>1</v>
      </c>
    </row>
    <row r="872" spans="2:17">
      <c r="B872" s="116"/>
      <c r="C872" s="116"/>
      <c r="D872" s="116"/>
      <c r="E872" s="116" cm="1">
        <f t="array" ref="E872">IF(H871&lt;&gt;"",E871,IF(E871="","",IFERROR(MATCH(TRUE(),INDEX(INDEX(K:K,E871+1):K203&lt;&gt;"",0),0)+E871,"")))</f>
        <v>1014</v>
      </c>
      <c r="F872" s="117" cm="1">
        <f t="array" ref="F872">IF(E872="","",IF(H871&lt;&gt;"",H871,INDEX(D:D,E872)))</f>
        <v>0</v>
      </c>
      <c r="G872" s="117" t="str">
        <f t="shared" si="87"/>
        <v>0</v>
      </c>
      <c r="H872" s="118" t="str">
        <f t="shared" si="88"/>
        <v/>
      </c>
      <c r="I872" s="116" t="str">
        <f>IF(AND(F872&lt;&gt;"",N10&gt;0,M872&gt;N10),"Mot &gt; limite","")</f>
        <v/>
      </c>
      <c r="M872" s="70">
        <f>IF(OR(F872="",N10="",N10&lt;=0),"",IF(LEN(F872)&lt;=N10,LEN(F872),IFERROR(FIND("♦",SUBSTITUTE(LEFT(F872,N10)," ","♦",LEN(LEFT(F872,N10))-LEN(SUBSTITUTE(LEFT(F872,N10)," ","")))),FIND(" ",F872&amp;" ",N10+1)-1)))</f>
        <v>1</v>
      </c>
      <c r="N872" s="119">
        <f t="shared" si="89"/>
        <v>855</v>
      </c>
      <c r="O872" s="99" t="str">
        <f t="shared" si="90"/>
        <v>0</v>
      </c>
      <c r="P872" s="119">
        <f t="shared" si="91"/>
        <v>1</v>
      </c>
      <c r="Q872" s="119">
        <f t="shared" si="92"/>
        <v>1</v>
      </c>
    </row>
    <row r="873" spans="2:17">
      <c r="B873" s="116"/>
      <c r="C873" s="116"/>
      <c r="D873" s="116"/>
      <c r="E873" s="116" cm="1">
        <f t="array" ref="E873">IF(H872&lt;&gt;"",E872,IF(E872="","",IFERROR(MATCH(TRUE(),INDEX(INDEX(K:K,E872+1):K203&lt;&gt;"",0),0)+E872,"")))</f>
        <v>1015</v>
      </c>
      <c r="F873" s="117" cm="1">
        <f t="array" ref="F873">IF(E873="","",IF(H872&lt;&gt;"",H872,INDEX(D:D,E873)))</f>
        <v>0</v>
      </c>
      <c r="G873" s="117" t="str">
        <f t="shared" si="87"/>
        <v>0</v>
      </c>
      <c r="H873" s="118" t="str">
        <f t="shared" si="88"/>
        <v/>
      </c>
      <c r="I873" s="116" t="str">
        <f>IF(AND(F873&lt;&gt;"",N10&gt;0,M873&gt;N10),"Mot &gt; limite","")</f>
        <v/>
      </c>
      <c r="M873" s="70">
        <f>IF(OR(F873="",N10="",N10&lt;=0),"",IF(LEN(F873)&lt;=N10,LEN(F873),IFERROR(FIND("♦",SUBSTITUTE(LEFT(F873,N10)," ","♦",LEN(LEFT(F873,N10))-LEN(SUBSTITUTE(LEFT(F873,N10)," ","")))),FIND(" ",F873&amp;" ",N10+1)-1)))</f>
        <v>1</v>
      </c>
      <c r="N873" s="119">
        <f t="shared" si="89"/>
        <v>856</v>
      </c>
      <c r="O873" s="99" t="str">
        <f t="shared" si="90"/>
        <v>0</v>
      </c>
      <c r="P873" s="119">
        <f t="shared" si="91"/>
        <v>1</v>
      </c>
      <c r="Q873" s="119">
        <f t="shared" si="92"/>
        <v>1</v>
      </c>
    </row>
    <row r="874" spans="2:17">
      <c r="B874" s="116"/>
      <c r="C874" s="116"/>
      <c r="D874" s="116"/>
      <c r="E874" s="116" cm="1">
        <f t="array" ref="E874">IF(H873&lt;&gt;"",E873,IF(E873="","",IFERROR(MATCH(TRUE(),INDEX(INDEX(K:K,E873+1):K203&lt;&gt;"",0),0)+E873,"")))</f>
        <v>1016</v>
      </c>
      <c r="F874" s="117" cm="1">
        <f t="array" ref="F874">IF(E874="","",IF(H873&lt;&gt;"",H873,INDEX(D:D,E874)))</f>
        <v>0</v>
      </c>
      <c r="G874" s="117" t="str">
        <f t="shared" si="87"/>
        <v>0</v>
      </c>
      <c r="H874" s="118" t="str">
        <f t="shared" si="88"/>
        <v/>
      </c>
      <c r="I874" s="116" t="str">
        <f>IF(AND(F874&lt;&gt;"",N10&gt;0,M874&gt;N10),"Mot &gt; limite","")</f>
        <v/>
      </c>
      <c r="M874" s="70">
        <f>IF(OR(F874="",N10="",N10&lt;=0),"",IF(LEN(F874)&lt;=N10,LEN(F874),IFERROR(FIND("♦",SUBSTITUTE(LEFT(F874,N10)," ","♦",LEN(LEFT(F874,N10))-LEN(SUBSTITUTE(LEFT(F874,N10)," ","")))),FIND(" ",F874&amp;" ",N10+1)-1)))</f>
        <v>1</v>
      </c>
      <c r="N874" s="119">
        <f t="shared" si="89"/>
        <v>857</v>
      </c>
      <c r="O874" s="99" t="str">
        <f t="shared" si="90"/>
        <v>0</v>
      </c>
      <c r="P874" s="119">
        <f t="shared" si="91"/>
        <v>1</v>
      </c>
      <c r="Q874" s="119">
        <f t="shared" si="92"/>
        <v>1</v>
      </c>
    </row>
    <row r="875" spans="2:17">
      <c r="B875" s="116"/>
      <c r="C875" s="116"/>
      <c r="D875" s="116"/>
      <c r="E875" s="116" cm="1">
        <f t="array" ref="E875">IF(H874&lt;&gt;"",E874,IF(E874="","",IFERROR(MATCH(TRUE(),INDEX(INDEX(K:K,E874+1):K203&lt;&gt;"",0),0)+E874,"")))</f>
        <v>1017</v>
      </c>
      <c r="F875" s="117" cm="1">
        <f t="array" ref="F875">IF(E875="","",IF(H874&lt;&gt;"",H874,INDEX(D:D,E875)))</f>
        <v>0</v>
      </c>
      <c r="G875" s="117" t="str">
        <f t="shared" si="87"/>
        <v>0</v>
      </c>
      <c r="H875" s="118" t="str">
        <f t="shared" si="88"/>
        <v/>
      </c>
      <c r="I875" s="116" t="str">
        <f>IF(AND(F875&lt;&gt;"",N10&gt;0,M875&gt;N10),"Mot &gt; limite","")</f>
        <v/>
      </c>
      <c r="M875" s="70">
        <f>IF(OR(F875="",N10="",N10&lt;=0),"",IF(LEN(F875)&lt;=N10,LEN(F875),IFERROR(FIND("♦",SUBSTITUTE(LEFT(F875,N10)," ","♦",LEN(LEFT(F875,N10))-LEN(SUBSTITUTE(LEFT(F875,N10)," ","")))),FIND(" ",F875&amp;" ",N10+1)-1)))</f>
        <v>1</v>
      </c>
      <c r="N875" s="119">
        <f t="shared" si="89"/>
        <v>858</v>
      </c>
      <c r="O875" s="99" t="str">
        <f t="shared" si="90"/>
        <v>0</v>
      </c>
      <c r="P875" s="119">
        <f t="shared" si="91"/>
        <v>1</v>
      </c>
      <c r="Q875" s="119">
        <f t="shared" si="92"/>
        <v>1</v>
      </c>
    </row>
    <row r="876" spans="2:17">
      <c r="B876" s="116"/>
      <c r="C876" s="116"/>
      <c r="D876" s="116"/>
      <c r="E876" s="116" cm="1">
        <f t="array" ref="E876">IF(H875&lt;&gt;"",E875,IF(E875="","",IFERROR(MATCH(TRUE(),INDEX(INDEX(K:K,E875+1):K203&lt;&gt;"",0),0)+E875,"")))</f>
        <v>1018</v>
      </c>
      <c r="F876" s="117" cm="1">
        <f t="array" ref="F876">IF(E876="","",IF(H875&lt;&gt;"",H875,INDEX(D:D,E876)))</f>
        <v>0</v>
      </c>
      <c r="G876" s="117" t="str">
        <f t="shared" si="87"/>
        <v>0</v>
      </c>
      <c r="H876" s="118" t="str">
        <f t="shared" si="88"/>
        <v/>
      </c>
      <c r="I876" s="116" t="str">
        <f>IF(AND(F876&lt;&gt;"",N10&gt;0,M876&gt;N10),"Mot &gt; limite","")</f>
        <v/>
      </c>
      <c r="M876" s="70">
        <f>IF(OR(F876="",N10="",N10&lt;=0),"",IF(LEN(F876)&lt;=N10,LEN(F876),IFERROR(FIND("♦",SUBSTITUTE(LEFT(F876,N10)," ","♦",LEN(LEFT(F876,N10))-LEN(SUBSTITUTE(LEFT(F876,N10)," ","")))),FIND(" ",F876&amp;" ",N10+1)-1)))</f>
        <v>1</v>
      </c>
      <c r="N876" s="119">
        <f t="shared" si="89"/>
        <v>859</v>
      </c>
      <c r="O876" s="99" t="str">
        <f t="shared" si="90"/>
        <v>0</v>
      </c>
      <c r="P876" s="119">
        <f t="shared" si="91"/>
        <v>1</v>
      </c>
      <c r="Q876" s="119">
        <f t="shared" si="92"/>
        <v>1</v>
      </c>
    </row>
    <row r="877" spans="2:17">
      <c r="B877" s="116"/>
      <c r="C877" s="116"/>
      <c r="D877" s="116"/>
      <c r="E877" s="116" cm="1">
        <f t="array" ref="E877">IF(H876&lt;&gt;"",E876,IF(E876="","",IFERROR(MATCH(TRUE(),INDEX(INDEX(K:K,E876+1):K203&lt;&gt;"",0),0)+E876,"")))</f>
        <v>1019</v>
      </c>
      <c r="F877" s="117" cm="1">
        <f t="array" ref="F877">IF(E877="","",IF(H876&lt;&gt;"",H876,INDEX(D:D,E877)))</f>
        <v>0</v>
      </c>
      <c r="G877" s="117" t="str">
        <f t="shared" si="87"/>
        <v>0</v>
      </c>
      <c r="H877" s="118" t="str">
        <f t="shared" si="88"/>
        <v/>
      </c>
      <c r="I877" s="116" t="str">
        <f>IF(AND(F877&lt;&gt;"",N10&gt;0,M877&gt;N10),"Mot &gt; limite","")</f>
        <v/>
      </c>
      <c r="M877" s="70">
        <f>IF(OR(F877="",N10="",N10&lt;=0),"",IF(LEN(F877)&lt;=N10,LEN(F877),IFERROR(FIND("♦",SUBSTITUTE(LEFT(F877,N10)," ","♦",LEN(LEFT(F877,N10))-LEN(SUBSTITUTE(LEFT(F877,N10)," ","")))),FIND(" ",F877&amp;" ",N10+1)-1)))</f>
        <v>1</v>
      </c>
      <c r="N877" s="119">
        <f t="shared" si="89"/>
        <v>860</v>
      </c>
      <c r="O877" s="99" t="str">
        <f t="shared" si="90"/>
        <v>0</v>
      </c>
      <c r="P877" s="119">
        <f t="shared" si="91"/>
        <v>1</v>
      </c>
      <c r="Q877" s="119">
        <f t="shared" si="92"/>
        <v>1</v>
      </c>
    </row>
    <row r="878" spans="2:17">
      <c r="B878" s="116"/>
      <c r="C878" s="116"/>
      <c r="D878" s="116"/>
      <c r="E878" s="116" cm="1">
        <f t="array" ref="E878">IF(H877&lt;&gt;"",E877,IF(E877="","",IFERROR(MATCH(TRUE(),INDEX(INDEX(K:K,E877+1):K203&lt;&gt;"",0),0)+E877,"")))</f>
        <v>1020</v>
      </c>
      <c r="F878" s="117" cm="1">
        <f t="array" ref="F878">IF(E878="","",IF(H877&lt;&gt;"",H877,INDEX(D:D,E878)))</f>
        <v>0</v>
      </c>
      <c r="G878" s="117" t="str">
        <f t="shared" si="87"/>
        <v>0</v>
      </c>
      <c r="H878" s="118" t="str">
        <f t="shared" si="88"/>
        <v/>
      </c>
      <c r="I878" s="116" t="str">
        <f>IF(AND(F878&lt;&gt;"",N10&gt;0,M878&gt;N10),"Mot &gt; limite","")</f>
        <v/>
      </c>
      <c r="M878" s="70">
        <f>IF(OR(F878="",N10="",N10&lt;=0),"",IF(LEN(F878)&lt;=N10,LEN(F878),IFERROR(FIND("♦",SUBSTITUTE(LEFT(F878,N10)," ","♦",LEN(LEFT(F878,N10))-LEN(SUBSTITUTE(LEFT(F878,N10)," ","")))),FIND(" ",F878&amp;" ",N10+1)-1)))</f>
        <v>1</v>
      </c>
      <c r="N878" s="119">
        <f t="shared" si="89"/>
        <v>861</v>
      </c>
      <c r="O878" s="99" t="str">
        <f t="shared" si="90"/>
        <v>0</v>
      </c>
      <c r="P878" s="119">
        <f t="shared" si="91"/>
        <v>1</v>
      </c>
      <c r="Q878" s="119">
        <f t="shared" si="92"/>
        <v>1</v>
      </c>
    </row>
    <row r="879" spans="2:17">
      <c r="B879" s="116"/>
      <c r="C879" s="116"/>
      <c r="D879" s="116"/>
      <c r="E879" s="116" cm="1">
        <f t="array" ref="E879">IF(H878&lt;&gt;"",E878,IF(E878="","",IFERROR(MATCH(TRUE(),INDEX(INDEX(K:K,E878+1):K203&lt;&gt;"",0),0)+E878,"")))</f>
        <v>1021</v>
      </c>
      <c r="F879" s="117" cm="1">
        <f t="array" ref="F879">IF(E879="","",IF(H878&lt;&gt;"",H878,INDEX(D:D,E879)))</f>
        <v>0</v>
      </c>
      <c r="G879" s="117" t="str">
        <f t="shared" si="87"/>
        <v>0</v>
      </c>
      <c r="H879" s="118" t="str">
        <f t="shared" si="88"/>
        <v/>
      </c>
      <c r="I879" s="116" t="str">
        <f>IF(AND(F879&lt;&gt;"",N10&gt;0,M879&gt;N10),"Mot &gt; limite","")</f>
        <v/>
      </c>
      <c r="M879" s="70">
        <f>IF(OR(F879="",N10="",N10&lt;=0),"",IF(LEN(F879)&lt;=N10,LEN(F879),IFERROR(FIND("♦",SUBSTITUTE(LEFT(F879,N10)," ","♦",LEN(LEFT(F879,N10))-LEN(SUBSTITUTE(LEFT(F879,N10)," ","")))),FIND(" ",F879&amp;" ",N10+1)-1)))</f>
        <v>1</v>
      </c>
      <c r="N879" s="119">
        <f t="shared" si="89"/>
        <v>862</v>
      </c>
      <c r="O879" s="99" t="str">
        <f t="shared" si="90"/>
        <v>0</v>
      </c>
      <c r="P879" s="119">
        <f t="shared" si="91"/>
        <v>1</v>
      </c>
      <c r="Q879" s="119">
        <f t="shared" si="92"/>
        <v>1</v>
      </c>
    </row>
    <row r="880" spans="2:17">
      <c r="B880" s="116"/>
      <c r="C880" s="116"/>
      <c r="D880" s="116"/>
      <c r="E880" s="116" cm="1">
        <f t="array" ref="E880">IF(H879&lt;&gt;"",E879,IF(E879="","",IFERROR(MATCH(TRUE(),INDEX(INDEX(K:K,E879+1):K203&lt;&gt;"",0),0)+E879,"")))</f>
        <v>1022</v>
      </c>
      <c r="F880" s="117" cm="1">
        <f t="array" ref="F880">IF(E880="","",IF(H879&lt;&gt;"",H879,INDEX(D:D,E880)))</f>
        <v>0</v>
      </c>
      <c r="G880" s="117" t="str">
        <f t="shared" si="87"/>
        <v>0</v>
      </c>
      <c r="H880" s="118" t="str">
        <f t="shared" si="88"/>
        <v/>
      </c>
      <c r="I880" s="116" t="str">
        <f>IF(AND(F880&lt;&gt;"",N10&gt;0,M880&gt;N10),"Mot &gt; limite","")</f>
        <v/>
      </c>
      <c r="M880" s="70">
        <f>IF(OR(F880="",N10="",N10&lt;=0),"",IF(LEN(F880)&lt;=N10,LEN(F880),IFERROR(FIND("♦",SUBSTITUTE(LEFT(F880,N10)," ","♦",LEN(LEFT(F880,N10))-LEN(SUBSTITUTE(LEFT(F880,N10)," ","")))),FIND(" ",F880&amp;" ",N10+1)-1)))</f>
        <v>1</v>
      </c>
      <c r="N880" s="119">
        <f t="shared" si="89"/>
        <v>863</v>
      </c>
      <c r="O880" s="99" t="str">
        <f t="shared" si="90"/>
        <v>0</v>
      </c>
      <c r="P880" s="119">
        <f t="shared" si="91"/>
        <v>1</v>
      </c>
      <c r="Q880" s="119">
        <f t="shared" si="92"/>
        <v>1</v>
      </c>
    </row>
    <row r="881" spans="2:17">
      <c r="B881" s="116"/>
      <c r="C881" s="116"/>
      <c r="D881" s="116"/>
      <c r="E881" s="116" cm="1">
        <f t="array" ref="E881">IF(H880&lt;&gt;"",E880,IF(E880="","",IFERROR(MATCH(TRUE(),INDEX(INDEX(K:K,E880+1):K203&lt;&gt;"",0),0)+E880,"")))</f>
        <v>1023</v>
      </c>
      <c r="F881" s="117" cm="1">
        <f t="array" ref="F881">IF(E881="","",IF(H880&lt;&gt;"",H880,INDEX(D:D,E881)))</f>
        <v>0</v>
      </c>
      <c r="G881" s="117" t="str">
        <f t="shared" si="87"/>
        <v>0</v>
      </c>
      <c r="H881" s="118" t="str">
        <f t="shared" si="88"/>
        <v/>
      </c>
      <c r="I881" s="116" t="str">
        <f>IF(AND(F881&lt;&gt;"",N10&gt;0,M881&gt;N10),"Mot &gt; limite","")</f>
        <v/>
      </c>
      <c r="M881" s="70">
        <f>IF(OR(F881="",N10="",N10&lt;=0),"",IF(LEN(F881)&lt;=N10,LEN(F881),IFERROR(FIND("♦",SUBSTITUTE(LEFT(F881,N10)," ","♦",LEN(LEFT(F881,N10))-LEN(SUBSTITUTE(LEFT(F881,N10)," ","")))),FIND(" ",F881&amp;" ",N10+1)-1)))</f>
        <v>1</v>
      </c>
      <c r="N881" s="119">
        <f t="shared" si="89"/>
        <v>864</v>
      </c>
      <c r="O881" s="99" t="str">
        <f t="shared" si="90"/>
        <v>0</v>
      </c>
      <c r="P881" s="119">
        <f t="shared" si="91"/>
        <v>1</v>
      </c>
      <c r="Q881" s="119">
        <f t="shared" si="92"/>
        <v>1</v>
      </c>
    </row>
    <row r="882" spans="2:17">
      <c r="B882" s="116"/>
      <c r="C882" s="116"/>
      <c r="D882" s="116"/>
      <c r="E882" s="116" cm="1">
        <f t="array" ref="E882">IF(H881&lt;&gt;"",E881,IF(E881="","",IFERROR(MATCH(TRUE(),INDEX(INDEX(K:K,E881+1):K203&lt;&gt;"",0),0)+E881,"")))</f>
        <v>1024</v>
      </c>
      <c r="F882" s="117" cm="1">
        <f t="array" ref="F882">IF(E882="","",IF(H881&lt;&gt;"",H881,INDEX(D:D,E882)))</f>
        <v>0</v>
      </c>
      <c r="G882" s="117" t="str">
        <f t="shared" si="87"/>
        <v>0</v>
      </c>
      <c r="H882" s="118" t="str">
        <f t="shared" si="88"/>
        <v/>
      </c>
      <c r="I882" s="116" t="str">
        <f>IF(AND(F882&lt;&gt;"",N10&gt;0,M882&gt;N10),"Mot &gt; limite","")</f>
        <v/>
      </c>
      <c r="M882" s="70">
        <f>IF(OR(F882="",N10="",N10&lt;=0),"",IF(LEN(F882)&lt;=N10,LEN(F882),IFERROR(FIND("♦",SUBSTITUTE(LEFT(F882,N10)," ","♦",LEN(LEFT(F882,N10))-LEN(SUBSTITUTE(LEFT(F882,N10)," ","")))),FIND(" ",F882&amp;" ",N10+1)-1)))</f>
        <v>1</v>
      </c>
      <c r="N882" s="119">
        <f t="shared" si="89"/>
        <v>865</v>
      </c>
      <c r="O882" s="99" t="str">
        <f t="shared" si="90"/>
        <v>0</v>
      </c>
      <c r="P882" s="119">
        <f t="shared" si="91"/>
        <v>1</v>
      </c>
      <c r="Q882" s="119">
        <f t="shared" si="92"/>
        <v>1</v>
      </c>
    </row>
    <row r="883" spans="2:17">
      <c r="B883" s="116"/>
      <c r="C883" s="116"/>
      <c r="D883" s="116"/>
      <c r="E883" s="116" cm="1">
        <f t="array" ref="E883">IF(H882&lt;&gt;"",E882,IF(E882="","",IFERROR(MATCH(TRUE(),INDEX(INDEX(K:K,E882+1):K203&lt;&gt;"",0),0)+E882,"")))</f>
        <v>1025</v>
      </c>
      <c r="F883" s="117" cm="1">
        <f t="array" ref="F883">IF(E883="","",IF(H882&lt;&gt;"",H882,INDEX(D:D,E883)))</f>
        <v>0</v>
      </c>
      <c r="G883" s="117" t="str">
        <f t="shared" si="87"/>
        <v>0</v>
      </c>
      <c r="H883" s="118" t="str">
        <f t="shared" si="88"/>
        <v/>
      </c>
      <c r="I883" s="116" t="str">
        <f>IF(AND(F883&lt;&gt;"",N10&gt;0,M883&gt;N10),"Mot &gt; limite","")</f>
        <v/>
      </c>
      <c r="M883" s="70">
        <f>IF(OR(F883="",N10="",N10&lt;=0),"",IF(LEN(F883)&lt;=N10,LEN(F883),IFERROR(FIND("♦",SUBSTITUTE(LEFT(F883,N10)," ","♦",LEN(LEFT(F883,N10))-LEN(SUBSTITUTE(LEFT(F883,N10)," ","")))),FIND(" ",F883&amp;" ",N10+1)-1)))</f>
        <v>1</v>
      </c>
      <c r="N883" s="119">
        <f t="shared" si="89"/>
        <v>866</v>
      </c>
      <c r="O883" s="99" t="str">
        <f t="shared" si="90"/>
        <v>0</v>
      </c>
      <c r="P883" s="119">
        <f t="shared" si="91"/>
        <v>1</v>
      </c>
      <c r="Q883" s="119">
        <f t="shared" si="92"/>
        <v>1</v>
      </c>
    </row>
    <row r="884" spans="2:17">
      <c r="B884" s="116"/>
      <c r="C884" s="116"/>
      <c r="D884" s="116"/>
      <c r="E884" s="116" cm="1">
        <f t="array" ref="E884">IF(H883&lt;&gt;"",E883,IF(E883="","",IFERROR(MATCH(TRUE(),INDEX(INDEX(K:K,E883+1):K203&lt;&gt;"",0),0)+E883,"")))</f>
        <v>1026</v>
      </c>
      <c r="F884" s="117" cm="1">
        <f t="array" ref="F884">IF(E884="","",IF(H883&lt;&gt;"",H883,INDEX(D:D,E884)))</f>
        <v>0</v>
      </c>
      <c r="G884" s="117" t="str">
        <f t="shared" si="87"/>
        <v>0</v>
      </c>
      <c r="H884" s="118" t="str">
        <f t="shared" si="88"/>
        <v/>
      </c>
      <c r="I884" s="116" t="str">
        <f>IF(AND(F884&lt;&gt;"",N10&gt;0,M884&gt;N10),"Mot &gt; limite","")</f>
        <v/>
      </c>
      <c r="M884" s="70">
        <f>IF(OR(F884="",N10="",N10&lt;=0),"",IF(LEN(F884)&lt;=N10,LEN(F884),IFERROR(FIND("♦",SUBSTITUTE(LEFT(F884,N10)," ","♦",LEN(LEFT(F884,N10))-LEN(SUBSTITUTE(LEFT(F884,N10)," ","")))),FIND(" ",F884&amp;" ",N10+1)-1)))</f>
        <v>1</v>
      </c>
      <c r="N884" s="119">
        <f t="shared" si="89"/>
        <v>867</v>
      </c>
      <c r="O884" s="99" t="str">
        <f t="shared" si="90"/>
        <v>0</v>
      </c>
      <c r="P884" s="119">
        <f t="shared" si="91"/>
        <v>1</v>
      </c>
      <c r="Q884" s="119">
        <f t="shared" si="92"/>
        <v>1</v>
      </c>
    </row>
    <row r="885" spans="2:17">
      <c r="B885" s="116"/>
      <c r="C885" s="116"/>
      <c r="D885" s="116"/>
      <c r="E885" s="116" cm="1">
        <f t="array" ref="E885">IF(H884&lt;&gt;"",E884,IF(E884="","",IFERROR(MATCH(TRUE(),INDEX(INDEX(K:K,E884+1):K203&lt;&gt;"",0),0)+E884,"")))</f>
        <v>1027</v>
      </c>
      <c r="F885" s="117" cm="1">
        <f t="array" ref="F885">IF(E885="","",IF(H884&lt;&gt;"",H884,INDEX(D:D,E885)))</f>
        <v>0</v>
      </c>
      <c r="G885" s="117" t="str">
        <f t="shared" si="87"/>
        <v>0</v>
      </c>
      <c r="H885" s="118" t="str">
        <f t="shared" si="88"/>
        <v/>
      </c>
      <c r="I885" s="116" t="str">
        <f>IF(AND(F885&lt;&gt;"",N10&gt;0,M885&gt;N10),"Mot &gt; limite","")</f>
        <v/>
      </c>
      <c r="M885" s="70">
        <f>IF(OR(F885="",N10="",N10&lt;=0),"",IF(LEN(F885)&lt;=N10,LEN(F885),IFERROR(FIND("♦",SUBSTITUTE(LEFT(F885,N10)," ","♦",LEN(LEFT(F885,N10))-LEN(SUBSTITUTE(LEFT(F885,N10)," ","")))),FIND(" ",F885&amp;" ",N10+1)-1)))</f>
        <v>1</v>
      </c>
      <c r="N885" s="119">
        <f t="shared" si="89"/>
        <v>868</v>
      </c>
      <c r="O885" s="99" t="str">
        <f t="shared" si="90"/>
        <v>0</v>
      </c>
      <c r="P885" s="119">
        <f t="shared" si="91"/>
        <v>1</v>
      </c>
      <c r="Q885" s="119">
        <f t="shared" si="92"/>
        <v>1</v>
      </c>
    </row>
    <row r="886" spans="2:17">
      <c r="B886" s="116"/>
      <c r="C886" s="116"/>
      <c r="D886" s="116"/>
      <c r="E886" s="116" cm="1">
        <f t="array" ref="E886">IF(H885&lt;&gt;"",E885,IF(E885="","",IFERROR(MATCH(TRUE(),INDEX(INDEX(K:K,E885+1):K203&lt;&gt;"",0),0)+E885,"")))</f>
        <v>1028</v>
      </c>
      <c r="F886" s="117" cm="1">
        <f t="array" ref="F886">IF(E886="","",IF(H885&lt;&gt;"",H885,INDEX(D:D,E886)))</f>
        <v>0</v>
      </c>
      <c r="G886" s="117" t="str">
        <f t="shared" si="87"/>
        <v>0</v>
      </c>
      <c r="H886" s="118" t="str">
        <f t="shared" si="88"/>
        <v/>
      </c>
      <c r="I886" s="116" t="str">
        <f>IF(AND(F886&lt;&gt;"",N10&gt;0,M886&gt;N10),"Mot &gt; limite","")</f>
        <v/>
      </c>
      <c r="M886" s="70">
        <f>IF(OR(F886="",N10="",N10&lt;=0),"",IF(LEN(F886)&lt;=N10,LEN(F886),IFERROR(FIND("♦",SUBSTITUTE(LEFT(F886,N10)," ","♦",LEN(LEFT(F886,N10))-LEN(SUBSTITUTE(LEFT(F886,N10)," ","")))),FIND(" ",F886&amp;" ",N10+1)-1)))</f>
        <v>1</v>
      </c>
      <c r="N886" s="119">
        <f t="shared" si="89"/>
        <v>869</v>
      </c>
      <c r="O886" s="99" t="str">
        <f t="shared" si="90"/>
        <v>0</v>
      </c>
      <c r="P886" s="119">
        <f t="shared" si="91"/>
        <v>1</v>
      </c>
      <c r="Q886" s="119">
        <f t="shared" si="92"/>
        <v>1</v>
      </c>
    </row>
    <row r="887" spans="2:17">
      <c r="B887" s="116"/>
      <c r="C887" s="116"/>
      <c r="D887" s="116"/>
      <c r="E887" s="116" cm="1">
        <f t="array" ref="E887">IF(H886&lt;&gt;"",E886,IF(E886="","",IFERROR(MATCH(TRUE(),INDEX(INDEX(K:K,E886+1):K203&lt;&gt;"",0),0)+E886,"")))</f>
        <v>1029</v>
      </c>
      <c r="F887" s="117" cm="1">
        <f t="array" ref="F887">IF(E887="","",IF(H886&lt;&gt;"",H886,INDEX(D:D,E887)))</f>
        <v>0</v>
      </c>
      <c r="G887" s="117" t="str">
        <f t="shared" si="87"/>
        <v>0</v>
      </c>
      <c r="H887" s="118" t="str">
        <f t="shared" si="88"/>
        <v/>
      </c>
      <c r="I887" s="116" t="str">
        <f>IF(AND(F887&lt;&gt;"",N10&gt;0,M887&gt;N10),"Mot &gt; limite","")</f>
        <v/>
      </c>
      <c r="M887" s="70">
        <f>IF(OR(F887="",N10="",N10&lt;=0),"",IF(LEN(F887)&lt;=N10,LEN(F887),IFERROR(FIND("♦",SUBSTITUTE(LEFT(F887,N10)," ","♦",LEN(LEFT(F887,N10))-LEN(SUBSTITUTE(LEFT(F887,N10)," ","")))),FIND(" ",F887&amp;" ",N10+1)-1)))</f>
        <v>1</v>
      </c>
      <c r="N887" s="119">
        <f t="shared" si="89"/>
        <v>870</v>
      </c>
      <c r="O887" s="99" t="str">
        <f t="shared" si="90"/>
        <v>0</v>
      </c>
      <c r="P887" s="119">
        <f t="shared" si="91"/>
        <v>1</v>
      </c>
      <c r="Q887" s="119">
        <f t="shared" si="92"/>
        <v>1</v>
      </c>
    </row>
    <row r="888" spans="2:17">
      <c r="B888" s="116"/>
      <c r="C888" s="116"/>
      <c r="D888" s="116"/>
      <c r="E888" s="116" cm="1">
        <f t="array" ref="E888">IF(H887&lt;&gt;"",E887,IF(E887="","",IFERROR(MATCH(TRUE(),INDEX(INDEX(K:K,E887+1):K203&lt;&gt;"",0),0)+E887,"")))</f>
        <v>1030</v>
      </c>
      <c r="F888" s="117" cm="1">
        <f t="array" ref="F888">IF(E888="","",IF(H887&lt;&gt;"",H887,INDEX(D:D,E888)))</f>
        <v>0</v>
      </c>
      <c r="G888" s="117" t="str">
        <f t="shared" si="87"/>
        <v>0</v>
      </c>
      <c r="H888" s="118" t="str">
        <f t="shared" si="88"/>
        <v/>
      </c>
      <c r="I888" s="116" t="str">
        <f>IF(AND(F888&lt;&gt;"",N10&gt;0,M888&gt;N10),"Mot &gt; limite","")</f>
        <v/>
      </c>
      <c r="M888" s="70">
        <f>IF(OR(F888="",N10="",N10&lt;=0),"",IF(LEN(F888)&lt;=N10,LEN(F888),IFERROR(FIND("♦",SUBSTITUTE(LEFT(F888,N10)," ","♦",LEN(LEFT(F888,N10))-LEN(SUBSTITUTE(LEFT(F888,N10)," ","")))),FIND(" ",F888&amp;" ",N10+1)-1)))</f>
        <v>1</v>
      </c>
      <c r="N888" s="119">
        <f t="shared" si="89"/>
        <v>871</v>
      </c>
      <c r="O888" s="99" t="str">
        <f t="shared" si="90"/>
        <v>0</v>
      </c>
      <c r="P888" s="119">
        <f t="shared" si="91"/>
        <v>1</v>
      </c>
      <c r="Q888" s="119">
        <f t="shared" si="92"/>
        <v>1</v>
      </c>
    </row>
    <row r="889" spans="2:17">
      <c r="B889" s="116"/>
      <c r="C889" s="116"/>
      <c r="D889" s="116"/>
      <c r="E889" s="116" cm="1">
        <f t="array" ref="E889">IF(H888&lt;&gt;"",E888,IF(E888="","",IFERROR(MATCH(TRUE(),INDEX(INDEX(K:K,E888+1):K203&lt;&gt;"",0),0)+E888,"")))</f>
        <v>1031</v>
      </c>
      <c r="F889" s="117" cm="1">
        <f t="array" ref="F889">IF(E889="","",IF(H888&lt;&gt;"",H888,INDEX(D:D,E889)))</f>
        <v>0</v>
      </c>
      <c r="G889" s="117" t="str">
        <f t="shared" si="87"/>
        <v>0</v>
      </c>
      <c r="H889" s="118" t="str">
        <f t="shared" si="88"/>
        <v/>
      </c>
      <c r="I889" s="116" t="str">
        <f>IF(AND(F889&lt;&gt;"",N10&gt;0,M889&gt;N10),"Mot &gt; limite","")</f>
        <v/>
      </c>
      <c r="M889" s="70">
        <f>IF(OR(F889="",N10="",N10&lt;=0),"",IF(LEN(F889)&lt;=N10,LEN(F889),IFERROR(FIND("♦",SUBSTITUTE(LEFT(F889,N10)," ","♦",LEN(LEFT(F889,N10))-LEN(SUBSTITUTE(LEFT(F889,N10)," ","")))),FIND(" ",F889&amp;" ",N10+1)-1)))</f>
        <v>1</v>
      </c>
      <c r="N889" s="119">
        <f t="shared" si="89"/>
        <v>872</v>
      </c>
      <c r="O889" s="99" t="str">
        <f t="shared" si="90"/>
        <v>0</v>
      </c>
      <c r="P889" s="119">
        <f t="shared" si="91"/>
        <v>1</v>
      </c>
      <c r="Q889" s="119">
        <f t="shared" si="92"/>
        <v>1</v>
      </c>
    </row>
    <row r="890" spans="2:17">
      <c r="B890" s="116"/>
      <c r="C890" s="116"/>
      <c r="D890" s="116"/>
      <c r="E890" s="116" cm="1">
        <f t="array" ref="E890">IF(H889&lt;&gt;"",E889,IF(E889="","",IFERROR(MATCH(TRUE(),INDEX(INDEX(K:K,E889+1):K203&lt;&gt;"",0),0)+E889,"")))</f>
        <v>1032</v>
      </c>
      <c r="F890" s="117" cm="1">
        <f t="array" ref="F890">IF(E890="","",IF(H889&lt;&gt;"",H889,INDEX(D:D,E890)))</f>
        <v>0</v>
      </c>
      <c r="G890" s="117" t="str">
        <f t="shared" si="87"/>
        <v>0</v>
      </c>
      <c r="H890" s="118" t="str">
        <f t="shared" si="88"/>
        <v/>
      </c>
      <c r="I890" s="116" t="str">
        <f>IF(AND(F890&lt;&gt;"",N10&gt;0,M890&gt;N10),"Mot &gt; limite","")</f>
        <v/>
      </c>
      <c r="M890" s="70">
        <f>IF(OR(F890="",N10="",N10&lt;=0),"",IF(LEN(F890)&lt;=N10,LEN(F890),IFERROR(FIND("♦",SUBSTITUTE(LEFT(F890,N10)," ","♦",LEN(LEFT(F890,N10))-LEN(SUBSTITUTE(LEFT(F890,N10)," ","")))),FIND(" ",F890&amp;" ",N10+1)-1)))</f>
        <v>1</v>
      </c>
      <c r="N890" s="119">
        <f t="shared" si="89"/>
        <v>873</v>
      </c>
      <c r="O890" s="99" t="str">
        <f t="shared" si="90"/>
        <v>0</v>
      </c>
      <c r="P890" s="119">
        <f t="shared" si="91"/>
        <v>1</v>
      </c>
      <c r="Q890" s="119">
        <f t="shared" si="92"/>
        <v>1</v>
      </c>
    </row>
    <row r="891" spans="2:17">
      <c r="B891" s="116"/>
      <c r="C891" s="116"/>
      <c r="D891" s="116"/>
      <c r="E891" s="116" cm="1">
        <f t="array" ref="E891">IF(H890&lt;&gt;"",E890,IF(E890="","",IFERROR(MATCH(TRUE(),INDEX(INDEX(K:K,E890+1):K203&lt;&gt;"",0),0)+E890,"")))</f>
        <v>1033</v>
      </c>
      <c r="F891" s="117" cm="1">
        <f t="array" ref="F891">IF(E891="","",IF(H890&lt;&gt;"",H890,INDEX(D:D,E891)))</f>
        <v>0</v>
      </c>
      <c r="G891" s="117" t="str">
        <f t="shared" si="87"/>
        <v>0</v>
      </c>
      <c r="H891" s="118" t="str">
        <f t="shared" si="88"/>
        <v/>
      </c>
      <c r="I891" s="116" t="str">
        <f>IF(AND(F891&lt;&gt;"",N10&gt;0,M891&gt;N10),"Mot &gt; limite","")</f>
        <v/>
      </c>
      <c r="M891" s="70">
        <f>IF(OR(F891="",N10="",N10&lt;=0),"",IF(LEN(F891)&lt;=N10,LEN(F891),IFERROR(FIND("♦",SUBSTITUTE(LEFT(F891,N10)," ","♦",LEN(LEFT(F891,N10))-LEN(SUBSTITUTE(LEFT(F891,N10)," ","")))),FIND(" ",F891&amp;" ",N10+1)-1)))</f>
        <v>1</v>
      </c>
      <c r="N891" s="119">
        <f t="shared" si="89"/>
        <v>874</v>
      </c>
      <c r="O891" s="99" t="str">
        <f t="shared" si="90"/>
        <v>0</v>
      </c>
      <c r="P891" s="119">
        <f t="shared" si="91"/>
        <v>1</v>
      </c>
      <c r="Q891" s="119">
        <f t="shared" si="92"/>
        <v>1</v>
      </c>
    </row>
    <row r="892" spans="2:17">
      <c r="B892" s="116"/>
      <c r="C892" s="116"/>
      <c r="D892" s="116"/>
      <c r="E892" s="116" cm="1">
        <f t="array" ref="E892">IF(H891&lt;&gt;"",E891,IF(E891="","",IFERROR(MATCH(TRUE(),INDEX(INDEX(K:K,E891+1):K203&lt;&gt;"",0),0)+E891,"")))</f>
        <v>1034</v>
      </c>
      <c r="F892" s="117" cm="1">
        <f t="array" ref="F892">IF(E892="","",IF(H891&lt;&gt;"",H891,INDEX(D:D,E892)))</f>
        <v>0</v>
      </c>
      <c r="G892" s="117" t="str">
        <f t="shared" si="87"/>
        <v>0</v>
      </c>
      <c r="H892" s="118" t="str">
        <f t="shared" si="88"/>
        <v/>
      </c>
      <c r="I892" s="116" t="str">
        <f>IF(AND(F892&lt;&gt;"",N10&gt;0,M892&gt;N10),"Mot &gt; limite","")</f>
        <v/>
      </c>
      <c r="M892" s="70">
        <f>IF(OR(F892="",N10="",N10&lt;=0),"",IF(LEN(F892)&lt;=N10,LEN(F892),IFERROR(FIND("♦",SUBSTITUTE(LEFT(F892,N10)," ","♦",LEN(LEFT(F892,N10))-LEN(SUBSTITUTE(LEFT(F892,N10)," ","")))),FIND(" ",F892&amp;" ",N10+1)-1)))</f>
        <v>1</v>
      </c>
      <c r="N892" s="119">
        <f t="shared" si="89"/>
        <v>875</v>
      </c>
      <c r="O892" s="99" t="str">
        <f t="shared" si="90"/>
        <v>0</v>
      </c>
      <c r="P892" s="119">
        <f t="shared" si="91"/>
        <v>1</v>
      </c>
      <c r="Q892" s="119">
        <f t="shared" si="92"/>
        <v>1</v>
      </c>
    </row>
    <row r="893" spans="2:17">
      <c r="B893" s="116"/>
      <c r="C893" s="116"/>
      <c r="D893" s="116"/>
      <c r="E893" s="116" cm="1">
        <f t="array" ref="E893">IF(H892&lt;&gt;"",E892,IF(E892="","",IFERROR(MATCH(TRUE(),INDEX(INDEX(K:K,E892+1):K203&lt;&gt;"",0),0)+E892,"")))</f>
        <v>1035</v>
      </c>
      <c r="F893" s="117" cm="1">
        <f t="array" ref="F893">IF(E893="","",IF(H892&lt;&gt;"",H892,INDEX(D:D,E893)))</f>
        <v>0</v>
      </c>
      <c r="G893" s="117" t="str">
        <f t="shared" si="87"/>
        <v>0</v>
      </c>
      <c r="H893" s="118" t="str">
        <f t="shared" si="88"/>
        <v/>
      </c>
      <c r="I893" s="116" t="str">
        <f>IF(AND(F893&lt;&gt;"",N10&gt;0,M893&gt;N10),"Mot &gt; limite","")</f>
        <v/>
      </c>
      <c r="M893" s="70">
        <f>IF(OR(F893="",N10="",N10&lt;=0),"",IF(LEN(F893)&lt;=N10,LEN(F893),IFERROR(FIND("♦",SUBSTITUTE(LEFT(F893,N10)," ","♦",LEN(LEFT(F893,N10))-LEN(SUBSTITUTE(LEFT(F893,N10)," ","")))),FIND(" ",F893&amp;" ",N10+1)-1)))</f>
        <v>1</v>
      </c>
      <c r="N893" s="119">
        <f t="shared" si="89"/>
        <v>876</v>
      </c>
      <c r="O893" s="99" t="str">
        <f t="shared" si="90"/>
        <v>0</v>
      </c>
      <c r="P893" s="119">
        <f t="shared" si="91"/>
        <v>1</v>
      </c>
      <c r="Q893" s="119">
        <f t="shared" si="92"/>
        <v>1</v>
      </c>
    </row>
    <row r="894" spans="2:17">
      <c r="B894" s="116"/>
      <c r="C894" s="116"/>
      <c r="D894" s="116"/>
      <c r="E894" s="116" cm="1">
        <f t="array" ref="E894">IF(H893&lt;&gt;"",E893,IF(E893="","",IFERROR(MATCH(TRUE(),INDEX(INDEX(K:K,E893+1):K203&lt;&gt;"",0),0)+E893,"")))</f>
        <v>1036</v>
      </c>
      <c r="F894" s="117" cm="1">
        <f t="array" ref="F894">IF(E894="","",IF(H893&lt;&gt;"",H893,INDEX(D:D,E894)))</f>
        <v>0</v>
      </c>
      <c r="G894" s="117" t="str">
        <f t="shared" si="87"/>
        <v>0</v>
      </c>
      <c r="H894" s="118" t="str">
        <f t="shared" si="88"/>
        <v/>
      </c>
      <c r="I894" s="116" t="str">
        <f>IF(AND(F894&lt;&gt;"",N10&gt;0,M894&gt;N10),"Mot &gt; limite","")</f>
        <v/>
      </c>
      <c r="M894" s="70">
        <f>IF(OR(F894="",N10="",N10&lt;=0),"",IF(LEN(F894)&lt;=N10,LEN(F894),IFERROR(FIND("♦",SUBSTITUTE(LEFT(F894,N10)," ","♦",LEN(LEFT(F894,N10))-LEN(SUBSTITUTE(LEFT(F894,N10)," ","")))),FIND(" ",F894&amp;" ",N10+1)-1)))</f>
        <v>1</v>
      </c>
      <c r="N894" s="119">
        <f t="shared" si="89"/>
        <v>877</v>
      </c>
      <c r="O894" s="99" t="str">
        <f t="shared" si="90"/>
        <v>0</v>
      </c>
      <c r="P894" s="119">
        <f t="shared" si="91"/>
        <v>1</v>
      </c>
      <c r="Q894" s="119">
        <f t="shared" si="92"/>
        <v>1</v>
      </c>
    </row>
    <row r="895" spans="2:17">
      <c r="B895" s="116"/>
      <c r="C895" s="116"/>
      <c r="D895" s="116"/>
      <c r="E895" s="116" cm="1">
        <f t="array" ref="E895">IF(H894&lt;&gt;"",E894,IF(E894="","",IFERROR(MATCH(TRUE(),INDEX(INDEX(K:K,E894+1):K203&lt;&gt;"",0),0)+E894,"")))</f>
        <v>1037</v>
      </c>
      <c r="F895" s="117" cm="1">
        <f t="array" ref="F895">IF(E895="","",IF(H894&lt;&gt;"",H894,INDEX(D:D,E895)))</f>
        <v>0</v>
      </c>
      <c r="G895" s="117" t="str">
        <f t="shared" si="87"/>
        <v>0</v>
      </c>
      <c r="H895" s="118" t="str">
        <f t="shared" si="88"/>
        <v/>
      </c>
      <c r="I895" s="116" t="str">
        <f>IF(AND(F895&lt;&gt;"",N10&gt;0,M895&gt;N10),"Mot &gt; limite","")</f>
        <v/>
      </c>
      <c r="M895" s="70">
        <f>IF(OR(F895="",N10="",N10&lt;=0),"",IF(LEN(F895)&lt;=N10,LEN(F895),IFERROR(FIND("♦",SUBSTITUTE(LEFT(F895,N10)," ","♦",LEN(LEFT(F895,N10))-LEN(SUBSTITUTE(LEFT(F895,N10)," ","")))),FIND(" ",F895&amp;" ",N10+1)-1)))</f>
        <v>1</v>
      </c>
      <c r="N895" s="119">
        <f t="shared" si="89"/>
        <v>878</v>
      </c>
      <c r="O895" s="99" t="str">
        <f t="shared" si="90"/>
        <v>0</v>
      </c>
      <c r="P895" s="119">
        <f t="shared" si="91"/>
        <v>1</v>
      </c>
      <c r="Q895" s="119">
        <f t="shared" si="92"/>
        <v>1</v>
      </c>
    </row>
    <row r="896" spans="2:17">
      <c r="B896" s="116"/>
      <c r="C896" s="116"/>
      <c r="D896" s="116"/>
      <c r="E896" s="116" cm="1">
        <f t="array" ref="E896">IF(H895&lt;&gt;"",E895,IF(E895="","",IFERROR(MATCH(TRUE(),INDEX(INDEX(K:K,E895+1):K203&lt;&gt;"",0),0)+E895,"")))</f>
        <v>1038</v>
      </c>
      <c r="F896" s="117" cm="1">
        <f t="array" ref="F896">IF(E896="","",IF(H895&lt;&gt;"",H895,INDEX(D:D,E896)))</f>
        <v>0</v>
      </c>
      <c r="G896" s="117" t="str">
        <f t="shared" si="87"/>
        <v>0</v>
      </c>
      <c r="H896" s="118" t="str">
        <f t="shared" si="88"/>
        <v/>
      </c>
      <c r="I896" s="116" t="str">
        <f>IF(AND(F896&lt;&gt;"",N10&gt;0,M896&gt;N10),"Mot &gt; limite","")</f>
        <v/>
      </c>
      <c r="M896" s="70">
        <f>IF(OR(F896="",N10="",N10&lt;=0),"",IF(LEN(F896)&lt;=N10,LEN(F896),IFERROR(FIND("♦",SUBSTITUTE(LEFT(F896,N10)," ","♦",LEN(LEFT(F896,N10))-LEN(SUBSTITUTE(LEFT(F896,N10)," ","")))),FIND(" ",F896&amp;" ",N10+1)-1)))</f>
        <v>1</v>
      </c>
      <c r="N896" s="119">
        <f t="shared" si="89"/>
        <v>879</v>
      </c>
      <c r="O896" s="99" t="str">
        <f t="shared" si="90"/>
        <v>0</v>
      </c>
      <c r="P896" s="119">
        <f t="shared" si="91"/>
        <v>1</v>
      </c>
      <c r="Q896" s="119">
        <f t="shared" si="92"/>
        <v>1</v>
      </c>
    </row>
    <row r="897" spans="2:17">
      <c r="B897" s="116"/>
      <c r="C897" s="116"/>
      <c r="D897" s="116"/>
      <c r="E897" s="116" cm="1">
        <f t="array" ref="E897">IF(H896&lt;&gt;"",E896,IF(E896="","",IFERROR(MATCH(TRUE(),INDEX(INDEX(K:K,E896+1):K203&lt;&gt;"",0),0)+E896,"")))</f>
        <v>1039</v>
      </c>
      <c r="F897" s="117" cm="1">
        <f t="array" ref="F897">IF(E897="","",IF(H896&lt;&gt;"",H896,INDEX(D:D,E897)))</f>
        <v>0</v>
      </c>
      <c r="G897" s="117" t="str">
        <f t="shared" si="87"/>
        <v>0</v>
      </c>
      <c r="H897" s="118" t="str">
        <f t="shared" si="88"/>
        <v/>
      </c>
      <c r="I897" s="116" t="str">
        <f>IF(AND(F897&lt;&gt;"",N10&gt;0,M897&gt;N10),"Mot &gt; limite","")</f>
        <v/>
      </c>
      <c r="M897" s="70">
        <f>IF(OR(F897="",N10="",N10&lt;=0),"",IF(LEN(F897)&lt;=N10,LEN(F897),IFERROR(FIND("♦",SUBSTITUTE(LEFT(F897,N10)," ","♦",LEN(LEFT(F897,N10))-LEN(SUBSTITUTE(LEFT(F897,N10)," ","")))),FIND(" ",F897&amp;" ",N10+1)-1)))</f>
        <v>1</v>
      </c>
      <c r="N897" s="119">
        <f t="shared" si="89"/>
        <v>880</v>
      </c>
      <c r="O897" s="99" t="str">
        <f t="shared" si="90"/>
        <v>0</v>
      </c>
      <c r="P897" s="119">
        <f t="shared" si="91"/>
        <v>1</v>
      </c>
      <c r="Q897" s="119">
        <f t="shared" si="92"/>
        <v>1</v>
      </c>
    </row>
    <row r="898" spans="2:17">
      <c r="B898" s="116"/>
      <c r="C898" s="116"/>
      <c r="D898" s="116"/>
      <c r="E898" s="116" cm="1">
        <f t="array" ref="E898">IF(H897&lt;&gt;"",E897,IF(E897="","",IFERROR(MATCH(TRUE(),INDEX(INDEX(K:K,E897+1):K203&lt;&gt;"",0),0)+E897,"")))</f>
        <v>1040</v>
      </c>
      <c r="F898" s="117" cm="1">
        <f t="array" ref="F898">IF(E898="","",IF(H897&lt;&gt;"",H897,INDEX(D:D,E898)))</f>
        <v>0</v>
      </c>
      <c r="G898" s="117" t="str">
        <f t="shared" si="87"/>
        <v>0</v>
      </c>
      <c r="H898" s="118" t="str">
        <f t="shared" si="88"/>
        <v/>
      </c>
      <c r="I898" s="116" t="str">
        <f>IF(AND(F898&lt;&gt;"",N10&gt;0,M898&gt;N10),"Mot &gt; limite","")</f>
        <v/>
      </c>
      <c r="M898" s="70">
        <f>IF(OR(F898="",N10="",N10&lt;=0),"",IF(LEN(F898)&lt;=N10,LEN(F898),IFERROR(FIND("♦",SUBSTITUTE(LEFT(F898,N10)," ","♦",LEN(LEFT(F898,N10))-LEN(SUBSTITUTE(LEFT(F898,N10)," ","")))),FIND(" ",F898&amp;" ",N10+1)-1)))</f>
        <v>1</v>
      </c>
      <c r="N898" s="119">
        <f t="shared" si="89"/>
        <v>881</v>
      </c>
      <c r="O898" s="99" t="str">
        <f t="shared" si="90"/>
        <v>0</v>
      </c>
      <c r="P898" s="119">
        <f t="shared" si="91"/>
        <v>1</v>
      </c>
      <c r="Q898" s="119">
        <f t="shared" si="92"/>
        <v>1</v>
      </c>
    </row>
    <row r="899" spans="2:17">
      <c r="B899" s="116"/>
      <c r="C899" s="116"/>
      <c r="D899" s="116"/>
      <c r="E899" s="116" cm="1">
        <f t="array" ref="E899">IF(H898&lt;&gt;"",E898,IF(E898="","",IFERROR(MATCH(TRUE(),INDEX(INDEX(K:K,E898+1):K203&lt;&gt;"",0),0)+E898,"")))</f>
        <v>1041</v>
      </c>
      <c r="F899" s="117" cm="1">
        <f t="array" ref="F899">IF(E899="","",IF(H898&lt;&gt;"",H898,INDEX(D:D,E899)))</f>
        <v>0</v>
      </c>
      <c r="G899" s="117" t="str">
        <f t="shared" si="87"/>
        <v>0</v>
      </c>
      <c r="H899" s="118" t="str">
        <f t="shared" si="88"/>
        <v/>
      </c>
      <c r="I899" s="116" t="str">
        <f>IF(AND(F899&lt;&gt;"",N10&gt;0,M899&gt;N10),"Mot &gt; limite","")</f>
        <v/>
      </c>
      <c r="M899" s="70">
        <f>IF(OR(F899="",N10="",N10&lt;=0),"",IF(LEN(F899)&lt;=N10,LEN(F899),IFERROR(FIND("♦",SUBSTITUTE(LEFT(F899,N10)," ","♦",LEN(LEFT(F899,N10))-LEN(SUBSTITUTE(LEFT(F899,N10)," ","")))),FIND(" ",F899&amp;" ",N10+1)-1)))</f>
        <v>1</v>
      </c>
      <c r="N899" s="119">
        <f t="shared" si="89"/>
        <v>882</v>
      </c>
      <c r="O899" s="99" t="str">
        <f t="shared" si="90"/>
        <v>0</v>
      </c>
      <c r="P899" s="119">
        <f t="shared" si="91"/>
        <v>1</v>
      </c>
      <c r="Q899" s="119">
        <f t="shared" si="92"/>
        <v>1</v>
      </c>
    </row>
    <row r="900" spans="2:17">
      <c r="B900" s="116"/>
      <c r="C900" s="116"/>
      <c r="D900" s="116"/>
      <c r="E900" s="116" cm="1">
        <f t="array" ref="E900">IF(H899&lt;&gt;"",E899,IF(E899="","",IFERROR(MATCH(TRUE(),INDEX(INDEX(K:K,E899+1):K203&lt;&gt;"",0),0)+E899,"")))</f>
        <v>1042</v>
      </c>
      <c r="F900" s="117" cm="1">
        <f t="array" ref="F900">IF(E900="","",IF(H899&lt;&gt;"",H899,INDEX(D:D,E900)))</f>
        <v>0</v>
      </c>
      <c r="G900" s="117" t="str">
        <f t="shared" si="87"/>
        <v>0</v>
      </c>
      <c r="H900" s="118" t="str">
        <f t="shared" si="88"/>
        <v/>
      </c>
      <c r="I900" s="116" t="str">
        <f>IF(AND(F900&lt;&gt;"",N10&gt;0,M900&gt;N10),"Mot &gt; limite","")</f>
        <v/>
      </c>
      <c r="M900" s="70">
        <f>IF(OR(F900="",N10="",N10&lt;=0),"",IF(LEN(F900)&lt;=N10,LEN(F900),IFERROR(FIND("♦",SUBSTITUTE(LEFT(F900,N10)," ","♦",LEN(LEFT(F900,N10))-LEN(SUBSTITUTE(LEFT(F900,N10)," ","")))),FIND(" ",F900&amp;" ",N10+1)-1)))</f>
        <v>1</v>
      </c>
      <c r="N900" s="119">
        <f t="shared" si="89"/>
        <v>883</v>
      </c>
      <c r="O900" s="99" t="str">
        <f t="shared" si="90"/>
        <v>0</v>
      </c>
      <c r="P900" s="119">
        <f t="shared" si="91"/>
        <v>1</v>
      </c>
      <c r="Q900" s="119">
        <f t="shared" si="92"/>
        <v>1</v>
      </c>
    </row>
    <row r="901" spans="2:17">
      <c r="B901" s="116"/>
      <c r="C901" s="116"/>
      <c r="D901" s="116"/>
      <c r="E901" s="116" cm="1">
        <f t="array" ref="E901">IF(H900&lt;&gt;"",E900,IF(E900="","",IFERROR(MATCH(TRUE(),INDEX(INDEX(K:K,E900+1):K203&lt;&gt;"",0),0)+E900,"")))</f>
        <v>1043</v>
      </c>
      <c r="F901" s="117" cm="1">
        <f t="array" ref="F901">IF(E901="","",IF(H900&lt;&gt;"",H900,INDEX(D:D,E901)))</f>
        <v>0</v>
      </c>
      <c r="G901" s="117" t="str">
        <f t="shared" si="87"/>
        <v>0</v>
      </c>
      <c r="H901" s="118" t="str">
        <f t="shared" si="88"/>
        <v/>
      </c>
      <c r="I901" s="116" t="str">
        <f>IF(AND(F901&lt;&gt;"",N10&gt;0,M901&gt;N10),"Mot &gt; limite","")</f>
        <v/>
      </c>
      <c r="M901" s="70">
        <f>IF(OR(F901="",N10="",N10&lt;=0),"",IF(LEN(F901)&lt;=N10,LEN(F901),IFERROR(FIND("♦",SUBSTITUTE(LEFT(F901,N10)," ","♦",LEN(LEFT(F901,N10))-LEN(SUBSTITUTE(LEFT(F901,N10)," ","")))),FIND(" ",F901&amp;" ",N10+1)-1)))</f>
        <v>1</v>
      </c>
      <c r="N901" s="119">
        <f t="shared" si="89"/>
        <v>884</v>
      </c>
      <c r="O901" s="99" t="str">
        <f t="shared" si="90"/>
        <v>0</v>
      </c>
      <c r="P901" s="119">
        <f t="shared" si="91"/>
        <v>1</v>
      </c>
      <c r="Q901" s="119">
        <f t="shared" si="92"/>
        <v>1</v>
      </c>
    </row>
    <row r="902" spans="2:17">
      <c r="B902" s="116"/>
      <c r="C902" s="116"/>
      <c r="D902" s="116"/>
      <c r="E902" s="116" cm="1">
        <f t="array" ref="E902">IF(H901&lt;&gt;"",E901,IF(E901="","",IFERROR(MATCH(TRUE(),INDEX(INDEX(K:K,E901+1):K203&lt;&gt;"",0),0)+E901,"")))</f>
        <v>1044</v>
      </c>
      <c r="F902" s="117" cm="1">
        <f t="array" ref="F902">IF(E902="","",IF(H901&lt;&gt;"",H901,INDEX(D:D,E902)))</f>
        <v>0</v>
      </c>
      <c r="G902" s="117" t="str">
        <f t="shared" si="87"/>
        <v>0</v>
      </c>
      <c r="H902" s="118" t="str">
        <f t="shared" si="88"/>
        <v/>
      </c>
      <c r="I902" s="116" t="str">
        <f>IF(AND(F902&lt;&gt;"",N10&gt;0,M902&gt;N10),"Mot &gt; limite","")</f>
        <v/>
      </c>
      <c r="M902" s="70">
        <f>IF(OR(F902="",N10="",N10&lt;=0),"",IF(LEN(F902)&lt;=N10,LEN(F902),IFERROR(FIND("♦",SUBSTITUTE(LEFT(F902,N10)," ","♦",LEN(LEFT(F902,N10))-LEN(SUBSTITUTE(LEFT(F902,N10)," ","")))),FIND(" ",F902&amp;" ",N10+1)-1)))</f>
        <v>1</v>
      </c>
      <c r="N902" s="119">
        <f t="shared" si="89"/>
        <v>885</v>
      </c>
      <c r="O902" s="99" t="str">
        <f t="shared" si="90"/>
        <v>0</v>
      </c>
      <c r="P902" s="119">
        <f t="shared" si="91"/>
        <v>1</v>
      </c>
      <c r="Q902" s="119">
        <f t="shared" si="92"/>
        <v>1</v>
      </c>
    </row>
    <row r="903" spans="2:17">
      <c r="B903" s="116"/>
      <c r="C903" s="116"/>
      <c r="D903" s="116"/>
      <c r="E903" s="116" cm="1">
        <f t="array" ref="E903">IF(H902&lt;&gt;"",E902,IF(E902="","",IFERROR(MATCH(TRUE(),INDEX(INDEX(K:K,E902+1):K203&lt;&gt;"",0),0)+E902,"")))</f>
        <v>1045</v>
      </c>
      <c r="F903" s="117" cm="1">
        <f t="array" ref="F903">IF(E903="","",IF(H902&lt;&gt;"",H902,INDEX(D:D,E903)))</f>
        <v>0</v>
      </c>
      <c r="G903" s="117" t="str">
        <f t="shared" si="87"/>
        <v>0</v>
      </c>
      <c r="H903" s="118" t="str">
        <f t="shared" si="88"/>
        <v/>
      </c>
      <c r="I903" s="116" t="str">
        <f>IF(AND(F903&lt;&gt;"",N10&gt;0,M903&gt;N10),"Mot &gt; limite","")</f>
        <v/>
      </c>
      <c r="M903" s="70">
        <f>IF(OR(F903="",N10="",N10&lt;=0),"",IF(LEN(F903)&lt;=N10,LEN(F903),IFERROR(FIND("♦",SUBSTITUTE(LEFT(F903,N10)," ","♦",LEN(LEFT(F903,N10))-LEN(SUBSTITUTE(LEFT(F903,N10)," ","")))),FIND(" ",F903&amp;" ",N10+1)-1)))</f>
        <v>1</v>
      </c>
      <c r="N903" s="119">
        <f t="shared" si="89"/>
        <v>886</v>
      </c>
      <c r="O903" s="99" t="str">
        <f t="shared" si="90"/>
        <v>0</v>
      </c>
      <c r="P903" s="119">
        <f t="shared" si="91"/>
        <v>1</v>
      </c>
      <c r="Q903" s="119">
        <f t="shared" si="92"/>
        <v>1</v>
      </c>
    </row>
    <row r="904" spans="2:17">
      <c r="B904" s="116"/>
      <c r="C904" s="116"/>
      <c r="D904" s="116"/>
      <c r="E904" s="116" cm="1">
        <f t="array" ref="E904">IF(H903&lt;&gt;"",E903,IF(E903="","",IFERROR(MATCH(TRUE(),INDEX(INDEX(K:K,E903+1):K203&lt;&gt;"",0),0)+E903,"")))</f>
        <v>1046</v>
      </c>
      <c r="F904" s="117" cm="1">
        <f t="array" ref="F904">IF(E904="","",IF(H903&lt;&gt;"",H903,INDEX(D:D,E904)))</f>
        <v>0</v>
      </c>
      <c r="G904" s="117" t="str">
        <f t="shared" si="87"/>
        <v>0</v>
      </c>
      <c r="H904" s="118" t="str">
        <f t="shared" si="88"/>
        <v/>
      </c>
      <c r="I904" s="116" t="str">
        <f>IF(AND(F904&lt;&gt;"",N10&gt;0,M904&gt;N10),"Mot &gt; limite","")</f>
        <v/>
      </c>
      <c r="M904" s="70">
        <f>IF(OR(F904="",N10="",N10&lt;=0),"",IF(LEN(F904)&lt;=N10,LEN(F904),IFERROR(FIND("♦",SUBSTITUTE(LEFT(F904,N10)," ","♦",LEN(LEFT(F904,N10))-LEN(SUBSTITUTE(LEFT(F904,N10)," ","")))),FIND(" ",F904&amp;" ",N10+1)-1)))</f>
        <v>1</v>
      </c>
      <c r="N904" s="119">
        <f t="shared" si="89"/>
        <v>887</v>
      </c>
      <c r="O904" s="99" t="str">
        <f t="shared" si="90"/>
        <v>0</v>
      </c>
      <c r="P904" s="119">
        <f t="shared" si="91"/>
        <v>1</v>
      </c>
      <c r="Q904" s="119">
        <f t="shared" si="92"/>
        <v>1</v>
      </c>
    </row>
    <row r="905" spans="2:17">
      <c r="B905" s="116"/>
      <c r="C905" s="116"/>
      <c r="D905" s="116"/>
      <c r="E905" s="116" cm="1">
        <f t="array" ref="E905">IF(H904&lt;&gt;"",E904,IF(E904="","",IFERROR(MATCH(TRUE(),INDEX(INDEX(K:K,E904+1):K203&lt;&gt;"",0),0)+E904,"")))</f>
        <v>1047</v>
      </c>
      <c r="F905" s="117" cm="1">
        <f t="array" ref="F905">IF(E905="","",IF(H904&lt;&gt;"",H904,INDEX(D:D,E905)))</f>
        <v>0</v>
      </c>
      <c r="G905" s="117" t="str">
        <f t="shared" si="87"/>
        <v>0</v>
      </c>
      <c r="H905" s="118" t="str">
        <f t="shared" si="88"/>
        <v/>
      </c>
      <c r="I905" s="116" t="str">
        <f>IF(AND(F905&lt;&gt;"",N10&gt;0,M905&gt;N10),"Mot &gt; limite","")</f>
        <v/>
      </c>
      <c r="M905" s="70">
        <f>IF(OR(F905="",N10="",N10&lt;=0),"",IF(LEN(F905)&lt;=N10,LEN(F905),IFERROR(FIND("♦",SUBSTITUTE(LEFT(F905,N10)," ","♦",LEN(LEFT(F905,N10))-LEN(SUBSTITUTE(LEFT(F905,N10)," ","")))),FIND(" ",F905&amp;" ",N10+1)-1)))</f>
        <v>1</v>
      </c>
      <c r="N905" s="119">
        <f t="shared" si="89"/>
        <v>888</v>
      </c>
      <c r="O905" s="99" t="str">
        <f t="shared" si="90"/>
        <v>0</v>
      </c>
      <c r="P905" s="119">
        <f t="shared" si="91"/>
        <v>1</v>
      </c>
      <c r="Q905" s="119">
        <f t="shared" si="92"/>
        <v>1</v>
      </c>
    </row>
    <row r="906" spans="2:17">
      <c r="B906" s="116"/>
      <c r="C906" s="116"/>
      <c r="D906" s="116"/>
      <c r="E906" s="116" cm="1">
        <f t="array" ref="E906">IF(H905&lt;&gt;"",E905,IF(E905="","",IFERROR(MATCH(TRUE(),INDEX(INDEX(K:K,E905+1):K203&lt;&gt;"",0),0)+E905,"")))</f>
        <v>1048</v>
      </c>
      <c r="F906" s="117" cm="1">
        <f t="array" ref="F906">IF(E906="","",IF(H905&lt;&gt;"",H905,INDEX(D:D,E906)))</f>
        <v>0</v>
      </c>
      <c r="G906" s="117" t="str">
        <f t="shared" si="87"/>
        <v>0</v>
      </c>
      <c r="H906" s="118" t="str">
        <f t="shared" si="88"/>
        <v/>
      </c>
      <c r="I906" s="116" t="str">
        <f>IF(AND(F906&lt;&gt;"",N10&gt;0,M906&gt;N10),"Mot &gt; limite","")</f>
        <v/>
      </c>
      <c r="M906" s="70">
        <f>IF(OR(F906="",N10="",N10&lt;=0),"",IF(LEN(F906)&lt;=N10,LEN(F906),IFERROR(FIND("♦",SUBSTITUTE(LEFT(F906,N10)," ","♦",LEN(LEFT(F906,N10))-LEN(SUBSTITUTE(LEFT(F906,N10)," ","")))),FIND(" ",F906&amp;" ",N10+1)-1)))</f>
        <v>1</v>
      </c>
      <c r="N906" s="119">
        <f t="shared" si="89"/>
        <v>889</v>
      </c>
      <c r="O906" s="99" t="str">
        <f t="shared" si="90"/>
        <v>0</v>
      </c>
      <c r="P906" s="119">
        <f t="shared" si="91"/>
        <v>1</v>
      </c>
      <c r="Q906" s="119">
        <f t="shared" si="92"/>
        <v>1</v>
      </c>
    </row>
    <row r="907" spans="2:17">
      <c r="B907" s="116"/>
      <c r="C907" s="116"/>
      <c r="D907" s="116"/>
      <c r="E907" s="116" cm="1">
        <f t="array" ref="E907">IF(H906&lt;&gt;"",E906,IF(E906="","",IFERROR(MATCH(TRUE(),INDEX(INDEX(K:K,E906+1):K203&lt;&gt;"",0),0)+E906,"")))</f>
        <v>1049</v>
      </c>
      <c r="F907" s="117" cm="1">
        <f t="array" ref="F907">IF(E907="","",IF(H906&lt;&gt;"",H906,INDEX(D:D,E907)))</f>
        <v>0</v>
      </c>
      <c r="G907" s="117" t="str">
        <f t="shared" si="87"/>
        <v>0</v>
      </c>
      <c r="H907" s="118" t="str">
        <f t="shared" si="88"/>
        <v/>
      </c>
      <c r="I907" s="116" t="str">
        <f>IF(AND(F907&lt;&gt;"",N10&gt;0,M907&gt;N10),"Mot &gt; limite","")</f>
        <v/>
      </c>
      <c r="M907" s="70">
        <f>IF(OR(F907="",N10="",N10&lt;=0),"",IF(LEN(F907)&lt;=N10,LEN(F907),IFERROR(FIND("♦",SUBSTITUTE(LEFT(F907,N10)," ","♦",LEN(LEFT(F907,N10))-LEN(SUBSTITUTE(LEFT(F907,N10)," ","")))),FIND(" ",F907&amp;" ",N10+1)-1)))</f>
        <v>1</v>
      </c>
      <c r="N907" s="119">
        <f t="shared" si="89"/>
        <v>890</v>
      </c>
      <c r="O907" s="99" t="str">
        <f t="shared" si="90"/>
        <v>0</v>
      </c>
      <c r="P907" s="119">
        <f t="shared" si="91"/>
        <v>1</v>
      </c>
      <c r="Q907" s="119">
        <f t="shared" si="92"/>
        <v>1</v>
      </c>
    </row>
    <row r="908" spans="2:17">
      <c r="B908" s="116"/>
      <c r="C908" s="116"/>
      <c r="D908" s="116"/>
      <c r="E908" s="116" cm="1">
        <f t="array" ref="E908">IF(H907&lt;&gt;"",E907,IF(E907="","",IFERROR(MATCH(TRUE(),INDEX(INDEX(K:K,E907+1):K203&lt;&gt;"",0),0)+E907,"")))</f>
        <v>1050</v>
      </c>
      <c r="F908" s="117" cm="1">
        <f t="array" ref="F908">IF(E908="","",IF(H907&lt;&gt;"",H907,INDEX(D:D,E908)))</f>
        <v>0</v>
      </c>
      <c r="G908" s="117" t="str">
        <f t="shared" si="87"/>
        <v>0</v>
      </c>
      <c r="H908" s="118" t="str">
        <f t="shared" si="88"/>
        <v/>
      </c>
      <c r="I908" s="116" t="str">
        <f>IF(AND(F908&lt;&gt;"",N10&gt;0,M908&gt;N10),"Mot &gt; limite","")</f>
        <v/>
      </c>
      <c r="M908" s="70">
        <f>IF(OR(F908="",N10="",N10&lt;=0),"",IF(LEN(F908)&lt;=N10,LEN(F908),IFERROR(FIND("♦",SUBSTITUTE(LEFT(F908,N10)," ","♦",LEN(LEFT(F908,N10))-LEN(SUBSTITUTE(LEFT(F908,N10)," ","")))),FIND(" ",F908&amp;" ",N10+1)-1)))</f>
        <v>1</v>
      </c>
      <c r="N908" s="119">
        <f t="shared" si="89"/>
        <v>891</v>
      </c>
      <c r="O908" s="99" t="str">
        <f t="shared" si="90"/>
        <v>0</v>
      </c>
      <c r="P908" s="119">
        <f t="shared" si="91"/>
        <v>1</v>
      </c>
      <c r="Q908" s="119">
        <f t="shared" si="92"/>
        <v>1</v>
      </c>
    </row>
    <row r="909" spans="2:17">
      <c r="B909" s="116"/>
      <c r="C909" s="116"/>
      <c r="D909" s="116"/>
      <c r="E909" s="116" cm="1">
        <f t="array" ref="E909">IF(H908&lt;&gt;"",E908,IF(E908="","",IFERROR(MATCH(TRUE(),INDEX(INDEX(K:K,E908+1):K203&lt;&gt;"",0),0)+E908,"")))</f>
        <v>1051</v>
      </c>
      <c r="F909" s="117" cm="1">
        <f t="array" ref="F909">IF(E909="","",IF(H908&lt;&gt;"",H908,INDEX(D:D,E909)))</f>
        <v>0</v>
      </c>
      <c r="G909" s="117" t="str">
        <f t="shared" si="87"/>
        <v>0</v>
      </c>
      <c r="H909" s="118" t="str">
        <f t="shared" si="88"/>
        <v/>
      </c>
      <c r="I909" s="116" t="str">
        <f>IF(AND(F909&lt;&gt;"",N10&gt;0,M909&gt;N10),"Mot &gt; limite","")</f>
        <v/>
      </c>
      <c r="M909" s="70">
        <f>IF(OR(F909="",N10="",N10&lt;=0),"",IF(LEN(F909)&lt;=N10,LEN(F909),IFERROR(FIND("♦",SUBSTITUTE(LEFT(F909,N10)," ","♦",LEN(LEFT(F909,N10))-LEN(SUBSTITUTE(LEFT(F909,N10)," ","")))),FIND(" ",F909&amp;" ",N10+1)-1)))</f>
        <v>1</v>
      </c>
      <c r="N909" s="119">
        <f t="shared" si="89"/>
        <v>892</v>
      </c>
      <c r="O909" s="99" t="str">
        <f t="shared" si="90"/>
        <v>0</v>
      </c>
      <c r="P909" s="119">
        <f t="shared" si="91"/>
        <v>1</v>
      </c>
      <c r="Q909" s="119">
        <f t="shared" si="92"/>
        <v>1</v>
      </c>
    </row>
    <row r="910" spans="2:17">
      <c r="B910" s="116"/>
      <c r="C910" s="116"/>
      <c r="D910" s="116"/>
      <c r="E910" s="116" cm="1">
        <f t="array" ref="E910">IF(H909&lt;&gt;"",E909,IF(E909="","",IFERROR(MATCH(TRUE(),INDEX(INDEX(K:K,E909+1):K203&lt;&gt;"",0),0)+E909,"")))</f>
        <v>1052</v>
      </c>
      <c r="F910" s="117" cm="1">
        <f t="array" ref="F910">IF(E910="","",IF(H909&lt;&gt;"",H909,INDEX(D:D,E910)))</f>
        <v>0</v>
      </c>
      <c r="G910" s="117" t="str">
        <f t="shared" si="87"/>
        <v>0</v>
      </c>
      <c r="H910" s="118" t="str">
        <f t="shared" si="88"/>
        <v/>
      </c>
      <c r="I910" s="116" t="str">
        <f>IF(AND(F910&lt;&gt;"",N10&gt;0,M910&gt;N10),"Mot &gt; limite","")</f>
        <v/>
      </c>
      <c r="M910" s="70">
        <f>IF(OR(F910="",N10="",N10&lt;=0),"",IF(LEN(F910)&lt;=N10,LEN(F910),IFERROR(FIND("♦",SUBSTITUTE(LEFT(F910,N10)," ","♦",LEN(LEFT(F910,N10))-LEN(SUBSTITUTE(LEFT(F910,N10)," ","")))),FIND(" ",F910&amp;" ",N10+1)-1)))</f>
        <v>1</v>
      </c>
      <c r="N910" s="119">
        <f t="shared" si="89"/>
        <v>893</v>
      </c>
      <c r="O910" s="99" t="str">
        <f t="shared" si="90"/>
        <v>0</v>
      </c>
      <c r="P910" s="119">
        <f t="shared" si="91"/>
        <v>1</v>
      </c>
      <c r="Q910" s="119">
        <f t="shared" si="92"/>
        <v>1</v>
      </c>
    </row>
    <row r="911" spans="2:17">
      <c r="B911" s="116"/>
      <c r="C911" s="116"/>
      <c r="D911" s="116"/>
      <c r="E911" s="116" cm="1">
        <f t="array" ref="E911">IF(H910&lt;&gt;"",E910,IF(E910="","",IFERROR(MATCH(TRUE(),INDEX(INDEX(K:K,E910+1):K203&lt;&gt;"",0),0)+E910,"")))</f>
        <v>1053</v>
      </c>
      <c r="F911" s="117" cm="1">
        <f t="array" ref="F911">IF(E911="","",IF(H910&lt;&gt;"",H910,INDEX(D:D,E911)))</f>
        <v>0</v>
      </c>
      <c r="G911" s="117" t="str">
        <f t="shared" si="87"/>
        <v>0</v>
      </c>
      <c r="H911" s="118" t="str">
        <f t="shared" si="88"/>
        <v/>
      </c>
      <c r="I911" s="116" t="str">
        <f>IF(AND(F911&lt;&gt;"",N10&gt;0,M911&gt;N10),"Mot &gt; limite","")</f>
        <v/>
      </c>
      <c r="M911" s="70">
        <f>IF(OR(F911="",N10="",N10&lt;=0),"",IF(LEN(F911)&lt;=N10,LEN(F911),IFERROR(FIND("♦",SUBSTITUTE(LEFT(F911,N10)," ","♦",LEN(LEFT(F911,N10))-LEN(SUBSTITUTE(LEFT(F911,N10)," ","")))),FIND(" ",F911&amp;" ",N10+1)-1)))</f>
        <v>1</v>
      </c>
      <c r="N911" s="119">
        <f t="shared" si="89"/>
        <v>894</v>
      </c>
      <c r="O911" s="99" t="str">
        <f t="shared" si="90"/>
        <v>0</v>
      </c>
      <c r="P911" s="119">
        <f t="shared" si="91"/>
        <v>1</v>
      </c>
      <c r="Q911" s="119">
        <f t="shared" si="92"/>
        <v>1</v>
      </c>
    </row>
    <row r="912" spans="2:17">
      <c r="B912" s="116"/>
      <c r="C912" s="116"/>
      <c r="D912" s="116"/>
      <c r="E912" s="116" cm="1">
        <f t="array" ref="E912">IF(H911&lt;&gt;"",E911,IF(E911="","",IFERROR(MATCH(TRUE(),INDEX(INDEX(K:K,E911+1):K203&lt;&gt;"",0),0)+E911,"")))</f>
        <v>1054</v>
      </c>
      <c r="F912" s="117" cm="1">
        <f t="array" ref="F912">IF(E912="","",IF(H911&lt;&gt;"",H911,INDEX(D:D,E912)))</f>
        <v>0</v>
      </c>
      <c r="G912" s="117" t="str">
        <f t="shared" si="87"/>
        <v>0</v>
      </c>
      <c r="H912" s="118" t="str">
        <f t="shared" si="88"/>
        <v/>
      </c>
      <c r="I912" s="116" t="str">
        <f>IF(AND(F912&lt;&gt;"",N10&gt;0,M912&gt;N10),"Mot &gt; limite","")</f>
        <v/>
      </c>
      <c r="M912" s="70">
        <f>IF(OR(F912="",N10="",N10&lt;=0),"",IF(LEN(F912)&lt;=N10,LEN(F912),IFERROR(FIND("♦",SUBSTITUTE(LEFT(F912,N10)," ","♦",LEN(LEFT(F912,N10))-LEN(SUBSTITUTE(LEFT(F912,N10)," ","")))),FIND(" ",F912&amp;" ",N10+1)-1)))</f>
        <v>1</v>
      </c>
      <c r="N912" s="119">
        <f t="shared" si="89"/>
        <v>895</v>
      </c>
      <c r="O912" s="99" t="str">
        <f t="shared" si="90"/>
        <v>0</v>
      </c>
      <c r="P912" s="119">
        <f t="shared" si="91"/>
        <v>1</v>
      </c>
      <c r="Q912" s="119">
        <f t="shared" si="92"/>
        <v>1</v>
      </c>
    </row>
    <row r="913" spans="2:17">
      <c r="B913" s="116"/>
      <c r="C913" s="116"/>
      <c r="D913" s="116"/>
      <c r="E913" s="116" cm="1">
        <f t="array" ref="E913">IF(H912&lt;&gt;"",E912,IF(E912="","",IFERROR(MATCH(TRUE(),INDEX(INDEX(K:K,E912+1):K203&lt;&gt;"",0),0)+E912,"")))</f>
        <v>1055</v>
      </c>
      <c r="F913" s="117" cm="1">
        <f t="array" ref="F913">IF(E913="","",IF(H912&lt;&gt;"",H912,INDEX(D:D,E913)))</f>
        <v>0</v>
      </c>
      <c r="G913" s="117" t="str">
        <f t="shared" si="87"/>
        <v>0</v>
      </c>
      <c r="H913" s="118" t="str">
        <f t="shared" si="88"/>
        <v/>
      </c>
      <c r="I913" s="116" t="str">
        <f>IF(AND(F913&lt;&gt;"",N10&gt;0,M913&gt;N10),"Mot &gt; limite","")</f>
        <v/>
      </c>
      <c r="M913" s="70">
        <f>IF(OR(F913="",N10="",N10&lt;=0),"",IF(LEN(F913)&lt;=N10,LEN(F913),IFERROR(FIND("♦",SUBSTITUTE(LEFT(F913,N10)," ","♦",LEN(LEFT(F913,N10))-LEN(SUBSTITUTE(LEFT(F913,N10)," ","")))),FIND(" ",F913&amp;" ",N10+1)-1)))</f>
        <v>1</v>
      </c>
      <c r="N913" s="119">
        <f t="shared" si="89"/>
        <v>896</v>
      </c>
      <c r="O913" s="99" t="str">
        <f t="shared" si="90"/>
        <v>0</v>
      </c>
      <c r="P913" s="119">
        <f t="shared" si="91"/>
        <v>1</v>
      </c>
      <c r="Q913" s="119">
        <f t="shared" si="92"/>
        <v>1</v>
      </c>
    </row>
    <row r="914" spans="2:17">
      <c r="B914" s="116"/>
      <c r="C914" s="116"/>
      <c r="D914" s="116"/>
      <c r="E914" s="116" cm="1">
        <f t="array" ref="E914">IF(H913&lt;&gt;"",E913,IF(E913="","",IFERROR(MATCH(TRUE(),INDEX(INDEX(K:K,E913+1):K203&lt;&gt;"",0),0)+E913,"")))</f>
        <v>1056</v>
      </c>
      <c r="F914" s="117" cm="1">
        <f t="array" ref="F914">IF(E914="","",IF(H913&lt;&gt;"",H913,INDEX(D:D,E914)))</f>
        <v>0</v>
      </c>
      <c r="G914" s="117" t="str">
        <f t="shared" ref="G914:G977" si="93">IF(OR(F914="",M914=""),"",LEFT(F914,M914))</f>
        <v>0</v>
      </c>
      <c r="H914" s="118" t="str">
        <f t="shared" ref="H914:H977" si="94">IF(OR(F914="",M914=""),"",TRIM(MID(F914,M914+1,99999)))</f>
        <v/>
      </c>
      <c r="I914" s="116" t="str">
        <f>IF(AND(F914&lt;&gt;"",N10&gt;0,M914&gt;N10),"Mot &gt; limite","")</f>
        <v/>
      </c>
      <c r="M914" s="70">
        <f>IF(OR(F914="",N10="",N10&lt;=0),"",IF(LEN(F914)&lt;=N10,LEN(F914),IFERROR(FIND("♦",SUBSTITUTE(LEFT(F914,N10)," ","♦",LEN(LEFT(F914,N10))-LEN(SUBSTITUTE(LEFT(F914,N10)," ","")))),FIND(" ",F914&amp;" ",N10+1)-1)))</f>
        <v>1</v>
      </c>
      <c r="N914" s="119">
        <f t="shared" ref="N914:N977" si="95">IF(O914="","",ROW()-17)</f>
        <v>897</v>
      </c>
      <c r="O914" s="99" t="str">
        <f t="shared" ref="O914:O977" si="96">G914</f>
        <v>0</v>
      </c>
      <c r="P914" s="119">
        <f t="shared" ref="P914:P977" si="97">IF(O914="","",LEN(TRIM(O914))-LEN(SUBSTITUTE(TRIM(O914)," ",""))+1)</f>
        <v>1</v>
      </c>
      <c r="Q914" s="119">
        <f t="shared" ref="Q914:Q977" si="98">IF(O914="","",LEN(O914))</f>
        <v>1</v>
      </c>
    </row>
    <row r="915" spans="2:17">
      <c r="B915" s="116"/>
      <c r="C915" s="116"/>
      <c r="D915" s="116"/>
      <c r="E915" s="116" cm="1">
        <f t="array" ref="E915">IF(H914&lt;&gt;"",E914,IF(E914="","",IFERROR(MATCH(TRUE(),INDEX(INDEX(K:K,E914+1):K203&lt;&gt;"",0),0)+E914,"")))</f>
        <v>1057</v>
      </c>
      <c r="F915" s="117" cm="1">
        <f t="array" ref="F915">IF(E915="","",IF(H914&lt;&gt;"",H914,INDEX(D:D,E915)))</f>
        <v>0</v>
      </c>
      <c r="G915" s="117" t="str">
        <f t="shared" si="93"/>
        <v>0</v>
      </c>
      <c r="H915" s="118" t="str">
        <f t="shared" si="94"/>
        <v/>
      </c>
      <c r="I915" s="116" t="str">
        <f>IF(AND(F915&lt;&gt;"",N10&gt;0,M915&gt;N10),"Mot &gt; limite","")</f>
        <v/>
      </c>
      <c r="M915" s="70">
        <f>IF(OR(F915="",N10="",N10&lt;=0),"",IF(LEN(F915)&lt;=N10,LEN(F915),IFERROR(FIND("♦",SUBSTITUTE(LEFT(F915,N10)," ","♦",LEN(LEFT(F915,N10))-LEN(SUBSTITUTE(LEFT(F915,N10)," ","")))),FIND(" ",F915&amp;" ",N10+1)-1)))</f>
        <v>1</v>
      </c>
      <c r="N915" s="119">
        <f t="shared" si="95"/>
        <v>898</v>
      </c>
      <c r="O915" s="99" t="str">
        <f t="shared" si="96"/>
        <v>0</v>
      </c>
      <c r="P915" s="119">
        <f t="shared" si="97"/>
        <v>1</v>
      </c>
      <c r="Q915" s="119">
        <f t="shared" si="98"/>
        <v>1</v>
      </c>
    </row>
    <row r="916" spans="2:17">
      <c r="B916" s="116"/>
      <c r="C916" s="116"/>
      <c r="D916" s="116"/>
      <c r="E916" s="116" cm="1">
        <f t="array" ref="E916">IF(H915&lt;&gt;"",E915,IF(E915="","",IFERROR(MATCH(TRUE(),INDEX(INDEX(K:K,E915+1):K203&lt;&gt;"",0),0)+E915,"")))</f>
        <v>1058</v>
      </c>
      <c r="F916" s="117" cm="1">
        <f t="array" ref="F916">IF(E916="","",IF(H915&lt;&gt;"",H915,INDEX(D:D,E916)))</f>
        <v>0</v>
      </c>
      <c r="G916" s="117" t="str">
        <f t="shared" si="93"/>
        <v>0</v>
      </c>
      <c r="H916" s="118" t="str">
        <f t="shared" si="94"/>
        <v/>
      </c>
      <c r="I916" s="116" t="str">
        <f>IF(AND(F916&lt;&gt;"",N10&gt;0,M916&gt;N10),"Mot &gt; limite","")</f>
        <v/>
      </c>
      <c r="M916" s="70">
        <f>IF(OR(F916="",N10="",N10&lt;=0),"",IF(LEN(F916)&lt;=N10,LEN(F916),IFERROR(FIND("♦",SUBSTITUTE(LEFT(F916,N10)," ","♦",LEN(LEFT(F916,N10))-LEN(SUBSTITUTE(LEFT(F916,N10)," ","")))),FIND(" ",F916&amp;" ",N10+1)-1)))</f>
        <v>1</v>
      </c>
      <c r="N916" s="119">
        <f t="shared" si="95"/>
        <v>899</v>
      </c>
      <c r="O916" s="99" t="str">
        <f t="shared" si="96"/>
        <v>0</v>
      </c>
      <c r="P916" s="119">
        <f t="shared" si="97"/>
        <v>1</v>
      </c>
      <c r="Q916" s="119">
        <f t="shared" si="98"/>
        <v>1</v>
      </c>
    </row>
    <row r="917" spans="2:17">
      <c r="B917" s="116"/>
      <c r="C917" s="116"/>
      <c r="D917" s="116"/>
      <c r="E917" s="116" cm="1">
        <f t="array" ref="E917">IF(H916&lt;&gt;"",E916,IF(E916="","",IFERROR(MATCH(TRUE(),INDEX(INDEX(K:K,E916+1):K203&lt;&gt;"",0),0)+E916,"")))</f>
        <v>1059</v>
      </c>
      <c r="F917" s="117" cm="1">
        <f t="array" ref="F917">IF(E917="","",IF(H916&lt;&gt;"",H916,INDEX(D:D,E917)))</f>
        <v>0</v>
      </c>
      <c r="G917" s="117" t="str">
        <f t="shared" si="93"/>
        <v>0</v>
      </c>
      <c r="H917" s="118" t="str">
        <f t="shared" si="94"/>
        <v/>
      </c>
      <c r="I917" s="116" t="str">
        <f>IF(AND(F917&lt;&gt;"",N10&gt;0,M917&gt;N10),"Mot &gt; limite","")</f>
        <v/>
      </c>
      <c r="M917" s="70">
        <f>IF(OR(F917="",N10="",N10&lt;=0),"",IF(LEN(F917)&lt;=N10,LEN(F917),IFERROR(FIND("♦",SUBSTITUTE(LEFT(F917,N10)," ","♦",LEN(LEFT(F917,N10))-LEN(SUBSTITUTE(LEFT(F917,N10)," ","")))),FIND(" ",F917&amp;" ",N10+1)-1)))</f>
        <v>1</v>
      </c>
      <c r="N917" s="119">
        <f t="shared" si="95"/>
        <v>900</v>
      </c>
      <c r="O917" s="99" t="str">
        <f t="shared" si="96"/>
        <v>0</v>
      </c>
      <c r="P917" s="119">
        <f t="shared" si="97"/>
        <v>1</v>
      </c>
      <c r="Q917" s="119">
        <f t="shared" si="98"/>
        <v>1</v>
      </c>
    </row>
    <row r="918" spans="2:17">
      <c r="B918" s="116"/>
      <c r="C918" s="116"/>
      <c r="D918" s="116"/>
      <c r="E918" s="116" cm="1">
        <f t="array" ref="E918">IF(H917&lt;&gt;"",E917,IF(E917="","",IFERROR(MATCH(TRUE(),INDEX(INDEX(K:K,E917+1):K203&lt;&gt;"",0),0)+E917,"")))</f>
        <v>1060</v>
      </c>
      <c r="F918" s="117" cm="1">
        <f t="array" ref="F918">IF(E918="","",IF(H917&lt;&gt;"",H917,INDEX(D:D,E918)))</f>
        <v>0</v>
      </c>
      <c r="G918" s="117" t="str">
        <f t="shared" si="93"/>
        <v>0</v>
      </c>
      <c r="H918" s="118" t="str">
        <f t="shared" si="94"/>
        <v/>
      </c>
      <c r="I918" s="116" t="str">
        <f>IF(AND(F918&lt;&gt;"",N10&gt;0,M918&gt;N10),"Mot &gt; limite","")</f>
        <v/>
      </c>
      <c r="M918" s="70">
        <f>IF(OR(F918="",N10="",N10&lt;=0),"",IF(LEN(F918)&lt;=N10,LEN(F918),IFERROR(FIND("♦",SUBSTITUTE(LEFT(F918,N10)," ","♦",LEN(LEFT(F918,N10))-LEN(SUBSTITUTE(LEFT(F918,N10)," ","")))),FIND(" ",F918&amp;" ",N10+1)-1)))</f>
        <v>1</v>
      </c>
      <c r="N918" s="119">
        <f t="shared" si="95"/>
        <v>901</v>
      </c>
      <c r="O918" s="99" t="str">
        <f t="shared" si="96"/>
        <v>0</v>
      </c>
      <c r="P918" s="119">
        <f t="shared" si="97"/>
        <v>1</v>
      </c>
      <c r="Q918" s="119">
        <f t="shared" si="98"/>
        <v>1</v>
      </c>
    </row>
    <row r="919" spans="2:17">
      <c r="B919" s="116"/>
      <c r="C919" s="116"/>
      <c r="D919" s="116"/>
      <c r="E919" s="116" cm="1">
        <f t="array" ref="E919">IF(H918&lt;&gt;"",E918,IF(E918="","",IFERROR(MATCH(TRUE(),INDEX(INDEX(K:K,E918+1):K203&lt;&gt;"",0),0)+E918,"")))</f>
        <v>1061</v>
      </c>
      <c r="F919" s="117" cm="1">
        <f t="array" ref="F919">IF(E919="","",IF(H918&lt;&gt;"",H918,INDEX(D:D,E919)))</f>
        <v>0</v>
      </c>
      <c r="G919" s="117" t="str">
        <f t="shared" si="93"/>
        <v>0</v>
      </c>
      <c r="H919" s="118" t="str">
        <f t="shared" si="94"/>
        <v/>
      </c>
      <c r="I919" s="116" t="str">
        <f>IF(AND(F919&lt;&gt;"",N10&gt;0,M919&gt;N10),"Mot &gt; limite","")</f>
        <v/>
      </c>
      <c r="M919" s="70">
        <f>IF(OR(F919="",N10="",N10&lt;=0),"",IF(LEN(F919)&lt;=N10,LEN(F919),IFERROR(FIND("♦",SUBSTITUTE(LEFT(F919,N10)," ","♦",LEN(LEFT(F919,N10))-LEN(SUBSTITUTE(LEFT(F919,N10)," ","")))),FIND(" ",F919&amp;" ",N10+1)-1)))</f>
        <v>1</v>
      </c>
      <c r="N919" s="119">
        <f t="shared" si="95"/>
        <v>902</v>
      </c>
      <c r="O919" s="99" t="str">
        <f t="shared" si="96"/>
        <v>0</v>
      </c>
      <c r="P919" s="119">
        <f t="shared" si="97"/>
        <v>1</v>
      </c>
      <c r="Q919" s="119">
        <f t="shared" si="98"/>
        <v>1</v>
      </c>
    </row>
    <row r="920" spans="2:17">
      <c r="B920" s="116"/>
      <c r="C920" s="116"/>
      <c r="D920" s="116"/>
      <c r="E920" s="116" cm="1">
        <f t="array" ref="E920">IF(H919&lt;&gt;"",E919,IF(E919="","",IFERROR(MATCH(TRUE(),INDEX(INDEX(K:K,E919+1):K203&lt;&gt;"",0),0)+E919,"")))</f>
        <v>1062</v>
      </c>
      <c r="F920" s="117" cm="1">
        <f t="array" ref="F920">IF(E920="","",IF(H919&lt;&gt;"",H919,INDEX(D:D,E920)))</f>
        <v>0</v>
      </c>
      <c r="G920" s="117" t="str">
        <f t="shared" si="93"/>
        <v>0</v>
      </c>
      <c r="H920" s="118" t="str">
        <f t="shared" si="94"/>
        <v/>
      </c>
      <c r="I920" s="116" t="str">
        <f>IF(AND(F920&lt;&gt;"",N10&gt;0,M920&gt;N10),"Mot &gt; limite","")</f>
        <v/>
      </c>
      <c r="M920" s="70">
        <f>IF(OR(F920="",N10="",N10&lt;=0),"",IF(LEN(F920)&lt;=N10,LEN(F920),IFERROR(FIND("♦",SUBSTITUTE(LEFT(F920,N10)," ","♦",LEN(LEFT(F920,N10))-LEN(SUBSTITUTE(LEFT(F920,N10)," ","")))),FIND(" ",F920&amp;" ",N10+1)-1)))</f>
        <v>1</v>
      </c>
      <c r="N920" s="119">
        <f t="shared" si="95"/>
        <v>903</v>
      </c>
      <c r="O920" s="99" t="str">
        <f t="shared" si="96"/>
        <v>0</v>
      </c>
      <c r="P920" s="119">
        <f t="shared" si="97"/>
        <v>1</v>
      </c>
      <c r="Q920" s="119">
        <f t="shared" si="98"/>
        <v>1</v>
      </c>
    </row>
    <row r="921" spans="2:17">
      <c r="B921" s="116"/>
      <c r="C921" s="116"/>
      <c r="D921" s="116"/>
      <c r="E921" s="116" cm="1">
        <f t="array" ref="E921">IF(H920&lt;&gt;"",E920,IF(E920="","",IFERROR(MATCH(TRUE(),INDEX(INDEX(K:K,E920+1):K203&lt;&gt;"",0),0)+E920,"")))</f>
        <v>1063</v>
      </c>
      <c r="F921" s="117" cm="1">
        <f t="array" ref="F921">IF(E921="","",IF(H920&lt;&gt;"",H920,INDEX(D:D,E921)))</f>
        <v>0</v>
      </c>
      <c r="G921" s="117" t="str">
        <f t="shared" si="93"/>
        <v>0</v>
      </c>
      <c r="H921" s="118" t="str">
        <f t="shared" si="94"/>
        <v/>
      </c>
      <c r="I921" s="116" t="str">
        <f>IF(AND(F921&lt;&gt;"",N10&gt;0,M921&gt;N10),"Mot &gt; limite","")</f>
        <v/>
      </c>
      <c r="M921" s="70">
        <f>IF(OR(F921="",N10="",N10&lt;=0),"",IF(LEN(F921)&lt;=N10,LEN(F921),IFERROR(FIND("♦",SUBSTITUTE(LEFT(F921,N10)," ","♦",LEN(LEFT(F921,N10))-LEN(SUBSTITUTE(LEFT(F921,N10)," ","")))),FIND(" ",F921&amp;" ",N10+1)-1)))</f>
        <v>1</v>
      </c>
      <c r="N921" s="119">
        <f t="shared" si="95"/>
        <v>904</v>
      </c>
      <c r="O921" s="99" t="str">
        <f t="shared" si="96"/>
        <v>0</v>
      </c>
      <c r="P921" s="119">
        <f t="shared" si="97"/>
        <v>1</v>
      </c>
      <c r="Q921" s="119">
        <f t="shared" si="98"/>
        <v>1</v>
      </c>
    </row>
    <row r="922" spans="2:17">
      <c r="B922" s="116"/>
      <c r="C922" s="116"/>
      <c r="D922" s="116"/>
      <c r="E922" s="116" cm="1">
        <f t="array" ref="E922">IF(H921&lt;&gt;"",E921,IF(E921="","",IFERROR(MATCH(TRUE(),INDEX(INDEX(K:K,E921+1):K203&lt;&gt;"",0),0)+E921,"")))</f>
        <v>1064</v>
      </c>
      <c r="F922" s="117" cm="1">
        <f t="array" ref="F922">IF(E922="","",IF(H921&lt;&gt;"",H921,INDEX(D:D,E922)))</f>
        <v>0</v>
      </c>
      <c r="G922" s="117" t="str">
        <f t="shared" si="93"/>
        <v>0</v>
      </c>
      <c r="H922" s="118" t="str">
        <f t="shared" si="94"/>
        <v/>
      </c>
      <c r="I922" s="116" t="str">
        <f>IF(AND(F922&lt;&gt;"",N10&gt;0,M922&gt;N10),"Mot &gt; limite","")</f>
        <v/>
      </c>
      <c r="M922" s="70">
        <f>IF(OR(F922="",N10="",N10&lt;=0),"",IF(LEN(F922)&lt;=N10,LEN(F922),IFERROR(FIND("♦",SUBSTITUTE(LEFT(F922,N10)," ","♦",LEN(LEFT(F922,N10))-LEN(SUBSTITUTE(LEFT(F922,N10)," ","")))),FIND(" ",F922&amp;" ",N10+1)-1)))</f>
        <v>1</v>
      </c>
      <c r="N922" s="119">
        <f t="shared" si="95"/>
        <v>905</v>
      </c>
      <c r="O922" s="99" t="str">
        <f t="shared" si="96"/>
        <v>0</v>
      </c>
      <c r="P922" s="119">
        <f t="shared" si="97"/>
        <v>1</v>
      </c>
      <c r="Q922" s="119">
        <f t="shared" si="98"/>
        <v>1</v>
      </c>
    </row>
    <row r="923" spans="2:17">
      <c r="B923" s="116"/>
      <c r="C923" s="116"/>
      <c r="D923" s="116"/>
      <c r="E923" s="116" cm="1">
        <f t="array" ref="E923">IF(H922&lt;&gt;"",E922,IF(E922="","",IFERROR(MATCH(TRUE(),INDEX(INDEX(K:K,E922+1):K203&lt;&gt;"",0),0)+E922,"")))</f>
        <v>1065</v>
      </c>
      <c r="F923" s="117" cm="1">
        <f t="array" ref="F923">IF(E923="","",IF(H922&lt;&gt;"",H922,INDEX(D:D,E923)))</f>
        <v>0</v>
      </c>
      <c r="G923" s="117" t="str">
        <f t="shared" si="93"/>
        <v>0</v>
      </c>
      <c r="H923" s="118" t="str">
        <f t="shared" si="94"/>
        <v/>
      </c>
      <c r="I923" s="116" t="str">
        <f>IF(AND(F923&lt;&gt;"",N10&gt;0,M923&gt;N10),"Mot &gt; limite","")</f>
        <v/>
      </c>
      <c r="M923" s="70">
        <f>IF(OR(F923="",N10="",N10&lt;=0),"",IF(LEN(F923)&lt;=N10,LEN(F923),IFERROR(FIND("♦",SUBSTITUTE(LEFT(F923,N10)," ","♦",LEN(LEFT(F923,N10))-LEN(SUBSTITUTE(LEFT(F923,N10)," ","")))),FIND(" ",F923&amp;" ",N10+1)-1)))</f>
        <v>1</v>
      </c>
      <c r="N923" s="119">
        <f t="shared" si="95"/>
        <v>906</v>
      </c>
      <c r="O923" s="99" t="str">
        <f t="shared" si="96"/>
        <v>0</v>
      </c>
      <c r="P923" s="119">
        <f t="shared" si="97"/>
        <v>1</v>
      </c>
      <c r="Q923" s="119">
        <f t="shared" si="98"/>
        <v>1</v>
      </c>
    </row>
    <row r="924" spans="2:17">
      <c r="B924" s="116"/>
      <c r="C924" s="116"/>
      <c r="D924" s="116"/>
      <c r="E924" s="116" cm="1">
        <f t="array" ref="E924">IF(H923&lt;&gt;"",E923,IF(E923="","",IFERROR(MATCH(TRUE(),INDEX(INDEX(K:K,E923+1):K203&lt;&gt;"",0),0)+E923,"")))</f>
        <v>1066</v>
      </c>
      <c r="F924" s="117" cm="1">
        <f t="array" ref="F924">IF(E924="","",IF(H923&lt;&gt;"",H923,INDEX(D:D,E924)))</f>
        <v>0</v>
      </c>
      <c r="G924" s="117" t="str">
        <f t="shared" si="93"/>
        <v>0</v>
      </c>
      <c r="H924" s="118" t="str">
        <f t="shared" si="94"/>
        <v/>
      </c>
      <c r="I924" s="116" t="str">
        <f>IF(AND(F924&lt;&gt;"",N10&gt;0,M924&gt;N10),"Mot &gt; limite","")</f>
        <v/>
      </c>
      <c r="M924" s="70">
        <f>IF(OR(F924="",N10="",N10&lt;=0),"",IF(LEN(F924)&lt;=N10,LEN(F924),IFERROR(FIND("♦",SUBSTITUTE(LEFT(F924,N10)," ","♦",LEN(LEFT(F924,N10))-LEN(SUBSTITUTE(LEFT(F924,N10)," ","")))),FIND(" ",F924&amp;" ",N10+1)-1)))</f>
        <v>1</v>
      </c>
      <c r="N924" s="119">
        <f t="shared" si="95"/>
        <v>907</v>
      </c>
      <c r="O924" s="99" t="str">
        <f t="shared" si="96"/>
        <v>0</v>
      </c>
      <c r="P924" s="119">
        <f t="shared" si="97"/>
        <v>1</v>
      </c>
      <c r="Q924" s="119">
        <f t="shared" si="98"/>
        <v>1</v>
      </c>
    </row>
    <row r="925" spans="2:17">
      <c r="B925" s="116"/>
      <c r="C925" s="116"/>
      <c r="D925" s="116"/>
      <c r="E925" s="116" cm="1">
        <f t="array" ref="E925">IF(H924&lt;&gt;"",E924,IF(E924="","",IFERROR(MATCH(TRUE(),INDEX(INDEX(K:K,E924+1):K203&lt;&gt;"",0),0)+E924,"")))</f>
        <v>1067</v>
      </c>
      <c r="F925" s="117" cm="1">
        <f t="array" ref="F925">IF(E925="","",IF(H924&lt;&gt;"",H924,INDEX(D:D,E925)))</f>
        <v>0</v>
      </c>
      <c r="G925" s="117" t="str">
        <f t="shared" si="93"/>
        <v>0</v>
      </c>
      <c r="H925" s="118" t="str">
        <f t="shared" si="94"/>
        <v/>
      </c>
      <c r="I925" s="116" t="str">
        <f>IF(AND(F925&lt;&gt;"",N10&gt;0,M925&gt;N10),"Mot &gt; limite","")</f>
        <v/>
      </c>
      <c r="M925" s="70">
        <f>IF(OR(F925="",N10="",N10&lt;=0),"",IF(LEN(F925)&lt;=N10,LEN(F925),IFERROR(FIND("♦",SUBSTITUTE(LEFT(F925,N10)," ","♦",LEN(LEFT(F925,N10))-LEN(SUBSTITUTE(LEFT(F925,N10)," ","")))),FIND(" ",F925&amp;" ",N10+1)-1)))</f>
        <v>1</v>
      </c>
      <c r="N925" s="119">
        <f t="shared" si="95"/>
        <v>908</v>
      </c>
      <c r="O925" s="99" t="str">
        <f t="shared" si="96"/>
        <v>0</v>
      </c>
      <c r="P925" s="119">
        <f t="shared" si="97"/>
        <v>1</v>
      </c>
      <c r="Q925" s="119">
        <f t="shared" si="98"/>
        <v>1</v>
      </c>
    </row>
    <row r="926" spans="2:17">
      <c r="B926" s="116"/>
      <c r="C926" s="116"/>
      <c r="D926" s="116"/>
      <c r="E926" s="116" cm="1">
        <f t="array" ref="E926">IF(H925&lt;&gt;"",E925,IF(E925="","",IFERROR(MATCH(TRUE(),INDEX(INDEX(K:K,E925+1):K203&lt;&gt;"",0),0)+E925,"")))</f>
        <v>1068</v>
      </c>
      <c r="F926" s="117" cm="1">
        <f t="array" ref="F926">IF(E926="","",IF(H925&lt;&gt;"",H925,INDEX(D:D,E926)))</f>
        <v>0</v>
      </c>
      <c r="G926" s="117" t="str">
        <f t="shared" si="93"/>
        <v>0</v>
      </c>
      <c r="H926" s="118" t="str">
        <f t="shared" si="94"/>
        <v/>
      </c>
      <c r="I926" s="116" t="str">
        <f>IF(AND(F926&lt;&gt;"",N10&gt;0,M926&gt;N10),"Mot &gt; limite","")</f>
        <v/>
      </c>
      <c r="M926" s="70">
        <f>IF(OR(F926="",N10="",N10&lt;=0),"",IF(LEN(F926)&lt;=N10,LEN(F926),IFERROR(FIND("♦",SUBSTITUTE(LEFT(F926,N10)," ","♦",LEN(LEFT(F926,N10))-LEN(SUBSTITUTE(LEFT(F926,N10)," ","")))),FIND(" ",F926&amp;" ",N10+1)-1)))</f>
        <v>1</v>
      </c>
      <c r="N926" s="119">
        <f t="shared" si="95"/>
        <v>909</v>
      </c>
      <c r="O926" s="99" t="str">
        <f t="shared" si="96"/>
        <v>0</v>
      </c>
      <c r="P926" s="119">
        <f t="shared" si="97"/>
        <v>1</v>
      </c>
      <c r="Q926" s="119">
        <f t="shared" si="98"/>
        <v>1</v>
      </c>
    </row>
    <row r="927" spans="2:17">
      <c r="B927" s="116"/>
      <c r="C927" s="116"/>
      <c r="D927" s="116"/>
      <c r="E927" s="116" cm="1">
        <f t="array" ref="E927">IF(H926&lt;&gt;"",E926,IF(E926="","",IFERROR(MATCH(TRUE(),INDEX(INDEX(K:K,E926+1):K203&lt;&gt;"",0),0)+E926,"")))</f>
        <v>1069</v>
      </c>
      <c r="F927" s="117" cm="1">
        <f t="array" ref="F927">IF(E927="","",IF(H926&lt;&gt;"",H926,INDEX(D:D,E927)))</f>
        <v>0</v>
      </c>
      <c r="G927" s="117" t="str">
        <f t="shared" si="93"/>
        <v>0</v>
      </c>
      <c r="H927" s="118" t="str">
        <f t="shared" si="94"/>
        <v/>
      </c>
      <c r="I927" s="116" t="str">
        <f>IF(AND(F927&lt;&gt;"",N10&gt;0,M927&gt;N10),"Mot &gt; limite","")</f>
        <v/>
      </c>
      <c r="M927" s="70">
        <f>IF(OR(F927="",N10="",N10&lt;=0),"",IF(LEN(F927)&lt;=N10,LEN(F927),IFERROR(FIND("♦",SUBSTITUTE(LEFT(F927,N10)," ","♦",LEN(LEFT(F927,N10))-LEN(SUBSTITUTE(LEFT(F927,N10)," ","")))),FIND(" ",F927&amp;" ",N10+1)-1)))</f>
        <v>1</v>
      </c>
      <c r="N927" s="119">
        <f t="shared" si="95"/>
        <v>910</v>
      </c>
      <c r="O927" s="99" t="str">
        <f t="shared" si="96"/>
        <v>0</v>
      </c>
      <c r="P927" s="119">
        <f t="shared" si="97"/>
        <v>1</v>
      </c>
      <c r="Q927" s="119">
        <f t="shared" si="98"/>
        <v>1</v>
      </c>
    </row>
    <row r="928" spans="2:17">
      <c r="B928" s="116"/>
      <c r="C928" s="116"/>
      <c r="D928" s="116"/>
      <c r="E928" s="116" cm="1">
        <f t="array" ref="E928">IF(H927&lt;&gt;"",E927,IF(E927="","",IFERROR(MATCH(TRUE(),INDEX(INDEX(K:K,E927+1):K203&lt;&gt;"",0),0)+E927,"")))</f>
        <v>1070</v>
      </c>
      <c r="F928" s="117" cm="1">
        <f t="array" ref="F928">IF(E928="","",IF(H927&lt;&gt;"",H927,INDEX(D:D,E928)))</f>
        <v>0</v>
      </c>
      <c r="G928" s="117" t="str">
        <f t="shared" si="93"/>
        <v>0</v>
      </c>
      <c r="H928" s="118" t="str">
        <f t="shared" si="94"/>
        <v/>
      </c>
      <c r="I928" s="116" t="str">
        <f>IF(AND(F928&lt;&gt;"",N10&gt;0,M928&gt;N10),"Mot &gt; limite","")</f>
        <v/>
      </c>
      <c r="M928" s="70">
        <f>IF(OR(F928="",N10="",N10&lt;=0),"",IF(LEN(F928)&lt;=N10,LEN(F928),IFERROR(FIND("♦",SUBSTITUTE(LEFT(F928,N10)," ","♦",LEN(LEFT(F928,N10))-LEN(SUBSTITUTE(LEFT(F928,N10)," ","")))),FIND(" ",F928&amp;" ",N10+1)-1)))</f>
        <v>1</v>
      </c>
      <c r="N928" s="119">
        <f t="shared" si="95"/>
        <v>911</v>
      </c>
      <c r="O928" s="99" t="str">
        <f t="shared" si="96"/>
        <v>0</v>
      </c>
      <c r="P928" s="119">
        <f t="shared" si="97"/>
        <v>1</v>
      </c>
      <c r="Q928" s="119">
        <f t="shared" si="98"/>
        <v>1</v>
      </c>
    </row>
    <row r="929" spans="2:17">
      <c r="B929" s="116"/>
      <c r="C929" s="116"/>
      <c r="D929" s="116"/>
      <c r="E929" s="116" cm="1">
        <f t="array" ref="E929">IF(H928&lt;&gt;"",E928,IF(E928="","",IFERROR(MATCH(TRUE(),INDEX(INDEX(K:K,E928+1):K203&lt;&gt;"",0),0)+E928,"")))</f>
        <v>1071</v>
      </c>
      <c r="F929" s="117" cm="1">
        <f t="array" ref="F929">IF(E929="","",IF(H928&lt;&gt;"",H928,INDEX(D:D,E929)))</f>
        <v>0</v>
      </c>
      <c r="G929" s="117" t="str">
        <f t="shared" si="93"/>
        <v>0</v>
      </c>
      <c r="H929" s="118" t="str">
        <f t="shared" si="94"/>
        <v/>
      </c>
      <c r="I929" s="116" t="str">
        <f>IF(AND(F929&lt;&gt;"",N10&gt;0,M929&gt;N10),"Mot &gt; limite","")</f>
        <v/>
      </c>
      <c r="M929" s="70">
        <f>IF(OR(F929="",N10="",N10&lt;=0),"",IF(LEN(F929)&lt;=N10,LEN(F929),IFERROR(FIND("♦",SUBSTITUTE(LEFT(F929,N10)," ","♦",LEN(LEFT(F929,N10))-LEN(SUBSTITUTE(LEFT(F929,N10)," ","")))),FIND(" ",F929&amp;" ",N10+1)-1)))</f>
        <v>1</v>
      </c>
      <c r="N929" s="119">
        <f t="shared" si="95"/>
        <v>912</v>
      </c>
      <c r="O929" s="99" t="str">
        <f t="shared" si="96"/>
        <v>0</v>
      </c>
      <c r="P929" s="119">
        <f t="shared" si="97"/>
        <v>1</v>
      </c>
      <c r="Q929" s="119">
        <f t="shared" si="98"/>
        <v>1</v>
      </c>
    </row>
    <row r="930" spans="2:17">
      <c r="B930" s="116"/>
      <c r="C930" s="116"/>
      <c r="D930" s="116"/>
      <c r="E930" s="116" cm="1">
        <f t="array" ref="E930">IF(H929&lt;&gt;"",E929,IF(E929="","",IFERROR(MATCH(TRUE(),INDEX(INDEX(K:K,E929+1):K203&lt;&gt;"",0),0)+E929,"")))</f>
        <v>1072</v>
      </c>
      <c r="F930" s="117" cm="1">
        <f t="array" ref="F930">IF(E930="","",IF(H929&lt;&gt;"",H929,INDEX(D:D,E930)))</f>
        <v>0</v>
      </c>
      <c r="G930" s="117" t="str">
        <f t="shared" si="93"/>
        <v>0</v>
      </c>
      <c r="H930" s="118" t="str">
        <f t="shared" si="94"/>
        <v/>
      </c>
      <c r="I930" s="116" t="str">
        <f>IF(AND(F930&lt;&gt;"",N10&gt;0,M930&gt;N10),"Mot &gt; limite","")</f>
        <v/>
      </c>
      <c r="M930" s="70">
        <f>IF(OR(F930="",N10="",N10&lt;=0),"",IF(LEN(F930)&lt;=N10,LEN(F930),IFERROR(FIND("♦",SUBSTITUTE(LEFT(F930,N10)," ","♦",LEN(LEFT(F930,N10))-LEN(SUBSTITUTE(LEFT(F930,N10)," ","")))),FIND(" ",F930&amp;" ",N10+1)-1)))</f>
        <v>1</v>
      </c>
      <c r="N930" s="119">
        <f t="shared" si="95"/>
        <v>913</v>
      </c>
      <c r="O930" s="99" t="str">
        <f t="shared" si="96"/>
        <v>0</v>
      </c>
      <c r="P930" s="119">
        <f t="shared" si="97"/>
        <v>1</v>
      </c>
      <c r="Q930" s="119">
        <f t="shared" si="98"/>
        <v>1</v>
      </c>
    </row>
    <row r="931" spans="2:17">
      <c r="B931" s="116"/>
      <c r="C931" s="116"/>
      <c r="D931" s="116"/>
      <c r="E931" s="116" cm="1">
        <f t="array" ref="E931">IF(H930&lt;&gt;"",E930,IF(E930="","",IFERROR(MATCH(TRUE(),INDEX(INDEX(K:K,E930+1):K203&lt;&gt;"",0),0)+E930,"")))</f>
        <v>1073</v>
      </c>
      <c r="F931" s="117" cm="1">
        <f t="array" ref="F931">IF(E931="","",IF(H930&lt;&gt;"",H930,INDEX(D:D,E931)))</f>
        <v>0</v>
      </c>
      <c r="G931" s="117" t="str">
        <f t="shared" si="93"/>
        <v>0</v>
      </c>
      <c r="H931" s="118" t="str">
        <f t="shared" si="94"/>
        <v/>
      </c>
      <c r="I931" s="116" t="str">
        <f>IF(AND(F931&lt;&gt;"",N10&gt;0,M931&gt;N10),"Mot &gt; limite","")</f>
        <v/>
      </c>
      <c r="M931" s="70">
        <f>IF(OR(F931="",N10="",N10&lt;=0),"",IF(LEN(F931)&lt;=N10,LEN(F931),IFERROR(FIND("♦",SUBSTITUTE(LEFT(F931,N10)," ","♦",LEN(LEFT(F931,N10))-LEN(SUBSTITUTE(LEFT(F931,N10)," ","")))),FIND(" ",F931&amp;" ",N10+1)-1)))</f>
        <v>1</v>
      </c>
      <c r="N931" s="119">
        <f t="shared" si="95"/>
        <v>914</v>
      </c>
      <c r="O931" s="99" t="str">
        <f t="shared" si="96"/>
        <v>0</v>
      </c>
      <c r="P931" s="119">
        <f t="shared" si="97"/>
        <v>1</v>
      </c>
      <c r="Q931" s="119">
        <f t="shared" si="98"/>
        <v>1</v>
      </c>
    </row>
    <row r="932" spans="2:17">
      <c r="B932" s="116"/>
      <c r="C932" s="116"/>
      <c r="D932" s="116"/>
      <c r="E932" s="116" cm="1">
        <f t="array" ref="E932">IF(H931&lt;&gt;"",E931,IF(E931="","",IFERROR(MATCH(TRUE(),INDEX(INDEX(K:K,E931+1):K203&lt;&gt;"",0),0)+E931,"")))</f>
        <v>1074</v>
      </c>
      <c r="F932" s="117" cm="1">
        <f t="array" ref="F932">IF(E932="","",IF(H931&lt;&gt;"",H931,INDEX(D:D,E932)))</f>
        <v>0</v>
      </c>
      <c r="G932" s="117" t="str">
        <f t="shared" si="93"/>
        <v>0</v>
      </c>
      <c r="H932" s="118" t="str">
        <f t="shared" si="94"/>
        <v/>
      </c>
      <c r="I932" s="116" t="str">
        <f>IF(AND(F932&lt;&gt;"",N10&gt;0,M932&gt;N10),"Mot &gt; limite","")</f>
        <v/>
      </c>
      <c r="M932" s="70">
        <f>IF(OR(F932="",N10="",N10&lt;=0),"",IF(LEN(F932)&lt;=N10,LEN(F932),IFERROR(FIND("♦",SUBSTITUTE(LEFT(F932,N10)," ","♦",LEN(LEFT(F932,N10))-LEN(SUBSTITUTE(LEFT(F932,N10)," ","")))),FIND(" ",F932&amp;" ",N10+1)-1)))</f>
        <v>1</v>
      </c>
      <c r="N932" s="119">
        <f t="shared" si="95"/>
        <v>915</v>
      </c>
      <c r="O932" s="99" t="str">
        <f t="shared" si="96"/>
        <v>0</v>
      </c>
      <c r="P932" s="119">
        <f t="shared" si="97"/>
        <v>1</v>
      </c>
      <c r="Q932" s="119">
        <f t="shared" si="98"/>
        <v>1</v>
      </c>
    </row>
    <row r="933" spans="2:17">
      <c r="B933" s="116"/>
      <c r="C933" s="116"/>
      <c r="D933" s="116"/>
      <c r="E933" s="116" cm="1">
        <f t="array" ref="E933">IF(H932&lt;&gt;"",E932,IF(E932="","",IFERROR(MATCH(TRUE(),INDEX(INDEX(K:K,E932+1):K203&lt;&gt;"",0),0)+E932,"")))</f>
        <v>1075</v>
      </c>
      <c r="F933" s="117" cm="1">
        <f t="array" ref="F933">IF(E933="","",IF(H932&lt;&gt;"",H932,INDEX(D:D,E933)))</f>
        <v>0</v>
      </c>
      <c r="G933" s="117" t="str">
        <f t="shared" si="93"/>
        <v>0</v>
      </c>
      <c r="H933" s="118" t="str">
        <f t="shared" si="94"/>
        <v/>
      </c>
      <c r="I933" s="116" t="str">
        <f>IF(AND(F933&lt;&gt;"",N10&gt;0,M933&gt;N10),"Mot &gt; limite","")</f>
        <v/>
      </c>
      <c r="M933" s="70">
        <f>IF(OR(F933="",N10="",N10&lt;=0),"",IF(LEN(F933)&lt;=N10,LEN(F933),IFERROR(FIND("♦",SUBSTITUTE(LEFT(F933,N10)," ","♦",LEN(LEFT(F933,N10))-LEN(SUBSTITUTE(LEFT(F933,N10)," ","")))),FIND(" ",F933&amp;" ",N10+1)-1)))</f>
        <v>1</v>
      </c>
      <c r="N933" s="119">
        <f t="shared" si="95"/>
        <v>916</v>
      </c>
      <c r="O933" s="99" t="str">
        <f t="shared" si="96"/>
        <v>0</v>
      </c>
      <c r="P933" s="119">
        <f t="shared" si="97"/>
        <v>1</v>
      </c>
      <c r="Q933" s="119">
        <f t="shared" si="98"/>
        <v>1</v>
      </c>
    </row>
    <row r="934" spans="2:17">
      <c r="B934" s="116"/>
      <c r="C934" s="116"/>
      <c r="D934" s="116"/>
      <c r="E934" s="116" cm="1">
        <f t="array" ref="E934">IF(H933&lt;&gt;"",E933,IF(E933="","",IFERROR(MATCH(TRUE(),INDEX(INDEX(K:K,E933+1):K203&lt;&gt;"",0),0)+E933,"")))</f>
        <v>1076</v>
      </c>
      <c r="F934" s="117" cm="1">
        <f t="array" ref="F934">IF(E934="","",IF(H933&lt;&gt;"",H933,INDEX(D:D,E934)))</f>
        <v>0</v>
      </c>
      <c r="G934" s="117" t="str">
        <f t="shared" si="93"/>
        <v>0</v>
      </c>
      <c r="H934" s="118" t="str">
        <f t="shared" si="94"/>
        <v/>
      </c>
      <c r="I934" s="116" t="str">
        <f>IF(AND(F934&lt;&gt;"",N10&gt;0,M934&gt;N10),"Mot &gt; limite","")</f>
        <v/>
      </c>
      <c r="M934" s="70">
        <f>IF(OR(F934="",N10="",N10&lt;=0),"",IF(LEN(F934)&lt;=N10,LEN(F934),IFERROR(FIND("♦",SUBSTITUTE(LEFT(F934,N10)," ","♦",LEN(LEFT(F934,N10))-LEN(SUBSTITUTE(LEFT(F934,N10)," ","")))),FIND(" ",F934&amp;" ",N10+1)-1)))</f>
        <v>1</v>
      </c>
      <c r="N934" s="119">
        <f t="shared" si="95"/>
        <v>917</v>
      </c>
      <c r="O934" s="99" t="str">
        <f t="shared" si="96"/>
        <v>0</v>
      </c>
      <c r="P934" s="119">
        <f t="shared" si="97"/>
        <v>1</v>
      </c>
      <c r="Q934" s="119">
        <f t="shared" si="98"/>
        <v>1</v>
      </c>
    </row>
    <row r="935" spans="2:17">
      <c r="B935" s="116"/>
      <c r="C935" s="116"/>
      <c r="D935" s="116"/>
      <c r="E935" s="116" cm="1">
        <f t="array" ref="E935">IF(H934&lt;&gt;"",E934,IF(E934="","",IFERROR(MATCH(TRUE(),INDEX(INDEX(K:K,E934+1):K203&lt;&gt;"",0),0)+E934,"")))</f>
        <v>1077</v>
      </c>
      <c r="F935" s="117" cm="1">
        <f t="array" ref="F935">IF(E935="","",IF(H934&lt;&gt;"",H934,INDEX(D:D,E935)))</f>
        <v>0</v>
      </c>
      <c r="G935" s="117" t="str">
        <f t="shared" si="93"/>
        <v>0</v>
      </c>
      <c r="H935" s="118" t="str">
        <f t="shared" si="94"/>
        <v/>
      </c>
      <c r="I935" s="116" t="str">
        <f>IF(AND(F935&lt;&gt;"",N10&gt;0,M935&gt;N10),"Mot &gt; limite","")</f>
        <v/>
      </c>
      <c r="M935" s="70">
        <f>IF(OR(F935="",N10="",N10&lt;=0),"",IF(LEN(F935)&lt;=N10,LEN(F935),IFERROR(FIND("♦",SUBSTITUTE(LEFT(F935,N10)," ","♦",LEN(LEFT(F935,N10))-LEN(SUBSTITUTE(LEFT(F935,N10)," ","")))),FIND(" ",F935&amp;" ",N10+1)-1)))</f>
        <v>1</v>
      </c>
      <c r="N935" s="119">
        <f t="shared" si="95"/>
        <v>918</v>
      </c>
      <c r="O935" s="99" t="str">
        <f t="shared" si="96"/>
        <v>0</v>
      </c>
      <c r="P935" s="119">
        <f t="shared" si="97"/>
        <v>1</v>
      </c>
      <c r="Q935" s="119">
        <f t="shared" si="98"/>
        <v>1</v>
      </c>
    </row>
    <row r="936" spans="2:17">
      <c r="B936" s="116"/>
      <c r="C936" s="116"/>
      <c r="D936" s="116"/>
      <c r="E936" s="116" cm="1">
        <f t="array" ref="E936">IF(H935&lt;&gt;"",E935,IF(E935="","",IFERROR(MATCH(TRUE(),INDEX(INDEX(K:K,E935+1):K203&lt;&gt;"",0),0)+E935,"")))</f>
        <v>1078</v>
      </c>
      <c r="F936" s="117" cm="1">
        <f t="array" ref="F936">IF(E936="","",IF(H935&lt;&gt;"",H935,INDEX(D:D,E936)))</f>
        <v>0</v>
      </c>
      <c r="G936" s="117" t="str">
        <f t="shared" si="93"/>
        <v>0</v>
      </c>
      <c r="H936" s="118" t="str">
        <f t="shared" si="94"/>
        <v/>
      </c>
      <c r="I936" s="116" t="str">
        <f>IF(AND(F936&lt;&gt;"",N10&gt;0,M936&gt;N10),"Mot &gt; limite","")</f>
        <v/>
      </c>
      <c r="M936" s="70">
        <f>IF(OR(F936="",N10="",N10&lt;=0),"",IF(LEN(F936)&lt;=N10,LEN(F936),IFERROR(FIND("♦",SUBSTITUTE(LEFT(F936,N10)," ","♦",LEN(LEFT(F936,N10))-LEN(SUBSTITUTE(LEFT(F936,N10)," ","")))),FIND(" ",F936&amp;" ",N10+1)-1)))</f>
        <v>1</v>
      </c>
      <c r="N936" s="119">
        <f t="shared" si="95"/>
        <v>919</v>
      </c>
      <c r="O936" s="99" t="str">
        <f t="shared" si="96"/>
        <v>0</v>
      </c>
      <c r="P936" s="119">
        <f t="shared" si="97"/>
        <v>1</v>
      </c>
      <c r="Q936" s="119">
        <f t="shared" si="98"/>
        <v>1</v>
      </c>
    </row>
    <row r="937" spans="2:17">
      <c r="B937" s="116"/>
      <c r="C937" s="116"/>
      <c r="D937" s="116"/>
      <c r="E937" s="116" cm="1">
        <f t="array" ref="E937">IF(H936&lt;&gt;"",E936,IF(E936="","",IFERROR(MATCH(TRUE(),INDEX(INDEX(K:K,E936+1):K203&lt;&gt;"",0),0)+E936,"")))</f>
        <v>1079</v>
      </c>
      <c r="F937" s="117" cm="1">
        <f t="array" ref="F937">IF(E937="","",IF(H936&lt;&gt;"",H936,INDEX(D:D,E937)))</f>
        <v>0</v>
      </c>
      <c r="G937" s="117" t="str">
        <f t="shared" si="93"/>
        <v>0</v>
      </c>
      <c r="H937" s="118" t="str">
        <f t="shared" si="94"/>
        <v/>
      </c>
      <c r="I937" s="116" t="str">
        <f>IF(AND(F937&lt;&gt;"",N10&gt;0,M937&gt;N10),"Mot &gt; limite","")</f>
        <v/>
      </c>
      <c r="M937" s="70">
        <f>IF(OR(F937="",N10="",N10&lt;=0),"",IF(LEN(F937)&lt;=N10,LEN(F937),IFERROR(FIND("♦",SUBSTITUTE(LEFT(F937,N10)," ","♦",LEN(LEFT(F937,N10))-LEN(SUBSTITUTE(LEFT(F937,N10)," ","")))),FIND(" ",F937&amp;" ",N10+1)-1)))</f>
        <v>1</v>
      </c>
      <c r="N937" s="119">
        <f t="shared" si="95"/>
        <v>920</v>
      </c>
      <c r="O937" s="99" t="str">
        <f t="shared" si="96"/>
        <v>0</v>
      </c>
      <c r="P937" s="119">
        <f t="shared" si="97"/>
        <v>1</v>
      </c>
      <c r="Q937" s="119">
        <f t="shared" si="98"/>
        <v>1</v>
      </c>
    </row>
    <row r="938" spans="2:17">
      <c r="B938" s="116"/>
      <c r="C938" s="116"/>
      <c r="D938" s="116"/>
      <c r="E938" s="116" cm="1">
        <f t="array" ref="E938">IF(H937&lt;&gt;"",E937,IF(E937="","",IFERROR(MATCH(TRUE(),INDEX(INDEX(K:K,E937+1):K203&lt;&gt;"",0),0)+E937,"")))</f>
        <v>1080</v>
      </c>
      <c r="F938" s="117" cm="1">
        <f t="array" ref="F938">IF(E938="","",IF(H937&lt;&gt;"",H937,INDEX(D:D,E938)))</f>
        <v>0</v>
      </c>
      <c r="G938" s="117" t="str">
        <f t="shared" si="93"/>
        <v>0</v>
      </c>
      <c r="H938" s="118" t="str">
        <f t="shared" si="94"/>
        <v/>
      </c>
      <c r="I938" s="116" t="str">
        <f>IF(AND(F938&lt;&gt;"",N10&gt;0,M938&gt;N10),"Mot &gt; limite","")</f>
        <v/>
      </c>
      <c r="M938" s="70">
        <f>IF(OR(F938="",N10="",N10&lt;=0),"",IF(LEN(F938)&lt;=N10,LEN(F938),IFERROR(FIND("♦",SUBSTITUTE(LEFT(F938,N10)," ","♦",LEN(LEFT(F938,N10))-LEN(SUBSTITUTE(LEFT(F938,N10)," ","")))),FIND(" ",F938&amp;" ",N10+1)-1)))</f>
        <v>1</v>
      </c>
      <c r="N938" s="119">
        <f t="shared" si="95"/>
        <v>921</v>
      </c>
      <c r="O938" s="99" t="str">
        <f t="shared" si="96"/>
        <v>0</v>
      </c>
      <c r="P938" s="119">
        <f t="shared" si="97"/>
        <v>1</v>
      </c>
      <c r="Q938" s="119">
        <f t="shared" si="98"/>
        <v>1</v>
      </c>
    </row>
    <row r="939" spans="2:17">
      <c r="B939" s="116"/>
      <c r="C939" s="116"/>
      <c r="D939" s="116"/>
      <c r="E939" s="116" cm="1">
        <f t="array" ref="E939">IF(H938&lt;&gt;"",E938,IF(E938="","",IFERROR(MATCH(TRUE(),INDEX(INDEX(K:K,E938+1):K203&lt;&gt;"",0),0)+E938,"")))</f>
        <v>1081</v>
      </c>
      <c r="F939" s="117" cm="1">
        <f t="array" ref="F939">IF(E939="","",IF(H938&lt;&gt;"",H938,INDEX(D:D,E939)))</f>
        <v>0</v>
      </c>
      <c r="G939" s="117" t="str">
        <f t="shared" si="93"/>
        <v>0</v>
      </c>
      <c r="H939" s="118" t="str">
        <f t="shared" si="94"/>
        <v/>
      </c>
      <c r="I939" s="116" t="str">
        <f>IF(AND(F939&lt;&gt;"",N10&gt;0,M939&gt;N10),"Mot &gt; limite","")</f>
        <v/>
      </c>
      <c r="M939" s="70">
        <f>IF(OR(F939="",N10="",N10&lt;=0),"",IF(LEN(F939)&lt;=N10,LEN(F939),IFERROR(FIND("♦",SUBSTITUTE(LEFT(F939,N10)," ","♦",LEN(LEFT(F939,N10))-LEN(SUBSTITUTE(LEFT(F939,N10)," ","")))),FIND(" ",F939&amp;" ",N10+1)-1)))</f>
        <v>1</v>
      </c>
      <c r="N939" s="119">
        <f t="shared" si="95"/>
        <v>922</v>
      </c>
      <c r="O939" s="99" t="str">
        <f t="shared" si="96"/>
        <v>0</v>
      </c>
      <c r="P939" s="119">
        <f t="shared" si="97"/>
        <v>1</v>
      </c>
      <c r="Q939" s="119">
        <f t="shared" si="98"/>
        <v>1</v>
      </c>
    </row>
    <row r="940" spans="2:17">
      <c r="B940" s="116"/>
      <c r="C940" s="116"/>
      <c r="D940" s="116"/>
      <c r="E940" s="116" cm="1">
        <f t="array" ref="E940">IF(H939&lt;&gt;"",E939,IF(E939="","",IFERROR(MATCH(TRUE(),INDEX(INDEX(K:K,E939+1):K203&lt;&gt;"",0),0)+E939,"")))</f>
        <v>1082</v>
      </c>
      <c r="F940" s="117" cm="1">
        <f t="array" ref="F940">IF(E940="","",IF(H939&lt;&gt;"",H939,INDEX(D:D,E940)))</f>
        <v>0</v>
      </c>
      <c r="G940" s="117" t="str">
        <f t="shared" si="93"/>
        <v>0</v>
      </c>
      <c r="H940" s="118" t="str">
        <f t="shared" si="94"/>
        <v/>
      </c>
      <c r="I940" s="116" t="str">
        <f>IF(AND(F940&lt;&gt;"",N10&gt;0,M940&gt;N10),"Mot &gt; limite","")</f>
        <v/>
      </c>
      <c r="M940" s="70">
        <f>IF(OR(F940="",N10="",N10&lt;=0),"",IF(LEN(F940)&lt;=N10,LEN(F940),IFERROR(FIND("♦",SUBSTITUTE(LEFT(F940,N10)," ","♦",LEN(LEFT(F940,N10))-LEN(SUBSTITUTE(LEFT(F940,N10)," ","")))),FIND(" ",F940&amp;" ",N10+1)-1)))</f>
        <v>1</v>
      </c>
      <c r="N940" s="119">
        <f t="shared" si="95"/>
        <v>923</v>
      </c>
      <c r="O940" s="99" t="str">
        <f t="shared" si="96"/>
        <v>0</v>
      </c>
      <c r="P940" s="119">
        <f t="shared" si="97"/>
        <v>1</v>
      </c>
      <c r="Q940" s="119">
        <f t="shared" si="98"/>
        <v>1</v>
      </c>
    </row>
    <row r="941" spans="2:17">
      <c r="B941" s="116"/>
      <c r="C941" s="116"/>
      <c r="D941" s="116"/>
      <c r="E941" s="116" cm="1">
        <f t="array" ref="E941">IF(H940&lt;&gt;"",E940,IF(E940="","",IFERROR(MATCH(TRUE(),INDEX(INDEX(K:K,E940+1):K203&lt;&gt;"",0),0)+E940,"")))</f>
        <v>1083</v>
      </c>
      <c r="F941" s="117" cm="1">
        <f t="array" ref="F941">IF(E941="","",IF(H940&lt;&gt;"",H940,INDEX(D:D,E941)))</f>
        <v>0</v>
      </c>
      <c r="G941" s="117" t="str">
        <f t="shared" si="93"/>
        <v>0</v>
      </c>
      <c r="H941" s="118" t="str">
        <f t="shared" si="94"/>
        <v/>
      </c>
      <c r="I941" s="116" t="str">
        <f>IF(AND(F941&lt;&gt;"",N10&gt;0,M941&gt;N10),"Mot &gt; limite","")</f>
        <v/>
      </c>
      <c r="M941" s="70">
        <f>IF(OR(F941="",N10="",N10&lt;=0),"",IF(LEN(F941)&lt;=N10,LEN(F941),IFERROR(FIND("♦",SUBSTITUTE(LEFT(F941,N10)," ","♦",LEN(LEFT(F941,N10))-LEN(SUBSTITUTE(LEFT(F941,N10)," ","")))),FIND(" ",F941&amp;" ",N10+1)-1)))</f>
        <v>1</v>
      </c>
      <c r="N941" s="119">
        <f t="shared" si="95"/>
        <v>924</v>
      </c>
      <c r="O941" s="99" t="str">
        <f t="shared" si="96"/>
        <v>0</v>
      </c>
      <c r="P941" s="119">
        <f t="shared" si="97"/>
        <v>1</v>
      </c>
      <c r="Q941" s="119">
        <f t="shared" si="98"/>
        <v>1</v>
      </c>
    </row>
    <row r="942" spans="2:17">
      <c r="B942" s="116"/>
      <c r="C942" s="116"/>
      <c r="D942" s="116"/>
      <c r="E942" s="116" cm="1">
        <f t="array" ref="E942">IF(H941&lt;&gt;"",E941,IF(E941="","",IFERROR(MATCH(TRUE(),INDEX(INDEX(K:K,E941+1):K203&lt;&gt;"",0),0)+E941,"")))</f>
        <v>1084</v>
      </c>
      <c r="F942" s="117" cm="1">
        <f t="array" ref="F942">IF(E942="","",IF(H941&lt;&gt;"",H941,INDEX(D:D,E942)))</f>
        <v>0</v>
      </c>
      <c r="G942" s="117" t="str">
        <f t="shared" si="93"/>
        <v>0</v>
      </c>
      <c r="H942" s="118" t="str">
        <f t="shared" si="94"/>
        <v/>
      </c>
      <c r="I942" s="116" t="str">
        <f>IF(AND(F942&lt;&gt;"",N10&gt;0,M942&gt;N10),"Mot &gt; limite","")</f>
        <v/>
      </c>
      <c r="M942" s="70">
        <f>IF(OR(F942="",N10="",N10&lt;=0),"",IF(LEN(F942)&lt;=N10,LEN(F942),IFERROR(FIND("♦",SUBSTITUTE(LEFT(F942,N10)," ","♦",LEN(LEFT(F942,N10))-LEN(SUBSTITUTE(LEFT(F942,N10)," ","")))),FIND(" ",F942&amp;" ",N10+1)-1)))</f>
        <v>1</v>
      </c>
      <c r="N942" s="119">
        <f t="shared" si="95"/>
        <v>925</v>
      </c>
      <c r="O942" s="99" t="str">
        <f t="shared" si="96"/>
        <v>0</v>
      </c>
      <c r="P942" s="119">
        <f t="shared" si="97"/>
        <v>1</v>
      </c>
      <c r="Q942" s="119">
        <f t="shared" si="98"/>
        <v>1</v>
      </c>
    </row>
    <row r="943" spans="2:17">
      <c r="B943" s="116"/>
      <c r="C943" s="116"/>
      <c r="D943" s="116"/>
      <c r="E943" s="116" cm="1">
        <f t="array" ref="E943">IF(H942&lt;&gt;"",E942,IF(E942="","",IFERROR(MATCH(TRUE(),INDEX(INDEX(K:K,E942+1):K203&lt;&gt;"",0),0)+E942,"")))</f>
        <v>1085</v>
      </c>
      <c r="F943" s="117" cm="1">
        <f t="array" ref="F943">IF(E943="","",IF(H942&lt;&gt;"",H942,INDEX(D:D,E943)))</f>
        <v>0</v>
      </c>
      <c r="G943" s="117" t="str">
        <f t="shared" si="93"/>
        <v>0</v>
      </c>
      <c r="H943" s="118" t="str">
        <f t="shared" si="94"/>
        <v/>
      </c>
      <c r="I943" s="116" t="str">
        <f>IF(AND(F943&lt;&gt;"",N10&gt;0,M943&gt;N10),"Mot &gt; limite","")</f>
        <v/>
      </c>
      <c r="M943" s="70">
        <f>IF(OR(F943="",N10="",N10&lt;=0),"",IF(LEN(F943)&lt;=N10,LEN(F943),IFERROR(FIND("♦",SUBSTITUTE(LEFT(F943,N10)," ","♦",LEN(LEFT(F943,N10))-LEN(SUBSTITUTE(LEFT(F943,N10)," ","")))),FIND(" ",F943&amp;" ",N10+1)-1)))</f>
        <v>1</v>
      </c>
      <c r="N943" s="119">
        <f t="shared" si="95"/>
        <v>926</v>
      </c>
      <c r="O943" s="99" t="str">
        <f t="shared" si="96"/>
        <v>0</v>
      </c>
      <c r="P943" s="119">
        <f t="shared" si="97"/>
        <v>1</v>
      </c>
      <c r="Q943" s="119">
        <f t="shared" si="98"/>
        <v>1</v>
      </c>
    </row>
    <row r="944" spans="2:17">
      <c r="B944" s="116"/>
      <c r="C944" s="116"/>
      <c r="D944" s="116"/>
      <c r="E944" s="116" cm="1">
        <f t="array" ref="E944">IF(H943&lt;&gt;"",E943,IF(E943="","",IFERROR(MATCH(TRUE(),INDEX(INDEX(K:K,E943+1):K203&lt;&gt;"",0),0)+E943,"")))</f>
        <v>1086</v>
      </c>
      <c r="F944" s="117" cm="1">
        <f t="array" ref="F944">IF(E944="","",IF(H943&lt;&gt;"",H943,INDEX(D:D,E944)))</f>
        <v>0</v>
      </c>
      <c r="G944" s="117" t="str">
        <f t="shared" si="93"/>
        <v>0</v>
      </c>
      <c r="H944" s="118" t="str">
        <f t="shared" si="94"/>
        <v/>
      </c>
      <c r="I944" s="116" t="str">
        <f>IF(AND(F944&lt;&gt;"",N10&gt;0,M944&gt;N10),"Mot &gt; limite","")</f>
        <v/>
      </c>
      <c r="M944" s="70">
        <f>IF(OR(F944="",N10="",N10&lt;=0),"",IF(LEN(F944)&lt;=N10,LEN(F944),IFERROR(FIND("♦",SUBSTITUTE(LEFT(F944,N10)," ","♦",LEN(LEFT(F944,N10))-LEN(SUBSTITUTE(LEFT(F944,N10)," ","")))),FIND(" ",F944&amp;" ",N10+1)-1)))</f>
        <v>1</v>
      </c>
      <c r="N944" s="119">
        <f t="shared" si="95"/>
        <v>927</v>
      </c>
      <c r="O944" s="99" t="str">
        <f t="shared" si="96"/>
        <v>0</v>
      </c>
      <c r="P944" s="119">
        <f t="shared" si="97"/>
        <v>1</v>
      </c>
      <c r="Q944" s="119">
        <f t="shared" si="98"/>
        <v>1</v>
      </c>
    </row>
    <row r="945" spans="2:17">
      <c r="B945" s="116"/>
      <c r="C945" s="116"/>
      <c r="D945" s="116"/>
      <c r="E945" s="116" cm="1">
        <f t="array" ref="E945">IF(H944&lt;&gt;"",E944,IF(E944="","",IFERROR(MATCH(TRUE(),INDEX(INDEX(K:K,E944+1):K203&lt;&gt;"",0),0)+E944,"")))</f>
        <v>1087</v>
      </c>
      <c r="F945" s="117" cm="1">
        <f t="array" ref="F945">IF(E945="","",IF(H944&lt;&gt;"",H944,INDEX(D:D,E945)))</f>
        <v>0</v>
      </c>
      <c r="G945" s="117" t="str">
        <f t="shared" si="93"/>
        <v>0</v>
      </c>
      <c r="H945" s="118" t="str">
        <f t="shared" si="94"/>
        <v/>
      </c>
      <c r="I945" s="116" t="str">
        <f>IF(AND(F945&lt;&gt;"",N10&gt;0,M945&gt;N10),"Mot &gt; limite","")</f>
        <v/>
      </c>
      <c r="M945" s="70">
        <f>IF(OR(F945="",N10="",N10&lt;=0),"",IF(LEN(F945)&lt;=N10,LEN(F945),IFERROR(FIND("♦",SUBSTITUTE(LEFT(F945,N10)," ","♦",LEN(LEFT(F945,N10))-LEN(SUBSTITUTE(LEFT(F945,N10)," ","")))),FIND(" ",F945&amp;" ",N10+1)-1)))</f>
        <v>1</v>
      </c>
      <c r="N945" s="119">
        <f t="shared" si="95"/>
        <v>928</v>
      </c>
      <c r="O945" s="99" t="str">
        <f t="shared" si="96"/>
        <v>0</v>
      </c>
      <c r="P945" s="119">
        <f t="shared" si="97"/>
        <v>1</v>
      </c>
      <c r="Q945" s="119">
        <f t="shared" si="98"/>
        <v>1</v>
      </c>
    </row>
    <row r="946" spans="2:17">
      <c r="B946" s="116"/>
      <c r="C946" s="116"/>
      <c r="D946" s="116"/>
      <c r="E946" s="116" cm="1">
        <f t="array" ref="E946">IF(H945&lt;&gt;"",E945,IF(E945="","",IFERROR(MATCH(TRUE(),INDEX(INDEX(K:K,E945+1):K203&lt;&gt;"",0),0)+E945,"")))</f>
        <v>1088</v>
      </c>
      <c r="F946" s="117" cm="1">
        <f t="array" ref="F946">IF(E946="","",IF(H945&lt;&gt;"",H945,INDEX(D:D,E946)))</f>
        <v>0</v>
      </c>
      <c r="G946" s="117" t="str">
        <f t="shared" si="93"/>
        <v>0</v>
      </c>
      <c r="H946" s="118" t="str">
        <f t="shared" si="94"/>
        <v/>
      </c>
      <c r="I946" s="116" t="str">
        <f>IF(AND(F946&lt;&gt;"",N10&gt;0,M946&gt;N10),"Mot &gt; limite","")</f>
        <v/>
      </c>
      <c r="M946" s="70">
        <f>IF(OR(F946="",N10="",N10&lt;=0),"",IF(LEN(F946)&lt;=N10,LEN(F946),IFERROR(FIND("♦",SUBSTITUTE(LEFT(F946,N10)," ","♦",LEN(LEFT(F946,N10))-LEN(SUBSTITUTE(LEFT(F946,N10)," ","")))),FIND(" ",F946&amp;" ",N10+1)-1)))</f>
        <v>1</v>
      </c>
      <c r="N946" s="119">
        <f t="shared" si="95"/>
        <v>929</v>
      </c>
      <c r="O946" s="99" t="str">
        <f t="shared" si="96"/>
        <v>0</v>
      </c>
      <c r="P946" s="119">
        <f t="shared" si="97"/>
        <v>1</v>
      </c>
      <c r="Q946" s="119">
        <f t="shared" si="98"/>
        <v>1</v>
      </c>
    </row>
    <row r="947" spans="2:17">
      <c r="B947" s="116"/>
      <c r="C947" s="116"/>
      <c r="D947" s="116"/>
      <c r="E947" s="116" cm="1">
        <f t="array" ref="E947">IF(H946&lt;&gt;"",E946,IF(E946="","",IFERROR(MATCH(TRUE(),INDEX(INDEX(K:K,E946+1):K203&lt;&gt;"",0),0)+E946,"")))</f>
        <v>1089</v>
      </c>
      <c r="F947" s="117" cm="1">
        <f t="array" ref="F947">IF(E947="","",IF(H946&lt;&gt;"",H946,INDEX(D:D,E947)))</f>
        <v>0</v>
      </c>
      <c r="G947" s="117" t="str">
        <f t="shared" si="93"/>
        <v>0</v>
      </c>
      <c r="H947" s="118" t="str">
        <f t="shared" si="94"/>
        <v/>
      </c>
      <c r="I947" s="116" t="str">
        <f>IF(AND(F947&lt;&gt;"",N10&gt;0,M947&gt;N10),"Mot &gt; limite","")</f>
        <v/>
      </c>
      <c r="M947" s="70">
        <f>IF(OR(F947="",N10="",N10&lt;=0),"",IF(LEN(F947)&lt;=N10,LEN(F947),IFERROR(FIND("♦",SUBSTITUTE(LEFT(F947,N10)," ","♦",LEN(LEFT(F947,N10))-LEN(SUBSTITUTE(LEFT(F947,N10)," ","")))),FIND(" ",F947&amp;" ",N10+1)-1)))</f>
        <v>1</v>
      </c>
      <c r="N947" s="119">
        <f t="shared" si="95"/>
        <v>930</v>
      </c>
      <c r="O947" s="99" t="str">
        <f t="shared" si="96"/>
        <v>0</v>
      </c>
      <c r="P947" s="119">
        <f t="shared" si="97"/>
        <v>1</v>
      </c>
      <c r="Q947" s="119">
        <f t="shared" si="98"/>
        <v>1</v>
      </c>
    </row>
    <row r="948" spans="2:17">
      <c r="B948" s="116"/>
      <c r="C948" s="116"/>
      <c r="D948" s="116"/>
      <c r="E948" s="116" cm="1">
        <f t="array" ref="E948">IF(H947&lt;&gt;"",E947,IF(E947="","",IFERROR(MATCH(TRUE(),INDEX(INDEX(K:K,E947+1):K203&lt;&gt;"",0),0)+E947,"")))</f>
        <v>1090</v>
      </c>
      <c r="F948" s="117" cm="1">
        <f t="array" ref="F948">IF(E948="","",IF(H947&lt;&gt;"",H947,INDEX(D:D,E948)))</f>
        <v>0</v>
      </c>
      <c r="G948" s="117" t="str">
        <f t="shared" si="93"/>
        <v>0</v>
      </c>
      <c r="H948" s="118" t="str">
        <f t="shared" si="94"/>
        <v/>
      </c>
      <c r="I948" s="116" t="str">
        <f>IF(AND(F948&lt;&gt;"",N10&gt;0,M948&gt;N10),"Mot &gt; limite","")</f>
        <v/>
      </c>
      <c r="M948" s="70">
        <f>IF(OR(F948="",N10="",N10&lt;=0),"",IF(LEN(F948)&lt;=N10,LEN(F948),IFERROR(FIND("♦",SUBSTITUTE(LEFT(F948,N10)," ","♦",LEN(LEFT(F948,N10))-LEN(SUBSTITUTE(LEFT(F948,N10)," ","")))),FIND(" ",F948&amp;" ",N10+1)-1)))</f>
        <v>1</v>
      </c>
      <c r="N948" s="119">
        <f t="shared" si="95"/>
        <v>931</v>
      </c>
      <c r="O948" s="99" t="str">
        <f t="shared" si="96"/>
        <v>0</v>
      </c>
      <c r="P948" s="119">
        <f t="shared" si="97"/>
        <v>1</v>
      </c>
      <c r="Q948" s="119">
        <f t="shared" si="98"/>
        <v>1</v>
      </c>
    </row>
    <row r="949" spans="2:17">
      <c r="B949" s="116"/>
      <c r="C949" s="116"/>
      <c r="D949" s="116"/>
      <c r="E949" s="116" cm="1">
        <f t="array" ref="E949">IF(H948&lt;&gt;"",E948,IF(E948="","",IFERROR(MATCH(TRUE(),INDEX(INDEX(K:K,E948+1):K203&lt;&gt;"",0),0)+E948,"")))</f>
        <v>1091</v>
      </c>
      <c r="F949" s="117" cm="1">
        <f t="array" ref="F949">IF(E949="","",IF(H948&lt;&gt;"",H948,INDEX(D:D,E949)))</f>
        <v>0</v>
      </c>
      <c r="G949" s="117" t="str">
        <f t="shared" si="93"/>
        <v>0</v>
      </c>
      <c r="H949" s="118" t="str">
        <f t="shared" si="94"/>
        <v/>
      </c>
      <c r="I949" s="116" t="str">
        <f>IF(AND(F949&lt;&gt;"",N10&gt;0,M949&gt;N10),"Mot &gt; limite","")</f>
        <v/>
      </c>
      <c r="M949" s="70">
        <f>IF(OR(F949="",N10="",N10&lt;=0),"",IF(LEN(F949)&lt;=N10,LEN(F949),IFERROR(FIND("♦",SUBSTITUTE(LEFT(F949,N10)," ","♦",LEN(LEFT(F949,N10))-LEN(SUBSTITUTE(LEFT(F949,N10)," ","")))),FIND(" ",F949&amp;" ",N10+1)-1)))</f>
        <v>1</v>
      </c>
      <c r="N949" s="119">
        <f t="shared" si="95"/>
        <v>932</v>
      </c>
      <c r="O949" s="99" t="str">
        <f t="shared" si="96"/>
        <v>0</v>
      </c>
      <c r="P949" s="119">
        <f t="shared" si="97"/>
        <v>1</v>
      </c>
      <c r="Q949" s="119">
        <f t="shared" si="98"/>
        <v>1</v>
      </c>
    </row>
    <row r="950" spans="2:17">
      <c r="B950" s="116"/>
      <c r="C950" s="116"/>
      <c r="D950" s="116"/>
      <c r="E950" s="116" cm="1">
        <f t="array" ref="E950">IF(H949&lt;&gt;"",E949,IF(E949="","",IFERROR(MATCH(TRUE(),INDEX(INDEX(K:K,E949+1):K203&lt;&gt;"",0),0)+E949,"")))</f>
        <v>1092</v>
      </c>
      <c r="F950" s="117" cm="1">
        <f t="array" ref="F950">IF(E950="","",IF(H949&lt;&gt;"",H949,INDEX(D:D,E950)))</f>
        <v>0</v>
      </c>
      <c r="G950" s="117" t="str">
        <f t="shared" si="93"/>
        <v>0</v>
      </c>
      <c r="H950" s="118" t="str">
        <f t="shared" si="94"/>
        <v/>
      </c>
      <c r="I950" s="116" t="str">
        <f>IF(AND(F950&lt;&gt;"",N10&gt;0,M950&gt;N10),"Mot &gt; limite","")</f>
        <v/>
      </c>
      <c r="M950" s="70">
        <f>IF(OR(F950="",N10="",N10&lt;=0),"",IF(LEN(F950)&lt;=N10,LEN(F950),IFERROR(FIND("♦",SUBSTITUTE(LEFT(F950,N10)," ","♦",LEN(LEFT(F950,N10))-LEN(SUBSTITUTE(LEFT(F950,N10)," ","")))),FIND(" ",F950&amp;" ",N10+1)-1)))</f>
        <v>1</v>
      </c>
      <c r="N950" s="119">
        <f t="shared" si="95"/>
        <v>933</v>
      </c>
      <c r="O950" s="99" t="str">
        <f t="shared" si="96"/>
        <v>0</v>
      </c>
      <c r="P950" s="119">
        <f t="shared" si="97"/>
        <v>1</v>
      </c>
      <c r="Q950" s="119">
        <f t="shared" si="98"/>
        <v>1</v>
      </c>
    </row>
    <row r="951" spans="2:17">
      <c r="B951" s="116"/>
      <c r="C951" s="116"/>
      <c r="D951" s="116"/>
      <c r="E951" s="116" cm="1">
        <f t="array" ref="E951">IF(H950&lt;&gt;"",E950,IF(E950="","",IFERROR(MATCH(TRUE(),INDEX(INDEX(K:K,E950+1):K203&lt;&gt;"",0),0)+E950,"")))</f>
        <v>1093</v>
      </c>
      <c r="F951" s="117" cm="1">
        <f t="array" ref="F951">IF(E951="","",IF(H950&lt;&gt;"",H950,INDEX(D:D,E951)))</f>
        <v>0</v>
      </c>
      <c r="G951" s="117" t="str">
        <f t="shared" si="93"/>
        <v>0</v>
      </c>
      <c r="H951" s="118" t="str">
        <f t="shared" si="94"/>
        <v/>
      </c>
      <c r="I951" s="116" t="str">
        <f>IF(AND(F951&lt;&gt;"",N10&gt;0,M951&gt;N10),"Mot &gt; limite","")</f>
        <v/>
      </c>
      <c r="M951" s="70">
        <f>IF(OR(F951="",N10="",N10&lt;=0),"",IF(LEN(F951)&lt;=N10,LEN(F951),IFERROR(FIND("♦",SUBSTITUTE(LEFT(F951,N10)," ","♦",LEN(LEFT(F951,N10))-LEN(SUBSTITUTE(LEFT(F951,N10)," ","")))),FIND(" ",F951&amp;" ",N10+1)-1)))</f>
        <v>1</v>
      </c>
      <c r="N951" s="119">
        <f t="shared" si="95"/>
        <v>934</v>
      </c>
      <c r="O951" s="99" t="str">
        <f t="shared" si="96"/>
        <v>0</v>
      </c>
      <c r="P951" s="119">
        <f t="shared" si="97"/>
        <v>1</v>
      </c>
      <c r="Q951" s="119">
        <f t="shared" si="98"/>
        <v>1</v>
      </c>
    </row>
    <row r="952" spans="2:17">
      <c r="B952" s="116"/>
      <c r="C952" s="116"/>
      <c r="D952" s="116"/>
      <c r="E952" s="116" cm="1">
        <f t="array" ref="E952">IF(H951&lt;&gt;"",E951,IF(E951="","",IFERROR(MATCH(TRUE(),INDEX(INDEX(K:K,E951+1):K203&lt;&gt;"",0),0)+E951,"")))</f>
        <v>1094</v>
      </c>
      <c r="F952" s="117" cm="1">
        <f t="array" ref="F952">IF(E952="","",IF(H951&lt;&gt;"",H951,INDEX(D:D,E952)))</f>
        <v>0</v>
      </c>
      <c r="G952" s="117" t="str">
        <f t="shared" si="93"/>
        <v>0</v>
      </c>
      <c r="H952" s="118" t="str">
        <f t="shared" si="94"/>
        <v/>
      </c>
      <c r="I952" s="116" t="str">
        <f>IF(AND(F952&lt;&gt;"",N10&gt;0,M952&gt;N10),"Mot &gt; limite","")</f>
        <v/>
      </c>
      <c r="M952" s="70">
        <f>IF(OR(F952="",N10="",N10&lt;=0),"",IF(LEN(F952)&lt;=N10,LEN(F952),IFERROR(FIND("♦",SUBSTITUTE(LEFT(F952,N10)," ","♦",LEN(LEFT(F952,N10))-LEN(SUBSTITUTE(LEFT(F952,N10)," ","")))),FIND(" ",F952&amp;" ",N10+1)-1)))</f>
        <v>1</v>
      </c>
      <c r="N952" s="119">
        <f t="shared" si="95"/>
        <v>935</v>
      </c>
      <c r="O952" s="99" t="str">
        <f t="shared" si="96"/>
        <v>0</v>
      </c>
      <c r="P952" s="119">
        <f t="shared" si="97"/>
        <v>1</v>
      </c>
      <c r="Q952" s="119">
        <f t="shared" si="98"/>
        <v>1</v>
      </c>
    </row>
    <row r="953" spans="2:17">
      <c r="B953" s="116"/>
      <c r="C953" s="116"/>
      <c r="D953" s="116"/>
      <c r="E953" s="116" cm="1">
        <f t="array" ref="E953">IF(H952&lt;&gt;"",E952,IF(E952="","",IFERROR(MATCH(TRUE(),INDEX(INDEX(K:K,E952+1):K203&lt;&gt;"",0),0)+E952,"")))</f>
        <v>1095</v>
      </c>
      <c r="F953" s="117" cm="1">
        <f t="array" ref="F953">IF(E953="","",IF(H952&lt;&gt;"",H952,INDEX(D:D,E953)))</f>
        <v>0</v>
      </c>
      <c r="G953" s="117" t="str">
        <f t="shared" si="93"/>
        <v>0</v>
      </c>
      <c r="H953" s="118" t="str">
        <f t="shared" si="94"/>
        <v/>
      </c>
      <c r="I953" s="116" t="str">
        <f>IF(AND(F953&lt;&gt;"",N10&gt;0,M953&gt;N10),"Mot &gt; limite","")</f>
        <v/>
      </c>
      <c r="M953" s="70">
        <f>IF(OR(F953="",N10="",N10&lt;=0),"",IF(LEN(F953)&lt;=N10,LEN(F953),IFERROR(FIND("♦",SUBSTITUTE(LEFT(F953,N10)," ","♦",LEN(LEFT(F953,N10))-LEN(SUBSTITUTE(LEFT(F953,N10)," ","")))),FIND(" ",F953&amp;" ",N10+1)-1)))</f>
        <v>1</v>
      </c>
      <c r="N953" s="119">
        <f t="shared" si="95"/>
        <v>936</v>
      </c>
      <c r="O953" s="99" t="str">
        <f t="shared" si="96"/>
        <v>0</v>
      </c>
      <c r="P953" s="119">
        <f t="shared" si="97"/>
        <v>1</v>
      </c>
      <c r="Q953" s="119">
        <f t="shared" si="98"/>
        <v>1</v>
      </c>
    </row>
    <row r="954" spans="2:17">
      <c r="B954" s="116"/>
      <c r="C954" s="116"/>
      <c r="D954" s="116"/>
      <c r="E954" s="116" cm="1">
        <f t="array" ref="E954">IF(H953&lt;&gt;"",E953,IF(E953="","",IFERROR(MATCH(TRUE(),INDEX(INDEX(K:K,E953+1):K203&lt;&gt;"",0),0)+E953,"")))</f>
        <v>1096</v>
      </c>
      <c r="F954" s="117" cm="1">
        <f t="array" ref="F954">IF(E954="","",IF(H953&lt;&gt;"",H953,INDEX(D:D,E954)))</f>
        <v>0</v>
      </c>
      <c r="G954" s="117" t="str">
        <f t="shared" si="93"/>
        <v>0</v>
      </c>
      <c r="H954" s="118" t="str">
        <f t="shared" si="94"/>
        <v/>
      </c>
      <c r="I954" s="116" t="str">
        <f>IF(AND(F954&lt;&gt;"",N10&gt;0,M954&gt;N10),"Mot &gt; limite","")</f>
        <v/>
      </c>
      <c r="M954" s="70">
        <f>IF(OR(F954="",N10="",N10&lt;=0),"",IF(LEN(F954)&lt;=N10,LEN(F954),IFERROR(FIND("♦",SUBSTITUTE(LEFT(F954,N10)," ","♦",LEN(LEFT(F954,N10))-LEN(SUBSTITUTE(LEFT(F954,N10)," ","")))),FIND(" ",F954&amp;" ",N10+1)-1)))</f>
        <v>1</v>
      </c>
      <c r="N954" s="119">
        <f t="shared" si="95"/>
        <v>937</v>
      </c>
      <c r="O954" s="99" t="str">
        <f t="shared" si="96"/>
        <v>0</v>
      </c>
      <c r="P954" s="119">
        <f t="shared" si="97"/>
        <v>1</v>
      </c>
      <c r="Q954" s="119">
        <f t="shared" si="98"/>
        <v>1</v>
      </c>
    </row>
    <row r="955" spans="2:17">
      <c r="B955" s="116"/>
      <c r="C955" s="116"/>
      <c r="D955" s="116"/>
      <c r="E955" s="116" cm="1">
        <f t="array" ref="E955">IF(H954&lt;&gt;"",E954,IF(E954="","",IFERROR(MATCH(TRUE(),INDEX(INDEX(K:K,E954+1):K203&lt;&gt;"",0),0)+E954,"")))</f>
        <v>1097</v>
      </c>
      <c r="F955" s="117" cm="1">
        <f t="array" ref="F955">IF(E955="","",IF(H954&lt;&gt;"",H954,INDEX(D:D,E955)))</f>
        <v>0</v>
      </c>
      <c r="G955" s="117" t="str">
        <f t="shared" si="93"/>
        <v>0</v>
      </c>
      <c r="H955" s="118" t="str">
        <f t="shared" si="94"/>
        <v/>
      </c>
      <c r="I955" s="116" t="str">
        <f>IF(AND(F955&lt;&gt;"",N10&gt;0,M955&gt;N10),"Mot &gt; limite","")</f>
        <v/>
      </c>
      <c r="M955" s="70">
        <f>IF(OR(F955="",N10="",N10&lt;=0),"",IF(LEN(F955)&lt;=N10,LEN(F955),IFERROR(FIND("♦",SUBSTITUTE(LEFT(F955,N10)," ","♦",LEN(LEFT(F955,N10))-LEN(SUBSTITUTE(LEFT(F955,N10)," ","")))),FIND(" ",F955&amp;" ",N10+1)-1)))</f>
        <v>1</v>
      </c>
      <c r="N955" s="119">
        <f t="shared" si="95"/>
        <v>938</v>
      </c>
      <c r="O955" s="99" t="str">
        <f t="shared" si="96"/>
        <v>0</v>
      </c>
      <c r="P955" s="119">
        <f t="shared" si="97"/>
        <v>1</v>
      </c>
      <c r="Q955" s="119">
        <f t="shared" si="98"/>
        <v>1</v>
      </c>
    </row>
    <row r="956" spans="2:17">
      <c r="B956" s="116"/>
      <c r="C956" s="116"/>
      <c r="D956" s="116"/>
      <c r="E956" s="116" cm="1">
        <f t="array" ref="E956">IF(H955&lt;&gt;"",E955,IF(E955="","",IFERROR(MATCH(TRUE(),INDEX(INDEX(K:K,E955+1):K203&lt;&gt;"",0),0)+E955,"")))</f>
        <v>1098</v>
      </c>
      <c r="F956" s="117" cm="1">
        <f t="array" ref="F956">IF(E956="","",IF(H955&lt;&gt;"",H955,INDEX(D:D,E956)))</f>
        <v>0</v>
      </c>
      <c r="G956" s="117" t="str">
        <f t="shared" si="93"/>
        <v>0</v>
      </c>
      <c r="H956" s="118" t="str">
        <f t="shared" si="94"/>
        <v/>
      </c>
      <c r="I956" s="116" t="str">
        <f>IF(AND(F956&lt;&gt;"",N10&gt;0,M956&gt;N10),"Mot &gt; limite","")</f>
        <v/>
      </c>
      <c r="M956" s="70">
        <f>IF(OR(F956="",N10="",N10&lt;=0),"",IF(LEN(F956)&lt;=N10,LEN(F956),IFERROR(FIND("♦",SUBSTITUTE(LEFT(F956,N10)," ","♦",LEN(LEFT(F956,N10))-LEN(SUBSTITUTE(LEFT(F956,N10)," ","")))),FIND(" ",F956&amp;" ",N10+1)-1)))</f>
        <v>1</v>
      </c>
      <c r="N956" s="119">
        <f t="shared" si="95"/>
        <v>939</v>
      </c>
      <c r="O956" s="99" t="str">
        <f t="shared" si="96"/>
        <v>0</v>
      </c>
      <c r="P956" s="119">
        <f t="shared" si="97"/>
        <v>1</v>
      </c>
      <c r="Q956" s="119">
        <f t="shared" si="98"/>
        <v>1</v>
      </c>
    </row>
    <row r="957" spans="2:17">
      <c r="B957" s="116"/>
      <c r="C957" s="116"/>
      <c r="D957" s="116"/>
      <c r="E957" s="116" cm="1">
        <f t="array" ref="E957">IF(H956&lt;&gt;"",E956,IF(E956="","",IFERROR(MATCH(TRUE(),INDEX(INDEX(K:K,E956+1):K203&lt;&gt;"",0),0)+E956,"")))</f>
        <v>1099</v>
      </c>
      <c r="F957" s="117" cm="1">
        <f t="array" ref="F957">IF(E957="","",IF(H956&lt;&gt;"",H956,INDEX(D:D,E957)))</f>
        <v>0</v>
      </c>
      <c r="G957" s="117" t="str">
        <f t="shared" si="93"/>
        <v>0</v>
      </c>
      <c r="H957" s="118" t="str">
        <f t="shared" si="94"/>
        <v/>
      </c>
      <c r="I957" s="116" t="str">
        <f>IF(AND(F957&lt;&gt;"",N10&gt;0,M957&gt;N10),"Mot &gt; limite","")</f>
        <v/>
      </c>
      <c r="M957" s="70">
        <f>IF(OR(F957="",N10="",N10&lt;=0),"",IF(LEN(F957)&lt;=N10,LEN(F957),IFERROR(FIND("♦",SUBSTITUTE(LEFT(F957,N10)," ","♦",LEN(LEFT(F957,N10))-LEN(SUBSTITUTE(LEFT(F957,N10)," ","")))),FIND(" ",F957&amp;" ",N10+1)-1)))</f>
        <v>1</v>
      </c>
      <c r="N957" s="119">
        <f t="shared" si="95"/>
        <v>940</v>
      </c>
      <c r="O957" s="99" t="str">
        <f t="shared" si="96"/>
        <v>0</v>
      </c>
      <c r="P957" s="119">
        <f t="shared" si="97"/>
        <v>1</v>
      </c>
      <c r="Q957" s="119">
        <f t="shared" si="98"/>
        <v>1</v>
      </c>
    </row>
    <row r="958" spans="2:17">
      <c r="B958" s="116"/>
      <c r="C958" s="116"/>
      <c r="D958" s="116"/>
      <c r="E958" s="116" cm="1">
        <f t="array" ref="E958">IF(H957&lt;&gt;"",E957,IF(E957="","",IFERROR(MATCH(TRUE(),INDEX(INDEX(K:K,E957+1):K203&lt;&gt;"",0),0)+E957,"")))</f>
        <v>1100</v>
      </c>
      <c r="F958" s="117" cm="1">
        <f t="array" ref="F958">IF(E958="","",IF(H957&lt;&gt;"",H957,INDEX(D:D,E958)))</f>
        <v>0</v>
      </c>
      <c r="G958" s="117" t="str">
        <f t="shared" si="93"/>
        <v>0</v>
      </c>
      <c r="H958" s="118" t="str">
        <f t="shared" si="94"/>
        <v/>
      </c>
      <c r="I958" s="116" t="str">
        <f>IF(AND(F958&lt;&gt;"",N10&gt;0,M958&gt;N10),"Mot &gt; limite","")</f>
        <v/>
      </c>
      <c r="M958" s="70">
        <f>IF(OR(F958="",N10="",N10&lt;=0),"",IF(LEN(F958)&lt;=N10,LEN(F958),IFERROR(FIND("♦",SUBSTITUTE(LEFT(F958,N10)," ","♦",LEN(LEFT(F958,N10))-LEN(SUBSTITUTE(LEFT(F958,N10)," ","")))),FIND(" ",F958&amp;" ",N10+1)-1)))</f>
        <v>1</v>
      </c>
      <c r="N958" s="119">
        <f t="shared" si="95"/>
        <v>941</v>
      </c>
      <c r="O958" s="99" t="str">
        <f t="shared" si="96"/>
        <v>0</v>
      </c>
      <c r="P958" s="119">
        <f t="shared" si="97"/>
        <v>1</v>
      </c>
      <c r="Q958" s="119">
        <f t="shared" si="98"/>
        <v>1</v>
      </c>
    </row>
    <row r="959" spans="2:17">
      <c r="B959" s="116"/>
      <c r="C959" s="116"/>
      <c r="D959" s="116"/>
      <c r="E959" s="116" cm="1">
        <f t="array" ref="E959">IF(H958&lt;&gt;"",E958,IF(E958="","",IFERROR(MATCH(TRUE(),INDEX(INDEX(K:K,E958+1):K203&lt;&gt;"",0),0)+E958,"")))</f>
        <v>1101</v>
      </c>
      <c r="F959" s="117" cm="1">
        <f t="array" ref="F959">IF(E959="","",IF(H958&lt;&gt;"",H958,INDEX(D:D,E959)))</f>
        <v>0</v>
      </c>
      <c r="G959" s="117" t="str">
        <f t="shared" si="93"/>
        <v>0</v>
      </c>
      <c r="H959" s="118" t="str">
        <f t="shared" si="94"/>
        <v/>
      </c>
      <c r="I959" s="116" t="str">
        <f>IF(AND(F959&lt;&gt;"",N10&gt;0,M959&gt;N10),"Mot &gt; limite","")</f>
        <v/>
      </c>
      <c r="M959" s="70">
        <f>IF(OR(F959="",N10="",N10&lt;=0),"",IF(LEN(F959)&lt;=N10,LEN(F959),IFERROR(FIND("♦",SUBSTITUTE(LEFT(F959,N10)," ","♦",LEN(LEFT(F959,N10))-LEN(SUBSTITUTE(LEFT(F959,N10)," ","")))),FIND(" ",F959&amp;" ",N10+1)-1)))</f>
        <v>1</v>
      </c>
      <c r="N959" s="119">
        <f t="shared" si="95"/>
        <v>942</v>
      </c>
      <c r="O959" s="99" t="str">
        <f t="shared" si="96"/>
        <v>0</v>
      </c>
      <c r="P959" s="119">
        <f t="shared" si="97"/>
        <v>1</v>
      </c>
      <c r="Q959" s="119">
        <f t="shared" si="98"/>
        <v>1</v>
      </c>
    </row>
    <row r="960" spans="2:17">
      <c r="B960" s="116"/>
      <c r="C960" s="116"/>
      <c r="D960" s="116"/>
      <c r="E960" s="116" cm="1">
        <f t="array" ref="E960">IF(H959&lt;&gt;"",E959,IF(E959="","",IFERROR(MATCH(TRUE(),INDEX(INDEX(K:K,E959+1):K203&lt;&gt;"",0),0)+E959,"")))</f>
        <v>1102</v>
      </c>
      <c r="F960" s="117" cm="1">
        <f t="array" ref="F960">IF(E960="","",IF(H959&lt;&gt;"",H959,INDEX(D:D,E960)))</f>
        <v>0</v>
      </c>
      <c r="G960" s="117" t="str">
        <f t="shared" si="93"/>
        <v>0</v>
      </c>
      <c r="H960" s="118" t="str">
        <f t="shared" si="94"/>
        <v/>
      </c>
      <c r="I960" s="116" t="str">
        <f>IF(AND(F960&lt;&gt;"",N10&gt;0,M960&gt;N10),"Mot &gt; limite","")</f>
        <v/>
      </c>
      <c r="M960" s="70">
        <f>IF(OR(F960="",N10="",N10&lt;=0),"",IF(LEN(F960)&lt;=N10,LEN(F960),IFERROR(FIND("♦",SUBSTITUTE(LEFT(F960,N10)," ","♦",LEN(LEFT(F960,N10))-LEN(SUBSTITUTE(LEFT(F960,N10)," ","")))),FIND(" ",F960&amp;" ",N10+1)-1)))</f>
        <v>1</v>
      </c>
      <c r="N960" s="119">
        <f t="shared" si="95"/>
        <v>943</v>
      </c>
      <c r="O960" s="99" t="str">
        <f t="shared" si="96"/>
        <v>0</v>
      </c>
      <c r="P960" s="119">
        <f t="shared" si="97"/>
        <v>1</v>
      </c>
      <c r="Q960" s="119">
        <f t="shared" si="98"/>
        <v>1</v>
      </c>
    </row>
    <row r="961" spans="2:17">
      <c r="B961" s="116"/>
      <c r="C961" s="116"/>
      <c r="D961" s="116"/>
      <c r="E961" s="116" cm="1">
        <f t="array" ref="E961">IF(H960&lt;&gt;"",E960,IF(E960="","",IFERROR(MATCH(TRUE(),INDEX(INDEX(K:K,E960+1):K203&lt;&gt;"",0),0)+E960,"")))</f>
        <v>1103</v>
      </c>
      <c r="F961" s="117" cm="1">
        <f t="array" ref="F961">IF(E961="","",IF(H960&lt;&gt;"",H960,INDEX(D:D,E961)))</f>
        <v>0</v>
      </c>
      <c r="G961" s="117" t="str">
        <f t="shared" si="93"/>
        <v>0</v>
      </c>
      <c r="H961" s="118" t="str">
        <f t="shared" si="94"/>
        <v/>
      </c>
      <c r="I961" s="116" t="str">
        <f>IF(AND(F961&lt;&gt;"",N10&gt;0,M961&gt;N10),"Mot &gt; limite","")</f>
        <v/>
      </c>
      <c r="M961" s="70">
        <f>IF(OR(F961="",N10="",N10&lt;=0),"",IF(LEN(F961)&lt;=N10,LEN(F961),IFERROR(FIND("♦",SUBSTITUTE(LEFT(F961,N10)," ","♦",LEN(LEFT(F961,N10))-LEN(SUBSTITUTE(LEFT(F961,N10)," ","")))),FIND(" ",F961&amp;" ",N10+1)-1)))</f>
        <v>1</v>
      </c>
      <c r="N961" s="119">
        <f t="shared" si="95"/>
        <v>944</v>
      </c>
      <c r="O961" s="99" t="str">
        <f t="shared" si="96"/>
        <v>0</v>
      </c>
      <c r="P961" s="119">
        <f t="shared" si="97"/>
        <v>1</v>
      </c>
      <c r="Q961" s="119">
        <f t="shared" si="98"/>
        <v>1</v>
      </c>
    </row>
    <row r="962" spans="2:17">
      <c r="B962" s="116"/>
      <c r="C962" s="116"/>
      <c r="D962" s="116"/>
      <c r="E962" s="116" cm="1">
        <f t="array" ref="E962">IF(H961&lt;&gt;"",E961,IF(E961="","",IFERROR(MATCH(TRUE(),INDEX(INDEX(K:K,E961+1):K203&lt;&gt;"",0),0)+E961,"")))</f>
        <v>1104</v>
      </c>
      <c r="F962" s="117" cm="1">
        <f t="array" ref="F962">IF(E962="","",IF(H961&lt;&gt;"",H961,INDEX(D:D,E962)))</f>
        <v>0</v>
      </c>
      <c r="G962" s="117" t="str">
        <f t="shared" si="93"/>
        <v>0</v>
      </c>
      <c r="H962" s="118" t="str">
        <f t="shared" si="94"/>
        <v/>
      </c>
      <c r="I962" s="116" t="str">
        <f>IF(AND(F962&lt;&gt;"",N10&gt;0,M962&gt;N10),"Mot &gt; limite","")</f>
        <v/>
      </c>
      <c r="M962" s="70">
        <f>IF(OR(F962="",N10="",N10&lt;=0),"",IF(LEN(F962)&lt;=N10,LEN(F962),IFERROR(FIND("♦",SUBSTITUTE(LEFT(F962,N10)," ","♦",LEN(LEFT(F962,N10))-LEN(SUBSTITUTE(LEFT(F962,N10)," ","")))),FIND(" ",F962&amp;" ",N10+1)-1)))</f>
        <v>1</v>
      </c>
      <c r="N962" s="119">
        <f t="shared" si="95"/>
        <v>945</v>
      </c>
      <c r="O962" s="99" t="str">
        <f t="shared" si="96"/>
        <v>0</v>
      </c>
      <c r="P962" s="119">
        <f t="shared" si="97"/>
        <v>1</v>
      </c>
      <c r="Q962" s="119">
        <f t="shared" si="98"/>
        <v>1</v>
      </c>
    </row>
    <row r="963" spans="2:17">
      <c r="B963" s="116"/>
      <c r="C963" s="116"/>
      <c r="D963" s="116"/>
      <c r="E963" s="116" cm="1">
        <f t="array" ref="E963">IF(H962&lt;&gt;"",E962,IF(E962="","",IFERROR(MATCH(TRUE(),INDEX(INDEX(K:K,E962+1):K203&lt;&gt;"",0),0)+E962,"")))</f>
        <v>1105</v>
      </c>
      <c r="F963" s="117" cm="1">
        <f t="array" ref="F963">IF(E963="","",IF(H962&lt;&gt;"",H962,INDEX(D:D,E963)))</f>
        <v>0</v>
      </c>
      <c r="G963" s="117" t="str">
        <f t="shared" si="93"/>
        <v>0</v>
      </c>
      <c r="H963" s="118" t="str">
        <f t="shared" si="94"/>
        <v/>
      </c>
      <c r="I963" s="116" t="str">
        <f>IF(AND(F963&lt;&gt;"",N10&gt;0,M963&gt;N10),"Mot &gt; limite","")</f>
        <v/>
      </c>
      <c r="M963" s="70">
        <f>IF(OR(F963="",N10="",N10&lt;=0),"",IF(LEN(F963)&lt;=N10,LEN(F963),IFERROR(FIND("♦",SUBSTITUTE(LEFT(F963,N10)," ","♦",LEN(LEFT(F963,N10))-LEN(SUBSTITUTE(LEFT(F963,N10)," ","")))),FIND(" ",F963&amp;" ",N10+1)-1)))</f>
        <v>1</v>
      </c>
      <c r="N963" s="119">
        <f t="shared" si="95"/>
        <v>946</v>
      </c>
      <c r="O963" s="99" t="str">
        <f t="shared" si="96"/>
        <v>0</v>
      </c>
      <c r="P963" s="119">
        <f t="shared" si="97"/>
        <v>1</v>
      </c>
      <c r="Q963" s="119">
        <f t="shared" si="98"/>
        <v>1</v>
      </c>
    </row>
    <row r="964" spans="2:17">
      <c r="B964" s="116"/>
      <c r="C964" s="116"/>
      <c r="D964" s="116"/>
      <c r="E964" s="116" cm="1">
        <f t="array" ref="E964">IF(H963&lt;&gt;"",E963,IF(E963="","",IFERROR(MATCH(TRUE(),INDEX(INDEX(K:K,E963+1):K203&lt;&gt;"",0),0)+E963,"")))</f>
        <v>1106</v>
      </c>
      <c r="F964" s="117" cm="1">
        <f t="array" ref="F964">IF(E964="","",IF(H963&lt;&gt;"",H963,INDEX(D:D,E964)))</f>
        <v>0</v>
      </c>
      <c r="G964" s="117" t="str">
        <f t="shared" si="93"/>
        <v>0</v>
      </c>
      <c r="H964" s="118" t="str">
        <f t="shared" si="94"/>
        <v/>
      </c>
      <c r="I964" s="116" t="str">
        <f>IF(AND(F964&lt;&gt;"",N10&gt;0,M964&gt;N10),"Mot &gt; limite","")</f>
        <v/>
      </c>
      <c r="M964" s="70">
        <f>IF(OR(F964="",N10="",N10&lt;=0),"",IF(LEN(F964)&lt;=N10,LEN(F964),IFERROR(FIND("♦",SUBSTITUTE(LEFT(F964,N10)," ","♦",LEN(LEFT(F964,N10))-LEN(SUBSTITUTE(LEFT(F964,N10)," ","")))),FIND(" ",F964&amp;" ",N10+1)-1)))</f>
        <v>1</v>
      </c>
      <c r="N964" s="119">
        <f t="shared" si="95"/>
        <v>947</v>
      </c>
      <c r="O964" s="99" t="str">
        <f t="shared" si="96"/>
        <v>0</v>
      </c>
      <c r="P964" s="119">
        <f t="shared" si="97"/>
        <v>1</v>
      </c>
      <c r="Q964" s="119">
        <f t="shared" si="98"/>
        <v>1</v>
      </c>
    </row>
    <row r="965" spans="2:17">
      <c r="B965" s="116"/>
      <c r="C965" s="116"/>
      <c r="D965" s="116"/>
      <c r="E965" s="116" cm="1">
        <f t="array" ref="E965">IF(H964&lt;&gt;"",E964,IF(E964="","",IFERROR(MATCH(TRUE(),INDEX(INDEX(K:K,E964+1):K203&lt;&gt;"",0),0)+E964,"")))</f>
        <v>1107</v>
      </c>
      <c r="F965" s="117" cm="1">
        <f t="array" ref="F965">IF(E965="","",IF(H964&lt;&gt;"",H964,INDEX(D:D,E965)))</f>
        <v>0</v>
      </c>
      <c r="G965" s="117" t="str">
        <f t="shared" si="93"/>
        <v>0</v>
      </c>
      <c r="H965" s="118" t="str">
        <f t="shared" si="94"/>
        <v/>
      </c>
      <c r="I965" s="116" t="str">
        <f>IF(AND(F965&lt;&gt;"",N10&gt;0,M965&gt;N10),"Mot &gt; limite","")</f>
        <v/>
      </c>
      <c r="M965" s="70">
        <f>IF(OR(F965="",N10="",N10&lt;=0),"",IF(LEN(F965)&lt;=N10,LEN(F965),IFERROR(FIND("♦",SUBSTITUTE(LEFT(F965,N10)," ","♦",LEN(LEFT(F965,N10))-LEN(SUBSTITUTE(LEFT(F965,N10)," ","")))),FIND(" ",F965&amp;" ",N10+1)-1)))</f>
        <v>1</v>
      </c>
      <c r="N965" s="119">
        <f t="shared" si="95"/>
        <v>948</v>
      </c>
      <c r="O965" s="99" t="str">
        <f t="shared" si="96"/>
        <v>0</v>
      </c>
      <c r="P965" s="119">
        <f t="shared" si="97"/>
        <v>1</v>
      </c>
      <c r="Q965" s="119">
        <f t="shared" si="98"/>
        <v>1</v>
      </c>
    </row>
    <row r="966" spans="2:17">
      <c r="B966" s="116"/>
      <c r="C966" s="116"/>
      <c r="D966" s="116"/>
      <c r="E966" s="116" cm="1">
        <f t="array" ref="E966">IF(H965&lt;&gt;"",E965,IF(E965="","",IFERROR(MATCH(TRUE(),INDEX(INDEX(K:K,E965+1):K203&lt;&gt;"",0),0)+E965,"")))</f>
        <v>1108</v>
      </c>
      <c r="F966" s="117" cm="1">
        <f t="array" ref="F966">IF(E966="","",IF(H965&lt;&gt;"",H965,INDEX(D:D,E966)))</f>
        <v>0</v>
      </c>
      <c r="G966" s="117" t="str">
        <f t="shared" si="93"/>
        <v>0</v>
      </c>
      <c r="H966" s="118" t="str">
        <f t="shared" si="94"/>
        <v/>
      </c>
      <c r="I966" s="116" t="str">
        <f>IF(AND(F966&lt;&gt;"",N10&gt;0,M966&gt;N10),"Mot &gt; limite","")</f>
        <v/>
      </c>
      <c r="M966" s="70">
        <f>IF(OR(F966="",N10="",N10&lt;=0),"",IF(LEN(F966)&lt;=N10,LEN(F966),IFERROR(FIND("♦",SUBSTITUTE(LEFT(F966,N10)," ","♦",LEN(LEFT(F966,N10))-LEN(SUBSTITUTE(LEFT(F966,N10)," ","")))),FIND(" ",F966&amp;" ",N10+1)-1)))</f>
        <v>1</v>
      </c>
      <c r="N966" s="119">
        <f t="shared" si="95"/>
        <v>949</v>
      </c>
      <c r="O966" s="99" t="str">
        <f t="shared" si="96"/>
        <v>0</v>
      </c>
      <c r="P966" s="119">
        <f t="shared" si="97"/>
        <v>1</v>
      </c>
      <c r="Q966" s="119">
        <f t="shared" si="98"/>
        <v>1</v>
      </c>
    </row>
    <row r="967" spans="2:17">
      <c r="B967" s="116"/>
      <c r="C967" s="116"/>
      <c r="D967" s="116"/>
      <c r="E967" s="116" cm="1">
        <f t="array" ref="E967">IF(H966&lt;&gt;"",E966,IF(E966="","",IFERROR(MATCH(TRUE(),INDEX(INDEX(K:K,E966+1):K203&lt;&gt;"",0),0)+E966,"")))</f>
        <v>1109</v>
      </c>
      <c r="F967" s="117" cm="1">
        <f t="array" ref="F967">IF(E967="","",IF(H966&lt;&gt;"",H966,INDEX(D:D,E967)))</f>
        <v>0</v>
      </c>
      <c r="G967" s="117" t="str">
        <f t="shared" si="93"/>
        <v>0</v>
      </c>
      <c r="H967" s="118" t="str">
        <f t="shared" si="94"/>
        <v/>
      </c>
      <c r="I967" s="116" t="str">
        <f>IF(AND(F967&lt;&gt;"",N10&gt;0,M967&gt;N10),"Mot &gt; limite","")</f>
        <v/>
      </c>
      <c r="M967" s="70">
        <f>IF(OR(F967="",N10="",N10&lt;=0),"",IF(LEN(F967)&lt;=N10,LEN(F967),IFERROR(FIND("♦",SUBSTITUTE(LEFT(F967,N10)," ","♦",LEN(LEFT(F967,N10))-LEN(SUBSTITUTE(LEFT(F967,N10)," ","")))),FIND(" ",F967&amp;" ",N10+1)-1)))</f>
        <v>1</v>
      </c>
      <c r="N967" s="119">
        <f t="shared" si="95"/>
        <v>950</v>
      </c>
      <c r="O967" s="99" t="str">
        <f t="shared" si="96"/>
        <v>0</v>
      </c>
      <c r="P967" s="119">
        <f t="shared" si="97"/>
        <v>1</v>
      </c>
      <c r="Q967" s="119">
        <f t="shared" si="98"/>
        <v>1</v>
      </c>
    </row>
    <row r="968" spans="2:17">
      <c r="B968" s="116"/>
      <c r="C968" s="116"/>
      <c r="D968" s="116"/>
      <c r="E968" s="116" cm="1">
        <f t="array" ref="E968">IF(H967&lt;&gt;"",E967,IF(E967="","",IFERROR(MATCH(TRUE(),INDEX(INDEX(K:K,E967+1):K203&lt;&gt;"",0),0)+E967,"")))</f>
        <v>1110</v>
      </c>
      <c r="F968" s="117" cm="1">
        <f t="array" ref="F968">IF(E968="","",IF(H967&lt;&gt;"",H967,INDEX(D:D,E968)))</f>
        <v>0</v>
      </c>
      <c r="G968" s="117" t="str">
        <f t="shared" si="93"/>
        <v>0</v>
      </c>
      <c r="H968" s="118" t="str">
        <f t="shared" si="94"/>
        <v/>
      </c>
      <c r="I968" s="116" t="str">
        <f>IF(AND(F968&lt;&gt;"",N10&gt;0,M968&gt;N10),"Mot &gt; limite","")</f>
        <v/>
      </c>
      <c r="M968" s="70">
        <f>IF(OR(F968="",N10="",N10&lt;=0),"",IF(LEN(F968)&lt;=N10,LEN(F968),IFERROR(FIND("♦",SUBSTITUTE(LEFT(F968,N10)," ","♦",LEN(LEFT(F968,N10))-LEN(SUBSTITUTE(LEFT(F968,N10)," ","")))),FIND(" ",F968&amp;" ",N10+1)-1)))</f>
        <v>1</v>
      </c>
      <c r="N968" s="119">
        <f t="shared" si="95"/>
        <v>951</v>
      </c>
      <c r="O968" s="99" t="str">
        <f t="shared" si="96"/>
        <v>0</v>
      </c>
      <c r="P968" s="119">
        <f t="shared" si="97"/>
        <v>1</v>
      </c>
      <c r="Q968" s="119">
        <f t="shared" si="98"/>
        <v>1</v>
      </c>
    </row>
    <row r="969" spans="2:17">
      <c r="B969" s="116"/>
      <c r="C969" s="116"/>
      <c r="D969" s="116"/>
      <c r="E969" s="116" cm="1">
        <f t="array" ref="E969">IF(H968&lt;&gt;"",E968,IF(E968="","",IFERROR(MATCH(TRUE(),INDEX(INDEX(K:K,E968+1):K203&lt;&gt;"",0),0)+E968,"")))</f>
        <v>1111</v>
      </c>
      <c r="F969" s="117" cm="1">
        <f t="array" ref="F969">IF(E969="","",IF(H968&lt;&gt;"",H968,INDEX(D:D,E969)))</f>
        <v>0</v>
      </c>
      <c r="G969" s="117" t="str">
        <f t="shared" si="93"/>
        <v>0</v>
      </c>
      <c r="H969" s="118" t="str">
        <f t="shared" si="94"/>
        <v/>
      </c>
      <c r="I969" s="116" t="str">
        <f>IF(AND(F969&lt;&gt;"",N10&gt;0,M969&gt;N10),"Mot &gt; limite","")</f>
        <v/>
      </c>
      <c r="M969" s="70">
        <f>IF(OR(F969="",N10="",N10&lt;=0),"",IF(LEN(F969)&lt;=N10,LEN(F969),IFERROR(FIND("♦",SUBSTITUTE(LEFT(F969,N10)," ","♦",LEN(LEFT(F969,N10))-LEN(SUBSTITUTE(LEFT(F969,N10)," ","")))),FIND(" ",F969&amp;" ",N10+1)-1)))</f>
        <v>1</v>
      </c>
      <c r="N969" s="119">
        <f t="shared" si="95"/>
        <v>952</v>
      </c>
      <c r="O969" s="99" t="str">
        <f t="shared" si="96"/>
        <v>0</v>
      </c>
      <c r="P969" s="119">
        <f t="shared" si="97"/>
        <v>1</v>
      </c>
      <c r="Q969" s="119">
        <f t="shared" si="98"/>
        <v>1</v>
      </c>
    </row>
    <row r="970" spans="2:17">
      <c r="B970" s="116"/>
      <c r="C970" s="116"/>
      <c r="D970" s="116"/>
      <c r="E970" s="116" cm="1">
        <f t="array" ref="E970">IF(H969&lt;&gt;"",E969,IF(E969="","",IFERROR(MATCH(TRUE(),INDEX(INDEX(K:K,E969+1):K203&lt;&gt;"",0),0)+E969,"")))</f>
        <v>1112</v>
      </c>
      <c r="F970" s="117" cm="1">
        <f t="array" ref="F970">IF(E970="","",IF(H969&lt;&gt;"",H969,INDEX(D:D,E970)))</f>
        <v>0</v>
      </c>
      <c r="G970" s="117" t="str">
        <f t="shared" si="93"/>
        <v>0</v>
      </c>
      <c r="H970" s="118" t="str">
        <f t="shared" si="94"/>
        <v/>
      </c>
      <c r="I970" s="116" t="str">
        <f>IF(AND(F970&lt;&gt;"",N10&gt;0,M970&gt;N10),"Mot &gt; limite","")</f>
        <v/>
      </c>
      <c r="M970" s="70">
        <f>IF(OR(F970="",N10="",N10&lt;=0),"",IF(LEN(F970)&lt;=N10,LEN(F970),IFERROR(FIND("♦",SUBSTITUTE(LEFT(F970,N10)," ","♦",LEN(LEFT(F970,N10))-LEN(SUBSTITUTE(LEFT(F970,N10)," ","")))),FIND(" ",F970&amp;" ",N10+1)-1)))</f>
        <v>1</v>
      </c>
      <c r="N970" s="119">
        <f t="shared" si="95"/>
        <v>953</v>
      </c>
      <c r="O970" s="99" t="str">
        <f t="shared" si="96"/>
        <v>0</v>
      </c>
      <c r="P970" s="119">
        <f t="shared" si="97"/>
        <v>1</v>
      </c>
      <c r="Q970" s="119">
        <f t="shared" si="98"/>
        <v>1</v>
      </c>
    </row>
    <row r="971" spans="2:17">
      <c r="B971" s="116"/>
      <c r="C971" s="116"/>
      <c r="D971" s="116"/>
      <c r="E971" s="116" cm="1">
        <f t="array" ref="E971">IF(H970&lt;&gt;"",E970,IF(E970="","",IFERROR(MATCH(TRUE(),INDEX(INDEX(K:K,E970+1):K203&lt;&gt;"",0),0)+E970,"")))</f>
        <v>1113</v>
      </c>
      <c r="F971" s="117" cm="1">
        <f t="array" ref="F971">IF(E971="","",IF(H970&lt;&gt;"",H970,INDEX(D:D,E971)))</f>
        <v>0</v>
      </c>
      <c r="G971" s="117" t="str">
        <f t="shared" si="93"/>
        <v>0</v>
      </c>
      <c r="H971" s="118" t="str">
        <f t="shared" si="94"/>
        <v/>
      </c>
      <c r="I971" s="116" t="str">
        <f>IF(AND(F971&lt;&gt;"",N10&gt;0,M971&gt;N10),"Mot &gt; limite","")</f>
        <v/>
      </c>
      <c r="M971" s="70">
        <f>IF(OR(F971="",N10="",N10&lt;=0),"",IF(LEN(F971)&lt;=N10,LEN(F971),IFERROR(FIND("♦",SUBSTITUTE(LEFT(F971,N10)," ","♦",LEN(LEFT(F971,N10))-LEN(SUBSTITUTE(LEFT(F971,N10)," ","")))),FIND(" ",F971&amp;" ",N10+1)-1)))</f>
        <v>1</v>
      </c>
      <c r="N971" s="119">
        <f t="shared" si="95"/>
        <v>954</v>
      </c>
      <c r="O971" s="99" t="str">
        <f t="shared" si="96"/>
        <v>0</v>
      </c>
      <c r="P971" s="119">
        <f t="shared" si="97"/>
        <v>1</v>
      </c>
      <c r="Q971" s="119">
        <f t="shared" si="98"/>
        <v>1</v>
      </c>
    </row>
    <row r="972" spans="2:17">
      <c r="B972" s="116"/>
      <c r="C972" s="116"/>
      <c r="D972" s="116"/>
      <c r="E972" s="116" cm="1">
        <f t="array" ref="E972">IF(H971&lt;&gt;"",E971,IF(E971="","",IFERROR(MATCH(TRUE(),INDEX(INDEX(K:K,E971+1):K203&lt;&gt;"",0),0)+E971,"")))</f>
        <v>1114</v>
      </c>
      <c r="F972" s="117" cm="1">
        <f t="array" ref="F972">IF(E972="","",IF(H971&lt;&gt;"",H971,INDEX(D:D,E972)))</f>
        <v>0</v>
      </c>
      <c r="G972" s="117" t="str">
        <f t="shared" si="93"/>
        <v>0</v>
      </c>
      <c r="H972" s="118" t="str">
        <f t="shared" si="94"/>
        <v/>
      </c>
      <c r="I972" s="116" t="str">
        <f>IF(AND(F972&lt;&gt;"",N10&gt;0,M972&gt;N10),"Mot &gt; limite","")</f>
        <v/>
      </c>
      <c r="M972" s="70">
        <f>IF(OR(F972="",N10="",N10&lt;=0),"",IF(LEN(F972)&lt;=N10,LEN(F972),IFERROR(FIND("♦",SUBSTITUTE(LEFT(F972,N10)," ","♦",LEN(LEFT(F972,N10))-LEN(SUBSTITUTE(LEFT(F972,N10)," ","")))),FIND(" ",F972&amp;" ",N10+1)-1)))</f>
        <v>1</v>
      </c>
      <c r="N972" s="119">
        <f t="shared" si="95"/>
        <v>955</v>
      </c>
      <c r="O972" s="99" t="str">
        <f t="shared" si="96"/>
        <v>0</v>
      </c>
      <c r="P972" s="119">
        <f t="shared" si="97"/>
        <v>1</v>
      </c>
      <c r="Q972" s="119">
        <f t="shared" si="98"/>
        <v>1</v>
      </c>
    </row>
    <row r="973" spans="2:17">
      <c r="B973" s="116"/>
      <c r="C973" s="116"/>
      <c r="D973" s="116"/>
      <c r="E973" s="116" cm="1">
        <f t="array" ref="E973">IF(H972&lt;&gt;"",E972,IF(E972="","",IFERROR(MATCH(TRUE(),INDEX(INDEX(K:K,E972+1):K203&lt;&gt;"",0),0)+E972,"")))</f>
        <v>1115</v>
      </c>
      <c r="F973" s="117" cm="1">
        <f t="array" ref="F973">IF(E973="","",IF(H972&lt;&gt;"",H972,INDEX(D:D,E973)))</f>
        <v>0</v>
      </c>
      <c r="G973" s="117" t="str">
        <f t="shared" si="93"/>
        <v>0</v>
      </c>
      <c r="H973" s="118" t="str">
        <f t="shared" si="94"/>
        <v/>
      </c>
      <c r="I973" s="116" t="str">
        <f>IF(AND(F973&lt;&gt;"",N10&gt;0,M973&gt;N10),"Mot &gt; limite","")</f>
        <v/>
      </c>
      <c r="M973" s="70">
        <f>IF(OR(F973="",N10="",N10&lt;=0),"",IF(LEN(F973)&lt;=N10,LEN(F973),IFERROR(FIND("♦",SUBSTITUTE(LEFT(F973,N10)," ","♦",LEN(LEFT(F973,N10))-LEN(SUBSTITUTE(LEFT(F973,N10)," ","")))),FIND(" ",F973&amp;" ",N10+1)-1)))</f>
        <v>1</v>
      </c>
      <c r="N973" s="119">
        <f t="shared" si="95"/>
        <v>956</v>
      </c>
      <c r="O973" s="99" t="str">
        <f t="shared" si="96"/>
        <v>0</v>
      </c>
      <c r="P973" s="119">
        <f t="shared" si="97"/>
        <v>1</v>
      </c>
      <c r="Q973" s="119">
        <f t="shared" si="98"/>
        <v>1</v>
      </c>
    </row>
    <row r="974" spans="2:17">
      <c r="B974" s="116"/>
      <c r="C974" s="116"/>
      <c r="D974" s="116"/>
      <c r="E974" s="116" cm="1">
        <f t="array" ref="E974">IF(H973&lt;&gt;"",E973,IF(E973="","",IFERROR(MATCH(TRUE(),INDEX(INDEX(K:K,E973+1):K203&lt;&gt;"",0),0)+E973,"")))</f>
        <v>1116</v>
      </c>
      <c r="F974" s="117" cm="1">
        <f t="array" ref="F974">IF(E974="","",IF(H973&lt;&gt;"",H973,INDEX(D:D,E974)))</f>
        <v>0</v>
      </c>
      <c r="G974" s="117" t="str">
        <f t="shared" si="93"/>
        <v>0</v>
      </c>
      <c r="H974" s="118" t="str">
        <f t="shared" si="94"/>
        <v/>
      </c>
      <c r="I974" s="116" t="str">
        <f>IF(AND(F974&lt;&gt;"",N10&gt;0,M974&gt;N10),"Mot &gt; limite","")</f>
        <v/>
      </c>
      <c r="M974" s="70">
        <f>IF(OR(F974="",N10="",N10&lt;=0),"",IF(LEN(F974)&lt;=N10,LEN(F974),IFERROR(FIND("♦",SUBSTITUTE(LEFT(F974,N10)," ","♦",LEN(LEFT(F974,N10))-LEN(SUBSTITUTE(LEFT(F974,N10)," ","")))),FIND(" ",F974&amp;" ",N10+1)-1)))</f>
        <v>1</v>
      </c>
      <c r="N974" s="119">
        <f t="shared" si="95"/>
        <v>957</v>
      </c>
      <c r="O974" s="99" t="str">
        <f t="shared" si="96"/>
        <v>0</v>
      </c>
      <c r="P974" s="119">
        <f t="shared" si="97"/>
        <v>1</v>
      </c>
      <c r="Q974" s="119">
        <f t="shared" si="98"/>
        <v>1</v>
      </c>
    </row>
    <row r="975" spans="2:17">
      <c r="B975" s="116"/>
      <c r="C975" s="116"/>
      <c r="D975" s="116"/>
      <c r="E975" s="116" cm="1">
        <f t="array" ref="E975">IF(H974&lt;&gt;"",E974,IF(E974="","",IFERROR(MATCH(TRUE(),INDEX(INDEX(K:K,E974+1):K203&lt;&gt;"",0),0)+E974,"")))</f>
        <v>1117</v>
      </c>
      <c r="F975" s="117" cm="1">
        <f t="array" ref="F975">IF(E975="","",IF(H974&lt;&gt;"",H974,INDEX(D:D,E975)))</f>
        <v>0</v>
      </c>
      <c r="G975" s="117" t="str">
        <f t="shared" si="93"/>
        <v>0</v>
      </c>
      <c r="H975" s="118" t="str">
        <f t="shared" si="94"/>
        <v/>
      </c>
      <c r="I975" s="116" t="str">
        <f>IF(AND(F975&lt;&gt;"",N10&gt;0,M975&gt;N10),"Mot &gt; limite","")</f>
        <v/>
      </c>
      <c r="M975" s="70">
        <f>IF(OR(F975="",N10="",N10&lt;=0),"",IF(LEN(F975)&lt;=N10,LEN(F975),IFERROR(FIND("♦",SUBSTITUTE(LEFT(F975,N10)," ","♦",LEN(LEFT(F975,N10))-LEN(SUBSTITUTE(LEFT(F975,N10)," ","")))),FIND(" ",F975&amp;" ",N10+1)-1)))</f>
        <v>1</v>
      </c>
      <c r="N975" s="119">
        <f t="shared" si="95"/>
        <v>958</v>
      </c>
      <c r="O975" s="99" t="str">
        <f t="shared" si="96"/>
        <v>0</v>
      </c>
      <c r="P975" s="119">
        <f t="shared" si="97"/>
        <v>1</v>
      </c>
      <c r="Q975" s="119">
        <f t="shared" si="98"/>
        <v>1</v>
      </c>
    </row>
    <row r="976" spans="2:17">
      <c r="B976" s="116"/>
      <c r="C976" s="116"/>
      <c r="D976" s="116"/>
      <c r="E976" s="116" cm="1">
        <f t="array" ref="E976">IF(H975&lt;&gt;"",E975,IF(E975="","",IFERROR(MATCH(TRUE(),INDEX(INDEX(K:K,E975+1):K203&lt;&gt;"",0),0)+E975,"")))</f>
        <v>1118</v>
      </c>
      <c r="F976" s="117" cm="1">
        <f t="array" ref="F976">IF(E976="","",IF(H975&lt;&gt;"",H975,INDEX(D:D,E976)))</f>
        <v>0</v>
      </c>
      <c r="G976" s="117" t="str">
        <f t="shared" si="93"/>
        <v>0</v>
      </c>
      <c r="H976" s="118" t="str">
        <f t="shared" si="94"/>
        <v/>
      </c>
      <c r="I976" s="116" t="str">
        <f>IF(AND(F976&lt;&gt;"",N10&gt;0,M976&gt;N10),"Mot &gt; limite","")</f>
        <v/>
      </c>
      <c r="M976" s="70">
        <f>IF(OR(F976="",N10="",N10&lt;=0),"",IF(LEN(F976)&lt;=N10,LEN(F976),IFERROR(FIND("♦",SUBSTITUTE(LEFT(F976,N10)," ","♦",LEN(LEFT(F976,N10))-LEN(SUBSTITUTE(LEFT(F976,N10)," ","")))),FIND(" ",F976&amp;" ",N10+1)-1)))</f>
        <v>1</v>
      </c>
      <c r="N976" s="119">
        <f t="shared" si="95"/>
        <v>959</v>
      </c>
      <c r="O976" s="99" t="str">
        <f t="shared" si="96"/>
        <v>0</v>
      </c>
      <c r="P976" s="119">
        <f t="shared" si="97"/>
        <v>1</v>
      </c>
      <c r="Q976" s="119">
        <f t="shared" si="98"/>
        <v>1</v>
      </c>
    </row>
    <row r="977" spans="2:17">
      <c r="B977" s="116"/>
      <c r="C977" s="116"/>
      <c r="D977" s="116"/>
      <c r="E977" s="116" cm="1">
        <f t="array" ref="E977">IF(H976&lt;&gt;"",E976,IF(E976="","",IFERROR(MATCH(TRUE(),INDEX(INDEX(K:K,E976+1):K203&lt;&gt;"",0),0)+E976,"")))</f>
        <v>1119</v>
      </c>
      <c r="F977" s="117" cm="1">
        <f t="array" ref="F977">IF(E977="","",IF(H976&lt;&gt;"",H976,INDEX(D:D,E977)))</f>
        <v>0</v>
      </c>
      <c r="G977" s="117" t="str">
        <f t="shared" si="93"/>
        <v>0</v>
      </c>
      <c r="H977" s="118" t="str">
        <f t="shared" si="94"/>
        <v/>
      </c>
      <c r="I977" s="116" t="str">
        <f>IF(AND(F977&lt;&gt;"",N10&gt;0,M977&gt;N10),"Mot &gt; limite","")</f>
        <v/>
      </c>
      <c r="M977" s="70">
        <f>IF(OR(F977="",N10="",N10&lt;=0),"",IF(LEN(F977)&lt;=N10,LEN(F977),IFERROR(FIND("♦",SUBSTITUTE(LEFT(F977,N10)," ","♦",LEN(LEFT(F977,N10))-LEN(SUBSTITUTE(LEFT(F977,N10)," ","")))),FIND(" ",F977&amp;" ",N10+1)-1)))</f>
        <v>1</v>
      </c>
      <c r="N977" s="119">
        <f t="shared" si="95"/>
        <v>960</v>
      </c>
      <c r="O977" s="99" t="str">
        <f t="shared" si="96"/>
        <v>0</v>
      </c>
      <c r="P977" s="119">
        <f t="shared" si="97"/>
        <v>1</v>
      </c>
      <c r="Q977" s="119">
        <f t="shared" si="98"/>
        <v>1</v>
      </c>
    </row>
    <row r="978" spans="2:17">
      <c r="B978" s="116"/>
      <c r="C978" s="116"/>
      <c r="D978" s="116"/>
      <c r="E978" s="116" cm="1">
        <f t="array" ref="E978">IF(H977&lt;&gt;"",E977,IF(E977="","",IFERROR(MATCH(TRUE(),INDEX(INDEX(K:K,E977+1):K203&lt;&gt;"",0),0)+E977,"")))</f>
        <v>1120</v>
      </c>
      <c r="F978" s="117" cm="1">
        <f t="array" ref="F978">IF(E978="","",IF(H977&lt;&gt;"",H977,INDEX(D:D,E978)))</f>
        <v>0</v>
      </c>
      <c r="G978" s="117" t="str">
        <f t="shared" ref="G978:G1017" si="99">IF(OR(F978="",M978=""),"",LEFT(F978,M978))</f>
        <v>0</v>
      </c>
      <c r="H978" s="118" t="str">
        <f t="shared" ref="H978:H1017" si="100">IF(OR(F978="",M978=""),"",TRIM(MID(F978,M978+1,99999)))</f>
        <v/>
      </c>
      <c r="I978" s="116" t="str">
        <f>IF(AND(F978&lt;&gt;"",N10&gt;0,M978&gt;N10),"Mot &gt; limite","")</f>
        <v/>
      </c>
      <c r="M978" s="70">
        <f>IF(OR(F978="",N10="",N10&lt;=0),"",IF(LEN(F978)&lt;=N10,LEN(F978),IFERROR(FIND("♦",SUBSTITUTE(LEFT(F978,N10)," ","♦",LEN(LEFT(F978,N10))-LEN(SUBSTITUTE(LEFT(F978,N10)," ","")))),FIND(" ",F978&amp;" ",N10+1)-1)))</f>
        <v>1</v>
      </c>
      <c r="N978" s="119">
        <f t="shared" ref="N978:N1017" si="101">IF(O978="","",ROW()-17)</f>
        <v>961</v>
      </c>
      <c r="O978" s="99" t="str">
        <f t="shared" ref="O978:O1017" si="102">G978</f>
        <v>0</v>
      </c>
      <c r="P978" s="119">
        <f t="shared" ref="P978:P1017" si="103">IF(O978="","",LEN(TRIM(O978))-LEN(SUBSTITUTE(TRIM(O978)," ",""))+1)</f>
        <v>1</v>
      </c>
      <c r="Q978" s="119">
        <f t="shared" ref="Q978:Q1017" si="104">IF(O978="","",LEN(O978))</f>
        <v>1</v>
      </c>
    </row>
    <row r="979" spans="2:17">
      <c r="B979" s="116"/>
      <c r="C979" s="116"/>
      <c r="D979" s="116"/>
      <c r="E979" s="116" cm="1">
        <f t="array" ref="E979">IF(H978&lt;&gt;"",E978,IF(E978="","",IFERROR(MATCH(TRUE(),INDEX(INDEX(K:K,E978+1):K203&lt;&gt;"",0),0)+E978,"")))</f>
        <v>1121</v>
      </c>
      <c r="F979" s="117" cm="1">
        <f t="array" ref="F979">IF(E979="","",IF(H978&lt;&gt;"",H978,INDEX(D:D,E979)))</f>
        <v>0</v>
      </c>
      <c r="G979" s="117" t="str">
        <f t="shared" si="99"/>
        <v>0</v>
      </c>
      <c r="H979" s="118" t="str">
        <f t="shared" si="100"/>
        <v/>
      </c>
      <c r="I979" s="116" t="str">
        <f>IF(AND(F979&lt;&gt;"",N10&gt;0,M979&gt;N10),"Mot &gt; limite","")</f>
        <v/>
      </c>
      <c r="M979" s="70">
        <f>IF(OR(F979="",N10="",N10&lt;=0),"",IF(LEN(F979)&lt;=N10,LEN(F979),IFERROR(FIND("♦",SUBSTITUTE(LEFT(F979,N10)," ","♦",LEN(LEFT(F979,N10))-LEN(SUBSTITUTE(LEFT(F979,N10)," ","")))),FIND(" ",F979&amp;" ",N10+1)-1)))</f>
        <v>1</v>
      </c>
      <c r="N979" s="119">
        <f t="shared" si="101"/>
        <v>962</v>
      </c>
      <c r="O979" s="99" t="str">
        <f t="shared" si="102"/>
        <v>0</v>
      </c>
      <c r="P979" s="119">
        <f t="shared" si="103"/>
        <v>1</v>
      </c>
      <c r="Q979" s="119">
        <f t="shared" si="104"/>
        <v>1</v>
      </c>
    </row>
    <row r="980" spans="2:17">
      <c r="B980" s="116"/>
      <c r="C980" s="116"/>
      <c r="D980" s="116"/>
      <c r="E980" s="116" cm="1">
        <f t="array" ref="E980">IF(H979&lt;&gt;"",E979,IF(E979="","",IFERROR(MATCH(TRUE(),INDEX(INDEX(K:K,E979+1):K203&lt;&gt;"",0),0)+E979,"")))</f>
        <v>1122</v>
      </c>
      <c r="F980" s="117" cm="1">
        <f t="array" ref="F980">IF(E980="","",IF(H979&lt;&gt;"",H979,INDEX(D:D,E980)))</f>
        <v>0</v>
      </c>
      <c r="G980" s="117" t="str">
        <f t="shared" si="99"/>
        <v>0</v>
      </c>
      <c r="H980" s="118" t="str">
        <f t="shared" si="100"/>
        <v/>
      </c>
      <c r="I980" s="116" t="str">
        <f>IF(AND(F980&lt;&gt;"",N10&gt;0,M980&gt;N10),"Mot &gt; limite","")</f>
        <v/>
      </c>
      <c r="M980" s="70">
        <f>IF(OR(F980="",N10="",N10&lt;=0),"",IF(LEN(F980)&lt;=N10,LEN(F980),IFERROR(FIND("♦",SUBSTITUTE(LEFT(F980,N10)," ","♦",LEN(LEFT(F980,N10))-LEN(SUBSTITUTE(LEFT(F980,N10)," ","")))),FIND(" ",F980&amp;" ",N10+1)-1)))</f>
        <v>1</v>
      </c>
      <c r="N980" s="119">
        <f t="shared" si="101"/>
        <v>963</v>
      </c>
      <c r="O980" s="99" t="str">
        <f t="shared" si="102"/>
        <v>0</v>
      </c>
      <c r="P980" s="119">
        <f t="shared" si="103"/>
        <v>1</v>
      </c>
      <c r="Q980" s="119">
        <f t="shared" si="104"/>
        <v>1</v>
      </c>
    </row>
    <row r="981" spans="2:17">
      <c r="B981" s="116"/>
      <c r="C981" s="116"/>
      <c r="D981" s="116"/>
      <c r="E981" s="116" cm="1">
        <f t="array" ref="E981">IF(H980&lt;&gt;"",E980,IF(E980="","",IFERROR(MATCH(TRUE(),INDEX(INDEX(K:K,E980+1):K203&lt;&gt;"",0),0)+E980,"")))</f>
        <v>1123</v>
      </c>
      <c r="F981" s="117" cm="1">
        <f t="array" ref="F981">IF(E981="","",IF(H980&lt;&gt;"",H980,INDEX(D:D,E981)))</f>
        <v>0</v>
      </c>
      <c r="G981" s="117" t="str">
        <f t="shared" si="99"/>
        <v>0</v>
      </c>
      <c r="H981" s="118" t="str">
        <f t="shared" si="100"/>
        <v/>
      </c>
      <c r="I981" s="116" t="str">
        <f>IF(AND(F981&lt;&gt;"",N10&gt;0,M981&gt;N10),"Mot &gt; limite","")</f>
        <v/>
      </c>
      <c r="M981" s="70">
        <f>IF(OR(F981="",N10="",N10&lt;=0),"",IF(LEN(F981)&lt;=N10,LEN(F981),IFERROR(FIND("♦",SUBSTITUTE(LEFT(F981,N10)," ","♦",LEN(LEFT(F981,N10))-LEN(SUBSTITUTE(LEFT(F981,N10)," ","")))),FIND(" ",F981&amp;" ",N10+1)-1)))</f>
        <v>1</v>
      </c>
      <c r="N981" s="119">
        <f t="shared" si="101"/>
        <v>964</v>
      </c>
      <c r="O981" s="99" t="str">
        <f t="shared" si="102"/>
        <v>0</v>
      </c>
      <c r="P981" s="119">
        <f t="shared" si="103"/>
        <v>1</v>
      </c>
      <c r="Q981" s="119">
        <f t="shared" si="104"/>
        <v>1</v>
      </c>
    </row>
    <row r="982" spans="2:17">
      <c r="B982" s="116"/>
      <c r="C982" s="116"/>
      <c r="D982" s="116"/>
      <c r="E982" s="116" cm="1">
        <f t="array" ref="E982">IF(H981&lt;&gt;"",E981,IF(E981="","",IFERROR(MATCH(TRUE(),INDEX(INDEX(K:K,E981+1):K203&lt;&gt;"",0),0)+E981,"")))</f>
        <v>1124</v>
      </c>
      <c r="F982" s="117" cm="1">
        <f t="array" ref="F982">IF(E982="","",IF(H981&lt;&gt;"",H981,INDEX(D:D,E982)))</f>
        <v>0</v>
      </c>
      <c r="G982" s="117" t="str">
        <f t="shared" si="99"/>
        <v>0</v>
      </c>
      <c r="H982" s="118" t="str">
        <f t="shared" si="100"/>
        <v/>
      </c>
      <c r="I982" s="116" t="str">
        <f>IF(AND(F982&lt;&gt;"",N10&gt;0,M982&gt;N10),"Mot &gt; limite","")</f>
        <v/>
      </c>
      <c r="M982" s="70">
        <f>IF(OR(F982="",N10="",N10&lt;=0),"",IF(LEN(F982)&lt;=N10,LEN(F982),IFERROR(FIND("♦",SUBSTITUTE(LEFT(F982,N10)," ","♦",LEN(LEFT(F982,N10))-LEN(SUBSTITUTE(LEFT(F982,N10)," ","")))),FIND(" ",F982&amp;" ",N10+1)-1)))</f>
        <v>1</v>
      </c>
      <c r="N982" s="119">
        <f t="shared" si="101"/>
        <v>965</v>
      </c>
      <c r="O982" s="99" t="str">
        <f t="shared" si="102"/>
        <v>0</v>
      </c>
      <c r="P982" s="119">
        <f t="shared" si="103"/>
        <v>1</v>
      </c>
      <c r="Q982" s="119">
        <f t="shared" si="104"/>
        <v>1</v>
      </c>
    </row>
    <row r="983" spans="2:17">
      <c r="B983" s="116"/>
      <c r="C983" s="116"/>
      <c r="D983" s="116"/>
      <c r="E983" s="116" cm="1">
        <f t="array" ref="E983">IF(H982&lt;&gt;"",E982,IF(E982="","",IFERROR(MATCH(TRUE(),INDEX(INDEX(K:K,E982+1):K203&lt;&gt;"",0),0)+E982,"")))</f>
        <v>1125</v>
      </c>
      <c r="F983" s="117" cm="1">
        <f t="array" ref="F983">IF(E983="","",IF(H982&lt;&gt;"",H982,INDEX(D:D,E983)))</f>
        <v>0</v>
      </c>
      <c r="G983" s="117" t="str">
        <f t="shared" si="99"/>
        <v>0</v>
      </c>
      <c r="H983" s="118" t="str">
        <f t="shared" si="100"/>
        <v/>
      </c>
      <c r="I983" s="116" t="str">
        <f>IF(AND(F983&lt;&gt;"",N10&gt;0,M983&gt;N10),"Mot &gt; limite","")</f>
        <v/>
      </c>
      <c r="M983" s="70">
        <f>IF(OR(F983="",N10="",N10&lt;=0),"",IF(LEN(F983)&lt;=N10,LEN(F983),IFERROR(FIND("♦",SUBSTITUTE(LEFT(F983,N10)," ","♦",LEN(LEFT(F983,N10))-LEN(SUBSTITUTE(LEFT(F983,N10)," ","")))),FIND(" ",F983&amp;" ",N10+1)-1)))</f>
        <v>1</v>
      </c>
      <c r="N983" s="119">
        <f t="shared" si="101"/>
        <v>966</v>
      </c>
      <c r="O983" s="99" t="str">
        <f t="shared" si="102"/>
        <v>0</v>
      </c>
      <c r="P983" s="119">
        <f t="shared" si="103"/>
        <v>1</v>
      </c>
      <c r="Q983" s="119">
        <f t="shared" si="104"/>
        <v>1</v>
      </c>
    </row>
    <row r="984" spans="2:17">
      <c r="B984" s="116"/>
      <c r="C984" s="116"/>
      <c r="D984" s="116"/>
      <c r="E984" s="116" cm="1">
        <f t="array" ref="E984">IF(H983&lt;&gt;"",E983,IF(E983="","",IFERROR(MATCH(TRUE(),INDEX(INDEX(K:K,E983+1):K203&lt;&gt;"",0),0)+E983,"")))</f>
        <v>1126</v>
      </c>
      <c r="F984" s="117" cm="1">
        <f t="array" ref="F984">IF(E984="","",IF(H983&lt;&gt;"",H983,INDEX(D:D,E984)))</f>
        <v>0</v>
      </c>
      <c r="G984" s="117" t="str">
        <f t="shared" si="99"/>
        <v>0</v>
      </c>
      <c r="H984" s="118" t="str">
        <f t="shared" si="100"/>
        <v/>
      </c>
      <c r="I984" s="116" t="str">
        <f>IF(AND(F984&lt;&gt;"",N10&gt;0,M984&gt;N10),"Mot &gt; limite","")</f>
        <v/>
      </c>
      <c r="M984" s="70">
        <f>IF(OR(F984="",N10="",N10&lt;=0),"",IF(LEN(F984)&lt;=N10,LEN(F984),IFERROR(FIND("♦",SUBSTITUTE(LEFT(F984,N10)," ","♦",LEN(LEFT(F984,N10))-LEN(SUBSTITUTE(LEFT(F984,N10)," ","")))),FIND(" ",F984&amp;" ",N10+1)-1)))</f>
        <v>1</v>
      </c>
      <c r="N984" s="119">
        <f t="shared" si="101"/>
        <v>967</v>
      </c>
      <c r="O984" s="99" t="str">
        <f t="shared" si="102"/>
        <v>0</v>
      </c>
      <c r="P984" s="119">
        <f t="shared" si="103"/>
        <v>1</v>
      </c>
      <c r="Q984" s="119">
        <f t="shared" si="104"/>
        <v>1</v>
      </c>
    </row>
    <row r="985" spans="2:17">
      <c r="B985" s="116"/>
      <c r="C985" s="116"/>
      <c r="D985" s="116"/>
      <c r="E985" s="116" cm="1">
        <f t="array" ref="E985">IF(H984&lt;&gt;"",E984,IF(E984="","",IFERROR(MATCH(TRUE(),INDEX(INDEX(K:K,E984+1):K203&lt;&gt;"",0),0)+E984,"")))</f>
        <v>1127</v>
      </c>
      <c r="F985" s="117" cm="1">
        <f t="array" ref="F985">IF(E985="","",IF(H984&lt;&gt;"",H984,INDEX(D:D,E985)))</f>
        <v>0</v>
      </c>
      <c r="G985" s="117" t="str">
        <f t="shared" si="99"/>
        <v>0</v>
      </c>
      <c r="H985" s="118" t="str">
        <f t="shared" si="100"/>
        <v/>
      </c>
      <c r="I985" s="116" t="str">
        <f>IF(AND(F985&lt;&gt;"",N10&gt;0,M985&gt;N10),"Mot &gt; limite","")</f>
        <v/>
      </c>
      <c r="M985" s="70">
        <f>IF(OR(F985="",N10="",N10&lt;=0),"",IF(LEN(F985)&lt;=N10,LEN(F985),IFERROR(FIND("♦",SUBSTITUTE(LEFT(F985,N10)," ","♦",LEN(LEFT(F985,N10))-LEN(SUBSTITUTE(LEFT(F985,N10)," ","")))),FIND(" ",F985&amp;" ",N10+1)-1)))</f>
        <v>1</v>
      </c>
      <c r="N985" s="119">
        <f t="shared" si="101"/>
        <v>968</v>
      </c>
      <c r="O985" s="99" t="str">
        <f t="shared" si="102"/>
        <v>0</v>
      </c>
      <c r="P985" s="119">
        <f t="shared" si="103"/>
        <v>1</v>
      </c>
      <c r="Q985" s="119">
        <f t="shared" si="104"/>
        <v>1</v>
      </c>
    </row>
    <row r="986" spans="2:17">
      <c r="B986" s="116"/>
      <c r="C986" s="116"/>
      <c r="D986" s="116"/>
      <c r="E986" s="116" cm="1">
        <f t="array" ref="E986">IF(H985&lt;&gt;"",E985,IF(E985="","",IFERROR(MATCH(TRUE(),INDEX(INDEX(K:K,E985+1):K203&lt;&gt;"",0),0)+E985,"")))</f>
        <v>1128</v>
      </c>
      <c r="F986" s="117" cm="1">
        <f t="array" ref="F986">IF(E986="","",IF(H985&lt;&gt;"",H985,INDEX(D:D,E986)))</f>
        <v>0</v>
      </c>
      <c r="G986" s="117" t="str">
        <f t="shared" si="99"/>
        <v>0</v>
      </c>
      <c r="H986" s="118" t="str">
        <f t="shared" si="100"/>
        <v/>
      </c>
      <c r="I986" s="116" t="str">
        <f>IF(AND(F986&lt;&gt;"",N10&gt;0,M986&gt;N10),"Mot &gt; limite","")</f>
        <v/>
      </c>
      <c r="M986" s="70">
        <f>IF(OR(F986="",N10="",N10&lt;=0),"",IF(LEN(F986)&lt;=N10,LEN(F986),IFERROR(FIND("♦",SUBSTITUTE(LEFT(F986,N10)," ","♦",LEN(LEFT(F986,N10))-LEN(SUBSTITUTE(LEFT(F986,N10)," ","")))),FIND(" ",F986&amp;" ",N10+1)-1)))</f>
        <v>1</v>
      </c>
      <c r="N986" s="119">
        <f t="shared" si="101"/>
        <v>969</v>
      </c>
      <c r="O986" s="99" t="str">
        <f t="shared" si="102"/>
        <v>0</v>
      </c>
      <c r="P986" s="119">
        <f t="shared" si="103"/>
        <v>1</v>
      </c>
      <c r="Q986" s="119">
        <f t="shared" si="104"/>
        <v>1</v>
      </c>
    </row>
    <row r="987" spans="2:17">
      <c r="B987" s="116"/>
      <c r="C987" s="116"/>
      <c r="D987" s="116"/>
      <c r="E987" s="116" cm="1">
        <f t="array" ref="E987">IF(H986&lt;&gt;"",E986,IF(E986="","",IFERROR(MATCH(TRUE(),INDEX(INDEX(K:K,E986+1):K203&lt;&gt;"",0),0)+E986,"")))</f>
        <v>1129</v>
      </c>
      <c r="F987" s="117" cm="1">
        <f t="array" ref="F987">IF(E987="","",IF(H986&lt;&gt;"",H986,INDEX(D:D,E987)))</f>
        <v>0</v>
      </c>
      <c r="G987" s="117" t="str">
        <f t="shared" si="99"/>
        <v>0</v>
      </c>
      <c r="H987" s="118" t="str">
        <f t="shared" si="100"/>
        <v/>
      </c>
      <c r="I987" s="116" t="str">
        <f>IF(AND(F987&lt;&gt;"",N10&gt;0,M987&gt;N10),"Mot &gt; limite","")</f>
        <v/>
      </c>
      <c r="M987" s="70">
        <f>IF(OR(F987="",N10="",N10&lt;=0),"",IF(LEN(F987)&lt;=N10,LEN(F987),IFERROR(FIND("♦",SUBSTITUTE(LEFT(F987,N10)," ","♦",LEN(LEFT(F987,N10))-LEN(SUBSTITUTE(LEFT(F987,N10)," ","")))),FIND(" ",F987&amp;" ",N10+1)-1)))</f>
        <v>1</v>
      </c>
      <c r="N987" s="119">
        <f t="shared" si="101"/>
        <v>970</v>
      </c>
      <c r="O987" s="99" t="str">
        <f t="shared" si="102"/>
        <v>0</v>
      </c>
      <c r="P987" s="119">
        <f t="shared" si="103"/>
        <v>1</v>
      </c>
      <c r="Q987" s="119">
        <f t="shared" si="104"/>
        <v>1</v>
      </c>
    </row>
    <row r="988" spans="2:17">
      <c r="B988" s="116"/>
      <c r="C988" s="116"/>
      <c r="D988" s="116"/>
      <c r="E988" s="116" cm="1">
        <f t="array" ref="E988">IF(H987&lt;&gt;"",E987,IF(E987="","",IFERROR(MATCH(TRUE(),INDEX(INDEX(K:K,E987+1):K203&lt;&gt;"",0),0)+E987,"")))</f>
        <v>1130</v>
      </c>
      <c r="F988" s="117" cm="1">
        <f t="array" ref="F988">IF(E988="","",IF(H987&lt;&gt;"",H987,INDEX(D:D,E988)))</f>
        <v>0</v>
      </c>
      <c r="G988" s="117" t="str">
        <f t="shared" si="99"/>
        <v>0</v>
      </c>
      <c r="H988" s="118" t="str">
        <f t="shared" si="100"/>
        <v/>
      </c>
      <c r="I988" s="116" t="str">
        <f>IF(AND(F988&lt;&gt;"",N10&gt;0,M988&gt;N10),"Mot &gt; limite","")</f>
        <v/>
      </c>
      <c r="M988" s="70">
        <f>IF(OR(F988="",N10="",N10&lt;=0),"",IF(LEN(F988)&lt;=N10,LEN(F988),IFERROR(FIND("♦",SUBSTITUTE(LEFT(F988,N10)," ","♦",LEN(LEFT(F988,N10))-LEN(SUBSTITUTE(LEFT(F988,N10)," ","")))),FIND(" ",F988&amp;" ",N10+1)-1)))</f>
        <v>1</v>
      </c>
      <c r="N988" s="119">
        <f t="shared" si="101"/>
        <v>971</v>
      </c>
      <c r="O988" s="99" t="str">
        <f t="shared" si="102"/>
        <v>0</v>
      </c>
      <c r="P988" s="119">
        <f t="shared" si="103"/>
        <v>1</v>
      </c>
      <c r="Q988" s="119">
        <f t="shared" si="104"/>
        <v>1</v>
      </c>
    </row>
    <row r="989" spans="2:17">
      <c r="B989" s="116"/>
      <c r="C989" s="116"/>
      <c r="D989" s="116"/>
      <c r="E989" s="116" cm="1">
        <f t="array" ref="E989">IF(H988&lt;&gt;"",E988,IF(E988="","",IFERROR(MATCH(TRUE(),INDEX(INDEX(K:K,E988+1):K203&lt;&gt;"",0),0)+E988,"")))</f>
        <v>1131</v>
      </c>
      <c r="F989" s="117" cm="1">
        <f t="array" ref="F989">IF(E989="","",IF(H988&lt;&gt;"",H988,INDEX(D:D,E989)))</f>
        <v>0</v>
      </c>
      <c r="G989" s="117" t="str">
        <f t="shared" si="99"/>
        <v>0</v>
      </c>
      <c r="H989" s="118" t="str">
        <f t="shared" si="100"/>
        <v/>
      </c>
      <c r="I989" s="116" t="str">
        <f>IF(AND(F989&lt;&gt;"",N10&gt;0,M989&gt;N10),"Mot &gt; limite","")</f>
        <v/>
      </c>
      <c r="M989" s="70">
        <f>IF(OR(F989="",N10="",N10&lt;=0),"",IF(LEN(F989)&lt;=N10,LEN(F989),IFERROR(FIND("♦",SUBSTITUTE(LEFT(F989,N10)," ","♦",LEN(LEFT(F989,N10))-LEN(SUBSTITUTE(LEFT(F989,N10)," ","")))),FIND(" ",F989&amp;" ",N10+1)-1)))</f>
        <v>1</v>
      </c>
      <c r="N989" s="119">
        <f t="shared" si="101"/>
        <v>972</v>
      </c>
      <c r="O989" s="99" t="str">
        <f t="shared" si="102"/>
        <v>0</v>
      </c>
      <c r="P989" s="119">
        <f t="shared" si="103"/>
        <v>1</v>
      </c>
      <c r="Q989" s="119">
        <f t="shared" si="104"/>
        <v>1</v>
      </c>
    </row>
    <row r="990" spans="2:17">
      <c r="B990" s="116"/>
      <c r="C990" s="116"/>
      <c r="D990" s="116"/>
      <c r="E990" s="116" cm="1">
        <f t="array" ref="E990">IF(H989&lt;&gt;"",E989,IF(E989="","",IFERROR(MATCH(TRUE(),INDEX(INDEX(K:K,E989+1):K203&lt;&gt;"",0),0)+E989,"")))</f>
        <v>1132</v>
      </c>
      <c r="F990" s="117" cm="1">
        <f t="array" ref="F990">IF(E990="","",IF(H989&lt;&gt;"",H989,INDEX(D:D,E990)))</f>
        <v>0</v>
      </c>
      <c r="G990" s="117" t="str">
        <f t="shared" si="99"/>
        <v>0</v>
      </c>
      <c r="H990" s="118" t="str">
        <f t="shared" si="100"/>
        <v/>
      </c>
      <c r="I990" s="116" t="str">
        <f>IF(AND(F990&lt;&gt;"",N10&gt;0,M990&gt;N10),"Mot &gt; limite","")</f>
        <v/>
      </c>
      <c r="M990" s="70">
        <f>IF(OR(F990="",N10="",N10&lt;=0),"",IF(LEN(F990)&lt;=N10,LEN(F990),IFERROR(FIND("♦",SUBSTITUTE(LEFT(F990,N10)," ","♦",LEN(LEFT(F990,N10))-LEN(SUBSTITUTE(LEFT(F990,N10)," ","")))),FIND(" ",F990&amp;" ",N10+1)-1)))</f>
        <v>1</v>
      </c>
      <c r="N990" s="119">
        <f t="shared" si="101"/>
        <v>973</v>
      </c>
      <c r="O990" s="99" t="str">
        <f t="shared" si="102"/>
        <v>0</v>
      </c>
      <c r="P990" s="119">
        <f t="shared" si="103"/>
        <v>1</v>
      </c>
      <c r="Q990" s="119">
        <f t="shared" si="104"/>
        <v>1</v>
      </c>
    </row>
    <row r="991" spans="2:17">
      <c r="B991" s="116"/>
      <c r="C991" s="116"/>
      <c r="D991" s="116"/>
      <c r="E991" s="116" cm="1">
        <f t="array" ref="E991">IF(H990&lt;&gt;"",E990,IF(E990="","",IFERROR(MATCH(TRUE(),INDEX(INDEX(K:K,E990+1):K203&lt;&gt;"",0),0)+E990,"")))</f>
        <v>1133</v>
      </c>
      <c r="F991" s="117" cm="1">
        <f t="array" ref="F991">IF(E991="","",IF(H990&lt;&gt;"",H990,INDEX(D:D,E991)))</f>
        <v>0</v>
      </c>
      <c r="G991" s="117" t="str">
        <f t="shared" si="99"/>
        <v>0</v>
      </c>
      <c r="H991" s="118" t="str">
        <f t="shared" si="100"/>
        <v/>
      </c>
      <c r="I991" s="116" t="str">
        <f>IF(AND(F991&lt;&gt;"",N10&gt;0,M991&gt;N10),"Mot &gt; limite","")</f>
        <v/>
      </c>
      <c r="M991" s="70">
        <f>IF(OR(F991="",N10="",N10&lt;=0),"",IF(LEN(F991)&lt;=N10,LEN(F991),IFERROR(FIND("♦",SUBSTITUTE(LEFT(F991,N10)," ","♦",LEN(LEFT(F991,N10))-LEN(SUBSTITUTE(LEFT(F991,N10)," ","")))),FIND(" ",F991&amp;" ",N10+1)-1)))</f>
        <v>1</v>
      </c>
      <c r="N991" s="119">
        <f t="shared" si="101"/>
        <v>974</v>
      </c>
      <c r="O991" s="99" t="str">
        <f t="shared" si="102"/>
        <v>0</v>
      </c>
      <c r="P991" s="119">
        <f t="shared" si="103"/>
        <v>1</v>
      </c>
      <c r="Q991" s="119">
        <f t="shared" si="104"/>
        <v>1</v>
      </c>
    </row>
    <row r="992" spans="2:17">
      <c r="B992" s="116"/>
      <c r="C992" s="116"/>
      <c r="D992" s="116"/>
      <c r="E992" s="116" cm="1">
        <f t="array" ref="E992">IF(H991&lt;&gt;"",E991,IF(E991="","",IFERROR(MATCH(TRUE(),INDEX(INDEX(K:K,E991+1):K203&lt;&gt;"",0),0)+E991,"")))</f>
        <v>1134</v>
      </c>
      <c r="F992" s="117" cm="1">
        <f t="array" ref="F992">IF(E992="","",IF(H991&lt;&gt;"",H991,INDEX(D:D,E992)))</f>
        <v>0</v>
      </c>
      <c r="G992" s="117" t="str">
        <f t="shared" si="99"/>
        <v>0</v>
      </c>
      <c r="H992" s="118" t="str">
        <f t="shared" si="100"/>
        <v/>
      </c>
      <c r="I992" s="116" t="str">
        <f>IF(AND(F992&lt;&gt;"",N10&gt;0,M992&gt;N10),"Mot &gt; limite","")</f>
        <v/>
      </c>
      <c r="M992" s="70">
        <f>IF(OR(F992="",N10="",N10&lt;=0),"",IF(LEN(F992)&lt;=N10,LEN(F992),IFERROR(FIND("♦",SUBSTITUTE(LEFT(F992,N10)," ","♦",LEN(LEFT(F992,N10))-LEN(SUBSTITUTE(LEFT(F992,N10)," ","")))),FIND(" ",F992&amp;" ",N10+1)-1)))</f>
        <v>1</v>
      </c>
      <c r="N992" s="119">
        <f t="shared" si="101"/>
        <v>975</v>
      </c>
      <c r="O992" s="99" t="str">
        <f t="shared" si="102"/>
        <v>0</v>
      </c>
      <c r="P992" s="119">
        <f t="shared" si="103"/>
        <v>1</v>
      </c>
      <c r="Q992" s="119">
        <f t="shared" si="104"/>
        <v>1</v>
      </c>
    </row>
    <row r="993" spans="2:17">
      <c r="B993" s="116"/>
      <c r="C993" s="116"/>
      <c r="D993" s="116"/>
      <c r="E993" s="116" cm="1">
        <f t="array" ref="E993">IF(H992&lt;&gt;"",E992,IF(E992="","",IFERROR(MATCH(TRUE(),INDEX(INDEX(K:K,E992+1):K203&lt;&gt;"",0),0)+E992,"")))</f>
        <v>1135</v>
      </c>
      <c r="F993" s="117" cm="1">
        <f t="array" ref="F993">IF(E993="","",IF(H992&lt;&gt;"",H992,INDEX(D:D,E993)))</f>
        <v>0</v>
      </c>
      <c r="G993" s="117" t="str">
        <f t="shared" si="99"/>
        <v>0</v>
      </c>
      <c r="H993" s="118" t="str">
        <f t="shared" si="100"/>
        <v/>
      </c>
      <c r="I993" s="116" t="str">
        <f>IF(AND(F993&lt;&gt;"",N10&gt;0,M993&gt;N10),"Mot &gt; limite","")</f>
        <v/>
      </c>
      <c r="M993" s="70">
        <f>IF(OR(F993="",N10="",N10&lt;=0),"",IF(LEN(F993)&lt;=N10,LEN(F993),IFERROR(FIND("♦",SUBSTITUTE(LEFT(F993,N10)," ","♦",LEN(LEFT(F993,N10))-LEN(SUBSTITUTE(LEFT(F993,N10)," ","")))),FIND(" ",F993&amp;" ",N10+1)-1)))</f>
        <v>1</v>
      </c>
      <c r="N993" s="119">
        <f t="shared" si="101"/>
        <v>976</v>
      </c>
      <c r="O993" s="99" t="str">
        <f t="shared" si="102"/>
        <v>0</v>
      </c>
      <c r="P993" s="119">
        <f t="shared" si="103"/>
        <v>1</v>
      </c>
      <c r="Q993" s="119">
        <f t="shared" si="104"/>
        <v>1</v>
      </c>
    </row>
    <row r="994" spans="2:17">
      <c r="B994" s="116"/>
      <c r="C994" s="116"/>
      <c r="D994" s="116"/>
      <c r="E994" s="116" cm="1">
        <f t="array" ref="E994">IF(H993&lt;&gt;"",E993,IF(E993="","",IFERROR(MATCH(TRUE(),INDEX(INDEX(K:K,E993+1):K203&lt;&gt;"",0),0)+E993,"")))</f>
        <v>1136</v>
      </c>
      <c r="F994" s="117" cm="1">
        <f t="array" ref="F994">IF(E994="","",IF(H993&lt;&gt;"",H993,INDEX(D:D,E994)))</f>
        <v>0</v>
      </c>
      <c r="G994" s="117" t="str">
        <f t="shared" si="99"/>
        <v>0</v>
      </c>
      <c r="H994" s="118" t="str">
        <f t="shared" si="100"/>
        <v/>
      </c>
      <c r="I994" s="116" t="str">
        <f>IF(AND(F994&lt;&gt;"",N10&gt;0,M994&gt;N10),"Mot &gt; limite","")</f>
        <v/>
      </c>
      <c r="M994" s="70">
        <f>IF(OR(F994="",N10="",N10&lt;=0),"",IF(LEN(F994)&lt;=N10,LEN(F994),IFERROR(FIND("♦",SUBSTITUTE(LEFT(F994,N10)," ","♦",LEN(LEFT(F994,N10))-LEN(SUBSTITUTE(LEFT(F994,N10)," ","")))),FIND(" ",F994&amp;" ",N10+1)-1)))</f>
        <v>1</v>
      </c>
      <c r="N994" s="119">
        <f t="shared" si="101"/>
        <v>977</v>
      </c>
      <c r="O994" s="99" t="str">
        <f t="shared" si="102"/>
        <v>0</v>
      </c>
      <c r="P994" s="119">
        <f t="shared" si="103"/>
        <v>1</v>
      </c>
      <c r="Q994" s="119">
        <f t="shared" si="104"/>
        <v>1</v>
      </c>
    </row>
    <row r="995" spans="2:17">
      <c r="B995" s="116"/>
      <c r="C995" s="116"/>
      <c r="D995" s="116"/>
      <c r="E995" s="116" cm="1">
        <f t="array" ref="E995">IF(H994&lt;&gt;"",E994,IF(E994="","",IFERROR(MATCH(TRUE(),INDEX(INDEX(K:K,E994+1):K203&lt;&gt;"",0),0)+E994,"")))</f>
        <v>1137</v>
      </c>
      <c r="F995" s="117" cm="1">
        <f t="array" ref="F995">IF(E995="","",IF(H994&lt;&gt;"",H994,INDEX(D:D,E995)))</f>
        <v>0</v>
      </c>
      <c r="G995" s="117" t="str">
        <f t="shared" si="99"/>
        <v>0</v>
      </c>
      <c r="H995" s="118" t="str">
        <f t="shared" si="100"/>
        <v/>
      </c>
      <c r="I995" s="116" t="str">
        <f>IF(AND(F995&lt;&gt;"",N10&gt;0,M995&gt;N10),"Mot &gt; limite","")</f>
        <v/>
      </c>
      <c r="M995" s="70">
        <f>IF(OR(F995="",N10="",N10&lt;=0),"",IF(LEN(F995)&lt;=N10,LEN(F995),IFERROR(FIND("♦",SUBSTITUTE(LEFT(F995,N10)," ","♦",LEN(LEFT(F995,N10))-LEN(SUBSTITUTE(LEFT(F995,N10)," ","")))),FIND(" ",F995&amp;" ",N10+1)-1)))</f>
        <v>1</v>
      </c>
      <c r="N995" s="119">
        <f t="shared" si="101"/>
        <v>978</v>
      </c>
      <c r="O995" s="99" t="str">
        <f t="shared" si="102"/>
        <v>0</v>
      </c>
      <c r="P995" s="119">
        <f t="shared" si="103"/>
        <v>1</v>
      </c>
      <c r="Q995" s="119">
        <f t="shared" si="104"/>
        <v>1</v>
      </c>
    </row>
    <row r="996" spans="2:17">
      <c r="B996" s="116"/>
      <c r="C996" s="116"/>
      <c r="D996" s="116"/>
      <c r="E996" s="116" cm="1">
        <f t="array" ref="E996">IF(H995&lt;&gt;"",E995,IF(E995="","",IFERROR(MATCH(TRUE(),INDEX(INDEX(K:K,E995+1):K203&lt;&gt;"",0),0)+E995,"")))</f>
        <v>1138</v>
      </c>
      <c r="F996" s="117" cm="1">
        <f t="array" ref="F996">IF(E996="","",IF(H995&lt;&gt;"",H995,INDEX(D:D,E996)))</f>
        <v>0</v>
      </c>
      <c r="G996" s="117" t="str">
        <f t="shared" si="99"/>
        <v>0</v>
      </c>
      <c r="H996" s="118" t="str">
        <f t="shared" si="100"/>
        <v/>
      </c>
      <c r="I996" s="116" t="str">
        <f>IF(AND(F996&lt;&gt;"",N10&gt;0,M996&gt;N10),"Mot &gt; limite","")</f>
        <v/>
      </c>
      <c r="M996" s="70">
        <f>IF(OR(F996="",N10="",N10&lt;=0),"",IF(LEN(F996)&lt;=N10,LEN(F996),IFERROR(FIND("♦",SUBSTITUTE(LEFT(F996,N10)," ","♦",LEN(LEFT(F996,N10))-LEN(SUBSTITUTE(LEFT(F996,N10)," ","")))),FIND(" ",F996&amp;" ",N10+1)-1)))</f>
        <v>1</v>
      </c>
      <c r="N996" s="119">
        <f t="shared" si="101"/>
        <v>979</v>
      </c>
      <c r="O996" s="99" t="str">
        <f t="shared" si="102"/>
        <v>0</v>
      </c>
      <c r="P996" s="119">
        <f t="shared" si="103"/>
        <v>1</v>
      </c>
      <c r="Q996" s="119">
        <f t="shared" si="104"/>
        <v>1</v>
      </c>
    </row>
    <row r="997" spans="2:17">
      <c r="B997" s="116"/>
      <c r="C997" s="116"/>
      <c r="D997" s="116"/>
      <c r="E997" s="116" cm="1">
        <f t="array" ref="E997">IF(H996&lt;&gt;"",E996,IF(E996="","",IFERROR(MATCH(TRUE(),INDEX(INDEX(K:K,E996+1):K203&lt;&gt;"",0),0)+E996,"")))</f>
        <v>1139</v>
      </c>
      <c r="F997" s="117" cm="1">
        <f t="array" ref="F997">IF(E997="","",IF(H996&lt;&gt;"",H996,INDEX(D:D,E997)))</f>
        <v>0</v>
      </c>
      <c r="G997" s="117" t="str">
        <f t="shared" si="99"/>
        <v>0</v>
      </c>
      <c r="H997" s="118" t="str">
        <f t="shared" si="100"/>
        <v/>
      </c>
      <c r="I997" s="116" t="str">
        <f>IF(AND(F997&lt;&gt;"",N10&gt;0,M997&gt;N10),"Mot &gt; limite","")</f>
        <v/>
      </c>
      <c r="M997" s="70">
        <f>IF(OR(F997="",N10="",N10&lt;=0),"",IF(LEN(F997)&lt;=N10,LEN(F997),IFERROR(FIND("♦",SUBSTITUTE(LEFT(F997,N10)," ","♦",LEN(LEFT(F997,N10))-LEN(SUBSTITUTE(LEFT(F997,N10)," ","")))),FIND(" ",F997&amp;" ",N10+1)-1)))</f>
        <v>1</v>
      </c>
      <c r="N997" s="119">
        <f t="shared" si="101"/>
        <v>980</v>
      </c>
      <c r="O997" s="99" t="str">
        <f t="shared" si="102"/>
        <v>0</v>
      </c>
      <c r="P997" s="119">
        <f t="shared" si="103"/>
        <v>1</v>
      </c>
      <c r="Q997" s="119">
        <f t="shared" si="104"/>
        <v>1</v>
      </c>
    </row>
    <row r="998" spans="2:17">
      <c r="B998" s="116"/>
      <c r="C998" s="116"/>
      <c r="D998" s="116"/>
      <c r="E998" s="116" cm="1">
        <f t="array" ref="E998">IF(H997&lt;&gt;"",E997,IF(E997="","",IFERROR(MATCH(TRUE(),INDEX(INDEX(K:K,E997+1):K203&lt;&gt;"",0),0)+E997,"")))</f>
        <v>1140</v>
      </c>
      <c r="F998" s="117" cm="1">
        <f t="array" ref="F998">IF(E998="","",IF(H997&lt;&gt;"",H997,INDEX(D:D,E998)))</f>
        <v>0</v>
      </c>
      <c r="G998" s="117" t="str">
        <f t="shared" si="99"/>
        <v>0</v>
      </c>
      <c r="H998" s="118" t="str">
        <f t="shared" si="100"/>
        <v/>
      </c>
      <c r="I998" s="116" t="str">
        <f>IF(AND(F998&lt;&gt;"",N10&gt;0,M998&gt;N10),"Mot &gt; limite","")</f>
        <v/>
      </c>
      <c r="M998" s="70">
        <f>IF(OR(F998="",N10="",N10&lt;=0),"",IF(LEN(F998)&lt;=N10,LEN(F998),IFERROR(FIND("♦",SUBSTITUTE(LEFT(F998,N10)," ","♦",LEN(LEFT(F998,N10))-LEN(SUBSTITUTE(LEFT(F998,N10)," ","")))),FIND(" ",F998&amp;" ",N10+1)-1)))</f>
        <v>1</v>
      </c>
      <c r="N998" s="119">
        <f t="shared" si="101"/>
        <v>981</v>
      </c>
      <c r="O998" s="99" t="str">
        <f t="shared" si="102"/>
        <v>0</v>
      </c>
      <c r="P998" s="119">
        <f t="shared" si="103"/>
        <v>1</v>
      </c>
      <c r="Q998" s="119">
        <f t="shared" si="104"/>
        <v>1</v>
      </c>
    </row>
    <row r="999" spans="2:17">
      <c r="B999" s="116"/>
      <c r="C999" s="116"/>
      <c r="D999" s="116"/>
      <c r="E999" s="116" cm="1">
        <f t="array" ref="E999">IF(H998&lt;&gt;"",E998,IF(E998="","",IFERROR(MATCH(TRUE(),INDEX(INDEX(K:K,E998+1):K203&lt;&gt;"",0),0)+E998,"")))</f>
        <v>1141</v>
      </c>
      <c r="F999" s="117" cm="1">
        <f t="array" ref="F999">IF(E999="","",IF(H998&lt;&gt;"",H998,INDEX(D:D,E999)))</f>
        <v>0</v>
      </c>
      <c r="G999" s="117" t="str">
        <f t="shared" si="99"/>
        <v>0</v>
      </c>
      <c r="H999" s="118" t="str">
        <f t="shared" si="100"/>
        <v/>
      </c>
      <c r="I999" s="116" t="str">
        <f>IF(AND(F999&lt;&gt;"",N10&gt;0,M999&gt;N10),"Mot &gt; limite","")</f>
        <v/>
      </c>
      <c r="M999" s="70">
        <f>IF(OR(F999="",N10="",N10&lt;=0),"",IF(LEN(F999)&lt;=N10,LEN(F999),IFERROR(FIND("♦",SUBSTITUTE(LEFT(F999,N10)," ","♦",LEN(LEFT(F999,N10))-LEN(SUBSTITUTE(LEFT(F999,N10)," ","")))),FIND(" ",F999&amp;" ",N10+1)-1)))</f>
        <v>1</v>
      </c>
      <c r="N999" s="119">
        <f t="shared" si="101"/>
        <v>982</v>
      </c>
      <c r="O999" s="99" t="str">
        <f t="shared" si="102"/>
        <v>0</v>
      </c>
      <c r="P999" s="119">
        <f t="shared" si="103"/>
        <v>1</v>
      </c>
      <c r="Q999" s="119">
        <f t="shared" si="104"/>
        <v>1</v>
      </c>
    </row>
    <row r="1000" spans="2:17">
      <c r="B1000" s="116"/>
      <c r="C1000" s="116"/>
      <c r="D1000" s="116"/>
      <c r="E1000" s="116" cm="1">
        <f t="array" ref="E1000">IF(H999&lt;&gt;"",E999,IF(E999="","",IFERROR(MATCH(TRUE(),INDEX(INDEX(K:K,E999+1):K203&lt;&gt;"",0),0)+E999,"")))</f>
        <v>1142</v>
      </c>
      <c r="F1000" s="117" cm="1">
        <f t="array" ref="F1000">IF(E1000="","",IF(H999&lt;&gt;"",H999,INDEX(D:D,E1000)))</f>
        <v>0</v>
      </c>
      <c r="G1000" s="117" t="str">
        <f t="shared" si="99"/>
        <v>0</v>
      </c>
      <c r="H1000" s="118" t="str">
        <f t="shared" si="100"/>
        <v/>
      </c>
      <c r="I1000" s="116" t="str">
        <f>IF(AND(F1000&lt;&gt;"",N10&gt;0,M1000&gt;N10),"Mot &gt; limite","")</f>
        <v/>
      </c>
      <c r="M1000" s="70">
        <f>IF(OR(F1000="",N10="",N10&lt;=0),"",IF(LEN(F1000)&lt;=N10,LEN(F1000),IFERROR(FIND("♦",SUBSTITUTE(LEFT(F1000,N10)," ","♦",LEN(LEFT(F1000,N10))-LEN(SUBSTITUTE(LEFT(F1000,N10)," ","")))),FIND(" ",F1000&amp;" ",N10+1)-1)))</f>
        <v>1</v>
      </c>
      <c r="N1000" s="119">
        <f t="shared" si="101"/>
        <v>983</v>
      </c>
      <c r="O1000" s="99" t="str">
        <f t="shared" si="102"/>
        <v>0</v>
      </c>
      <c r="P1000" s="119">
        <f t="shared" si="103"/>
        <v>1</v>
      </c>
      <c r="Q1000" s="119">
        <f t="shared" si="104"/>
        <v>1</v>
      </c>
    </row>
    <row r="1001" spans="2:17">
      <c r="B1001" s="116"/>
      <c r="C1001" s="116"/>
      <c r="D1001" s="116"/>
      <c r="E1001" s="116" cm="1">
        <f t="array" ref="E1001">IF(H1000&lt;&gt;"",E1000,IF(E1000="","",IFERROR(MATCH(TRUE(),INDEX(INDEX(K:K,E1000+1):K203&lt;&gt;"",0),0)+E1000,"")))</f>
        <v>1143</v>
      </c>
      <c r="F1001" s="117" cm="1">
        <f t="array" ref="F1001">IF(E1001="","",IF(H1000&lt;&gt;"",H1000,INDEX(D:D,E1001)))</f>
        <v>0</v>
      </c>
      <c r="G1001" s="117" t="str">
        <f t="shared" si="99"/>
        <v>0</v>
      </c>
      <c r="H1001" s="118" t="str">
        <f t="shared" si="100"/>
        <v/>
      </c>
      <c r="I1001" s="116" t="str">
        <f>IF(AND(F1001&lt;&gt;"",N10&gt;0,M1001&gt;N10),"Mot &gt; limite","")</f>
        <v/>
      </c>
      <c r="M1001" s="70">
        <f>IF(OR(F1001="",N10="",N10&lt;=0),"",IF(LEN(F1001)&lt;=N10,LEN(F1001),IFERROR(FIND("♦",SUBSTITUTE(LEFT(F1001,N10)," ","♦",LEN(LEFT(F1001,N10))-LEN(SUBSTITUTE(LEFT(F1001,N10)," ","")))),FIND(" ",F1001&amp;" ",N10+1)-1)))</f>
        <v>1</v>
      </c>
      <c r="N1001" s="119">
        <f t="shared" si="101"/>
        <v>984</v>
      </c>
      <c r="O1001" s="99" t="str">
        <f t="shared" si="102"/>
        <v>0</v>
      </c>
      <c r="P1001" s="119">
        <f t="shared" si="103"/>
        <v>1</v>
      </c>
      <c r="Q1001" s="119">
        <f t="shared" si="104"/>
        <v>1</v>
      </c>
    </row>
    <row r="1002" spans="2:17">
      <c r="B1002" s="116"/>
      <c r="C1002" s="116"/>
      <c r="D1002" s="116"/>
      <c r="E1002" s="116" cm="1">
        <f t="array" ref="E1002">IF(H1001&lt;&gt;"",E1001,IF(E1001="","",IFERROR(MATCH(TRUE(),INDEX(INDEX(K:K,E1001+1):K203&lt;&gt;"",0),0)+E1001,"")))</f>
        <v>1144</v>
      </c>
      <c r="F1002" s="117" cm="1">
        <f t="array" ref="F1002">IF(E1002="","",IF(H1001&lt;&gt;"",H1001,INDEX(D:D,E1002)))</f>
        <v>0</v>
      </c>
      <c r="G1002" s="117" t="str">
        <f t="shared" si="99"/>
        <v>0</v>
      </c>
      <c r="H1002" s="118" t="str">
        <f t="shared" si="100"/>
        <v/>
      </c>
      <c r="I1002" s="116" t="str">
        <f>IF(AND(F1002&lt;&gt;"",N10&gt;0,M1002&gt;N10),"Mot &gt; limite","")</f>
        <v/>
      </c>
      <c r="M1002" s="70">
        <f>IF(OR(F1002="",N10="",N10&lt;=0),"",IF(LEN(F1002)&lt;=N10,LEN(F1002),IFERROR(FIND("♦",SUBSTITUTE(LEFT(F1002,N10)," ","♦",LEN(LEFT(F1002,N10))-LEN(SUBSTITUTE(LEFT(F1002,N10)," ","")))),FIND(" ",F1002&amp;" ",N10+1)-1)))</f>
        <v>1</v>
      </c>
      <c r="N1002" s="119">
        <f t="shared" si="101"/>
        <v>985</v>
      </c>
      <c r="O1002" s="99" t="str">
        <f t="shared" si="102"/>
        <v>0</v>
      </c>
      <c r="P1002" s="119">
        <f t="shared" si="103"/>
        <v>1</v>
      </c>
      <c r="Q1002" s="119">
        <f t="shared" si="104"/>
        <v>1</v>
      </c>
    </row>
    <row r="1003" spans="2:17">
      <c r="B1003" s="116"/>
      <c r="C1003" s="116"/>
      <c r="D1003" s="116"/>
      <c r="E1003" s="116" cm="1">
        <f t="array" ref="E1003">IF(H1002&lt;&gt;"",E1002,IF(E1002="","",IFERROR(MATCH(TRUE(),INDEX(INDEX(K:K,E1002+1):K203&lt;&gt;"",0),0)+E1002,"")))</f>
        <v>1145</v>
      </c>
      <c r="F1003" s="117" cm="1">
        <f t="array" ref="F1003">IF(E1003="","",IF(H1002&lt;&gt;"",H1002,INDEX(D:D,E1003)))</f>
        <v>0</v>
      </c>
      <c r="G1003" s="117" t="str">
        <f t="shared" si="99"/>
        <v>0</v>
      </c>
      <c r="H1003" s="118" t="str">
        <f t="shared" si="100"/>
        <v/>
      </c>
      <c r="I1003" s="116" t="str">
        <f>IF(AND(F1003&lt;&gt;"",N10&gt;0,M1003&gt;N10),"Mot &gt; limite","")</f>
        <v/>
      </c>
      <c r="M1003" s="70">
        <f>IF(OR(F1003="",N10="",N10&lt;=0),"",IF(LEN(F1003)&lt;=N10,LEN(F1003),IFERROR(FIND("♦",SUBSTITUTE(LEFT(F1003,N10)," ","♦",LEN(LEFT(F1003,N10))-LEN(SUBSTITUTE(LEFT(F1003,N10)," ","")))),FIND(" ",F1003&amp;" ",N10+1)-1)))</f>
        <v>1</v>
      </c>
      <c r="N1003" s="119">
        <f t="shared" si="101"/>
        <v>986</v>
      </c>
      <c r="O1003" s="99" t="str">
        <f t="shared" si="102"/>
        <v>0</v>
      </c>
      <c r="P1003" s="119">
        <f t="shared" si="103"/>
        <v>1</v>
      </c>
      <c r="Q1003" s="119">
        <f t="shared" si="104"/>
        <v>1</v>
      </c>
    </row>
    <row r="1004" spans="2:17">
      <c r="B1004" s="116"/>
      <c r="C1004" s="116"/>
      <c r="D1004" s="116"/>
      <c r="E1004" s="116" cm="1">
        <f t="array" ref="E1004">IF(H1003&lt;&gt;"",E1003,IF(E1003="","",IFERROR(MATCH(TRUE(),INDEX(INDEX(K:K,E1003+1):K203&lt;&gt;"",0),0)+E1003,"")))</f>
        <v>1146</v>
      </c>
      <c r="F1004" s="117" cm="1">
        <f t="array" ref="F1004">IF(E1004="","",IF(H1003&lt;&gt;"",H1003,INDEX(D:D,E1004)))</f>
        <v>0</v>
      </c>
      <c r="G1004" s="117" t="str">
        <f t="shared" si="99"/>
        <v>0</v>
      </c>
      <c r="H1004" s="118" t="str">
        <f t="shared" si="100"/>
        <v/>
      </c>
      <c r="I1004" s="116" t="str">
        <f>IF(AND(F1004&lt;&gt;"",N10&gt;0,M1004&gt;N10),"Mot &gt; limite","")</f>
        <v/>
      </c>
      <c r="M1004" s="70">
        <f>IF(OR(F1004="",N10="",N10&lt;=0),"",IF(LEN(F1004)&lt;=N10,LEN(F1004),IFERROR(FIND("♦",SUBSTITUTE(LEFT(F1004,N10)," ","♦",LEN(LEFT(F1004,N10))-LEN(SUBSTITUTE(LEFT(F1004,N10)," ","")))),FIND(" ",F1004&amp;" ",N10+1)-1)))</f>
        <v>1</v>
      </c>
      <c r="N1004" s="119">
        <f t="shared" si="101"/>
        <v>987</v>
      </c>
      <c r="O1004" s="99" t="str">
        <f t="shared" si="102"/>
        <v>0</v>
      </c>
      <c r="P1004" s="119">
        <f t="shared" si="103"/>
        <v>1</v>
      </c>
      <c r="Q1004" s="119">
        <f t="shared" si="104"/>
        <v>1</v>
      </c>
    </row>
    <row r="1005" spans="2:17">
      <c r="B1005" s="116"/>
      <c r="C1005" s="116"/>
      <c r="D1005" s="116"/>
      <c r="E1005" s="116" cm="1">
        <f t="array" ref="E1005">IF(H1004&lt;&gt;"",E1004,IF(E1004="","",IFERROR(MATCH(TRUE(),INDEX(INDEX(K:K,E1004+1):K203&lt;&gt;"",0),0)+E1004,"")))</f>
        <v>1147</v>
      </c>
      <c r="F1005" s="117" cm="1">
        <f t="array" ref="F1005">IF(E1005="","",IF(H1004&lt;&gt;"",H1004,INDEX(D:D,E1005)))</f>
        <v>0</v>
      </c>
      <c r="G1005" s="117" t="str">
        <f t="shared" si="99"/>
        <v>0</v>
      </c>
      <c r="H1005" s="118" t="str">
        <f t="shared" si="100"/>
        <v/>
      </c>
      <c r="I1005" s="116" t="str">
        <f>IF(AND(F1005&lt;&gt;"",N10&gt;0,M1005&gt;N10),"Mot &gt; limite","")</f>
        <v/>
      </c>
      <c r="M1005" s="70">
        <f>IF(OR(F1005="",N10="",N10&lt;=0),"",IF(LEN(F1005)&lt;=N10,LEN(F1005),IFERROR(FIND("♦",SUBSTITUTE(LEFT(F1005,N10)," ","♦",LEN(LEFT(F1005,N10))-LEN(SUBSTITUTE(LEFT(F1005,N10)," ","")))),FIND(" ",F1005&amp;" ",N10+1)-1)))</f>
        <v>1</v>
      </c>
      <c r="N1005" s="119">
        <f t="shared" si="101"/>
        <v>988</v>
      </c>
      <c r="O1005" s="99" t="str">
        <f t="shared" si="102"/>
        <v>0</v>
      </c>
      <c r="P1005" s="119">
        <f t="shared" si="103"/>
        <v>1</v>
      </c>
      <c r="Q1005" s="119">
        <f t="shared" si="104"/>
        <v>1</v>
      </c>
    </row>
    <row r="1006" spans="2:17">
      <c r="B1006" s="116"/>
      <c r="C1006" s="116"/>
      <c r="D1006" s="116"/>
      <c r="E1006" s="116" cm="1">
        <f t="array" ref="E1006">IF(H1005&lt;&gt;"",E1005,IF(E1005="","",IFERROR(MATCH(TRUE(),INDEX(INDEX(K:K,E1005+1):K203&lt;&gt;"",0),0)+E1005,"")))</f>
        <v>1148</v>
      </c>
      <c r="F1006" s="117" cm="1">
        <f t="array" ref="F1006">IF(E1006="","",IF(H1005&lt;&gt;"",H1005,INDEX(D:D,E1006)))</f>
        <v>0</v>
      </c>
      <c r="G1006" s="117" t="str">
        <f t="shared" si="99"/>
        <v>0</v>
      </c>
      <c r="H1006" s="118" t="str">
        <f t="shared" si="100"/>
        <v/>
      </c>
      <c r="I1006" s="116" t="str">
        <f>IF(AND(F1006&lt;&gt;"",N10&gt;0,M1006&gt;N10),"Mot &gt; limite","")</f>
        <v/>
      </c>
      <c r="M1006" s="70">
        <f>IF(OR(F1006="",N10="",N10&lt;=0),"",IF(LEN(F1006)&lt;=N10,LEN(F1006),IFERROR(FIND("♦",SUBSTITUTE(LEFT(F1006,N10)," ","♦",LEN(LEFT(F1006,N10))-LEN(SUBSTITUTE(LEFT(F1006,N10)," ","")))),FIND(" ",F1006&amp;" ",N10+1)-1)))</f>
        <v>1</v>
      </c>
      <c r="N1006" s="119">
        <f t="shared" si="101"/>
        <v>989</v>
      </c>
      <c r="O1006" s="99" t="str">
        <f t="shared" si="102"/>
        <v>0</v>
      </c>
      <c r="P1006" s="119">
        <f t="shared" si="103"/>
        <v>1</v>
      </c>
      <c r="Q1006" s="119">
        <f t="shared" si="104"/>
        <v>1</v>
      </c>
    </row>
    <row r="1007" spans="2:17">
      <c r="B1007" s="116"/>
      <c r="C1007" s="116"/>
      <c r="D1007" s="116"/>
      <c r="E1007" s="116" cm="1">
        <f t="array" ref="E1007">IF(H1006&lt;&gt;"",E1006,IF(E1006="","",IFERROR(MATCH(TRUE(),INDEX(INDEX(K:K,E1006+1):K203&lt;&gt;"",0),0)+E1006,"")))</f>
        <v>1149</v>
      </c>
      <c r="F1007" s="117" cm="1">
        <f t="array" ref="F1007">IF(E1007="","",IF(H1006&lt;&gt;"",H1006,INDEX(D:D,E1007)))</f>
        <v>0</v>
      </c>
      <c r="G1007" s="117" t="str">
        <f t="shared" si="99"/>
        <v>0</v>
      </c>
      <c r="H1007" s="118" t="str">
        <f t="shared" si="100"/>
        <v/>
      </c>
      <c r="I1007" s="116" t="str">
        <f>IF(AND(F1007&lt;&gt;"",N10&gt;0,M1007&gt;N10),"Mot &gt; limite","")</f>
        <v/>
      </c>
      <c r="M1007" s="70">
        <f>IF(OR(F1007="",N10="",N10&lt;=0),"",IF(LEN(F1007)&lt;=N10,LEN(F1007),IFERROR(FIND("♦",SUBSTITUTE(LEFT(F1007,N10)," ","♦",LEN(LEFT(F1007,N10))-LEN(SUBSTITUTE(LEFT(F1007,N10)," ","")))),FIND(" ",F1007&amp;" ",N10+1)-1)))</f>
        <v>1</v>
      </c>
      <c r="N1007" s="119">
        <f t="shared" si="101"/>
        <v>990</v>
      </c>
      <c r="O1007" s="99" t="str">
        <f t="shared" si="102"/>
        <v>0</v>
      </c>
      <c r="P1007" s="119">
        <f t="shared" si="103"/>
        <v>1</v>
      </c>
      <c r="Q1007" s="119">
        <f t="shared" si="104"/>
        <v>1</v>
      </c>
    </row>
    <row r="1008" spans="2:17">
      <c r="B1008" s="116"/>
      <c r="C1008" s="116"/>
      <c r="D1008" s="116"/>
      <c r="E1008" s="116" cm="1">
        <f t="array" ref="E1008">IF(H1007&lt;&gt;"",E1007,IF(E1007="","",IFERROR(MATCH(TRUE(),INDEX(INDEX(K:K,E1007+1):K203&lt;&gt;"",0),0)+E1007,"")))</f>
        <v>1150</v>
      </c>
      <c r="F1008" s="117" cm="1">
        <f t="array" ref="F1008">IF(E1008="","",IF(H1007&lt;&gt;"",H1007,INDEX(D:D,E1008)))</f>
        <v>0</v>
      </c>
      <c r="G1008" s="117" t="str">
        <f t="shared" si="99"/>
        <v>0</v>
      </c>
      <c r="H1008" s="118" t="str">
        <f t="shared" si="100"/>
        <v/>
      </c>
      <c r="I1008" s="116" t="str">
        <f>IF(AND(F1008&lt;&gt;"",N10&gt;0,M1008&gt;N10),"Mot &gt; limite","")</f>
        <v/>
      </c>
      <c r="M1008" s="70">
        <f>IF(OR(F1008="",N10="",N10&lt;=0),"",IF(LEN(F1008)&lt;=N10,LEN(F1008),IFERROR(FIND("♦",SUBSTITUTE(LEFT(F1008,N10)," ","♦",LEN(LEFT(F1008,N10))-LEN(SUBSTITUTE(LEFT(F1008,N10)," ","")))),FIND(" ",F1008&amp;" ",N10+1)-1)))</f>
        <v>1</v>
      </c>
      <c r="N1008" s="119">
        <f t="shared" si="101"/>
        <v>991</v>
      </c>
      <c r="O1008" s="99" t="str">
        <f t="shared" si="102"/>
        <v>0</v>
      </c>
      <c r="P1008" s="119">
        <f t="shared" si="103"/>
        <v>1</v>
      </c>
      <c r="Q1008" s="119">
        <f t="shared" si="104"/>
        <v>1</v>
      </c>
    </row>
    <row r="1009" spans="2:17">
      <c r="B1009" s="116"/>
      <c r="C1009" s="116"/>
      <c r="D1009" s="116"/>
      <c r="E1009" s="116" cm="1">
        <f t="array" ref="E1009">IF(H1008&lt;&gt;"",E1008,IF(E1008="","",IFERROR(MATCH(TRUE(),INDEX(INDEX(K:K,E1008+1):K203&lt;&gt;"",0),0)+E1008,"")))</f>
        <v>1151</v>
      </c>
      <c r="F1009" s="117" cm="1">
        <f t="array" ref="F1009">IF(E1009="","",IF(H1008&lt;&gt;"",H1008,INDEX(D:D,E1009)))</f>
        <v>0</v>
      </c>
      <c r="G1009" s="117" t="str">
        <f t="shared" si="99"/>
        <v>0</v>
      </c>
      <c r="H1009" s="118" t="str">
        <f t="shared" si="100"/>
        <v/>
      </c>
      <c r="I1009" s="116" t="str">
        <f>IF(AND(F1009&lt;&gt;"",N10&gt;0,M1009&gt;N10),"Mot &gt; limite","")</f>
        <v/>
      </c>
      <c r="M1009" s="70">
        <f>IF(OR(F1009="",N10="",N10&lt;=0),"",IF(LEN(F1009)&lt;=N10,LEN(F1009),IFERROR(FIND("♦",SUBSTITUTE(LEFT(F1009,N10)," ","♦",LEN(LEFT(F1009,N10))-LEN(SUBSTITUTE(LEFT(F1009,N10)," ","")))),FIND(" ",F1009&amp;" ",N10+1)-1)))</f>
        <v>1</v>
      </c>
      <c r="N1009" s="119">
        <f t="shared" si="101"/>
        <v>992</v>
      </c>
      <c r="O1009" s="99" t="str">
        <f t="shared" si="102"/>
        <v>0</v>
      </c>
      <c r="P1009" s="119">
        <f t="shared" si="103"/>
        <v>1</v>
      </c>
      <c r="Q1009" s="119">
        <f t="shared" si="104"/>
        <v>1</v>
      </c>
    </row>
    <row r="1010" spans="2:17">
      <c r="B1010" s="116"/>
      <c r="C1010" s="116"/>
      <c r="D1010" s="116"/>
      <c r="E1010" s="116" cm="1">
        <f t="array" ref="E1010">IF(H1009&lt;&gt;"",E1009,IF(E1009="","",IFERROR(MATCH(TRUE(),INDEX(INDEX(K:K,E1009+1):K203&lt;&gt;"",0),0)+E1009,"")))</f>
        <v>1152</v>
      </c>
      <c r="F1010" s="117" cm="1">
        <f t="array" ref="F1010">IF(E1010="","",IF(H1009&lt;&gt;"",H1009,INDEX(D:D,E1010)))</f>
        <v>0</v>
      </c>
      <c r="G1010" s="117" t="str">
        <f t="shared" si="99"/>
        <v>0</v>
      </c>
      <c r="H1010" s="118" t="str">
        <f t="shared" si="100"/>
        <v/>
      </c>
      <c r="I1010" s="116" t="str">
        <f>IF(AND(F1010&lt;&gt;"",N10&gt;0,M1010&gt;N10),"Mot &gt; limite","")</f>
        <v/>
      </c>
      <c r="M1010" s="70">
        <f>IF(OR(F1010="",N10="",N10&lt;=0),"",IF(LEN(F1010)&lt;=N10,LEN(F1010),IFERROR(FIND("♦",SUBSTITUTE(LEFT(F1010,N10)," ","♦",LEN(LEFT(F1010,N10))-LEN(SUBSTITUTE(LEFT(F1010,N10)," ","")))),FIND(" ",F1010&amp;" ",N10+1)-1)))</f>
        <v>1</v>
      </c>
      <c r="N1010" s="119">
        <f t="shared" si="101"/>
        <v>993</v>
      </c>
      <c r="O1010" s="99" t="str">
        <f t="shared" si="102"/>
        <v>0</v>
      </c>
      <c r="P1010" s="119">
        <f t="shared" si="103"/>
        <v>1</v>
      </c>
      <c r="Q1010" s="119">
        <f t="shared" si="104"/>
        <v>1</v>
      </c>
    </row>
    <row r="1011" spans="2:17">
      <c r="B1011" s="116"/>
      <c r="C1011" s="116"/>
      <c r="D1011" s="116"/>
      <c r="E1011" s="116" cm="1">
        <f t="array" ref="E1011">IF(H1010&lt;&gt;"",E1010,IF(E1010="","",IFERROR(MATCH(TRUE(),INDEX(INDEX(K:K,E1010+1):K203&lt;&gt;"",0),0)+E1010,"")))</f>
        <v>1153</v>
      </c>
      <c r="F1011" s="117" cm="1">
        <f t="array" ref="F1011">IF(E1011="","",IF(H1010&lt;&gt;"",H1010,INDEX(D:D,E1011)))</f>
        <v>0</v>
      </c>
      <c r="G1011" s="117" t="str">
        <f t="shared" si="99"/>
        <v>0</v>
      </c>
      <c r="H1011" s="118" t="str">
        <f t="shared" si="100"/>
        <v/>
      </c>
      <c r="I1011" s="116" t="str">
        <f>IF(AND(F1011&lt;&gt;"",N10&gt;0,M1011&gt;N10),"Mot &gt; limite","")</f>
        <v/>
      </c>
      <c r="M1011" s="70">
        <f>IF(OR(F1011="",N10="",N10&lt;=0),"",IF(LEN(F1011)&lt;=N10,LEN(F1011),IFERROR(FIND("♦",SUBSTITUTE(LEFT(F1011,N10)," ","♦",LEN(LEFT(F1011,N10))-LEN(SUBSTITUTE(LEFT(F1011,N10)," ","")))),FIND(" ",F1011&amp;" ",N10+1)-1)))</f>
        <v>1</v>
      </c>
      <c r="N1011" s="119">
        <f t="shared" si="101"/>
        <v>994</v>
      </c>
      <c r="O1011" s="99" t="str">
        <f t="shared" si="102"/>
        <v>0</v>
      </c>
      <c r="P1011" s="119">
        <f t="shared" si="103"/>
        <v>1</v>
      </c>
      <c r="Q1011" s="119">
        <f t="shared" si="104"/>
        <v>1</v>
      </c>
    </row>
    <row r="1012" spans="2:17">
      <c r="B1012" s="116"/>
      <c r="C1012" s="116"/>
      <c r="D1012" s="116"/>
      <c r="E1012" s="116" cm="1">
        <f t="array" ref="E1012">IF(H1011&lt;&gt;"",E1011,IF(E1011="","",IFERROR(MATCH(TRUE(),INDEX(INDEX(K:K,E1011+1):K203&lt;&gt;"",0),0)+E1011,"")))</f>
        <v>1154</v>
      </c>
      <c r="F1012" s="117" cm="1">
        <f t="array" ref="F1012">IF(E1012="","",IF(H1011&lt;&gt;"",H1011,INDEX(D:D,E1012)))</f>
        <v>0</v>
      </c>
      <c r="G1012" s="117" t="str">
        <f t="shared" si="99"/>
        <v>0</v>
      </c>
      <c r="H1012" s="118" t="str">
        <f t="shared" si="100"/>
        <v/>
      </c>
      <c r="I1012" s="116" t="str">
        <f>IF(AND(F1012&lt;&gt;"",N10&gt;0,M1012&gt;N10),"Mot &gt; limite","")</f>
        <v/>
      </c>
      <c r="M1012" s="70">
        <f>IF(OR(F1012="",N10="",N10&lt;=0),"",IF(LEN(F1012)&lt;=N10,LEN(F1012),IFERROR(FIND("♦",SUBSTITUTE(LEFT(F1012,N10)," ","♦",LEN(LEFT(F1012,N10))-LEN(SUBSTITUTE(LEFT(F1012,N10)," ","")))),FIND(" ",F1012&amp;" ",N10+1)-1)))</f>
        <v>1</v>
      </c>
      <c r="N1012" s="119">
        <f t="shared" si="101"/>
        <v>995</v>
      </c>
      <c r="O1012" s="99" t="str">
        <f t="shared" si="102"/>
        <v>0</v>
      </c>
      <c r="P1012" s="119">
        <f t="shared" si="103"/>
        <v>1</v>
      </c>
      <c r="Q1012" s="119">
        <f t="shared" si="104"/>
        <v>1</v>
      </c>
    </row>
    <row r="1013" spans="2:17">
      <c r="B1013" s="116"/>
      <c r="C1013" s="116"/>
      <c r="D1013" s="116"/>
      <c r="E1013" s="116" cm="1">
        <f t="array" ref="E1013">IF(H1012&lt;&gt;"",E1012,IF(E1012="","",IFERROR(MATCH(TRUE(),INDEX(INDEX(K:K,E1012+1):K203&lt;&gt;"",0),0)+E1012,"")))</f>
        <v>1155</v>
      </c>
      <c r="F1013" s="117" cm="1">
        <f t="array" ref="F1013">IF(E1013="","",IF(H1012&lt;&gt;"",H1012,INDEX(D:D,E1013)))</f>
        <v>0</v>
      </c>
      <c r="G1013" s="117" t="str">
        <f t="shared" si="99"/>
        <v>0</v>
      </c>
      <c r="H1013" s="118" t="str">
        <f t="shared" si="100"/>
        <v/>
      </c>
      <c r="I1013" s="116" t="str">
        <f>IF(AND(F1013&lt;&gt;"",N10&gt;0,M1013&gt;N10),"Mot &gt; limite","")</f>
        <v/>
      </c>
      <c r="M1013" s="70">
        <f>IF(OR(F1013="",N10="",N10&lt;=0),"",IF(LEN(F1013)&lt;=N10,LEN(F1013),IFERROR(FIND("♦",SUBSTITUTE(LEFT(F1013,N10)," ","♦",LEN(LEFT(F1013,N10))-LEN(SUBSTITUTE(LEFT(F1013,N10)," ","")))),FIND(" ",F1013&amp;" ",N10+1)-1)))</f>
        <v>1</v>
      </c>
      <c r="N1013" s="119">
        <f t="shared" si="101"/>
        <v>996</v>
      </c>
      <c r="O1013" s="99" t="str">
        <f t="shared" si="102"/>
        <v>0</v>
      </c>
      <c r="P1013" s="119">
        <f t="shared" si="103"/>
        <v>1</v>
      </c>
      <c r="Q1013" s="119">
        <f t="shared" si="104"/>
        <v>1</v>
      </c>
    </row>
    <row r="1014" spans="2:17">
      <c r="B1014" s="116"/>
      <c r="C1014" s="116"/>
      <c r="D1014" s="116"/>
      <c r="E1014" s="116" cm="1">
        <f t="array" ref="E1014">IF(H1013&lt;&gt;"",E1013,IF(E1013="","",IFERROR(MATCH(TRUE(),INDEX(INDEX(K:K,E1013+1):K203&lt;&gt;"",0),0)+E1013,"")))</f>
        <v>1156</v>
      </c>
      <c r="F1014" s="117" cm="1">
        <f t="array" ref="F1014">IF(E1014="","",IF(H1013&lt;&gt;"",H1013,INDEX(D:D,E1014)))</f>
        <v>0</v>
      </c>
      <c r="G1014" s="117" t="str">
        <f t="shared" si="99"/>
        <v>0</v>
      </c>
      <c r="H1014" s="118" t="str">
        <f t="shared" si="100"/>
        <v/>
      </c>
      <c r="I1014" s="116" t="str">
        <f>IF(AND(F1014&lt;&gt;"",N10&gt;0,M1014&gt;N10),"Mot &gt; limite","")</f>
        <v/>
      </c>
      <c r="M1014" s="70">
        <f>IF(OR(F1014="",N10="",N10&lt;=0),"",IF(LEN(F1014)&lt;=N10,LEN(F1014),IFERROR(FIND("♦",SUBSTITUTE(LEFT(F1014,N10)," ","♦",LEN(LEFT(F1014,N10))-LEN(SUBSTITUTE(LEFT(F1014,N10)," ","")))),FIND(" ",F1014&amp;" ",N10+1)-1)))</f>
        <v>1</v>
      </c>
      <c r="N1014" s="119">
        <f t="shared" si="101"/>
        <v>997</v>
      </c>
      <c r="O1014" s="99" t="str">
        <f t="shared" si="102"/>
        <v>0</v>
      </c>
      <c r="P1014" s="119">
        <f t="shared" si="103"/>
        <v>1</v>
      </c>
      <c r="Q1014" s="119">
        <f t="shared" si="104"/>
        <v>1</v>
      </c>
    </row>
    <row r="1015" spans="2:17">
      <c r="B1015" s="116"/>
      <c r="C1015" s="116"/>
      <c r="D1015" s="116"/>
      <c r="E1015" s="116" cm="1">
        <f t="array" ref="E1015">IF(H1014&lt;&gt;"",E1014,IF(E1014="","",IFERROR(MATCH(TRUE(),INDEX(INDEX(K:K,E1014+1):K203&lt;&gt;"",0),0)+E1014,"")))</f>
        <v>1157</v>
      </c>
      <c r="F1015" s="117" cm="1">
        <f t="array" ref="F1015">IF(E1015="","",IF(H1014&lt;&gt;"",H1014,INDEX(D:D,E1015)))</f>
        <v>0</v>
      </c>
      <c r="G1015" s="117" t="str">
        <f t="shared" si="99"/>
        <v>0</v>
      </c>
      <c r="H1015" s="118" t="str">
        <f t="shared" si="100"/>
        <v/>
      </c>
      <c r="I1015" s="116" t="str">
        <f>IF(AND(F1015&lt;&gt;"",N10&gt;0,M1015&gt;N10),"Mot &gt; limite","")</f>
        <v/>
      </c>
      <c r="M1015" s="70">
        <f>IF(OR(F1015="",N10="",N10&lt;=0),"",IF(LEN(F1015)&lt;=N10,LEN(F1015),IFERROR(FIND("♦",SUBSTITUTE(LEFT(F1015,N10)," ","♦",LEN(LEFT(F1015,N10))-LEN(SUBSTITUTE(LEFT(F1015,N10)," ","")))),FIND(" ",F1015&amp;" ",N10+1)-1)))</f>
        <v>1</v>
      </c>
      <c r="N1015" s="119">
        <f t="shared" si="101"/>
        <v>998</v>
      </c>
      <c r="O1015" s="99" t="str">
        <f t="shared" si="102"/>
        <v>0</v>
      </c>
      <c r="P1015" s="119">
        <f t="shared" si="103"/>
        <v>1</v>
      </c>
      <c r="Q1015" s="119">
        <f t="shared" si="104"/>
        <v>1</v>
      </c>
    </row>
    <row r="1016" spans="2:17">
      <c r="B1016" s="116"/>
      <c r="C1016" s="116"/>
      <c r="D1016" s="116"/>
      <c r="E1016" s="116" cm="1">
        <f t="array" ref="E1016">IF(H1015&lt;&gt;"",E1015,IF(E1015="","",IFERROR(MATCH(TRUE(),INDEX(INDEX(K:K,E1015+1):K203&lt;&gt;"",0),0)+E1015,"")))</f>
        <v>1158</v>
      </c>
      <c r="F1016" s="117" cm="1">
        <f t="array" ref="F1016">IF(E1016="","",IF(H1015&lt;&gt;"",H1015,INDEX(D:D,E1016)))</f>
        <v>0</v>
      </c>
      <c r="G1016" s="117" t="str">
        <f t="shared" si="99"/>
        <v>0</v>
      </c>
      <c r="H1016" s="118" t="str">
        <f t="shared" si="100"/>
        <v/>
      </c>
      <c r="I1016" s="116" t="str">
        <f>IF(AND(F1016&lt;&gt;"",N10&gt;0,M1016&gt;N10),"Mot &gt; limite","")</f>
        <v/>
      </c>
      <c r="M1016" s="70">
        <f>IF(OR(F1016="",N10="",N10&lt;=0),"",IF(LEN(F1016)&lt;=N10,LEN(F1016),IFERROR(FIND("♦",SUBSTITUTE(LEFT(F1016,N10)," ","♦",LEN(LEFT(F1016,N10))-LEN(SUBSTITUTE(LEFT(F1016,N10)," ","")))),FIND(" ",F1016&amp;" ",N10+1)-1)))</f>
        <v>1</v>
      </c>
      <c r="N1016" s="119">
        <f t="shared" si="101"/>
        <v>999</v>
      </c>
      <c r="O1016" s="99" t="str">
        <f t="shared" si="102"/>
        <v>0</v>
      </c>
      <c r="P1016" s="119">
        <f t="shared" si="103"/>
        <v>1</v>
      </c>
      <c r="Q1016" s="119">
        <f t="shared" si="104"/>
        <v>1</v>
      </c>
    </row>
    <row r="1017" spans="2:17">
      <c r="B1017" s="116"/>
      <c r="C1017" s="116"/>
      <c r="D1017" s="116"/>
      <c r="E1017" s="116" cm="1">
        <f t="array" ref="E1017">IF(H1016&lt;&gt;"",E1016,IF(E1016="","",IFERROR(MATCH(TRUE(),INDEX(INDEX(K:K,E1016+1):K203&lt;&gt;"",0),0)+E1016,"")))</f>
        <v>1159</v>
      </c>
      <c r="F1017" s="117" cm="1">
        <f t="array" ref="F1017">IF(E1017="","",IF(H1016&lt;&gt;"",H1016,INDEX(D:D,E1017)))</f>
        <v>0</v>
      </c>
      <c r="G1017" s="117" t="str">
        <f t="shared" si="99"/>
        <v>0</v>
      </c>
      <c r="H1017" s="118" t="str">
        <f t="shared" si="100"/>
        <v/>
      </c>
      <c r="I1017" s="116" t="str">
        <f>IF(AND(F1017&lt;&gt;"",N10&gt;0,M1017&gt;N10),"Mot &gt; limite","")</f>
        <v/>
      </c>
      <c r="M1017" s="70">
        <f>IF(OR(F1017="",N10="",N10&lt;=0),"",IF(LEN(F1017)&lt;=N10,LEN(F1017),IFERROR(FIND("♦",SUBSTITUTE(LEFT(F1017,N10)," ","♦",LEN(LEFT(F1017,N10))-LEN(SUBSTITUTE(LEFT(F1017,N10)," ","")))),FIND(" ",F1017&amp;" ",N10+1)-1)))</f>
        <v>1</v>
      </c>
      <c r="N1017" s="119">
        <f t="shared" si="101"/>
        <v>1000</v>
      </c>
      <c r="O1017" s="99" t="str">
        <f t="shared" si="102"/>
        <v>0</v>
      </c>
      <c r="P1017" s="119">
        <f t="shared" si="103"/>
        <v>1</v>
      </c>
      <c r="Q1017" s="119">
        <f t="shared" si="104"/>
        <v>1</v>
      </c>
    </row>
  </sheetData>
  <mergeCells count="10">
    <mergeCell ref="K16:K17"/>
    <mergeCell ref="O16:O17"/>
    <mergeCell ref="J1:Q2"/>
    <mergeCell ref="A2:A3"/>
    <mergeCell ref="J4:Q4"/>
    <mergeCell ref="N7:Q7"/>
    <mergeCell ref="N12:Q13"/>
    <mergeCell ref="B14:I14"/>
    <mergeCell ref="J14:L14"/>
    <mergeCell ref="N14:Q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DF2CC-4871-4BA0-A31B-75B51EB22928}">
  <dimension ref="A1:G92"/>
  <sheetViews>
    <sheetView showGridLines="0" workbookViewId="0">
      <selection activeCell="J9" sqref="J9"/>
    </sheetView>
  </sheetViews>
  <sheetFormatPr baseColWidth="10" defaultColWidth="10.28515625" defaultRowHeight="15.75"/>
  <cols>
    <col min="1" max="1" width="3.42578125" style="247" customWidth="1"/>
    <col min="2" max="2" width="27.42578125" style="247" customWidth="1"/>
    <col min="3" max="3" width="38.85546875" style="247" customWidth="1"/>
    <col min="4" max="4" width="57.140625" style="247" customWidth="1"/>
    <col min="5" max="5" width="75.42578125" style="247" customWidth="1"/>
    <col min="6" max="6" width="8.85546875" style="247" customWidth="1"/>
    <col min="7" max="7" width="10.28515625" style="246"/>
    <col min="8" max="16384" width="10.28515625" style="247"/>
  </cols>
  <sheetData>
    <row r="1" spans="2:7" ht="33.950000000000003" customHeight="1">
      <c r="B1" s="317" t="s">
        <v>5714</v>
      </c>
      <c r="C1" s="318"/>
      <c r="D1" s="318"/>
      <c r="E1" s="319"/>
      <c r="G1" s="130">
        <v>1</v>
      </c>
    </row>
    <row r="2" spans="2:7" ht="33.950000000000003" customHeight="1" thickBot="1">
      <c r="B2" s="320"/>
      <c r="C2" s="321"/>
      <c r="D2" s="321"/>
      <c r="E2" s="322"/>
      <c r="G2" s="130">
        <v>1</v>
      </c>
    </row>
    <row r="3" spans="2:7" ht="33.950000000000003" customHeight="1">
      <c r="B3" s="323" t="s">
        <v>5715</v>
      </c>
      <c r="C3" s="324"/>
      <c r="D3" s="324"/>
      <c r="E3" s="325"/>
      <c r="G3" s="130">
        <v>1</v>
      </c>
    </row>
    <row r="4" spans="2:7" ht="33.950000000000003" customHeight="1">
      <c r="B4" s="326" t="s">
        <v>5716</v>
      </c>
      <c r="C4" s="327"/>
      <c r="D4" s="327"/>
      <c r="E4" s="328"/>
      <c r="G4" s="130">
        <v>1</v>
      </c>
    </row>
    <row r="5" spans="2:7" ht="16.5" thickBot="1">
      <c r="B5" s="123" t="s">
        <v>583</v>
      </c>
      <c r="C5" s="248"/>
      <c r="D5" s="248"/>
      <c r="E5" s="158" t="s">
        <v>585</v>
      </c>
      <c r="F5" s="159" t="str">
        <f>$G$92</f>
        <v>G92</v>
      </c>
      <c r="G5" s="130">
        <v>1</v>
      </c>
    </row>
    <row r="6" spans="2:7" ht="27.95" customHeight="1" thickBot="1">
      <c r="B6" s="329" t="s">
        <v>5717</v>
      </c>
      <c r="C6" s="330"/>
      <c r="D6" s="330"/>
      <c r="E6" s="331"/>
      <c r="G6" s="130">
        <v>1</v>
      </c>
    </row>
    <row r="7" spans="2:7" ht="18.75">
      <c r="B7" s="249" t="s">
        <v>5718</v>
      </c>
      <c r="C7" s="249" t="s">
        <v>5719</v>
      </c>
      <c r="D7" s="249" t="s">
        <v>5720</v>
      </c>
      <c r="E7" s="249" t="s">
        <v>5721</v>
      </c>
      <c r="G7" s="130">
        <v>1</v>
      </c>
    </row>
    <row r="8" spans="2:7" ht="57.95" customHeight="1">
      <c r="B8" s="250" t="s">
        <v>5722</v>
      </c>
      <c r="C8" s="251" t="s">
        <v>5723</v>
      </c>
      <c r="D8" s="252" t="s">
        <v>5724</v>
      </c>
      <c r="E8" s="253" t="s">
        <v>5725</v>
      </c>
      <c r="G8" s="130">
        <v>1</v>
      </c>
    </row>
    <row r="9" spans="2:7" ht="57.95" customHeight="1">
      <c r="B9" s="250" t="s">
        <v>5726</v>
      </c>
      <c r="C9" s="251" t="s">
        <v>5727</v>
      </c>
      <c r="D9" s="252" t="s">
        <v>5728</v>
      </c>
      <c r="E9" s="253" t="s">
        <v>5729</v>
      </c>
      <c r="G9" s="130">
        <v>1</v>
      </c>
    </row>
    <row r="10" spans="2:7" ht="57.95" customHeight="1">
      <c r="B10" s="250" t="s">
        <v>5730</v>
      </c>
      <c r="C10" s="251" t="s">
        <v>5731</v>
      </c>
      <c r="D10" s="252" t="s">
        <v>5732</v>
      </c>
      <c r="E10" s="253" t="s">
        <v>5733</v>
      </c>
      <c r="G10" s="130">
        <v>1</v>
      </c>
    </row>
    <row r="11" spans="2:7" ht="57.95" customHeight="1">
      <c r="B11" s="250" t="s">
        <v>5734</v>
      </c>
      <c r="C11" s="251" t="s">
        <v>5735</v>
      </c>
      <c r="D11" s="252" t="s">
        <v>5736</v>
      </c>
      <c r="E11" s="253" t="s">
        <v>5737</v>
      </c>
      <c r="G11" s="130">
        <v>1</v>
      </c>
    </row>
    <row r="12" spans="2:7" thickBot="1">
      <c r="B12" s="248"/>
      <c r="C12" s="248"/>
      <c r="D12" s="248"/>
      <c r="E12" s="248"/>
      <c r="G12" s="130">
        <v>1</v>
      </c>
    </row>
    <row r="13" spans="2:7" ht="27.95" customHeight="1" thickBot="1">
      <c r="B13" s="329" t="s">
        <v>5738</v>
      </c>
      <c r="C13" s="330"/>
      <c r="D13" s="330"/>
      <c r="E13" s="331"/>
      <c r="G13" s="130">
        <v>1</v>
      </c>
    </row>
    <row r="14" spans="2:7" ht="18.75">
      <c r="B14" s="249" t="s">
        <v>5739</v>
      </c>
      <c r="C14" s="249" t="s">
        <v>5740</v>
      </c>
      <c r="D14" s="249" t="s">
        <v>5741</v>
      </c>
      <c r="E14" s="249" t="s">
        <v>5742</v>
      </c>
      <c r="G14" s="130">
        <v>1</v>
      </c>
    </row>
    <row r="15" spans="2:7" ht="57.95" customHeight="1">
      <c r="B15" s="254" t="s">
        <v>5743</v>
      </c>
      <c r="C15" s="253" t="s">
        <v>5744</v>
      </c>
      <c r="D15" s="253" t="s">
        <v>5745</v>
      </c>
      <c r="E15" s="253" t="s">
        <v>5746</v>
      </c>
      <c r="G15" s="130">
        <v>1</v>
      </c>
    </row>
    <row r="16" spans="2:7" ht="57.95" customHeight="1">
      <c r="B16" s="254" t="s">
        <v>5747</v>
      </c>
      <c r="C16" s="253" t="s">
        <v>5748</v>
      </c>
      <c r="D16" s="253" t="s">
        <v>5749</v>
      </c>
      <c r="E16" s="253" t="s">
        <v>5750</v>
      </c>
      <c r="G16" s="130">
        <v>1</v>
      </c>
    </row>
    <row r="17" spans="2:7" ht="57.95" customHeight="1">
      <c r="B17" s="254" t="s">
        <v>5751</v>
      </c>
      <c r="C17" s="253" t="s">
        <v>5752</v>
      </c>
      <c r="D17" s="253" t="s">
        <v>5753</v>
      </c>
      <c r="E17" s="253" t="s">
        <v>5754</v>
      </c>
      <c r="G17" s="130">
        <v>1</v>
      </c>
    </row>
    <row r="18" spans="2:7" ht="57.95" customHeight="1">
      <c r="B18" s="254" t="s">
        <v>5755</v>
      </c>
      <c r="C18" s="253" t="s">
        <v>827</v>
      </c>
      <c r="D18" s="253" t="s">
        <v>5756</v>
      </c>
      <c r="E18" s="253" t="s">
        <v>5757</v>
      </c>
      <c r="G18" s="130">
        <v>1</v>
      </c>
    </row>
    <row r="19" spans="2:7" ht="57.95" customHeight="1">
      <c r="B19" s="254" t="s">
        <v>5758</v>
      </c>
      <c r="C19" s="253" t="s">
        <v>5759</v>
      </c>
      <c r="D19" s="253" t="s">
        <v>5760</v>
      </c>
      <c r="E19" s="253" t="s">
        <v>5761</v>
      </c>
      <c r="G19" s="130">
        <v>1</v>
      </c>
    </row>
    <row r="20" spans="2:7" ht="33.950000000000003" customHeight="1">
      <c r="B20" s="323" t="s">
        <v>5762</v>
      </c>
      <c r="C20" s="324"/>
      <c r="D20" s="324"/>
      <c r="E20" s="325"/>
      <c r="G20" s="130">
        <v>1</v>
      </c>
    </row>
    <row r="21" spans="2:7" thickBot="1">
      <c r="B21" s="248"/>
      <c r="C21" s="248"/>
      <c r="D21" s="248"/>
      <c r="E21" s="248"/>
      <c r="G21" s="130">
        <v>1</v>
      </c>
    </row>
    <row r="22" spans="2:7" ht="27.95" customHeight="1" thickBot="1">
      <c r="B22" s="329" t="s">
        <v>5763</v>
      </c>
      <c r="C22" s="330"/>
      <c r="D22" s="330"/>
      <c r="E22" s="331"/>
      <c r="G22" s="130">
        <v>1</v>
      </c>
    </row>
    <row r="23" spans="2:7" ht="38.1" customHeight="1">
      <c r="B23" s="332" t="s">
        <v>5764</v>
      </c>
      <c r="C23" s="333"/>
      <c r="D23" s="333"/>
      <c r="E23" s="334"/>
      <c r="G23" s="130">
        <v>1</v>
      </c>
    </row>
    <row r="24" spans="2:7" ht="18.75">
      <c r="B24" s="249" t="s">
        <v>5740</v>
      </c>
      <c r="C24" s="249" t="s">
        <v>5765</v>
      </c>
      <c r="D24" s="249" t="s">
        <v>5766</v>
      </c>
      <c r="E24" s="249" t="s">
        <v>5767</v>
      </c>
      <c r="G24" s="130">
        <v>1</v>
      </c>
    </row>
    <row r="25" spans="2:7" ht="57.95" customHeight="1">
      <c r="B25" s="251" t="s">
        <v>5744</v>
      </c>
      <c r="C25" s="251" t="s">
        <v>5768</v>
      </c>
      <c r="D25" s="255" t="s">
        <v>5769</v>
      </c>
      <c r="E25" s="256"/>
      <c r="G25" s="130">
        <v>1</v>
      </c>
    </row>
    <row r="26" spans="2:7" ht="57.95" customHeight="1">
      <c r="B26" s="251" t="s">
        <v>5748</v>
      </c>
      <c r="C26" s="251" t="s">
        <v>5770</v>
      </c>
      <c r="D26" s="255" t="s">
        <v>5771</v>
      </c>
      <c r="E26" s="256"/>
      <c r="G26" s="130">
        <v>1</v>
      </c>
    </row>
    <row r="27" spans="2:7" ht="57.95" customHeight="1">
      <c r="B27" s="251" t="s">
        <v>5752</v>
      </c>
      <c r="C27" s="251" t="s">
        <v>5772</v>
      </c>
      <c r="D27" s="255" t="s">
        <v>5773</v>
      </c>
      <c r="E27" s="256"/>
      <c r="G27" s="130">
        <v>1</v>
      </c>
    </row>
    <row r="28" spans="2:7" ht="57.95" customHeight="1">
      <c r="B28" s="251" t="s">
        <v>5774</v>
      </c>
      <c r="C28" s="251" t="s">
        <v>5775</v>
      </c>
      <c r="D28" s="255" t="s">
        <v>5776</v>
      </c>
      <c r="E28" s="256"/>
      <c r="G28" s="130">
        <v>1</v>
      </c>
    </row>
    <row r="29" spans="2:7" ht="57.95" customHeight="1">
      <c r="B29" s="251" t="s">
        <v>571</v>
      </c>
      <c r="C29" s="251" t="s">
        <v>5777</v>
      </c>
      <c r="D29" s="255" t="s">
        <v>5778</v>
      </c>
      <c r="E29" s="256"/>
      <c r="G29" s="130">
        <v>1</v>
      </c>
    </row>
    <row r="30" spans="2:7" ht="57.95" customHeight="1">
      <c r="B30" s="251" t="s">
        <v>5779</v>
      </c>
      <c r="C30" s="251" t="s">
        <v>5780</v>
      </c>
      <c r="D30" s="255" t="s">
        <v>5781</v>
      </c>
      <c r="E30" s="256"/>
      <c r="G30" s="130">
        <v>1</v>
      </c>
    </row>
    <row r="31" spans="2:7" thickBot="1">
      <c r="B31" s="248"/>
      <c r="C31" s="248"/>
      <c r="D31" s="248"/>
      <c r="E31" s="248"/>
      <c r="G31" s="130">
        <v>1</v>
      </c>
    </row>
    <row r="32" spans="2:7" ht="155.1" customHeight="1" thickBot="1">
      <c r="B32" s="257" t="s">
        <v>5782</v>
      </c>
      <c r="C32" s="258" t="s">
        <v>5783</v>
      </c>
      <c r="D32" s="258" t="s">
        <v>5784</v>
      </c>
      <c r="E32" s="259" t="str">
        <f>IF(COUNTA(E25:E30)=0,"Complétez les cellules jaunes E25:E30.","Contexte : "&amp;E25&amp;CHAR(10)&amp;"Action : "&amp;E26&amp;CHAR(10)&amp;"Données : "&amp;E27&amp;CHAR(10)&amp;"Contraintes : "&amp;E28&amp;CHAR(10)&amp;"Résultat attendu : "&amp;E29&amp;CHAR(10)&amp;"Contrôle : "&amp;E30)</f>
        <v>Complétez les cellules jaunes E25:E30.</v>
      </c>
      <c r="G32" s="130">
        <v>1</v>
      </c>
    </row>
    <row r="33" spans="2:7" thickBot="1">
      <c r="B33" s="248"/>
      <c r="C33" s="248"/>
      <c r="D33" s="248"/>
      <c r="E33" s="248"/>
      <c r="G33" s="130">
        <v>1</v>
      </c>
    </row>
    <row r="34" spans="2:7" ht="27.95" customHeight="1" thickBot="1">
      <c r="B34" s="329" t="s">
        <v>5785</v>
      </c>
      <c r="C34" s="330"/>
      <c r="D34" s="330"/>
      <c r="E34" s="331"/>
      <c r="G34" s="130">
        <v>1</v>
      </c>
    </row>
    <row r="35" spans="2:7" ht="18.75">
      <c r="B35" s="249" t="s">
        <v>109</v>
      </c>
      <c r="C35" s="249" t="s">
        <v>5786</v>
      </c>
      <c r="D35" s="249" t="s">
        <v>5787</v>
      </c>
      <c r="E35" s="249" t="s">
        <v>5788</v>
      </c>
      <c r="G35" s="130">
        <v>1</v>
      </c>
    </row>
    <row r="36" spans="2:7" ht="45.95" customHeight="1">
      <c r="B36" s="260">
        <v>1</v>
      </c>
      <c r="C36" s="251" t="s">
        <v>1205</v>
      </c>
      <c r="D36" s="253" t="s">
        <v>5789</v>
      </c>
      <c r="E36" s="261"/>
      <c r="G36" s="130">
        <v>1</v>
      </c>
    </row>
    <row r="37" spans="2:7" ht="45.95" customHeight="1">
      <c r="B37" s="260">
        <v>2</v>
      </c>
      <c r="C37" s="251" t="s">
        <v>5790</v>
      </c>
      <c r="D37" s="253" t="s">
        <v>5791</v>
      </c>
      <c r="E37" s="261"/>
      <c r="G37" s="130">
        <v>1</v>
      </c>
    </row>
    <row r="38" spans="2:7" ht="45.95" customHeight="1">
      <c r="B38" s="260">
        <v>3</v>
      </c>
      <c r="C38" s="251" t="s">
        <v>5792</v>
      </c>
      <c r="D38" s="253" t="s">
        <v>5793</v>
      </c>
      <c r="E38" s="261"/>
      <c r="G38" s="130">
        <v>1</v>
      </c>
    </row>
    <row r="39" spans="2:7" ht="45.95" customHeight="1">
      <c r="B39" s="260">
        <v>4</v>
      </c>
      <c r="C39" s="251" t="s">
        <v>5794</v>
      </c>
      <c r="D39" s="253" t="s">
        <v>5795</v>
      </c>
      <c r="E39" s="261"/>
      <c r="G39" s="130">
        <v>1</v>
      </c>
    </row>
    <row r="40" spans="2:7" ht="45.95" customHeight="1">
      <c r="B40" s="260">
        <v>5</v>
      </c>
      <c r="C40" s="251" t="s">
        <v>5796</v>
      </c>
      <c r="D40" s="253" t="s">
        <v>5797</v>
      </c>
      <c r="E40" s="261"/>
      <c r="G40" s="130">
        <v>1</v>
      </c>
    </row>
    <row r="41" spans="2:7" ht="45.95" customHeight="1">
      <c r="B41" s="260">
        <v>6</v>
      </c>
      <c r="C41" s="251" t="s">
        <v>5798</v>
      </c>
      <c r="D41" s="253" t="s">
        <v>5799</v>
      </c>
      <c r="E41" s="261"/>
      <c r="G41" s="130">
        <v>1</v>
      </c>
    </row>
    <row r="42" spans="2:7" ht="45.95" customHeight="1" thickBot="1">
      <c r="B42" s="260">
        <v>7</v>
      </c>
      <c r="C42" s="251" t="s">
        <v>5800</v>
      </c>
      <c r="D42" s="253" t="s">
        <v>5801</v>
      </c>
      <c r="E42" s="261"/>
      <c r="G42" s="130">
        <v>1</v>
      </c>
    </row>
    <row r="43" spans="2:7" ht="48" customHeight="1" thickBot="1">
      <c r="B43" s="262" t="s">
        <v>5802</v>
      </c>
      <c r="C43" s="262" t="s">
        <v>5803</v>
      </c>
      <c r="D43" s="262" t="s">
        <v>5804</v>
      </c>
      <c r="E43" s="262" t="str">
        <f>COUNTIF(E36:E42,"X")&amp;"/7 — "&amp;IF(COUNTIF(E36:E42,"X")=7,"PRÊT À TESTER",IF(COUNTIF(E36:E42,"X")&gt;=5,"À AMÉLIORER","À REPRENDRE"))</f>
        <v>0/7 — À REPRENDRE</v>
      </c>
      <c r="G43" s="130">
        <v>1</v>
      </c>
    </row>
    <row r="44" spans="2:7" thickBot="1">
      <c r="B44" s="248"/>
      <c r="C44" s="248"/>
      <c r="D44" s="248"/>
      <c r="E44" s="248"/>
      <c r="G44" s="130">
        <v>1</v>
      </c>
    </row>
    <row r="45" spans="2:7" ht="27.95" customHeight="1" thickBot="1">
      <c r="B45" s="329" t="s">
        <v>5805</v>
      </c>
      <c r="C45" s="330"/>
      <c r="D45" s="330"/>
      <c r="E45" s="331"/>
      <c r="G45" s="130">
        <v>1</v>
      </c>
    </row>
    <row r="46" spans="2:7" ht="18.75">
      <c r="B46" s="249" t="s">
        <v>5806</v>
      </c>
      <c r="C46" s="249" t="s">
        <v>5807</v>
      </c>
      <c r="D46" s="249" t="s">
        <v>5808</v>
      </c>
      <c r="E46" s="249" t="s">
        <v>5809</v>
      </c>
      <c r="G46" s="130">
        <v>1</v>
      </c>
    </row>
    <row r="47" spans="2:7" ht="105" customHeight="1">
      <c r="B47" s="251" t="s">
        <v>5810</v>
      </c>
      <c r="C47" s="263" t="s">
        <v>5811</v>
      </c>
      <c r="D47" s="252" t="s">
        <v>5812</v>
      </c>
      <c r="E47" s="253" t="s">
        <v>5813</v>
      </c>
      <c r="G47" s="130">
        <v>1</v>
      </c>
    </row>
    <row r="48" spans="2:7" ht="105" customHeight="1">
      <c r="B48" s="251" t="s">
        <v>1436</v>
      </c>
      <c r="C48" s="263" t="s">
        <v>5814</v>
      </c>
      <c r="D48" s="252" t="s">
        <v>5815</v>
      </c>
      <c r="E48" s="253" t="s">
        <v>5816</v>
      </c>
      <c r="G48" s="130">
        <v>1</v>
      </c>
    </row>
    <row r="49" spans="2:7" ht="105" customHeight="1">
      <c r="B49" s="251" t="s">
        <v>5817</v>
      </c>
      <c r="C49" s="263" t="s">
        <v>5818</v>
      </c>
      <c r="D49" s="252" t="s">
        <v>5819</v>
      </c>
      <c r="E49" s="253" t="s">
        <v>5820</v>
      </c>
      <c r="G49" s="130">
        <v>1</v>
      </c>
    </row>
    <row r="50" spans="2:7" thickBot="1">
      <c r="B50" s="248"/>
      <c r="C50" s="248"/>
      <c r="D50" s="248"/>
      <c r="E50" s="248"/>
      <c r="G50" s="130">
        <v>1</v>
      </c>
    </row>
    <row r="51" spans="2:7" ht="27.95" customHeight="1" thickBot="1">
      <c r="B51" s="329" t="s">
        <v>5821</v>
      </c>
      <c r="C51" s="330"/>
      <c r="D51" s="330"/>
      <c r="E51" s="331"/>
      <c r="G51" s="130">
        <v>1</v>
      </c>
    </row>
    <row r="52" spans="2:7" ht="18.75">
      <c r="B52" s="249" t="s">
        <v>5822</v>
      </c>
      <c r="C52" s="249" t="s">
        <v>5741</v>
      </c>
      <c r="D52" s="249" t="s">
        <v>5790</v>
      </c>
      <c r="E52" s="249" t="s">
        <v>5823</v>
      </c>
      <c r="G52" s="130">
        <v>1</v>
      </c>
    </row>
    <row r="53" spans="2:7" ht="60" customHeight="1">
      <c r="B53" s="260">
        <v>1</v>
      </c>
      <c r="C53" s="264" t="s">
        <v>5824</v>
      </c>
      <c r="D53" s="253" t="s">
        <v>5825</v>
      </c>
      <c r="E53" s="253" t="s">
        <v>5826</v>
      </c>
      <c r="G53" s="130">
        <v>1</v>
      </c>
    </row>
    <row r="54" spans="2:7" ht="60" customHeight="1">
      <c r="B54" s="260">
        <v>2</v>
      </c>
      <c r="C54" s="264" t="s">
        <v>5827</v>
      </c>
      <c r="D54" s="253" t="s">
        <v>5828</v>
      </c>
      <c r="E54" s="253" t="s">
        <v>5829</v>
      </c>
      <c r="G54" s="130">
        <v>1</v>
      </c>
    </row>
    <row r="55" spans="2:7" ht="60" customHeight="1">
      <c r="B55" s="260">
        <v>3</v>
      </c>
      <c r="C55" s="264" t="s">
        <v>5830</v>
      </c>
      <c r="D55" s="253" t="s">
        <v>5831</v>
      </c>
      <c r="E55" s="253" t="s">
        <v>5832</v>
      </c>
      <c r="G55" s="130">
        <v>1</v>
      </c>
    </row>
    <row r="56" spans="2:7" ht="60" customHeight="1">
      <c r="B56" s="260">
        <v>4</v>
      </c>
      <c r="C56" s="264" t="s">
        <v>5833</v>
      </c>
      <c r="D56" s="253" t="s">
        <v>5834</v>
      </c>
      <c r="E56" s="253" t="s">
        <v>5835</v>
      </c>
      <c r="G56" s="130">
        <v>1</v>
      </c>
    </row>
    <row r="57" spans="2:7" ht="51.95" customHeight="1">
      <c r="B57" s="314" t="s">
        <v>5836</v>
      </c>
      <c r="C57" s="315"/>
      <c r="D57" s="315"/>
      <c r="E57" s="316"/>
      <c r="G57" s="130">
        <v>1</v>
      </c>
    </row>
    <row r="58" spans="2:7" thickBot="1">
      <c r="B58" s="248"/>
      <c r="C58" s="248"/>
      <c r="D58" s="248"/>
      <c r="E58" s="248"/>
      <c r="G58" s="130">
        <v>1</v>
      </c>
    </row>
    <row r="59" spans="2:7" ht="27.95" customHeight="1" thickBot="1">
      <c r="B59" s="329" t="s">
        <v>5837</v>
      </c>
      <c r="C59" s="330"/>
      <c r="D59" s="330"/>
      <c r="E59" s="331"/>
      <c r="G59" s="130">
        <v>1</v>
      </c>
    </row>
    <row r="60" spans="2:7" ht="18.75">
      <c r="B60" s="249" t="s">
        <v>5838</v>
      </c>
      <c r="C60" s="249" t="s">
        <v>5839</v>
      </c>
      <c r="D60" s="249" t="s">
        <v>5840</v>
      </c>
      <c r="E60" s="249" t="s">
        <v>1456</v>
      </c>
      <c r="G60" s="130">
        <v>1</v>
      </c>
    </row>
    <row r="61" spans="2:7" ht="72" customHeight="1">
      <c r="B61" s="265" t="s">
        <v>5841</v>
      </c>
      <c r="C61" s="251" t="s">
        <v>5842</v>
      </c>
      <c r="D61" s="253" t="s">
        <v>5843</v>
      </c>
      <c r="E61" s="266" t="s">
        <v>5844</v>
      </c>
      <c r="G61" s="130">
        <v>1</v>
      </c>
    </row>
    <row r="62" spans="2:7" ht="72" customHeight="1">
      <c r="B62" s="265" t="s">
        <v>5845</v>
      </c>
      <c r="C62" s="251" t="s">
        <v>5846</v>
      </c>
      <c r="D62" s="253" t="s">
        <v>5847</v>
      </c>
      <c r="E62" s="266" t="s">
        <v>5848</v>
      </c>
      <c r="G62" s="130">
        <v>1</v>
      </c>
    </row>
    <row r="63" spans="2:7" ht="72" customHeight="1">
      <c r="B63" s="265" t="s">
        <v>5849</v>
      </c>
      <c r="C63" s="251" t="s">
        <v>5850</v>
      </c>
      <c r="D63" s="253" t="s">
        <v>5851</v>
      </c>
      <c r="E63" s="266" t="s">
        <v>5852</v>
      </c>
      <c r="G63" s="130">
        <v>1</v>
      </c>
    </row>
    <row r="64" spans="2:7" ht="72" customHeight="1">
      <c r="B64" s="265" t="s">
        <v>5853</v>
      </c>
      <c r="C64" s="251" t="s">
        <v>5854</v>
      </c>
      <c r="D64" s="253" t="s">
        <v>5855</v>
      </c>
      <c r="E64" s="266" t="s">
        <v>5856</v>
      </c>
      <c r="G64" s="130">
        <v>1</v>
      </c>
    </row>
    <row r="65" spans="2:7" ht="72" customHeight="1">
      <c r="B65" s="265" t="s">
        <v>5857</v>
      </c>
      <c r="C65" s="251" t="s">
        <v>5858</v>
      </c>
      <c r="D65" s="253" t="s">
        <v>5859</v>
      </c>
      <c r="E65" s="266" t="s">
        <v>5860</v>
      </c>
      <c r="G65" s="130">
        <v>1</v>
      </c>
    </row>
    <row r="66" spans="2:7" ht="72" customHeight="1">
      <c r="B66" s="265" t="s">
        <v>5861</v>
      </c>
      <c r="C66" s="251" t="s">
        <v>5862</v>
      </c>
      <c r="D66" s="253" t="s">
        <v>5863</v>
      </c>
      <c r="E66" s="266" t="s">
        <v>5864</v>
      </c>
      <c r="G66" s="130">
        <v>1</v>
      </c>
    </row>
    <row r="67" spans="2:7" ht="72" customHeight="1">
      <c r="B67" s="265" t="s">
        <v>5865</v>
      </c>
      <c r="C67" s="251" t="s">
        <v>5866</v>
      </c>
      <c r="D67" s="253" t="s">
        <v>5867</v>
      </c>
      <c r="E67" s="266" t="s">
        <v>5868</v>
      </c>
      <c r="G67" s="130">
        <v>1</v>
      </c>
    </row>
    <row r="68" spans="2:7" thickBot="1">
      <c r="B68" s="248"/>
      <c r="C68" s="248"/>
      <c r="D68" s="248"/>
      <c r="E68" s="248"/>
      <c r="G68" s="130">
        <v>1</v>
      </c>
    </row>
    <row r="69" spans="2:7" ht="27.95" customHeight="1" thickBot="1">
      <c r="B69" s="329" t="s">
        <v>5869</v>
      </c>
      <c r="C69" s="330"/>
      <c r="D69" s="330"/>
      <c r="E69" s="331"/>
      <c r="G69" s="130">
        <v>1</v>
      </c>
    </row>
    <row r="70" spans="2:7" ht="21">
      <c r="B70" s="267" t="s">
        <v>5806</v>
      </c>
      <c r="C70" s="267" t="s">
        <v>5870</v>
      </c>
      <c r="D70" s="267" t="s">
        <v>5871</v>
      </c>
      <c r="E70" s="267" t="s">
        <v>5872</v>
      </c>
      <c r="G70" s="130">
        <v>1</v>
      </c>
    </row>
    <row r="71" spans="2:7" ht="110.1" customHeight="1">
      <c r="B71" s="251" t="s">
        <v>5873</v>
      </c>
      <c r="C71" s="251" t="s">
        <v>5874</v>
      </c>
      <c r="D71" s="253" t="s">
        <v>5875</v>
      </c>
      <c r="E71" s="256"/>
      <c r="G71" s="130">
        <v>1</v>
      </c>
    </row>
    <row r="72" spans="2:7" ht="110.1" customHeight="1">
      <c r="B72" s="251" t="s">
        <v>5876</v>
      </c>
      <c r="C72" s="251" t="s">
        <v>5877</v>
      </c>
      <c r="D72" s="253" t="s">
        <v>5878</v>
      </c>
      <c r="E72" s="256"/>
      <c r="G72" s="130">
        <v>1</v>
      </c>
    </row>
    <row r="73" spans="2:7" ht="110.1" customHeight="1">
      <c r="B73" s="251" t="s">
        <v>5879</v>
      </c>
      <c r="C73" s="251" t="s">
        <v>5880</v>
      </c>
      <c r="D73" s="253" t="s">
        <v>5881</v>
      </c>
      <c r="E73" s="256"/>
      <c r="G73" s="130">
        <v>1</v>
      </c>
    </row>
    <row r="74" spans="2:7" thickBot="1">
      <c r="B74" s="248"/>
      <c r="C74" s="248"/>
      <c r="D74" s="248"/>
      <c r="E74" s="248"/>
      <c r="G74" s="130">
        <v>1</v>
      </c>
    </row>
    <row r="75" spans="2:7" ht="27.95" customHeight="1" thickBot="1">
      <c r="B75" s="329" t="s">
        <v>5882</v>
      </c>
      <c r="C75" s="330"/>
      <c r="D75" s="330"/>
      <c r="E75" s="331"/>
      <c r="G75" s="130">
        <v>1</v>
      </c>
    </row>
    <row r="76" spans="2:7" ht="150" customHeight="1" thickBot="1">
      <c r="B76" s="338" t="s">
        <v>5883</v>
      </c>
      <c r="C76" s="339"/>
      <c r="D76" s="339"/>
      <c r="E76" s="340"/>
      <c r="G76" s="130">
        <v>1</v>
      </c>
    </row>
    <row r="77" spans="2:7" ht="57.95" customHeight="1">
      <c r="B77" s="341" t="s">
        <v>5884</v>
      </c>
      <c r="C77" s="342"/>
      <c r="D77" s="342"/>
      <c r="E77" s="343"/>
      <c r="G77" s="130">
        <v>1</v>
      </c>
    </row>
    <row r="78" spans="2:7" thickBot="1">
      <c r="B78" s="248"/>
      <c r="C78" s="248"/>
      <c r="D78" s="248"/>
      <c r="E78" s="248"/>
      <c r="G78" s="130">
        <v>1</v>
      </c>
    </row>
    <row r="79" spans="2:7" ht="27.95" customHeight="1" thickBot="1">
      <c r="B79" s="329" t="s">
        <v>5885</v>
      </c>
      <c r="C79" s="330"/>
      <c r="D79" s="330"/>
      <c r="E79" s="331"/>
      <c r="G79" s="130">
        <v>1</v>
      </c>
    </row>
    <row r="80" spans="2:7" ht="51.95" customHeight="1">
      <c r="B80" s="268" t="s">
        <v>115</v>
      </c>
      <c r="C80" s="260" t="s">
        <v>5886</v>
      </c>
      <c r="D80" s="251" t="s">
        <v>5887</v>
      </c>
      <c r="E80" s="253" t="s">
        <v>5888</v>
      </c>
      <c r="G80" s="130">
        <v>1</v>
      </c>
    </row>
    <row r="81" spans="1:7" ht="51.95" customHeight="1">
      <c r="B81" s="268" t="s">
        <v>116</v>
      </c>
      <c r="C81" s="260" t="s">
        <v>5889</v>
      </c>
      <c r="D81" s="251" t="s">
        <v>5890</v>
      </c>
      <c r="E81" s="253" t="s">
        <v>5891</v>
      </c>
      <c r="G81" s="130">
        <v>1</v>
      </c>
    </row>
    <row r="82" spans="1:7" ht="51.95" customHeight="1">
      <c r="B82" s="268" t="s">
        <v>5892</v>
      </c>
      <c r="C82" s="260" t="s">
        <v>5893</v>
      </c>
      <c r="D82" s="251" t="s">
        <v>5894</v>
      </c>
      <c r="E82" s="253" t="s">
        <v>5895</v>
      </c>
      <c r="G82" s="130">
        <v>1</v>
      </c>
    </row>
    <row r="83" spans="1:7" ht="51.95" customHeight="1">
      <c r="B83" s="268" t="s">
        <v>5896</v>
      </c>
      <c r="C83" s="260" t="s">
        <v>5897</v>
      </c>
      <c r="D83" s="251" t="s">
        <v>5898</v>
      </c>
      <c r="E83" s="253" t="s">
        <v>5899</v>
      </c>
      <c r="G83" s="130">
        <v>1</v>
      </c>
    </row>
    <row r="84" spans="1:7" ht="51.95" customHeight="1">
      <c r="B84" s="268" t="s">
        <v>5900</v>
      </c>
      <c r="C84" s="260" t="s">
        <v>5901</v>
      </c>
      <c r="D84" s="251" t="s">
        <v>5902</v>
      </c>
      <c r="E84" s="253" t="s">
        <v>5903</v>
      </c>
      <c r="G84" s="130">
        <v>1</v>
      </c>
    </row>
    <row r="85" spans="1:7" ht="51.95" customHeight="1">
      <c r="B85" s="268" t="s">
        <v>5904</v>
      </c>
      <c r="C85" s="260" t="s">
        <v>5905</v>
      </c>
      <c r="D85" s="251" t="s">
        <v>5906</v>
      </c>
      <c r="E85" s="253" t="s">
        <v>5907</v>
      </c>
      <c r="G85" s="130">
        <v>1</v>
      </c>
    </row>
    <row r="86" spans="1:7" ht="51.95" customHeight="1">
      <c r="B86" s="268" t="s">
        <v>5908</v>
      </c>
      <c r="C86" s="260" t="s">
        <v>5909</v>
      </c>
      <c r="D86" s="251" t="s">
        <v>5910</v>
      </c>
      <c r="E86" s="253" t="s">
        <v>5911</v>
      </c>
      <c r="G86" s="130">
        <v>1</v>
      </c>
    </row>
    <row r="87" spans="1:7" ht="51.95" customHeight="1">
      <c r="B87" s="268" t="s">
        <v>5912</v>
      </c>
      <c r="C87" s="260" t="s">
        <v>5913</v>
      </c>
      <c r="D87" s="251" t="s">
        <v>5914</v>
      </c>
      <c r="E87" s="253" t="s">
        <v>5915</v>
      </c>
      <c r="G87" s="130">
        <v>1</v>
      </c>
    </row>
    <row r="88" spans="1:7" thickBot="1">
      <c r="B88" s="248"/>
      <c r="C88" s="248"/>
      <c r="D88" s="248"/>
      <c r="E88" s="248"/>
      <c r="G88" s="130">
        <v>1</v>
      </c>
    </row>
    <row r="89" spans="1:7" ht="42" customHeight="1" thickBot="1">
      <c r="B89" s="335" t="s">
        <v>5916</v>
      </c>
      <c r="C89" s="336"/>
      <c r="D89" s="336"/>
      <c r="E89" s="337"/>
      <c r="G89" s="130">
        <v>1</v>
      </c>
    </row>
    <row r="90" spans="1:7" ht="15">
      <c r="G90" s="130">
        <v>1</v>
      </c>
    </row>
    <row r="91" spans="1:7">
      <c r="G91" s="245" t="s">
        <v>5</v>
      </c>
    </row>
    <row r="92" spans="1:7" ht="15">
      <c r="A92" s="130">
        <v>1</v>
      </c>
      <c r="B92" s="130">
        <v>1</v>
      </c>
      <c r="C92" s="130">
        <v>1</v>
      </c>
      <c r="D92" s="130">
        <v>1</v>
      </c>
      <c r="E92" s="130">
        <v>1</v>
      </c>
      <c r="F92" s="130">
        <v>1</v>
      </c>
      <c r="G92" s="159" t="str">
        <f>ADDRESS(ROW(),COLUMN(),4)</f>
        <v>G92</v>
      </c>
    </row>
  </sheetData>
  <mergeCells count="19">
    <mergeCell ref="B89:E89"/>
    <mergeCell ref="B59:E59"/>
    <mergeCell ref="B69:E69"/>
    <mergeCell ref="B75:E75"/>
    <mergeCell ref="B76:E76"/>
    <mergeCell ref="B77:E77"/>
    <mergeCell ref="B79:E79"/>
    <mergeCell ref="B57:E57"/>
    <mergeCell ref="B1:E2"/>
    <mergeCell ref="B3:E3"/>
    <mergeCell ref="B4:E4"/>
    <mergeCell ref="B6:E6"/>
    <mergeCell ref="B13:E13"/>
    <mergeCell ref="B20:E20"/>
    <mergeCell ref="B22:E22"/>
    <mergeCell ref="B23:E23"/>
    <mergeCell ref="B34:E34"/>
    <mergeCell ref="B45:E45"/>
    <mergeCell ref="B51:E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Tableau-MAGIQUE</vt:lpstr>
      <vt:lpstr>Magique.et.Allergènes</vt:lpstr>
      <vt:lpstr>Nettoyez.vos.textes</vt:lpstr>
      <vt:lpstr>Magique.200.lignes13.06.202</vt:lpstr>
      <vt:lpstr>PROMPTS_CFA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2026-01-04T19:03:20Z</dcterms:created>
  <dcterms:modified xsi:type="dcterms:W3CDTF">2026-08-24T08:26:46Z</dcterms:modified>
</cp:coreProperties>
</file>